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/>
  <bookViews>
    <workbookView xWindow="13290" yWindow="-90" windowWidth="15510" windowHeight="11760" tabRatio="871" firstSheet="1" activeTab="4"/>
  </bookViews>
  <sheets>
    <sheet name="статситика" sheetId="43" state="hidden" r:id="rId1"/>
    <sheet name="Ціни контур мережний" sheetId="16" r:id="rId2"/>
    <sheet name="Ціни контур теплопостачання" sheetId="15" r:id="rId3"/>
    <sheet name="Таблиця цін схема №1" sheetId="35" r:id="rId4"/>
    <sheet name="Таблиця цін схема №2" sheetId="47" r:id="rId5"/>
    <sheet name="Таблиця цін схема №3" sheetId="46" r:id="rId6"/>
    <sheet name="Запасні частини" sheetId="48" r:id="rId7"/>
    <sheet name="рекоменд. и обязат. зап. части" sheetId="45" state="hidden" r:id="rId8"/>
    <sheet name="Теплообмінники №1" sheetId="38" state="hidden" r:id="rId9"/>
    <sheet name="Теплообмінники №2" sheetId="39" state="hidden" r:id="rId10"/>
    <sheet name="черн." sheetId="41" state="hidden" r:id="rId11"/>
    <sheet name="Schedule 1" sheetId="50" state="hidden" r:id="rId12"/>
    <sheet name="Schedule 2" sheetId="51" r:id="rId13"/>
    <sheet name="Schedule 6" sheetId="49" r:id="rId14"/>
    <sheet name="Лист5" sheetId="53" r:id="rId15"/>
    <sheet name="Лист7" sheetId="55" r:id="rId16"/>
    <sheet name="Лист1" sheetId="56" r:id="rId17"/>
  </sheets>
  <externalReferences>
    <externalReference r:id="rId18"/>
    <externalReference r:id="rId19"/>
    <externalReference r:id="rId20"/>
  </externalReferences>
  <definedNames>
    <definedName name="_xlnm._FilterDatabase" localSheetId="12" hidden="1">'Schedule 2'!$A$7:$R$7</definedName>
    <definedName name="_xlnm._FilterDatabase" localSheetId="6" hidden="1">'Запасні частини'!$B$17:$S$160</definedName>
    <definedName name="_xlnm._FilterDatabase" localSheetId="3" hidden="1">'Таблиця цін схема №1'!$A$7:$JZ$40</definedName>
    <definedName name="_xlnm._FilterDatabase" localSheetId="4" hidden="1">'Таблиця цін схема №2'!$A$7:$IN$73</definedName>
    <definedName name="_xlnm._FilterDatabase" localSheetId="5" hidden="1">'Таблиця цін схема №3'!$A$7:$FH$11</definedName>
    <definedName name="_xlnm._FilterDatabase" localSheetId="8" hidden="1">'Теплообмінники №1'!$A$1:$F$24</definedName>
    <definedName name="_xlnm._FilterDatabase" localSheetId="9" hidden="1">'Теплообмінники №2'!$A$1:$N$265</definedName>
  </definedNames>
  <calcPr calcId="144525"/>
  <pivotCaches>
    <pivotCache cacheId="0" r:id="rId21"/>
  </pivotCaches>
</workbook>
</file>

<file path=xl/calcChain.xml><?xml version="1.0" encoding="utf-8"?>
<calcChain xmlns="http://schemas.openxmlformats.org/spreadsheetml/2006/main">
  <c r="D8" i="51" l="1"/>
  <c r="JO41" i="35"/>
  <c r="EM12" i="46"/>
  <c r="EN12" i="46"/>
  <c r="EO12" i="46"/>
  <c r="EP12" i="46"/>
  <c r="EQ12" i="46"/>
  <c r="ER12" i="46"/>
  <c r="ES12" i="46"/>
  <c r="ET12" i="46"/>
  <c r="EU12" i="46"/>
  <c r="EV12" i="46"/>
  <c r="EW12" i="46"/>
  <c r="EX12" i="46"/>
  <c r="EY12" i="46"/>
  <c r="EZ12" i="46"/>
  <c r="FA12" i="46"/>
  <c r="EL12" i="46"/>
  <c r="HS74" i="47"/>
  <c r="HT74" i="47"/>
  <c r="HU74" i="47"/>
  <c r="HV74" i="47"/>
  <c r="HW74" i="47"/>
  <c r="HX74" i="47"/>
  <c r="HY74" i="47"/>
  <c r="HZ74" i="47"/>
  <c r="IA74" i="47"/>
  <c r="IB74" i="47"/>
  <c r="IC74" i="47"/>
  <c r="ID74" i="47"/>
  <c r="IE74" i="47"/>
  <c r="IF74" i="47"/>
  <c r="IG74" i="47"/>
  <c r="HR74" i="47"/>
  <c r="JE41" i="35"/>
  <c r="JF41" i="35"/>
  <c r="JG41" i="35"/>
  <c r="JH41" i="35"/>
  <c r="JI41" i="35"/>
  <c r="JJ41" i="35"/>
  <c r="JK41" i="35"/>
  <c r="JL41" i="35"/>
  <c r="JM41" i="35"/>
  <c r="JN41" i="35"/>
  <c r="JP41" i="35"/>
  <c r="JQ41" i="35"/>
  <c r="JR41" i="35"/>
  <c r="JS41" i="35"/>
  <c r="JD41" i="35"/>
  <c r="R79" i="48" l="1"/>
  <c r="R77" i="48"/>
  <c r="R78" i="48"/>
  <c r="R74" i="48"/>
  <c r="R75" i="48"/>
  <c r="R76" i="48"/>
  <c r="R73" i="48"/>
  <c r="R60" i="48"/>
  <c r="R59" i="48"/>
  <c r="R37" i="48"/>
  <c r="R38" i="48"/>
  <c r="R39" i="48"/>
  <c r="R40" i="48"/>
  <c r="R41" i="48"/>
  <c r="R36" i="48"/>
  <c r="R31" i="48"/>
  <c r="R32" i="48"/>
  <c r="R33" i="48"/>
  <c r="R30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42" i="48"/>
  <c r="A120" i="49"/>
  <c r="A121" i="49" s="1"/>
  <c r="A122" i="49" s="1"/>
  <c r="A123" i="49" s="1"/>
  <c r="A124" i="49" s="1"/>
  <c r="A125" i="49" s="1"/>
  <c r="A126" i="49" s="1"/>
  <c r="A127" i="49" s="1"/>
  <c r="A128" i="49" s="1"/>
  <c r="A129" i="49" s="1"/>
  <c r="A130" i="49" s="1"/>
  <c r="A131" i="49" s="1"/>
  <c r="A132" i="49" s="1"/>
  <c r="A133" i="49" s="1"/>
  <c r="A134" i="49" s="1"/>
  <c r="A135" i="49" s="1"/>
  <c r="A136" i="49" s="1"/>
  <c r="A137" i="49" s="1"/>
  <c r="A138" i="49" s="1"/>
  <c r="A139" i="49" s="1"/>
  <c r="A140" i="49" s="1"/>
  <c r="A141" i="49" s="1"/>
  <c r="A142" i="49" s="1"/>
  <c r="A143" i="49" s="1"/>
  <c r="A144" i="49" s="1"/>
  <c r="A145" i="49" s="1"/>
  <c r="A146" i="49" s="1"/>
  <c r="A147" i="49" s="1"/>
  <c r="A148" i="49" s="1"/>
  <c r="A149" i="49" s="1"/>
  <c r="A150" i="49" s="1"/>
  <c r="AM37" i="53" l="1"/>
  <c r="S121" i="48"/>
  <c r="S122" i="48"/>
  <c r="S123" i="48"/>
  <c r="S124" i="48"/>
  <c r="S125" i="48"/>
  <c r="S126" i="48"/>
  <c r="S127" i="48"/>
  <c r="S120" i="48"/>
  <c r="M120" i="48"/>
  <c r="M121" i="48"/>
  <c r="M122" i="48"/>
  <c r="M123" i="48"/>
  <c r="M124" i="48"/>
  <c r="M125" i="48"/>
  <c r="M126" i="48"/>
  <c r="M127" i="48"/>
  <c r="R116" i="48" l="1"/>
  <c r="AA64" i="15"/>
  <c r="AA63" i="15"/>
  <c r="AQ13" i="15"/>
  <c r="AQ12" i="15"/>
  <c r="AQ7" i="15"/>
  <c r="AQ8" i="15"/>
  <c r="AQ9" i="15"/>
  <c r="AQ10" i="15"/>
  <c r="AQ6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89" i="15"/>
  <c r="R106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89" i="15"/>
  <c r="AP2" i="15"/>
  <c r="A11" i="49" l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A75" i="49" s="1"/>
  <c r="A76" i="49" s="1"/>
  <c r="A77" i="49" s="1"/>
  <c r="A78" i="49" s="1"/>
  <c r="A79" i="49" s="1"/>
  <c r="A80" i="49" s="1"/>
  <c r="A81" i="49" s="1"/>
  <c r="A82" i="49" s="1"/>
  <c r="A83" i="49" s="1"/>
  <c r="A84" i="49" s="1"/>
  <c r="A85" i="49" s="1"/>
  <c r="A86" i="49" s="1"/>
  <c r="A87" i="49" s="1"/>
  <c r="A88" i="49" s="1"/>
  <c r="A89" i="49" s="1"/>
  <c r="A90" i="49" s="1"/>
  <c r="A91" i="49" s="1"/>
  <c r="A92" i="49" s="1"/>
  <c r="A93" i="49" s="1"/>
  <c r="A94" i="49" s="1"/>
  <c r="A95" i="49" s="1"/>
  <c r="A96" i="49" s="1"/>
  <c r="A97" i="49" s="1"/>
  <c r="A98" i="49" s="1"/>
  <c r="A99" i="49" s="1"/>
  <c r="A100" i="49" s="1"/>
  <c r="A101" i="49" s="1"/>
  <c r="A102" i="49" s="1"/>
  <c r="A103" i="49" s="1"/>
  <c r="A104" i="49" s="1"/>
  <c r="A105" i="49" s="1"/>
  <c r="A106" i="49" s="1"/>
  <c r="A107" i="49" s="1"/>
  <c r="A108" i="49" s="1"/>
  <c r="A109" i="49" s="1"/>
  <c r="A110" i="49" s="1"/>
  <c r="A111" i="49" s="1"/>
  <c r="A112" i="49" s="1"/>
  <c r="A113" i="49" s="1"/>
  <c r="A114" i="49" s="1"/>
  <c r="A115" i="49" s="1"/>
  <c r="A116" i="49" s="1"/>
  <c r="A117" i="49" s="1"/>
  <c r="A118" i="49" s="1"/>
  <c r="A119" i="49" s="1"/>
  <c r="B5" i="56" l="1"/>
  <c r="C5" i="56"/>
  <c r="E5" i="56"/>
  <c r="G5" i="56"/>
  <c r="I5" i="56"/>
  <c r="K5" i="56"/>
  <c r="M5" i="56"/>
  <c r="P5" i="56"/>
  <c r="S5" i="56"/>
  <c r="W5" i="56"/>
  <c r="Y5" i="56"/>
  <c r="AA5" i="56"/>
  <c r="AC5" i="56"/>
  <c r="AE5" i="56"/>
  <c r="AG5" i="56"/>
  <c r="AI5" i="56"/>
  <c r="C18" i="56"/>
  <c r="E18" i="56"/>
  <c r="G18" i="56"/>
  <c r="J18" i="56"/>
  <c r="O18" i="56"/>
  <c r="R18" i="56"/>
  <c r="T18" i="56"/>
  <c r="V18" i="56"/>
  <c r="X18" i="56"/>
  <c r="Z18" i="56"/>
  <c r="AB18" i="56"/>
  <c r="AD18" i="56"/>
  <c r="AF18" i="56"/>
  <c r="AH18" i="56"/>
  <c r="C6" i="56"/>
  <c r="E6" i="56"/>
  <c r="G6" i="56"/>
  <c r="I6" i="56"/>
  <c r="K6" i="56"/>
  <c r="M6" i="56"/>
  <c r="P6" i="56"/>
  <c r="S6" i="56"/>
  <c r="U6" i="56"/>
  <c r="W6" i="56"/>
  <c r="Y6" i="56"/>
  <c r="AA6" i="56"/>
  <c r="AC6" i="56"/>
  <c r="AE6" i="56"/>
  <c r="AG6" i="56"/>
  <c r="AI6" i="56"/>
  <c r="C19" i="56"/>
  <c r="E19" i="56"/>
  <c r="G19" i="56"/>
  <c r="M19" i="56"/>
  <c r="O19" i="56"/>
  <c r="R19" i="56"/>
  <c r="T19" i="56"/>
  <c r="V19" i="56"/>
  <c r="X19" i="56"/>
  <c r="Z19" i="56"/>
  <c r="AB19" i="56"/>
  <c r="AD19" i="56"/>
  <c r="AF19" i="56"/>
  <c r="AH19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AH7" i="56"/>
  <c r="AI7" i="56"/>
  <c r="AJ7" i="56"/>
  <c r="C20" i="56"/>
  <c r="D20" i="56"/>
  <c r="E20" i="56"/>
  <c r="F20" i="56"/>
  <c r="G20" i="56"/>
  <c r="H20" i="56"/>
  <c r="I20" i="56"/>
  <c r="J20" i="56"/>
  <c r="K20" i="56"/>
  <c r="L20" i="56"/>
  <c r="M20" i="56"/>
  <c r="N20" i="56"/>
  <c r="O20" i="56"/>
  <c r="P20" i="56"/>
  <c r="Q20" i="56"/>
  <c r="R20" i="56"/>
  <c r="S20" i="56"/>
  <c r="T20" i="56"/>
  <c r="U20" i="56"/>
  <c r="V20" i="56"/>
  <c r="W20" i="56"/>
  <c r="X20" i="56"/>
  <c r="Y20" i="56"/>
  <c r="Z20" i="56"/>
  <c r="AA20" i="56"/>
  <c r="AC20" i="56"/>
  <c r="AD20" i="56"/>
  <c r="AE20" i="56"/>
  <c r="AF20" i="56"/>
  <c r="AG20" i="56"/>
  <c r="AH20" i="56"/>
  <c r="AI20" i="56"/>
  <c r="D8" i="56"/>
  <c r="F8" i="56"/>
  <c r="H8" i="56"/>
  <c r="J8" i="56"/>
  <c r="K8" i="56"/>
  <c r="L8" i="56"/>
  <c r="O8" i="56"/>
  <c r="R8" i="56"/>
  <c r="V8" i="56"/>
  <c r="X8" i="56"/>
  <c r="Z8" i="56"/>
  <c r="AB8" i="56"/>
  <c r="AD8" i="56"/>
  <c r="AF8" i="56"/>
  <c r="AH8" i="56"/>
  <c r="AJ8" i="56"/>
  <c r="D21" i="56"/>
  <c r="F21" i="56"/>
  <c r="I21" i="56"/>
  <c r="N21" i="56"/>
  <c r="Q21" i="56"/>
  <c r="S21" i="56"/>
  <c r="T21" i="56"/>
  <c r="U21" i="56"/>
  <c r="V21" i="56"/>
  <c r="W21" i="56"/>
  <c r="X21" i="56"/>
  <c r="Y21" i="56"/>
  <c r="Z21" i="56"/>
  <c r="AA21" i="56"/>
  <c r="AC21" i="56"/>
  <c r="AE21" i="56"/>
  <c r="AG21" i="56"/>
  <c r="AI21" i="56"/>
  <c r="B9" i="56"/>
  <c r="C9" i="56"/>
  <c r="D9" i="56"/>
  <c r="E9" i="56"/>
  <c r="F9" i="56"/>
  <c r="G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AG9" i="56"/>
  <c r="AH9" i="56"/>
  <c r="AI9" i="56"/>
  <c r="AJ9" i="56"/>
  <c r="C22" i="56"/>
  <c r="D22" i="56"/>
  <c r="E22" i="56"/>
  <c r="F22" i="56"/>
  <c r="G22" i="56"/>
  <c r="H22" i="56"/>
  <c r="I22" i="56"/>
  <c r="J22" i="56"/>
  <c r="K22" i="56"/>
  <c r="L22" i="56"/>
  <c r="M22" i="56"/>
  <c r="N22" i="56"/>
  <c r="R22" i="56"/>
  <c r="S22" i="56"/>
  <c r="T22" i="56"/>
  <c r="V22" i="56"/>
  <c r="X22" i="56"/>
  <c r="Y22" i="56"/>
  <c r="Z22" i="56"/>
  <c r="AA22" i="56"/>
  <c r="AB22" i="56"/>
  <c r="AC22" i="56"/>
  <c r="AD22" i="56"/>
  <c r="AE22" i="56"/>
  <c r="AF22" i="56"/>
  <c r="AG22" i="56"/>
  <c r="AH22" i="56"/>
  <c r="AI22" i="56"/>
  <c r="B10" i="56"/>
  <c r="C10" i="56"/>
  <c r="D10" i="56"/>
  <c r="E10" i="56"/>
  <c r="F10" i="56"/>
  <c r="G10" i="56"/>
  <c r="I10" i="56"/>
  <c r="J10" i="56"/>
  <c r="K10" i="56"/>
  <c r="L10" i="56"/>
  <c r="M10" i="56"/>
  <c r="N10" i="56"/>
  <c r="O10" i="56"/>
  <c r="P10" i="56"/>
  <c r="Q10" i="56"/>
  <c r="R10" i="56"/>
  <c r="S10" i="56"/>
  <c r="T10" i="56"/>
  <c r="U10" i="56"/>
  <c r="V10" i="56"/>
  <c r="W10" i="56"/>
  <c r="X10" i="56"/>
  <c r="Y10" i="56"/>
  <c r="Z10" i="56"/>
  <c r="AA10" i="56"/>
  <c r="AB10" i="56"/>
  <c r="AC10" i="56"/>
  <c r="AD10" i="56"/>
  <c r="AE10" i="56"/>
  <c r="AF10" i="56"/>
  <c r="AG10" i="56"/>
  <c r="AH10" i="56"/>
  <c r="AI10" i="56"/>
  <c r="AJ10" i="56"/>
  <c r="C23" i="56"/>
  <c r="D23" i="56"/>
  <c r="E23" i="56"/>
  <c r="F23" i="56"/>
  <c r="G23" i="56"/>
  <c r="H23" i="56"/>
  <c r="I23" i="56"/>
  <c r="J23" i="56"/>
  <c r="K23" i="56"/>
  <c r="L23" i="56"/>
  <c r="M23" i="56"/>
  <c r="N23" i="56"/>
  <c r="R23" i="56"/>
  <c r="S23" i="56"/>
  <c r="T23" i="56"/>
  <c r="V23" i="56"/>
  <c r="X23" i="56"/>
  <c r="Y23" i="56"/>
  <c r="Z23" i="56"/>
  <c r="AA23" i="56"/>
  <c r="AB23" i="56"/>
  <c r="AC23" i="56"/>
  <c r="AD23" i="56"/>
  <c r="AE23" i="56"/>
  <c r="AF23" i="56"/>
  <c r="AG23" i="56"/>
  <c r="AH23" i="56"/>
  <c r="AI23" i="56"/>
  <c r="B11" i="56"/>
  <c r="C11" i="56"/>
  <c r="D11" i="56"/>
  <c r="E11" i="56"/>
  <c r="F11" i="56"/>
  <c r="G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Z11" i="56"/>
  <c r="AA11" i="56"/>
  <c r="AB11" i="56"/>
  <c r="AC11" i="56"/>
  <c r="AD11" i="56"/>
  <c r="AE11" i="56"/>
  <c r="AF11" i="56"/>
  <c r="AG11" i="56"/>
  <c r="AH11" i="56"/>
  <c r="AI11" i="56"/>
  <c r="AJ11" i="56"/>
  <c r="C24" i="56"/>
  <c r="D24" i="56"/>
  <c r="E24" i="56"/>
  <c r="F24" i="56"/>
  <c r="G24" i="56"/>
  <c r="H24" i="56"/>
  <c r="I24" i="56"/>
  <c r="J24" i="56"/>
  <c r="K24" i="56"/>
  <c r="L24" i="56"/>
  <c r="M24" i="56"/>
  <c r="N24" i="56"/>
  <c r="R24" i="56"/>
  <c r="S24" i="56"/>
  <c r="T24" i="56"/>
  <c r="V24" i="56"/>
  <c r="X24" i="56"/>
  <c r="Y24" i="56"/>
  <c r="Z24" i="56"/>
  <c r="AA24" i="56"/>
  <c r="AB24" i="56"/>
  <c r="AC24" i="56"/>
  <c r="AD24" i="56"/>
  <c r="AE24" i="56"/>
  <c r="AF24" i="56"/>
  <c r="AG24" i="56"/>
  <c r="AH24" i="56"/>
  <c r="AI24" i="56"/>
  <c r="B12" i="56"/>
  <c r="C12" i="56"/>
  <c r="D12" i="56"/>
  <c r="E12" i="56"/>
  <c r="F12" i="56"/>
  <c r="G12" i="56"/>
  <c r="I12" i="56"/>
  <c r="J12" i="56"/>
  <c r="K12" i="56"/>
  <c r="L12" i="56"/>
  <c r="M12" i="56"/>
  <c r="N12" i="56"/>
  <c r="O12" i="56"/>
  <c r="P12" i="56"/>
  <c r="Q12" i="56"/>
  <c r="R12" i="56"/>
  <c r="S12" i="56"/>
  <c r="T12" i="56"/>
  <c r="U12" i="56"/>
  <c r="V12" i="56"/>
  <c r="W12" i="56"/>
  <c r="X12" i="56"/>
  <c r="Y12" i="56"/>
  <c r="Z12" i="56"/>
  <c r="AA12" i="56"/>
  <c r="AB12" i="56"/>
  <c r="AC12" i="56"/>
  <c r="AD12" i="56"/>
  <c r="AE12" i="56"/>
  <c r="AF12" i="56"/>
  <c r="AG12" i="56"/>
  <c r="AH12" i="56"/>
  <c r="AI12" i="56"/>
  <c r="AJ12" i="56"/>
  <c r="C25" i="56"/>
  <c r="D25" i="56"/>
  <c r="E25" i="56"/>
  <c r="F25" i="56"/>
  <c r="G25" i="56"/>
  <c r="H25" i="56"/>
  <c r="I25" i="56"/>
  <c r="J25" i="56"/>
  <c r="K25" i="56"/>
  <c r="L25" i="56"/>
  <c r="M25" i="56"/>
  <c r="N25" i="56"/>
  <c r="R25" i="56"/>
  <c r="S25" i="56"/>
  <c r="T25" i="56"/>
  <c r="V25" i="56"/>
  <c r="X25" i="56"/>
  <c r="Y25" i="56"/>
  <c r="Z25" i="56"/>
  <c r="AA25" i="56"/>
  <c r="AB25" i="56"/>
  <c r="AC25" i="56"/>
  <c r="AD25" i="56"/>
  <c r="AE25" i="56"/>
  <c r="AF25" i="56"/>
  <c r="AG25" i="56"/>
  <c r="AH25" i="56"/>
  <c r="AI25" i="56"/>
  <c r="A9" i="56"/>
  <c r="A10" i="56"/>
  <c r="A11" i="56"/>
  <c r="A12" i="56"/>
  <c r="A5" i="56"/>
  <c r="AK4" i="55"/>
  <c r="AM4" i="55"/>
  <c r="AO4" i="55"/>
  <c r="AQ4" i="55"/>
  <c r="AS4" i="55"/>
  <c r="AU4" i="55"/>
  <c r="AW4" i="55"/>
  <c r="AY4" i="55"/>
  <c r="BA4" i="55"/>
  <c r="BC4" i="55"/>
  <c r="C79" i="55"/>
  <c r="E79" i="55"/>
  <c r="G79" i="55"/>
  <c r="I79" i="55"/>
  <c r="K79" i="55"/>
  <c r="M79" i="55"/>
  <c r="O79" i="55"/>
  <c r="Q79" i="55"/>
  <c r="S79" i="55"/>
  <c r="V79" i="55"/>
  <c r="AA79" i="55"/>
  <c r="AF79" i="55"/>
  <c r="AI79" i="55"/>
  <c r="AK79" i="55"/>
  <c r="AN79" i="55"/>
  <c r="AP79" i="55"/>
  <c r="AR79" i="55"/>
  <c r="AT79" i="55"/>
  <c r="AV79" i="55"/>
  <c r="AX79" i="55"/>
  <c r="AZ79" i="55"/>
  <c r="BB79" i="55"/>
  <c r="BD79" i="55"/>
  <c r="AI5" i="55"/>
  <c r="AK5" i="55"/>
  <c r="AM5" i="55"/>
  <c r="AO5" i="55"/>
  <c r="AQ5" i="55"/>
  <c r="AS5" i="55"/>
  <c r="AU5" i="55"/>
  <c r="AW5" i="55"/>
  <c r="AY5" i="55"/>
  <c r="BA5" i="55"/>
  <c r="BC5" i="55"/>
  <c r="C80" i="55"/>
  <c r="E80" i="55"/>
  <c r="G80" i="55"/>
  <c r="I80" i="55"/>
  <c r="K80" i="55"/>
  <c r="M80" i="55"/>
  <c r="O80" i="55"/>
  <c r="Q80" i="55"/>
  <c r="S80" i="55"/>
  <c r="V80" i="55"/>
  <c r="AA80" i="55"/>
  <c r="AF80" i="55"/>
  <c r="AI80" i="55"/>
  <c r="AK80" i="55"/>
  <c r="AN80" i="55"/>
  <c r="AP80" i="55"/>
  <c r="AR80" i="55"/>
  <c r="AT80" i="55"/>
  <c r="AV80" i="55"/>
  <c r="AX80" i="55"/>
  <c r="AZ80" i="55"/>
  <c r="BB80" i="55"/>
  <c r="BD80" i="55"/>
  <c r="AH6" i="55"/>
  <c r="AI6" i="55"/>
  <c r="AJ6" i="55"/>
  <c r="AK6" i="55"/>
  <c r="AL6" i="55"/>
  <c r="AM6" i="55"/>
  <c r="AN6" i="55"/>
  <c r="AO6" i="55"/>
  <c r="AP6" i="55"/>
  <c r="AQ6" i="55"/>
  <c r="AR6" i="55"/>
  <c r="AS6" i="55"/>
  <c r="AT6" i="55"/>
  <c r="AU6" i="55"/>
  <c r="AV6" i="55"/>
  <c r="AW6" i="55"/>
  <c r="AX6" i="55"/>
  <c r="AY6" i="55"/>
  <c r="AZ6" i="55"/>
  <c r="BA6" i="55"/>
  <c r="BB6" i="55"/>
  <c r="BC6" i="55"/>
  <c r="BD6" i="55"/>
  <c r="C81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AP81" i="55"/>
  <c r="AQ81" i="55"/>
  <c r="AR81" i="55"/>
  <c r="AS81" i="55"/>
  <c r="AT81" i="55"/>
  <c r="AU81" i="55"/>
  <c r="AV81" i="55"/>
  <c r="AW81" i="55"/>
  <c r="AY81" i="55"/>
  <c r="AZ81" i="55"/>
  <c r="BA81" i="55"/>
  <c r="BB81" i="55"/>
  <c r="BC81" i="55"/>
  <c r="BD81" i="55"/>
  <c r="BE81" i="55"/>
  <c r="AJ7" i="55"/>
  <c r="AK7" i="55"/>
  <c r="AL7" i="55"/>
  <c r="AN7" i="55"/>
  <c r="AP7" i="55"/>
  <c r="AR7" i="55"/>
  <c r="AT7" i="55"/>
  <c r="AV7" i="55"/>
  <c r="AX7" i="55"/>
  <c r="AZ7" i="55"/>
  <c r="BB7" i="55"/>
  <c r="BD7" i="55"/>
  <c r="D82" i="55"/>
  <c r="F82" i="55"/>
  <c r="H82" i="55"/>
  <c r="J82" i="55"/>
  <c r="L82" i="55"/>
  <c r="N82" i="55"/>
  <c r="P82" i="55"/>
  <c r="R82" i="55"/>
  <c r="U82" i="55"/>
  <c r="Y82" i="55"/>
  <c r="Z82" i="55"/>
  <c r="AE82" i="55"/>
  <c r="AH82" i="55"/>
  <c r="AJ82" i="55"/>
  <c r="AM82" i="55"/>
  <c r="AO82" i="55"/>
  <c r="AP82" i="55"/>
  <c r="AQ82" i="55"/>
  <c r="AR82" i="55"/>
  <c r="AS82" i="55"/>
  <c r="AT82" i="55"/>
  <c r="AU82" i="55"/>
  <c r="AV82" i="55"/>
  <c r="AW82" i="55"/>
  <c r="AY82" i="55"/>
  <c r="BA82" i="55"/>
  <c r="BC82" i="55"/>
  <c r="BE82" i="55"/>
  <c r="AH8" i="55"/>
  <c r="AI8" i="55"/>
  <c r="AJ8" i="55"/>
  <c r="AK8" i="55"/>
  <c r="AL8" i="55"/>
  <c r="AM8" i="55"/>
  <c r="AN8" i="55"/>
  <c r="AO8" i="55"/>
  <c r="AP8" i="55"/>
  <c r="AQ8" i="55"/>
  <c r="AR8" i="55"/>
  <c r="AS8" i="55"/>
  <c r="AT8" i="55"/>
  <c r="AU8" i="55"/>
  <c r="AV8" i="55"/>
  <c r="AW8" i="55"/>
  <c r="AX8" i="55"/>
  <c r="AY8" i="55"/>
  <c r="AZ8" i="55"/>
  <c r="BA8" i="55"/>
  <c r="BB8" i="55"/>
  <c r="BC8" i="55"/>
  <c r="BD8" i="55"/>
  <c r="C83" i="55"/>
  <c r="D83" i="55"/>
  <c r="E83" i="55"/>
  <c r="F83" i="55"/>
  <c r="G83" i="55"/>
  <c r="H83" i="55"/>
  <c r="I83" i="55"/>
  <c r="J83" i="55"/>
  <c r="K83" i="55"/>
  <c r="L83" i="55"/>
  <c r="M83" i="55"/>
  <c r="N83" i="55"/>
  <c r="O83" i="55"/>
  <c r="P83" i="55"/>
  <c r="Q83" i="55"/>
  <c r="R83" i="55"/>
  <c r="S83" i="55"/>
  <c r="T83" i="55"/>
  <c r="U83" i="55"/>
  <c r="V83" i="55"/>
  <c r="W83" i="55"/>
  <c r="X83" i="55"/>
  <c r="Y83" i="55"/>
  <c r="Z83" i="55"/>
  <c r="AA83" i="55"/>
  <c r="AB83" i="55"/>
  <c r="AC83" i="55"/>
  <c r="AD83" i="55"/>
  <c r="AE83" i="55"/>
  <c r="AH83" i="55"/>
  <c r="AI83" i="55"/>
  <c r="AJ83" i="55"/>
  <c r="AM83" i="55"/>
  <c r="AN83" i="55"/>
  <c r="AO83" i="55"/>
  <c r="AP83" i="55"/>
  <c r="AQ83" i="55"/>
  <c r="AR83" i="55"/>
  <c r="AS83" i="55"/>
  <c r="AT83" i="55"/>
  <c r="AU83" i="55"/>
  <c r="AV83" i="55"/>
  <c r="AW83" i="55"/>
  <c r="AX83" i="55"/>
  <c r="AY83" i="55"/>
  <c r="AZ83" i="55"/>
  <c r="BA83" i="55"/>
  <c r="BB83" i="55"/>
  <c r="BC83" i="55"/>
  <c r="BD83" i="55"/>
  <c r="BE83" i="55"/>
  <c r="AH9" i="55"/>
  <c r="AI9" i="55"/>
  <c r="AJ9" i="55"/>
  <c r="AK9" i="55"/>
  <c r="AL9" i="55"/>
  <c r="AM9" i="55"/>
  <c r="AN9" i="55"/>
  <c r="AO9" i="55"/>
  <c r="AP9" i="55"/>
  <c r="AQ9" i="55"/>
  <c r="AR9" i="55"/>
  <c r="AS9" i="55"/>
  <c r="AT9" i="55"/>
  <c r="AU9" i="55"/>
  <c r="AV9" i="55"/>
  <c r="AW9" i="55"/>
  <c r="AX9" i="55"/>
  <c r="AY9" i="55"/>
  <c r="AZ9" i="55"/>
  <c r="BA9" i="55"/>
  <c r="BB9" i="55"/>
  <c r="BC9" i="55"/>
  <c r="BD9" i="55"/>
  <c r="C84" i="55"/>
  <c r="D84" i="55"/>
  <c r="E84" i="55"/>
  <c r="F84" i="55"/>
  <c r="G84" i="55"/>
  <c r="H84" i="55"/>
  <c r="I84" i="55"/>
  <c r="J84" i="55"/>
  <c r="K84" i="55"/>
  <c r="L84" i="55"/>
  <c r="M84" i="55"/>
  <c r="N84" i="55"/>
  <c r="O84" i="55"/>
  <c r="P84" i="55"/>
  <c r="Q84" i="55"/>
  <c r="R84" i="55"/>
  <c r="S84" i="55"/>
  <c r="T84" i="55"/>
  <c r="U84" i="55"/>
  <c r="V84" i="55"/>
  <c r="W84" i="55"/>
  <c r="X84" i="55"/>
  <c r="Y84" i="55"/>
  <c r="Z84" i="55"/>
  <c r="AA84" i="55"/>
  <c r="AB84" i="55"/>
  <c r="AC84" i="55"/>
  <c r="AD84" i="55"/>
  <c r="AE84" i="55"/>
  <c r="AH84" i="55"/>
  <c r="AI84" i="55"/>
  <c r="AJ84" i="55"/>
  <c r="AM84" i="55"/>
  <c r="AN84" i="55"/>
  <c r="AO84" i="55"/>
  <c r="AP84" i="55"/>
  <c r="AQ84" i="55"/>
  <c r="AR84" i="55"/>
  <c r="AS84" i="55"/>
  <c r="AT84" i="55"/>
  <c r="AU84" i="55"/>
  <c r="AV84" i="55"/>
  <c r="AW84" i="55"/>
  <c r="AX84" i="55"/>
  <c r="AY84" i="55"/>
  <c r="AZ84" i="55"/>
  <c r="BA84" i="55"/>
  <c r="BB84" i="55"/>
  <c r="BC84" i="55"/>
  <c r="BD84" i="55"/>
  <c r="BE84" i="55"/>
  <c r="AH10" i="55"/>
  <c r="AI10" i="55"/>
  <c r="AJ10" i="55"/>
  <c r="AK10" i="55"/>
  <c r="AL10" i="55"/>
  <c r="AM10" i="55"/>
  <c r="AN10" i="55"/>
  <c r="AO10" i="55"/>
  <c r="AP10" i="55"/>
  <c r="AQ10" i="55"/>
  <c r="AR10" i="55"/>
  <c r="AS10" i="55"/>
  <c r="AT10" i="55"/>
  <c r="AU10" i="55"/>
  <c r="AV10" i="55"/>
  <c r="AW10" i="55"/>
  <c r="AX10" i="55"/>
  <c r="AY10" i="55"/>
  <c r="AZ10" i="55"/>
  <c r="BA10" i="55"/>
  <c r="BB10" i="55"/>
  <c r="BC10" i="55"/>
  <c r="BD10" i="55"/>
  <c r="C85" i="55"/>
  <c r="D85" i="55"/>
  <c r="E85" i="55"/>
  <c r="F85" i="55"/>
  <c r="G85" i="55"/>
  <c r="H85" i="55"/>
  <c r="I85" i="55"/>
  <c r="J85" i="55"/>
  <c r="K85" i="55"/>
  <c r="L85" i="55"/>
  <c r="M85" i="55"/>
  <c r="N85" i="55"/>
  <c r="O85" i="55"/>
  <c r="P85" i="55"/>
  <c r="Q85" i="55"/>
  <c r="R85" i="55"/>
  <c r="S85" i="55"/>
  <c r="T85" i="55"/>
  <c r="U85" i="55"/>
  <c r="V85" i="55"/>
  <c r="W85" i="55"/>
  <c r="X85" i="55"/>
  <c r="Y85" i="55"/>
  <c r="Z85" i="55"/>
  <c r="AA85" i="55"/>
  <c r="AB85" i="55"/>
  <c r="AC85" i="55"/>
  <c r="AD85" i="55"/>
  <c r="AE85" i="55"/>
  <c r="AI85" i="55"/>
  <c r="AJ85" i="55"/>
  <c r="AM85" i="55"/>
  <c r="AN85" i="55"/>
  <c r="AO85" i="55"/>
  <c r="AP85" i="55"/>
  <c r="AQ85" i="55"/>
  <c r="AR85" i="55"/>
  <c r="AS85" i="55"/>
  <c r="AT85" i="55"/>
  <c r="AU85" i="55"/>
  <c r="AV85" i="55"/>
  <c r="AW85" i="55"/>
  <c r="AX85" i="55"/>
  <c r="AY85" i="55"/>
  <c r="AZ85" i="55"/>
  <c r="BA85" i="55"/>
  <c r="BB85" i="55"/>
  <c r="BC85" i="55"/>
  <c r="BD85" i="55"/>
  <c r="BE85" i="55"/>
  <c r="AH11" i="55"/>
  <c r="AI11" i="55"/>
  <c r="AJ11" i="55"/>
  <c r="AK11" i="55"/>
  <c r="AL11" i="55"/>
  <c r="AM11" i="55"/>
  <c r="AN11" i="55"/>
  <c r="AO11" i="55"/>
  <c r="AP11" i="55"/>
  <c r="AQ11" i="55"/>
  <c r="AR11" i="55"/>
  <c r="AS11" i="55"/>
  <c r="AT11" i="55"/>
  <c r="AU11" i="55"/>
  <c r="AV11" i="55"/>
  <c r="AW11" i="55"/>
  <c r="AX11" i="55"/>
  <c r="AY11" i="55"/>
  <c r="AZ11" i="55"/>
  <c r="BA11" i="55"/>
  <c r="BB11" i="55"/>
  <c r="BC11" i="55"/>
  <c r="BD11" i="55"/>
  <c r="C86" i="55"/>
  <c r="D86" i="55"/>
  <c r="E86" i="55"/>
  <c r="F86" i="55"/>
  <c r="G86" i="55"/>
  <c r="H86" i="55"/>
  <c r="I86" i="55"/>
  <c r="J86" i="55"/>
  <c r="K86" i="55"/>
  <c r="L86" i="55"/>
  <c r="M86" i="55"/>
  <c r="N86" i="55"/>
  <c r="O86" i="55"/>
  <c r="P86" i="55"/>
  <c r="Q86" i="55"/>
  <c r="R86" i="55"/>
  <c r="S86" i="55"/>
  <c r="T86" i="55"/>
  <c r="U86" i="55"/>
  <c r="V86" i="55"/>
  <c r="W86" i="55"/>
  <c r="X86" i="55"/>
  <c r="Y86" i="55"/>
  <c r="Z86" i="55"/>
  <c r="AA86" i="55"/>
  <c r="AB86" i="55"/>
  <c r="AC86" i="55"/>
  <c r="AD86" i="55"/>
  <c r="AE86" i="55"/>
  <c r="AH86" i="55"/>
  <c r="AI86" i="55"/>
  <c r="AJ86" i="55"/>
  <c r="AM86" i="55"/>
  <c r="AN86" i="55"/>
  <c r="AO86" i="55"/>
  <c r="AP86" i="55"/>
  <c r="AQ86" i="55"/>
  <c r="AR86" i="55"/>
  <c r="AS86" i="55"/>
  <c r="AT86" i="55"/>
  <c r="AU86" i="55"/>
  <c r="AV86" i="55"/>
  <c r="AW86" i="55"/>
  <c r="AX86" i="55"/>
  <c r="AY86" i="55"/>
  <c r="AZ86" i="55"/>
  <c r="BA86" i="55"/>
  <c r="BB86" i="55"/>
  <c r="BC86" i="55"/>
  <c r="BD86" i="55"/>
  <c r="BE86" i="55"/>
  <c r="AH12" i="55"/>
  <c r="AI12" i="55"/>
  <c r="AJ12" i="55"/>
  <c r="AK12" i="55"/>
  <c r="AL12" i="55"/>
  <c r="AM12" i="55"/>
  <c r="AN12" i="55"/>
  <c r="AO12" i="55"/>
  <c r="AP12" i="55"/>
  <c r="AQ12" i="55"/>
  <c r="AR12" i="55"/>
  <c r="AS12" i="55"/>
  <c r="AT12" i="55"/>
  <c r="AU12" i="55"/>
  <c r="AV12" i="55"/>
  <c r="AW12" i="55"/>
  <c r="AX12" i="55"/>
  <c r="AY12" i="55"/>
  <c r="AZ12" i="55"/>
  <c r="BA12" i="55"/>
  <c r="BB12" i="55"/>
  <c r="BC12" i="55"/>
  <c r="BD12" i="55"/>
  <c r="C87" i="55"/>
  <c r="D87" i="55"/>
  <c r="E87" i="55"/>
  <c r="F87" i="55"/>
  <c r="G87" i="55"/>
  <c r="H87" i="55"/>
  <c r="I87" i="55"/>
  <c r="J87" i="55"/>
  <c r="K87" i="55"/>
  <c r="L87" i="55"/>
  <c r="M87" i="55"/>
  <c r="N87" i="55"/>
  <c r="O87" i="55"/>
  <c r="P87" i="55"/>
  <c r="Q87" i="55"/>
  <c r="R87" i="55"/>
  <c r="S87" i="55"/>
  <c r="T87" i="55"/>
  <c r="U87" i="55"/>
  <c r="V87" i="55"/>
  <c r="W87" i="55"/>
  <c r="X87" i="55"/>
  <c r="Y87" i="55"/>
  <c r="Z87" i="55"/>
  <c r="AA87" i="55"/>
  <c r="AB87" i="55"/>
  <c r="AC87" i="55"/>
  <c r="AD87" i="55"/>
  <c r="AE87" i="55"/>
  <c r="AI87" i="55"/>
  <c r="AJ87" i="55"/>
  <c r="AM87" i="55"/>
  <c r="AN87" i="55"/>
  <c r="AO87" i="55"/>
  <c r="AP87" i="55"/>
  <c r="AQ87" i="55"/>
  <c r="AR87" i="55"/>
  <c r="AS87" i="55"/>
  <c r="AT87" i="55"/>
  <c r="AU87" i="55"/>
  <c r="AV87" i="55"/>
  <c r="AW87" i="55"/>
  <c r="AX87" i="55"/>
  <c r="AY87" i="55"/>
  <c r="AZ87" i="55"/>
  <c r="BA87" i="55"/>
  <c r="BB87" i="55"/>
  <c r="BC87" i="55"/>
  <c r="BD87" i="55"/>
  <c r="BE87" i="55"/>
  <c r="AH13" i="55"/>
  <c r="AI13" i="55"/>
  <c r="AJ13" i="55"/>
  <c r="AK13" i="55"/>
  <c r="AL13" i="55"/>
  <c r="AM13" i="55"/>
  <c r="AN13" i="55"/>
  <c r="AO13" i="55"/>
  <c r="AP13" i="55"/>
  <c r="AQ13" i="55"/>
  <c r="AR13" i="55"/>
  <c r="AS13" i="55"/>
  <c r="AT13" i="55"/>
  <c r="AU13" i="55"/>
  <c r="AV13" i="55"/>
  <c r="AW13" i="55"/>
  <c r="AX13" i="55"/>
  <c r="AY13" i="55"/>
  <c r="AZ13" i="55"/>
  <c r="BA13" i="55"/>
  <c r="BB13" i="55"/>
  <c r="BC13" i="55"/>
  <c r="BD13" i="55"/>
  <c r="C88" i="55"/>
  <c r="D88" i="55"/>
  <c r="E88" i="55"/>
  <c r="F88" i="55"/>
  <c r="G88" i="55"/>
  <c r="H88" i="55"/>
  <c r="I88" i="55"/>
  <c r="J88" i="55"/>
  <c r="K88" i="55"/>
  <c r="L88" i="55"/>
  <c r="M88" i="55"/>
  <c r="N88" i="55"/>
  <c r="O88" i="55"/>
  <c r="P88" i="55"/>
  <c r="Q88" i="55"/>
  <c r="R88" i="55"/>
  <c r="S88" i="55"/>
  <c r="T88" i="55"/>
  <c r="U88" i="55"/>
  <c r="V88" i="55"/>
  <c r="W88" i="55"/>
  <c r="X88" i="55"/>
  <c r="Y88" i="55"/>
  <c r="Z88" i="55"/>
  <c r="AA88" i="55"/>
  <c r="AB88" i="55"/>
  <c r="AC88" i="55"/>
  <c r="AD88" i="55"/>
  <c r="AE88" i="55"/>
  <c r="AI88" i="55"/>
  <c r="AJ88" i="55"/>
  <c r="AM88" i="55"/>
  <c r="AN88" i="55"/>
  <c r="AO88" i="55"/>
  <c r="AP88" i="55"/>
  <c r="AQ88" i="55"/>
  <c r="AR88" i="55"/>
  <c r="AS88" i="55"/>
  <c r="AT88" i="55"/>
  <c r="AU88" i="55"/>
  <c r="AV88" i="55"/>
  <c r="AW88" i="55"/>
  <c r="AX88" i="55"/>
  <c r="AY88" i="55"/>
  <c r="AZ88" i="55"/>
  <c r="BA88" i="55"/>
  <c r="BB88" i="55"/>
  <c r="BC88" i="55"/>
  <c r="BD88" i="55"/>
  <c r="BE88" i="55"/>
  <c r="AH14" i="55"/>
  <c r="AI14" i="55"/>
  <c r="AJ14" i="55"/>
  <c r="AK14" i="55"/>
  <c r="AL14" i="55"/>
  <c r="AM14" i="55"/>
  <c r="AN14" i="55"/>
  <c r="AO14" i="55"/>
  <c r="AP14" i="55"/>
  <c r="AQ14" i="55"/>
  <c r="AR14" i="55"/>
  <c r="AS14" i="55"/>
  <c r="AT14" i="55"/>
  <c r="AU14" i="55"/>
  <c r="AV14" i="55"/>
  <c r="AW14" i="55"/>
  <c r="AX14" i="55"/>
  <c r="AY14" i="55"/>
  <c r="AZ14" i="55"/>
  <c r="BA14" i="55"/>
  <c r="BB14" i="55"/>
  <c r="BC14" i="55"/>
  <c r="BD14" i="55"/>
  <c r="C89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H89" i="55"/>
  <c r="AI89" i="55"/>
  <c r="AJ89" i="55"/>
  <c r="AM89" i="55"/>
  <c r="AN89" i="55"/>
  <c r="AO89" i="55"/>
  <c r="AP89" i="55"/>
  <c r="AQ89" i="55"/>
  <c r="AR89" i="55"/>
  <c r="AS89" i="55"/>
  <c r="AT89" i="55"/>
  <c r="AU89" i="55"/>
  <c r="AV89" i="55"/>
  <c r="AW89" i="55"/>
  <c r="AX89" i="55"/>
  <c r="AY89" i="55"/>
  <c r="AZ89" i="55"/>
  <c r="BA89" i="55"/>
  <c r="BB89" i="55"/>
  <c r="BC89" i="55"/>
  <c r="BD89" i="55"/>
  <c r="BE89" i="55"/>
  <c r="AH15" i="55"/>
  <c r="AI15" i="55"/>
  <c r="AJ15" i="55"/>
  <c r="AK15" i="55"/>
  <c r="AL15" i="55"/>
  <c r="AM15" i="55"/>
  <c r="AN15" i="55"/>
  <c r="AO15" i="55"/>
  <c r="AP15" i="55"/>
  <c r="AQ15" i="55"/>
  <c r="AR15" i="55"/>
  <c r="AS15" i="55"/>
  <c r="AT15" i="55"/>
  <c r="AU15" i="55"/>
  <c r="AV15" i="55"/>
  <c r="AW15" i="55"/>
  <c r="AX15" i="55"/>
  <c r="AY15" i="55"/>
  <c r="AZ15" i="55"/>
  <c r="BA15" i="55"/>
  <c r="BB15" i="55"/>
  <c r="BC15" i="55"/>
  <c r="BD15" i="55"/>
  <c r="C90" i="55"/>
  <c r="D90" i="55"/>
  <c r="E90" i="55"/>
  <c r="F90" i="55"/>
  <c r="G90" i="55"/>
  <c r="H90" i="55"/>
  <c r="I90" i="55"/>
  <c r="J90" i="55"/>
  <c r="K90" i="55"/>
  <c r="L90" i="55"/>
  <c r="M90" i="55"/>
  <c r="N90" i="55"/>
  <c r="O90" i="55"/>
  <c r="P90" i="55"/>
  <c r="Q90" i="55"/>
  <c r="R90" i="55"/>
  <c r="S90" i="55"/>
  <c r="T90" i="55"/>
  <c r="U90" i="55"/>
  <c r="V90" i="55"/>
  <c r="W90" i="55"/>
  <c r="X90" i="55"/>
  <c r="Y90" i="55"/>
  <c r="Z90" i="55"/>
  <c r="AA90" i="55"/>
  <c r="AB90" i="55"/>
  <c r="AC90" i="55"/>
  <c r="AD90" i="55"/>
  <c r="AE90" i="55"/>
  <c r="AH90" i="55"/>
  <c r="AI90" i="55"/>
  <c r="AJ90" i="55"/>
  <c r="AM90" i="55"/>
  <c r="AN90" i="55"/>
  <c r="AO90" i="55"/>
  <c r="AP90" i="55"/>
  <c r="AQ90" i="55"/>
  <c r="AR90" i="55"/>
  <c r="AS90" i="55"/>
  <c r="AT90" i="55"/>
  <c r="AU90" i="55"/>
  <c r="AV90" i="55"/>
  <c r="AW90" i="55"/>
  <c r="AX90" i="55"/>
  <c r="AY90" i="55"/>
  <c r="AZ90" i="55"/>
  <c r="BA90" i="55"/>
  <c r="BB90" i="55"/>
  <c r="BC90" i="55"/>
  <c r="BD90" i="55"/>
  <c r="BE90" i="55"/>
  <c r="AH16" i="55"/>
  <c r="AI16" i="55"/>
  <c r="AJ16" i="55"/>
  <c r="AK16" i="55"/>
  <c r="AL16" i="55"/>
  <c r="AM16" i="55"/>
  <c r="AN16" i="55"/>
  <c r="AO16" i="55"/>
  <c r="AP16" i="55"/>
  <c r="AQ16" i="55"/>
  <c r="AR16" i="55"/>
  <c r="AS16" i="55"/>
  <c r="AT16" i="55"/>
  <c r="AU16" i="55"/>
  <c r="AV16" i="55"/>
  <c r="AW16" i="55"/>
  <c r="AX16" i="55"/>
  <c r="AY16" i="55"/>
  <c r="AZ16" i="55"/>
  <c r="BA16" i="55"/>
  <c r="BB16" i="55"/>
  <c r="BC16" i="55"/>
  <c r="BD16" i="55"/>
  <c r="C91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H91" i="55"/>
  <c r="AI91" i="55"/>
  <c r="AJ91" i="55"/>
  <c r="AM91" i="55"/>
  <c r="AN91" i="55"/>
  <c r="AO91" i="55"/>
  <c r="AP91" i="55"/>
  <c r="AQ91" i="55"/>
  <c r="AR91" i="55"/>
  <c r="AS91" i="55"/>
  <c r="AT91" i="55"/>
  <c r="AU91" i="55"/>
  <c r="AV91" i="55"/>
  <c r="AW91" i="55"/>
  <c r="AX91" i="55"/>
  <c r="AY91" i="55"/>
  <c r="AZ91" i="55"/>
  <c r="BA91" i="55"/>
  <c r="BB91" i="55"/>
  <c r="BC91" i="55"/>
  <c r="BD91" i="55"/>
  <c r="BE91" i="55"/>
  <c r="AH17" i="55"/>
  <c r="AI17" i="55"/>
  <c r="AJ17" i="55"/>
  <c r="AK17" i="55"/>
  <c r="AL17" i="55"/>
  <c r="AM17" i="55"/>
  <c r="AN17" i="55"/>
  <c r="AO17" i="55"/>
  <c r="AP17" i="55"/>
  <c r="AQ17" i="55"/>
  <c r="AR17" i="55"/>
  <c r="AS17" i="55"/>
  <c r="AT17" i="55"/>
  <c r="AU17" i="55"/>
  <c r="AV17" i="55"/>
  <c r="AW17" i="55"/>
  <c r="AX17" i="55"/>
  <c r="AY17" i="55"/>
  <c r="AZ17" i="55"/>
  <c r="BA17" i="55"/>
  <c r="BB17" i="55"/>
  <c r="BC17" i="55"/>
  <c r="BD17" i="55"/>
  <c r="C92" i="55"/>
  <c r="D92" i="55"/>
  <c r="E92" i="55"/>
  <c r="F92" i="55"/>
  <c r="G92" i="55"/>
  <c r="H92" i="55"/>
  <c r="I92" i="55"/>
  <c r="J92" i="55"/>
  <c r="K92" i="55"/>
  <c r="L92" i="55"/>
  <c r="M92" i="55"/>
  <c r="N92" i="55"/>
  <c r="O92" i="55"/>
  <c r="P92" i="55"/>
  <c r="Q92" i="55"/>
  <c r="R92" i="55"/>
  <c r="S92" i="55"/>
  <c r="T92" i="55"/>
  <c r="U92" i="55"/>
  <c r="V92" i="55"/>
  <c r="W92" i="55"/>
  <c r="X92" i="55"/>
  <c r="Y92" i="55"/>
  <c r="Z92" i="55"/>
  <c r="AA92" i="55"/>
  <c r="AB92" i="55"/>
  <c r="AC92" i="55"/>
  <c r="AD92" i="55"/>
  <c r="AE92" i="55"/>
  <c r="AH92" i="55"/>
  <c r="AI92" i="55"/>
  <c r="AJ92" i="55"/>
  <c r="AM92" i="55"/>
  <c r="AN92" i="55"/>
  <c r="AO92" i="55"/>
  <c r="AP92" i="55"/>
  <c r="AQ92" i="55"/>
  <c r="AR92" i="55"/>
  <c r="AS92" i="55"/>
  <c r="AT92" i="55"/>
  <c r="AU92" i="55"/>
  <c r="AV92" i="55"/>
  <c r="AW92" i="55"/>
  <c r="AX92" i="55"/>
  <c r="AY92" i="55"/>
  <c r="AZ92" i="55"/>
  <c r="BA92" i="55"/>
  <c r="BB92" i="55"/>
  <c r="BC92" i="55"/>
  <c r="BD92" i="55"/>
  <c r="BE92" i="55"/>
  <c r="AH18" i="55"/>
  <c r="AI18" i="55"/>
  <c r="AJ18" i="55"/>
  <c r="AK18" i="55"/>
  <c r="AL18" i="55"/>
  <c r="AM18" i="55"/>
  <c r="AN18" i="55"/>
  <c r="AO18" i="55"/>
  <c r="AP18" i="55"/>
  <c r="AQ18" i="55"/>
  <c r="AR18" i="55"/>
  <c r="AS18" i="55"/>
  <c r="AT18" i="55"/>
  <c r="AU18" i="55"/>
  <c r="AV18" i="55"/>
  <c r="AW18" i="55"/>
  <c r="AX18" i="55"/>
  <c r="AY18" i="55"/>
  <c r="AZ18" i="55"/>
  <c r="BA18" i="55"/>
  <c r="BB18" i="55"/>
  <c r="BC18" i="55"/>
  <c r="BD18" i="55"/>
  <c r="C93" i="55"/>
  <c r="D93" i="55"/>
  <c r="E93" i="55"/>
  <c r="F93" i="55"/>
  <c r="G93" i="55"/>
  <c r="H93" i="55"/>
  <c r="I93" i="55"/>
  <c r="J93" i="55"/>
  <c r="K93" i="55"/>
  <c r="L93" i="55"/>
  <c r="M93" i="55"/>
  <c r="N93" i="55"/>
  <c r="O93" i="55"/>
  <c r="P93" i="55"/>
  <c r="Q93" i="55"/>
  <c r="R93" i="55"/>
  <c r="S93" i="55"/>
  <c r="T93" i="55"/>
  <c r="U93" i="55"/>
  <c r="V93" i="55"/>
  <c r="W93" i="55"/>
  <c r="X93" i="55"/>
  <c r="Y93" i="55"/>
  <c r="Z93" i="55"/>
  <c r="AA93" i="55"/>
  <c r="AB93" i="55"/>
  <c r="AC93" i="55"/>
  <c r="AD93" i="55"/>
  <c r="AE93" i="55"/>
  <c r="AI93" i="55"/>
  <c r="AJ93" i="55"/>
  <c r="AM93" i="55"/>
  <c r="AN93" i="55"/>
  <c r="AO93" i="55"/>
  <c r="AP93" i="55"/>
  <c r="AQ93" i="55"/>
  <c r="AR93" i="55"/>
  <c r="AS93" i="55"/>
  <c r="AT93" i="55"/>
  <c r="AU93" i="55"/>
  <c r="AV93" i="55"/>
  <c r="AW93" i="55"/>
  <c r="AX93" i="55"/>
  <c r="AY93" i="55"/>
  <c r="AZ93" i="55"/>
  <c r="BA93" i="55"/>
  <c r="BB93" i="55"/>
  <c r="BC93" i="55"/>
  <c r="BD93" i="55"/>
  <c r="BE93" i="55"/>
  <c r="AH19" i="55"/>
  <c r="AI19" i="55"/>
  <c r="AJ19" i="55"/>
  <c r="AK19" i="55"/>
  <c r="AL19" i="55"/>
  <c r="AM19" i="55"/>
  <c r="AN19" i="55"/>
  <c r="AO19" i="55"/>
  <c r="AP19" i="55"/>
  <c r="AQ19" i="55"/>
  <c r="AR19" i="55"/>
  <c r="AS19" i="55"/>
  <c r="AT19" i="55"/>
  <c r="AU19" i="55"/>
  <c r="AV19" i="55"/>
  <c r="AW19" i="55"/>
  <c r="AX19" i="55"/>
  <c r="AY19" i="55"/>
  <c r="AZ19" i="55"/>
  <c r="BA19" i="55"/>
  <c r="BB19" i="55"/>
  <c r="BC19" i="55"/>
  <c r="BD19" i="55"/>
  <c r="C94" i="55"/>
  <c r="D94" i="55"/>
  <c r="E94" i="55"/>
  <c r="F94" i="55"/>
  <c r="G94" i="55"/>
  <c r="H94" i="55"/>
  <c r="I94" i="55"/>
  <c r="J94" i="55"/>
  <c r="K94" i="55"/>
  <c r="L94" i="55"/>
  <c r="M94" i="55"/>
  <c r="N94" i="55"/>
  <c r="O94" i="55"/>
  <c r="P94" i="55"/>
  <c r="Q94" i="55"/>
  <c r="R94" i="55"/>
  <c r="S94" i="55"/>
  <c r="T94" i="55"/>
  <c r="U94" i="55"/>
  <c r="V94" i="55"/>
  <c r="W94" i="55"/>
  <c r="X94" i="55"/>
  <c r="Y94" i="55"/>
  <c r="Z94" i="55"/>
  <c r="AA94" i="55"/>
  <c r="AB94" i="55"/>
  <c r="AC94" i="55"/>
  <c r="AD94" i="55"/>
  <c r="AE94" i="55"/>
  <c r="AH94" i="55"/>
  <c r="AI94" i="55"/>
  <c r="AJ94" i="55"/>
  <c r="AM94" i="55"/>
  <c r="AN94" i="55"/>
  <c r="AO94" i="55"/>
  <c r="AP94" i="55"/>
  <c r="AQ94" i="55"/>
  <c r="AR94" i="55"/>
  <c r="AS94" i="55"/>
  <c r="AT94" i="55"/>
  <c r="AU94" i="55"/>
  <c r="AV94" i="55"/>
  <c r="AW94" i="55"/>
  <c r="AX94" i="55"/>
  <c r="AY94" i="55"/>
  <c r="AZ94" i="55"/>
  <c r="BA94" i="55"/>
  <c r="BB94" i="55"/>
  <c r="BC94" i="55"/>
  <c r="BD94" i="55"/>
  <c r="BE94" i="55"/>
  <c r="AH20" i="55"/>
  <c r="AI20" i="55"/>
  <c r="AJ20" i="55"/>
  <c r="AK20" i="55"/>
  <c r="AL20" i="55"/>
  <c r="AM20" i="55"/>
  <c r="AN20" i="55"/>
  <c r="AO20" i="55"/>
  <c r="AP20" i="55"/>
  <c r="AQ20" i="55"/>
  <c r="AR20" i="55"/>
  <c r="AS20" i="55"/>
  <c r="AT20" i="55"/>
  <c r="AU20" i="55"/>
  <c r="AV20" i="55"/>
  <c r="AW20" i="55"/>
  <c r="AX20" i="55"/>
  <c r="AY20" i="55"/>
  <c r="AZ20" i="55"/>
  <c r="BA20" i="55"/>
  <c r="BB20" i="55"/>
  <c r="BC20" i="55"/>
  <c r="BD20" i="55"/>
  <c r="C95" i="55"/>
  <c r="D95" i="55"/>
  <c r="E95" i="55"/>
  <c r="F95" i="55"/>
  <c r="G95" i="55"/>
  <c r="H95" i="55"/>
  <c r="I95" i="55"/>
  <c r="J95" i="55"/>
  <c r="K95" i="55"/>
  <c r="L95" i="55"/>
  <c r="M95" i="55"/>
  <c r="N95" i="55"/>
  <c r="O95" i="55"/>
  <c r="P95" i="55"/>
  <c r="Q95" i="55"/>
  <c r="R95" i="55"/>
  <c r="S95" i="55"/>
  <c r="T95" i="55"/>
  <c r="U95" i="55"/>
  <c r="V95" i="55"/>
  <c r="W95" i="55"/>
  <c r="X95" i="55"/>
  <c r="Y95" i="55"/>
  <c r="Z95" i="55"/>
  <c r="AA95" i="55"/>
  <c r="AB95" i="55"/>
  <c r="AC95" i="55"/>
  <c r="AD95" i="55"/>
  <c r="AE95" i="55"/>
  <c r="AH95" i="55"/>
  <c r="AI95" i="55"/>
  <c r="AJ95" i="55"/>
  <c r="AM95" i="55"/>
  <c r="AN95" i="55"/>
  <c r="AO95" i="55"/>
  <c r="AP95" i="55"/>
  <c r="AQ95" i="55"/>
  <c r="AR95" i="55"/>
  <c r="AS95" i="55"/>
  <c r="AT95" i="55"/>
  <c r="AU95" i="55"/>
  <c r="AV95" i="55"/>
  <c r="AW95" i="55"/>
  <c r="AX95" i="55"/>
  <c r="AY95" i="55"/>
  <c r="AZ95" i="55"/>
  <c r="BA95" i="55"/>
  <c r="BB95" i="55"/>
  <c r="BC95" i="55"/>
  <c r="BD95" i="55"/>
  <c r="BE95" i="55"/>
  <c r="AH21" i="55"/>
  <c r="AI21" i="55"/>
  <c r="AJ21" i="55"/>
  <c r="AK21" i="55"/>
  <c r="AL21" i="55"/>
  <c r="AM21" i="55"/>
  <c r="AN21" i="55"/>
  <c r="AO21" i="55"/>
  <c r="AP21" i="55"/>
  <c r="AQ21" i="55"/>
  <c r="AR21" i="55"/>
  <c r="AS21" i="55"/>
  <c r="AT21" i="55"/>
  <c r="AU21" i="55"/>
  <c r="AV21" i="55"/>
  <c r="AW21" i="55"/>
  <c r="AX21" i="55"/>
  <c r="AY21" i="55"/>
  <c r="AZ21" i="55"/>
  <c r="BA21" i="55"/>
  <c r="BB21" i="55"/>
  <c r="BC21" i="55"/>
  <c r="BD21" i="55"/>
  <c r="C96" i="55"/>
  <c r="D96" i="55"/>
  <c r="E96" i="55"/>
  <c r="F96" i="55"/>
  <c r="G96" i="55"/>
  <c r="H96" i="55"/>
  <c r="I96" i="55"/>
  <c r="J96" i="55"/>
  <c r="K96" i="55"/>
  <c r="L96" i="55"/>
  <c r="M96" i="55"/>
  <c r="N96" i="55"/>
  <c r="O96" i="55"/>
  <c r="P96" i="55"/>
  <c r="Q96" i="55"/>
  <c r="R96" i="55"/>
  <c r="S96" i="55"/>
  <c r="T96" i="55"/>
  <c r="U96" i="55"/>
  <c r="V96" i="55"/>
  <c r="W96" i="55"/>
  <c r="X96" i="55"/>
  <c r="Y96" i="55"/>
  <c r="Z96" i="55"/>
  <c r="AA96" i="55"/>
  <c r="AB96" i="55"/>
  <c r="AC96" i="55"/>
  <c r="AD96" i="55"/>
  <c r="AE96" i="55"/>
  <c r="AH96" i="55"/>
  <c r="AI96" i="55"/>
  <c r="AJ96" i="55"/>
  <c r="AM96" i="55"/>
  <c r="AN96" i="55"/>
  <c r="AO96" i="55"/>
  <c r="AP96" i="55"/>
  <c r="AQ96" i="55"/>
  <c r="AR96" i="55"/>
  <c r="AS96" i="55"/>
  <c r="AT96" i="55"/>
  <c r="AU96" i="55"/>
  <c r="AV96" i="55"/>
  <c r="AW96" i="55"/>
  <c r="AX96" i="55"/>
  <c r="AY96" i="55"/>
  <c r="AZ96" i="55"/>
  <c r="BA96" i="55"/>
  <c r="BB96" i="55"/>
  <c r="BC96" i="55"/>
  <c r="BD96" i="55"/>
  <c r="BE96" i="55"/>
  <c r="AH22" i="55"/>
  <c r="AI22" i="55"/>
  <c r="AJ22" i="55"/>
  <c r="AK22" i="55"/>
  <c r="AL22" i="55"/>
  <c r="AM22" i="55"/>
  <c r="AN22" i="55"/>
  <c r="AO22" i="55"/>
  <c r="AP22" i="55"/>
  <c r="AQ22" i="55"/>
  <c r="AR22" i="55"/>
  <c r="AS22" i="55"/>
  <c r="AT22" i="55"/>
  <c r="AU22" i="55"/>
  <c r="AV22" i="55"/>
  <c r="AW22" i="55"/>
  <c r="AX22" i="55"/>
  <c r="AY22" i="55"/>
  <c r="AZ22" i="55"/>
  <c r="BA22" i="55"/>
  <c r="BB22" i="55"/>
  <c r="BC22" i="55"/>
  <c r="BD22" i="55"/>
  <c r="C97" i="55"/>
  <c r="D97" i="55"/>
  <c r="E97" i="55"/>
  <c r="F97" i="55"/>
  <c r="G97" i="55"/>
  <c r="H97" i="55"/>
  <c r="I97" i="55"/>
  <c r="J97" i="55"/>
  <c r="K97" i="55"/>
  <c r="L97" i="55"/>
  <c r="M97" i="55"/>
  <c r="N97" i="55"/>
  <c r="O97" i="55"/>
  <c r="P97" i="55"/>
  <c r="Q97" i="55"/>
  <c r="R97" i="55"/>
  <c r="S97" i="55"/>
  <c r="T97" i="55"/>
  <c r="U97" i="55"/>
  <c r="V97" i="55"/>
  <c r="W97" i="55"/>
  <c r="X97" i="55"/>
  <c r="Y97" i="55"/>
  <c r="Z97" i="55"/>
  <c r="AA97" i="55"/>
  <c r="AB97" i="55"/>
  <c r="AC97" i="55"/>
  <c r="AD97" i="55"/>
  <c r="AE97" i="55"/>
  <c r="AH97" i="55"/>
  <c r="AI97" i="55"/>
  <c r="AJ97" i="55"/>
  <c r="AM97" i="55"/>
  <c r="AN97" i="55"/>
  <c r="AO97" i="55"/>
  <c r="AP97" i="55"/>
  <c r="AQ97" i="55"/>
  <c r="AR97" i="55"/>
  <c r="AS97" i="55"/>
  <c r="AT97" i="55"/>
  <c r="AU97" i="55"/>
  <c r="AV97" i="55"/>
  <c r="AW97" i="55"/>
  <c r="AX97" i="55"/>
  <c r="AY97" i="55"/>
  <c r="AZ97" i="55"/>
  <c r="BA97" i="55"/>
  <c r="BB97" i="55"/>
  <c r="BC97" i="55"/>
  <c r="BD97" i="55"/>
  <c r="BE97" i="55"/>
  <c r="AH23" i="55"/>
  <c r="AI23" i="55"/>
  <c r="AJ23" i="55"/>
  <c r="AK23" i="55"/>
  <c r="AL23" i="55"/>
  <c r="AM23" i="55"/>
  <c r="AN23" i="55"/>
  <c r="AO23" i="55"/>
  <c r="AP23" i="55"/>
  <c r="AQ23" i="55"/>
  <c r="AR23" i="55"/>
  <c r="AS23" i="55"/>
  <c r="AT23" i="55"/>
  <c r="AU23" i="55"/>
  <c r="AV23" i="55"/>
  <c r="AW23" i="55"/>
  <c r="AX23" i="55"/>
  <c r="AY23" i="55"/>
  <c r="AZ23" i="55"/>
  <c r="BA23" i="55"/>
  <c r="BB23" i="55"/>
  <c r="BC23" i="55"/>
  <c r="BD23" i="55"/>
  <c r="C98" i="55"/>
  <c r="D98" i="55"/>
  <c r="E98" i="55"/>
  <c r="F98" i="55"/>
  <c r="G98" i="55"/>
  <c r="H98" i="55"/>
  <c r="I98" i="55"/>
  <c r="J98" i="55"/>
  <c r="K98" i="55"/>
  <c r="L98" i="55"/>
  <c r="M98" i="55"/>
  <c r="N98" i="55"/>
  <c r="O98" i="55"/>
  <c r="P98" i="55"/>
  <c r="Q98" i="55"/>
  <c r="R98" i="55"/>
  <c r="S98" i="55"/>
  <c r="T98" i="55"/>
  <c r="U98" i="55"/>
  <c r="V98" i="55"/>
  <c r="W98" i="55"/>
  <c r="X98" i="55"/>
  <c r="Y98" i="55"/>
  <c r="Z98" i="55"/>
  <c r="AA98" i="55"/>
  <c r="AB98" i="55"/>
  <c r="AC98" i="55"/>
  <c r="AD98" i="55"/>
  <c r="AE98" i="55"/>
  <c r="AI98" i="55"/>
  <c r="AJ98" i="55"/>
  <c r="AM98" i="55"/>
  <c r="AN98" i="55"/>
  <c r="AO98" i="55"/>
  <c r="AP98" i="55"/>
  <c r="AQ98" i="55"/>
  <c r="AR98" i="55"/>
  <c r="AS98" i="55"/>
  <c r="AT98" i="55"/>
  <c r="AU98" i="55"/>
  <c r="AV98" i="55"/>
  <c r="AW98" i="55"/>
  <c r="AX98" i="55"/>
  <c r="AY98" i="55"/>
  <c r="AZ98" i="55"/>
  <c r="BA98" i="55"/>
  <c r="BB98" i="55"/>
  <c r="BC98" i="55"/>
  <c r="BD98" i="55"/>
  <c r="BE98" i="55"/>
  <c r="AH24" i="55"/>
  <c r="AI24" i="55"/>
  <c r="AJ24" i="55"/>
  <c r="AK24" i="55"/>
  <c r="AL24" i="55"/>
  <c r="AM24" i="55"/>
  <c r="AN24" i="55"/>
  <c r="AO24" i="55"/>
  <c r="AP24" i="55"/>
  <c r="AQ24" i="55"/>
  <c r="AR24" i="55"/>
  <c r="AS24" i="55"/>
  <c r="AT24" i="55"/>
  <c r="AU24" i="55"/>
  <c r="AV24" i="55"/>
  <c r="AW24" i="55"/>
  <c r="AX24" i="55"/>
  <c r="AY24" i="55"/>
  <c r="AZ24" i="55"/>
  <c r="BA24" i="55"/>
  <c r="BB24" i="55"/>
  <c r="BC24" i="55"/>
  <c r="BD24" i="55"/>
  <c r="C99" i="55"/>
  <c r="D99" i="55"/>
  <c r="E99" i="55"/>
  <c r="F99" i="55"/>
  <c r="G99" i="55"/>
  <c r="H99" i="55"/>
  <c r="I99" i="55"/>
  <c r="J99" i="55"/>
  <c r="K99" i="55"/>
  <c r="L99" i="55"/>
  <c r="M99" i="55"/>
  <c r="N99" i="55"/>
  <c r="O99" i="55"/>
  <c r="P99" i="55"/>
  <c r="Q99" i="55"/>
  <c r="R99" i="55"/>
  <c r="S99" i="55"/>
  <c r="T99" i="55"/>
  <c r="U99" i="55"/>
  <c r="V99" i="55"/>
  <c r="W99" i="55"/>
  <c r="X99" i="55"/>
  <c r="Y99" i="55"/>
  <c r="Z99" i="55"/>
  <c r="AA99" i="55"/>
  <c r="AB99" i="55"/>
  <c r="AC99" i="55"/>
  <c r="AD99" i="55"/>
  <c r="AE99" i="55"/>
  <c r="AH99" i="55"/>
  <c r="AI99" i="55"/>
  <c r="AJ99" i="55"/>
  <c r="AM99" i="55"/>
  <c r="AN99" i="55"/>
  <c r="AO99" i="55"/>
  <c r="AP99" i="55"/>
  <c r="AQ99" i="55"/>
  <c r="AR99" i="55"/>
  <c r="AS99" i="55"/>
  <c r="AT99" i="55"/>
  <c r="AU99" i="55"/>
  <c r="AV99" i="55"/>
  <c r="AW99" i="55"/>
  <c r="AX99" i="55"/>
  <c r="AY99" i="55"/>
  <c r="AZ99" i="55"/>
  <c r="BA99" i="55"/>
  <c r="BB99" i="55"/>
  <c r="BC99" i="55"/>
  <c r="BD99" i="55"/>
  <c r="BE99" i="55"/>
  <c r="AH25" i="55"/>
  <c r="AI25" i="55"/>
  <c r="AJ25" i="55"/>
  <c r="AK25" i="55"/>
  <c r="AL25" i="55"/>
  <c r="AM25" i="55"/>
  <c r="AN25" i="55"/>
  <c r="AO25" i="55"/>
  <c r="AP25" i="55"/>
  <c r="AQ25" i="55"/>
  <c r="AR25" i="55"/>
  <c r="AS25" i="55"/>
  <c r="AT25" i="55"/>
  <c r="AU25" i="55"/>
  <c r="AV25" i="55"/>
  <c r="AW25" i="55"/>
  <c r="AX25" i="55"/>
  <c r="AY25" i="55"/>
  <c r="AZ25" i="55"/>
  <c r="BA25" i="55"/>
  <c r="BB25" i="55"/>
  <c r="BC25" i="55"/>
  <c r="BD25" i="55"/>
  <c r="C100" i="55"/>
  <c r="D100" i="55"/>
  <c r="E100" i="55"/>
  <c r="F100" i="55"/>
  <c r="G100" i="55"/>
  <c r="H100" i="55"/>
  <c r="I100" i="55"/>
  <c r="J100" i="55"/>
  <c r="K100" i="55"/>
  <c r="L100" i="55"/>
  <c r="M100" i="55"/>
  <c r="N100" i="55"/>
  <c r="O100" i="55"/>
  <c r="P100" i="55"/>
  <c r="Q100" i="55"/>
  <c r="R100" i="55"/>
  <c r="S100" i="55"/>
  <c r="T100" i="55"/>
  <c r="U100" i="55"/>
  <c r="V100" i="55"/>
  <c r="W100" i="55"/>
  <c r="X100" i="55"/>
  <c r="Y100" i="55"/>
  <c r="Z100" i="55"/>
  <c r="AA100" i="55"/>
  <c r="AB100" i="55"/>
  <c r="AC100" i="55"/>
  <c r="AD100" i="55"/>
  <c r="AE100" i="55"/>
  <c r="AH100" i="55"/>
  <c r="AI100" i="55"/>
  <c r="AJ100" i="55"/>
  <c r="AM100" i="55"/>
  <c r="AN100" i="55"/>
  <c r="AO100" i="55"/>
  <c r="AP100" i="55"/>
  <c r="AQ100" i="55"/>
  <c r="AR100" i="55"/>
  <c r="AS100" i="55"/>
  <c r="AT100" i="55"/>
  <c r="AU100" i="55"/>
  <c r="AV100" i="55"/>
  <c r="AW100" i="55"/>
  <c r="AX100" i="55"/>
  <c r="AY100" i="55"/>
  <c r="AZ100" i="55"/>
  <c r="BA100" i="55"/>
  <c r="BB100" i="55"/>
  <c r="BC100" i="55"/>
  <c r="BD100" i="55"/>
  <c r="BE100" i="55"/>
  <c r="AH26" i="55"/>
  <c r="AI26" i="55"/>
  <c r="AJ26" i="55"/>
  <c r="AK26" i="55"/>
  <c r="AL26" i="55"/>
  <c r="AM26" i="55"/>
  <c r="AN26" i="55"/>
  <c r="AO26" i="55"/>
  <c r="AP26" i="55"/>
  <c r="AQ26" i="55"/>
  <c r="AR26" i="55"/>
  <c r="AS26" i="55"/>
  <c r="AT26" i="55"/>
  <c r="AU26" i="55"/>
  <c r="AV26" i="55"/>
  <c r="AW26" i="55"/>
  <c r="AX26" i="55"/>
  <c r="AY26" i="55"/>
  <c r="AZ26" i="55"/>
  <c r="BA26" i="55"/>
  <c r="BB26" i="55"/>
  <c r="BC26" i="55"/>
  <c r="BD26" i="55"/>
  <c r="C101" i="55"/>
  <c r="D101" i="55"/>
  <c r="E101" i="55"/>
  <c r="F101" i="55"/>
  <c r="G101" i="55"/>
  <c r="H101" i="55"/>
  <c r="I101" i="55"/>
  <c r="J101" i="55"/>
  <c r="K101" i="55"/>
  <c r="L101" i="55"/>
  <c r="M101" i="55"/>
  <c r="N101" i="55"/>
  <c r="O101" i="55"/>
  <c r="P101" i="55"/>
  <c r="Q101" i="55"/>
  <c r="R101" i="55"/>
  <c r="S101" i="55"/>
  <c r="T101" i="55"/>
  <c r="U101" i="55"/>
  <c r="V101" i="55"/>
  <c r="W101" i="55"/>
  <c r="X101" i="55"/>
  <c r="Y101" i="55"/>
  <c r="Z101" i="55"/>
  <c r="AA101" i="55"/>
  <c r="AB101" i="55"/>
  <c r="AC101" i="55"/>
  <c r="AD101" i="55"/>
  <c r="AE101" i="55"/>
  <c r="AI101" i="55"/>
  <c r="AJ101" i="55"/>
  <c r="AM101" i="55"/>
  <c r="AN101" i="55"/>
  <c r="AO101" i="55"/>
  <c r="AP101" i="55"/>
  <c r="AQ101" i="55"/>
  <c r="AR101" i="55"/>
  <c r="AS101" i="55"/>
  <c r="AT101" i="55"/>
  <c r="AU101" i="55"/>
  <c r="AV101" i="55"/>
  <c r="AW101" i="55"/>
  <c r="AX101" i="55"/>
  <c r="AY101" i="55"/>
  <c r="AZ101" i="55"/>
  <c r="BA101" i="55"/>
  <c r="BB101" i="55"/>
  <c r="BC101" i="55"/>
  <c r="BD101" i="55"/>
  <c r="BE101" i="55"/>
  <c r="AH27" i="55"/>
  <c r="AI27" i="55"/>
  <c r="AJ27" i="55"/>
  <c r="AK27" i="55"/>
  <c r="AL27" i="55"/>
  <c r="AM27" i="55"/>
  <c r="AN27" i="55"/>
  <c r="AO27" i="55"/>
  <c r="AP27" i="55"/>
  <c r="AQ27" i="55"/>
  <c r="AR27" i="55"/>
  <c r="AS27" i="55"/>
  <c r="AT27" i="55"/>
  <c r="AU27" i="55"/>
  <c r="AV27" i="55"/>
  <c r="AW27" i="55"/>
  <c r="AX27" i="55"/>
  <c r="AY27" i="55"/>
  <c r="AZ27" i="55"/>
  <c r="BA27" i="55"/>
  <c r="BB27" i="55"/>
  <c r="BC27" i="55"/>
  <c r="BD27" i="55"/>
  <c r="C102" i="55"/>
  <c r="D102" i="55"/>
  <c r="E102" i="55"/>
  <c r="F102" i="55"/>
  <c r="G102" i="55"/>
  <c r="H102" i="55"/>
  <c r="I102" i="55"/>
  <c r="J102" i="55"/>
  <c r="K102" i="55"/>
  <c r="L102" i="55"/>
  <c r="M102" i="55"/>
  <c r="N102" i="55"/>
  <c r="O102" i="55"/>
  <c r="P102" i="55"/>
  <c r="Q102" i="55"/>
  <c r="R102" i="55"/>
  <c r="S102" i="55"/>
  <c r="T102" i="55"/>
  <c r="U102" i="55"/>
  <c r="V102" i="55"/>
  <c r="W102" i="55"/>
  <c r="X102" i="55"/>
  <c r="Y102" i="55"/>
  <c r="Z102" i="55"/>
  <c r="AA102" i="55"/>
  <c r="AB102" i="55"/>
  <c r="AC102" i="55"/>
  <c r="AD102" i="55"/>
  <c r="AE102" i="55"/>
  <c r="AH102" i="55"/>
  <c r="AI102" i="55"/>
  <c r="AJ102" i="55"/>
  <c r="AM102" i="55"/>
  <c r="AN102" i="55"/>
  <c r="AO102" i="55"/>
  <c r="AP102" i="55"/>
  <c r="AQ102" i="55"/>
  <c r="AR102" i="55"/>
  <c r="AS102" i="55"/>
  <c r="AT102" i="55"/>
  <c r="AU102" i="55"/>
  <c r="AV102" i="55"/>
  <c r="AW102" i="55"/>
  <c r="AX102" i="55"/>
  <c r="AY102" i="55"/>
  <c r="AZ102" i="55"/>
  <c r="BA102" i="55"/>
  <c r="BB102" i="55"/>
  <c r="BC102" i="55"/>
  <c r="BD102" i="55"/>
  <c r="BE102" i="55"/>
  <c r="AH28" i="55"/>
  <c r="AI28" i="55"/>
  <c r="AJ28" i="55"/>
  <c r="AK28" i="55"/>
  <c r="AL28" i="55"/>
  <c r="AM28" i="55"/>
  <c r="AN28" i="55"/>
  <c r="AO28" i="55"/>
  <c r="AP28" i="55"/>
  <c r="AQ28" i="55"/>
  <c r="AR28" i="55"/>
  <c r="AS28" i="55"/>
  <c r="AT28" i="55"/>
  <c r="AU28" i="55"/>
  <c r="AV28" i="55"/>
  <c r="AW28" i="55"/>
  <c r="AX28" i="55"/>
  <c r="AY28" i="55"/>
  <c r="AZ28" i="55"/>
  <c r="BA28" i="55"/>
  <c r="BB28" i="55"/>
  <c r="BC28" i="55"/>
  <c r="BD28" i="55"/>
  <c r="C103" i="55"/>
  <c r="D103" i="55"/>
  <c r="E103" i="55"/>
  <c r="F103" i="55"/>
  <c r="G103" i="55"/>
  <c r="H103" i="55"/>
  <c r="I103" i="55"/>
  <c r="J103" i="55"/>
  <c r="K103" i="55"/>
  <c r="L103" i="55"/>
  <c r="M103" i="55"/>
  <c r="N103" i="55"/>
  <c r="O103" i="55"/>
  <c r="P103" i="55"/>
  <c r="Q103" i="55"/>
  <c r="R103" i="55"/>
  <c r="S103" i="55"/>
  <c r="T103" i="55"/>
  <c r="U103" i="55"/>
  <c r="V103" i="55"/>
  <c r="W103" i="55"/>
  <c r="X103" i="55"/>
  <c r="Y103" i="55"/>
  <c r="Z103" i="55"/>
  <c r="AA103" i="55"/>
  <c r="AB103" i="55"/>
  <c r="AC103" i="55"/>
  <c r="AD103" i="55"/>
  <c r="AE103" i="55"/>
  <c r="AH103" i="55"/>
  <c r="AI103" i="55"/>
  <c r="AJ103" i="55"/>
  <c r="AM103" i="55"/>
  <c r="AN103" i="55"/>
  <c r="AO103" i="55"/>
  <c r="AP103" i="55"/>
  <c r="AQ103" i="55"/>
  <c r="AR103" i="55"/>
  <c r="AS103" i="55"/>
  <c r="AT103" i="55"/>
  <c r="AU103" i="55"/>
  <c r="AV103" i="55"/>
  <c r="AW103" i="55"/>
  <c r="AX103" i="55"/>
  <c r="AY103" i="55"/>
  <c r="AZ103" i="55"/>
  <c r="BA103" i="55"/>
  <c r="BB103" i="55"/>
  <c r="BC103" i="55"/>
  <c r="BD103" i="55"/>
  <c r="BE103" i="55"/>
  <c r="AH29" i="55"/>
  <c r="AI29" i="55"/>
  <c r="AJ29" i="55"/>
  <c r="AK29" i="55"/>
  <c r="AL29" i="55"/>
  <c r="AM29" i="55"/>
  <c r="AN29" i="55"/>
  <c r="AO29" i="55"/>
  <c r="AP29" i="55"/>
  <c r="AQ29" i="55"/>
  <c r="AR29" i="55"/>
  <c r="AS29" i="55"/>
  <c r="AT29" i="55"/>
  <c r="AU29" i="55"/>
  <c r="AV29" i="55"/>
  <c r="AW29" i="55"/>
  <c r="AX29" i="55"/>
  <c r="AY29" i="55"/>
  <c r="AZ29" i="55"/>
  <c r="BA29" i="55"/>
  <c r="BB29" i="55"/>
  <c r="BC29" i="55"/>
  <c r="BD29" i="55"/>
  <c r="C104" i="55"/>
  <c r="D104" i="55"/>
  <c r="E104" i="55"/>
  <c r="F104" i="55"/>
  <c r="G104" i="55"/>
  <c r="H104" i="55"/>
  <c r="I104" i="55"/>
  <c r="J104" i="55"/>
  <c r="K104" i="55"/>
  <c r="L104" i="55"/>
  <c r="M104" i="55"/>
  <c r="N104" i="55"/>
  <c r="O104" i="55"/>
  <c r="P104" i="55"/>
  <c r="Q104" i="55"/>
  <c r="R104" i="55"/>
  <c r="S104" i="55"/>
  <c r="T104" i="55"/>
  <c r="U104" i="55"/>
  <c r="V104" i="55"/>
  <c r="W104" i="55"/>
  <c r="X104" i="55"/>
  <c r="Y104" i="55"/>
  <c r="Z104" i="55"/>
  <c r="AA104" i="55"/>
  <c r="AB104" i="55"/>
  <c r="AC104" i="55"/>
  <c r="AD104" i="55"/>
  <c r="AE104" i="55"/>
  <c r="AI104" i="55"/>
  <c r="AJ104" i="55"/>
  <c r="AM104" i="55"/>
  <c r="AN104" i="55"/>
  <c r="AO104" i="55"/>
  <c r="AP104" i="55"/>
  <c r="AQ104" i="55"/>
  <c r="AR104" i="55"/>
  <c r="AS104" i="55"/>
  <c r="AT104" i="55"/>
  <c r="AU104" i="55"/>
  <c r="AV104" i="55"/>
  <c r="AW104" i="55"/>
  <c r="AX104" i="55"/>
  <c r="AY104" i="55"/>
  <c r="AZ104" i="55"/>
  <c r="BA104" i="55"/>
  <c r="BB104" i="55"/>
  <c r="BC104" i="55"/>
  <c r="BD104" i="55"/>
  <c r="BE104" i="55"/>
  <c r="AH30" i="55"/>
  <c r="AI30" i="55"/>
  <c r="AJ30" i="55"/>
  <c r="AK30" i="55"/>
  <c r="AL30" i="55"/>
  <c r="AM30" i="55"/>
  <c r="AN30" i="55"/>
  <c r="AO30" i="55"/>
  <c r="AP30" i="55"/>
  <c r="AQ30" i="55"/>
  <c r="AR30" i="55"/>
  <c r="AS30" i="55"/>
  <c r="AT30" i="55"/>
  <c r="AU30" i="55"/>
  <c r="AV30" i="55"/>
  <c r="AW30" i="55"/>
  <c r="AX30" i="55"/>
  <c r="AY30" i="55"/>
  <c r="AZ30" i="55"/>
  <c r="BA30" i="55"/>
  <c r="BB30" i="55"/>
  <c r="BC30" i="55"/>
  <c r="BD30" i="55"/>
  <c r="C105" i="55"/>
  <c r="D105" i="55"/>
  <c r="E105" i="55"/>
  <c r="F105" i="55"/>
  <c r="G105" i="55"/>
  <c r="H105" i="55"/>
  <c r="I105" i="55"/>
  <c r="J105" i="55"/>
  <c r="K105" i="55"/>
  <c r="L105" i="55"/>
  <c r="M105" i="55"/>
  <c r="N105" i="55"/>
  <c r="O105" i="55"/>
  <c r="P105" i="55"/>
  <c r="Q105" i="55"/>
  <c r="R105" i="55"/>
  <c r="S105" i="55"/>
  <c r="T105" i="55"/>
  <c r="U105" i="55"/>
  <c r="V105" i="55"/>
  <c r="W105" i="55"/>
  <c r="X105" i="55"/>
  <c r="Y105" i="55"/>
  <c r="Z105" i="55"/>
  <c r="AA105" i="55"/>
  <c r="AB105" i="55"/>
  <c r="AC105" i="55"/>
  <c r="AD105" i="55"/>
  <c r="AE105" i="55"/>
  <c r="AH105" i="55"/>
  <c r="AI105" i="55"/>
  <c r="AJ105" i="55"/>
  <c r="AM105" i="55"/>
  <c r="AN105" i="55"/>
  <c r="AO105" i="55"/>
  <c r="AP105" i="55"/>
  <c r="AQ105" i="55"/>
  <c r="AR105" i="55"/>
  <c r="AS105" i="55"/>
  <c r="AT105" i="55"/>
  <c r="AU105" i="55"/>
  <c r="AV105" i="55"/>
  <c r="AW105" i="55"/>
  <c r="AX105" i="55"/>
  <c r="AY105" i="55"/>
  <c r="AZ105" i="55"/>
  <c r="BA105" i="55"/>
  <c r="BB105" i="55"/>
  <c r="BC105" i="55"/>
  <c r="BD105" i="55"/>
  <c r="BE105" i="55"/>
  <c r="AH31" i="55"/>
  <c r="AI31" i="55"/>
  <c r="AJ31" i="55"/>
  <c r="AK31" i="55"/>
  <c r="AL31" i="55"/>
  <c r="AM31" i="55"/>
  <c r="AN31" i="55"/>
  <c r="AO31" i="55"/>
  <c r="AP31" i="55"/>
  <c r="AQ31" i="55"/>
  <c r="AR31" i="55"/>
  <c r="AS31" i="55"/>
  <c r="AT31" i="55"/>
  <c r="AU31" i="55"/>
  <c r="AV31" i="55"/>
  <c r="AW31" i="55"/>
  <c r="AX31" i="55"/>
  <c r="AY31" i="55"/>
  <c r="AZ31" i="55"/>
  <c r="BA31" i="55"/>
  <c r="BB31" i="55"/>
  <c r="BC31" i="55"/>
  <c r="BD31" i="55"/>
  <c r="C106" i="55"/>
  <c r="D106" i="55"/>
  <c r="E106" i="55"/>
  <c r="F106" i="55"/>
  <c r="G106" i="55"/>
  <c r="H106" i="55"/>
  <c r="I106" i="55"/>
  <c r="J106" i="55"/>
  <c r="K106" i="55"/>
  <c r="L106" i="55"/>
  <c r="M106" i="55"/>
  <c r="N106" i="55"/>
  <c r="O106" i="55"/>
  <c r="P106" i="55"/>
  <c r="Q106" i="55"/>
  <c r="R106" i="55"/>
  <c r="S106" i="55"/>
  <c r="T106" i="55"/>
  <c r="U106" i="55"/>
  <c r="V106" i="55"/>
  <c r="W106" i="55"/>
  <c r="X106" i="55"/>
  <c r="Y106" i="55"/>
  <c r="Z106" i="55"/>
  <c r="AA106" i="55"/>
  <c r="AB106" i="55"/>
  <c r="AC106" i="55"/>
  <c r="AD106" i="55"/>
  <c r="AE106" i="55"/>
  <c r="AI106" i="55"/>
  <c r="AJ106" i="55"/>
  <c r="AM106" i="55"/>
  <c r="AN106" i="55"/>
  <c r="AO106" i="55"/>
  <c r="AP106" i="55"/>
  <c r="AQ106" i="55"/>
  <c r="AR106" i="55"/>
  <c r="AS106" i="55"/>
  <c r="AT106" i="55"/>
  <c r="AU106" i="55"/>
  <c r="AV106" i="55"/>
  <c r="AW106" i="55"/>
  <c r="AX106" i="55"/>
  <c r="AY106" i="55"/>
  <c r="AZ106" i="55"/>
  <c r="BA106" i="55"/>
  <c r="BB106" i="55"/>
  <c r="BC106" i="55"/>
  <c r="BD106" i="55"/>
  <c r="BE106" i="55"/>
  <c r="AH32" i="55"/>
  <c r="AI32" i="55"/>
  <c r="AJ32" i="55"/>
  <c r="AK32" i="55"/>
  <c r="AL32" i="55"/>
  <c r="AM32" i="55"/>
  <c r="AN32" i="55"/>
  <c r="AO32" i="55"/>
  <c r="AP32" i="55"/>
  <c r="AQ32" i="55"/>
  <c r="AR32" i="55"/>
  <c r="AS32" i="55"/>
  <c r="AT32" i="55"/>
  <c r="AU32" i="55"/>
  <c r="AV32" i="55"/>
  <c r="AW32" i="55"/>
  <c r="AX32" i="55"/>
  <c r="AY32" i="55"/>
  <c r="AZ32" i="55"/>
  <c r="BA32" i="55"/>
  <c r="BB32" i="55"/>
  <c r="BC32" i="55"/>
  <c r="BD32" i="55"/>
  <c r="C107" i="55"/>
  <c r="D107" i="55"/>
  <c r="E107" i="55"/>
  <c r="F107" i="55"/>
  <c r="G107" i="55"/>
  <c r="H107" i="55"/>
  <c r="I107" i="55"/>
  <c r="J107" i="55"/>
  <c r="K107" i="55"/>
  <c r="L107" i="55"/>
  <c r="M107" i="55"/>
  <c r="N107" i="55"/>
  <c r="O107" i="55"/>
  <c r="P107" i="55"/>
  <c r="Q107" i="55"/>
  <c r="R107" i="55"/>
  <c r="S107" i="55"/>
  <c r="T107" i="55"/>
  <c r="U107" i="55"/>
  <c r="V107" i="55"/>
  <c r="W107" i="55"/>
  <c r="X107" i="55"/>
  <c r="Y107" i="55"/>
  <c r="Z107" i="55"/>
  <c r="AA107" i="55"/>
  <c r="AB107" i="55"/>
  <c r="AC107" i="55"/>
  <c r="AD107" i="55"/>
  <c r="AE107" i="55"/>
  <c r="AH107" i="55"/>
  <c r="AI107" i="55"/>
  <c r="AJ107" i="55"/>
  <c r="AM107" i="55"/>
  <c r="AN107" i="55"/>
  <c r="AO107" i="55"/>
  <c r="AP107" i="55"/>
  <c r="AQ107" i="55"/>
  <c r="AR107" i="55"/>
  <c r="AS107" i="55"/>
  <c r="AT107" i="55"/>
  <c r="AU107" i="55"/>
  <c r="AV107" i="55"/>
  <c r="AW107" i="55"/>
  <c r="AX107" i="55"/>
  <c r="AY107" i="55"/>
  <c r="AZ107" i="55"/>
  <c r="BA107" i="55"/>
  <c r="BB107" i="55"/>
  <c r="BC107" i="55"/>
  <c r="BD107" i="55"/>
  <c r="BE107" i="55"/>
  <c r="AH33" i="55"/>
  <c r="AI33" i="55"/>
  <c r="AJ33" i="55"/>
  <c r="AK33" i="55"/>
  <c r="AL33" i="55"/>
  <c r="AM33" i="55"/>
  <c r="AN33" i="55"/>
  <c r="AO33" i="55"/>
  <c r="AP33" i="55"/>
  <c r="AQ33" i="55"/>
  <c r="AR33" i="55"/>
  <c r="AS33" i="55"/>
  <c r="AT33" i="55"/>
  <c r="AU33" i="55"/>
  <c r="AV33" i="55"/>
  <c r="AW33" i="55"/>
  <c r="AX33" i="55"/>
  <c r="AY33" i="55"/>
  <c r="AZ33" i="55"/>
  <c r="BA33" i="55"/>
  <c r="BB33" i="55"/>
  <c r="BC33" i="55"/>
  <c r="BD33" i="55"/>
  <c r="C108" i="55"/>
  <c r="D108" i="55"/>
  <c r="E108" i="55"/>
  <c r="F108" i="55"/>
  <c r="G108" i="55"/>
  <c r="H108" i="55"/>
  <c r="I108" i="55"/>
  <c r="J108" i="55"/>
  <c r="K108" i="55"/>
  <c r="L108" i="55"/>
  <c r="M108" i="55"/>
  <c r="N108" i="55"/>
  <c r="O108" i="55"/>
  <c r="P108" i="55"/>
  <c r="Q108" i="55"/>
  <c r="R108" i="55"/>
  <c r="S108" i="55"/>
  <c r="T108" i="55"/>
  <c r="U108" i="55"/>
  <c r="V108" i="55"/>
  <c r="W108" i="55"/>
  <c r="X108" i="55"/>
  <c r="Y108" i="55"/>
  <c r="Z108" i="55"/>
  <c r="AA108" i="55"/>
  <c r="AB108" i="55"/>
  <c r="AC108" i="55"/>
  <c r="AD108" i="55"/>
  <c r="AE108" i="55"/>
  <c r="AH108" i="55"/>
  <c r="AI108" i="55"/>
  <c r="AJ108" i="55"/>
  <c r="AM108" i="55"/>
  <c r="AN108" i="55"/>
  <c r="AO108" i="55"/>
  <c r="AP108" i="55"/>
  <c r="AQ108" i="55"/>
  <c r="AR108" i="55"/>
  <c r="AS108" i="55"/>
  <c r="AT108" i="55"/>
  <c r="AU108" i="55"/>
  <c r="AV108" i="55"/>
  <c r="AW108" i="55"/>
  <c r="AX108" i="55"/>
  <c r="AY108" i="55"/>
  <c r="AZ108" i="55"/>
  <c r="BA108" i="55"/>
  <c r="BB108" i="55"/>
  <c r="BC108" i="55"/>
  <c r="BD108" i="55"/>
  <c r="BE108" i="55"/>
  <c r="AH34" i="55"/>
  <c r="AI34" i="55"/>
  <c r="AJ34" i="55"/>
  <c r="AK34" i="55"/>
  <c r="AL34" i="55"/>
  <c r="AM34" i="55"/>
  <c r="AN34" i="55"/>
  <c r="AO34" i="55"/>
  <c r="AP34" i="55"/>
  <c r="AQ34" i="55"/>
  <c r="AR34" i="55"/>
  <c r="AS34" i="55"/>
  <c r="AT34" i="55"/>
  <c r="AU34" i="55"/>
  <c r="AV34" i="55"/>
  <c r="AW34" i="55"/>
  <c r="AX34" i="55"/>
  <c r="AY34" i="55"/>
  <c r="AZ34" i="55"/>
  <c r="BA34" i="55"/>
  <c r="BB34" i="55"/>
  <c r="BC34" i="55"/>
  <c r="BD34" i="55"/>
  <c r="C109" i="55"/>
  <c r="D109" i="55"/>
  <c r="E109" i="55"/>
  <c r="F109" i="55"/>
  <c r="G109" i="55"/>
  <c r="H109" i="55"/>
  <c r="I109" i="55"/>
  <c r="J109" i="55"/>
  <c r="K109" i="55"/>
  <c r="L109" i="55"/>
  <c r="M109" i="55"/>
  <c r="N109" i="55"/>
  <c r="O109" i="55"/>
  <c r="P109" i="55"/>
  <c r="Q109" i="55"/>
  <c r="R109" i="55"/>
  <c r="S109" i="55"/>
  <c r="T109" i="55"/>
  <c r="U109" i="55"/>
  <c r="V109" i="55"/>
  <c r="W109" i="55"/>
  <c r="X109" i="55"/>
  <c r="Y109" i="55"/>
  <c r="Z109" i="55"/>
  <c r="AA109" i="55"/>
  <c r="AB109" i="55"/>
  <c r="AC109" i="55"/>
  <c r="AD109" i="55"/>
  <c r="AE109" i="55"/>
  <c r="AH109" i="55"/>
  <c r="AI109" i="55"/>
  <c r="AJ109" i="55"/>
  <c r="AM109" i="55"/>
  <c r="AN109" i="55"/>
  <c r="AO109" i="55"/>
  <c r="AP109" i="55"/>
  <c r="AQ109" i="55"/>
  <c r="AR109" i="55"/>
  <c r="AS109" i="55"/>
  <c r="AT109" i="55"/>
  <c r="AU109" i="55"/>
  <c r="AV109" i="55"/>
  <c r="AW109" i="55"/>
  <c r="AX109" i="55"/>
  <c r="AY109" i="55"/>
  <c r="AZ109" i="55"/>
  <c r="BA109" i="55"/>
  <c r="BB109" i="55"/>
  <c r="BC109" i="55"/>
  <c r="BD109" i="55"/>
  <c r="BE109" i="55"/>
  <c r="AH35" i="55"/>
  <c r="AI35" i="55"/>
  <c r="AJ35" i="55"/>
  <c r="AK35" i="55"/>
  <c r="AL35" i="55"/>
  <c r="AM35" i="55"/>
  <c r="AN35" i="55"/>
  <c r="AO35" i="55"/>
  <c r="AP35" i="55"/>
  <c r="AQ35" i="55"/>
  <c r="AR35" i="55"/>
  <c r="AS35" i="55"/>
  <c r="AT35" i="55"/>
  <c r="AU35" i="55"/>
  <c r="AV35" i="55"/>
  <c r="AW35" i="55"/>
  <c r="AX35" i="55"/>
  <c r="AY35" i="55"/>
  <c r="AZ35" i="55"/>
  <c r="BA35" i="55"/>
  <c r="BB35" i="55"/>
  <c r="BC35" i="55"/>
  <c r="BD35" i="55"/>
  <c r="C110" i="55"/>
  <c r="D110" i="55"/>
  <c r="E110" i="55"/>
  <c r="F110" i="55"/>
  <c r="G110" i="55"/>
  <c r="H110" i="55"/>
  <c r="I110" i="55"/>
  <c r="J110" i="55"/>
  <c r="K110" i="55"/>
  <c r="L110" i="55"/>
  <c r="M110" i="55"/>
  <c r="N110" i="55"/>
  <c r="O110" i="55"/>
  <c r="P110" i="55"/>
  <c r="Q110" i="55"/>
  <c r="R110" i="55"/>
  <c r="S110" i="55"/>
  <c r="T110" i="55"/>
  <c r="U110" i="55"/>
  <c r="V110" i="55"/>
  <c r="W110" i="55"/>
  <c r="X110" i="55"/>
  <c r="Y110" i="55"/>
  <c r="Z110" i="55"/>
  <c r="AA110" i="55"/>
  <c r="AB110" i="55"/>
  <c r="AC110" i="55"/>
  <c r="AD110" i="55"/>
  <c r="AE110" i="55"/>
  <c r="AH110" i="55"/>
  <c r="AI110" i="55"/>
  <c r="AJ110" i="55"/>
  <c r="AM110" i="55"/>
  <c r="AN110" i="55"/>
  <c r="AO110" i="55"/>
  <c r="AP110" i="55"/>
  <c r="AQ110" i="55"/>
  <c r="AR110" i="55"/>
  <c r="AS110" i="55"/>
  <c r="AT110" i="55"/>
  <c r="AU110" i="55"/>
  <c r="AV110" i="55"/>
  <c r="AW110" i="55"/>
  <c r="AX110" i="55"/>
  <c r="AY110" i="55"/>
  <c r="AZ110" i="55"/>
  <c r="BA110" i="55"/>
  <c r="BB110" i="55"/>
  <c r="BC110" i="55"/>
  <c r="BD110" i="55"/>
  <c r="BE110" i="55"/>
  <c r="AH36" i="55"/>
  <c r="AI36" i="55"/>
  <c r="AJ36" i="55"/>
  <c r="AK36" i="55"/>
  <c r="AL36" i="55"/>
  <c r="AM36" i="55"/>
  <c r="AN36" i="55"/>
  <c r="AO36" i="55"/>
  <c r="AP36" i="55"/>
  <c r="AQ36" i="55"/>
  <c r="AR36" i="55"/>
  <c r="AS36" i="55"/>
  <c r="AT36" i="55"/>
  <c r="AU36" i="55"/>
  <c r="AV36" i="55"/>
  <c r="AW36" i="55"/>
  <c r="AX36" i="55"/>
  <c r="AY36" i="55"/>
  <c r="AZ36" i="55"/>
  <c r="BA36" i="55"/>
  <c r="BB36" i="55"/>
  <c r="BC36" i="55"/>
  <c r="BD36" i="55"/>
  <c r="C111" i="55"/>
  <c r="D111" i="55"/>
  <c r="E111" i="55"/>
  <c r="F111" i="55"/>
  <c r="G111" i="55"/>
  <c r="H111" i="55"/>
  <c r="I111" i="55"/>
  <c r="J111" i="55"/>
  <c r="K111" i="55"/>
  <c r="L111" i="55"/>
  <c r="M111" i="55"/>
  <c r="N111" i="55"/>
  <c r="O111" i="55"/>
  <c r="P111" i="55"/>
  <c r="Q111" i="55"/>
  <c r="R111" i="55"/>
  <c r="S111" i="55"/>
  <c r="T111" i="55"/>
  <c r="U111" i="55"/>
  <c r="V111" i="55"/>
  <c r="W111" i="55"/>
  <c r="X111" i="55"/>
  <c r="Y111" i="55"/>
  <c r="Z111" i="55"/>
  <c r="AA111" i="55"/>
  <c r="AB111" i="55"/>
  <c r="AC111" i="55"/>
  <c r="AD111" i="55"/>
  <c r="AE111" i="55"/>
  <c r="AH111" i="55"/>
  <c r="AI111" i="55"/>
  <c r="AJ111" i="55"/>
  <c r="AM111" i="55"/>
  <c r="AN111" i="55"/>
  <c r="AO111" i="55"/>
  <c r="AP111" i="55"/>
  <c r="AQ111" i="55"/>
  <c r="AR111" i="55"/>
  <c r="AS111" i="55"/>
  <c r="AT111" i="55"/>
  <c r="AU111" i="55"/>
  <c r="AV111" i="55"/>
  <c r="AW111" i="55"/>
  <c r="AX111" i="55"/>
  <c r="AY111" i="55"/>
  <c r="AZ111" i="55"/>
  <c r="BA111" i="55"/>
  <c r="BB111" i="55"/>
  <c r="BC111" i="55"/>
  <c r="BD111" i="55"/>
  <c r="BE111" i="55"/>
  <c r="AH37" i="55"/>
  <c r="AI37" i="55"/>
  <c r="AJ37" i="55"/>
  <c r="AK37" i="55"/>
  <c r="AL37" i="55"/>
  <c r="AM37" i="55"/>
  <c r="AN37" i="55"/>
  <c r="AO37" i="55"/>
  <c r="AP37" i="55"/>
  <c r="AQ37" i="55"/>
  <c r="AR37" i="55"/>
  <c r="AS37" i="55"/>
  <c r="AT37" i="55"/>
  <c r="AU37" i="55"/>
  <c r="AV37" i="55"/>
  <c r="AW37" i="55"/>
  <c r="AX37" i="55"/>
  <c r="AY37" i="55"/>
  <c r="AZ37" i="55"/>
  <c r="BA37" i="55"/>
  <c r="BB37" i="55"/>
  <c r="BC37" i="55"/>
  <c r="BD37" i="55"/>
  <c r="C112" i="55"/>
  <c r="D112" i="55"/>
  <c r="E112" i="55"/>
  <c r="F112" i="55"/>
  <c r="G112" i="55"/>
  <c r="H112" i="55"/>
  <c r="I112" i="55"/>
  <c r="J112" i="55"/>
  <c r="K112" i="55"/>
  <c r="L112" i="55"/>
  <c r="M112" i="55"/>
  <c r="N112" i="55"/>
  <c r="O112" i="55"/>
  <c r="P112" i="55"/>
  <c r="Q112" i="55"/>
  <c r="R112" i="55"/>
  <c r="S112" i="55"/>
  <c r="T112" i="55"/>
  <c r="U112" i="55"/>
  <c r="V112" i="55"/>
  <c r="W112" i="55"/>
  <c r="X112" i="55"/>
  <c r="Y112" i="55"/>
  <c r="Z112" i="55"/>
  <c r="AA112" i="55"/>
  <c r="AB112" i="55"/>
  <c r="AC112" i="55"/>
  <c r="AD112" i="55"/>
  <c r="AE112" i="55"/>
  <c r="AH112" i="55"/>
  <c r="AI112" i="55"/>
  <c r="AJ112" i="55"/>
  <c r="AM112" i="55"/>
  <c r="AN112" i="55"/>
  <c r="AO112" i="55"/>
  <c r="AP112" i="55"/>
  <c r="AQ112" i="55"/>
  <c r="AR112" i="55"/>
  <c r="AS112" i="55"/>
  <c r="AT112" i="55"/>
  <c r="AU112" i="55"/>
  <c r="AV112" i="55"/>
  <c r="AW112" i="55"/>
  <c r="AX112" i="55"/>
  <c r="AY112" i="55"/>
  <c r="AZ112" i="55"/>
  <c r="BA112" i="55"/>
  <c r="BB112" i="55"/>
  <c r="BC112" i="55"/>
  <c r="BD112" i="55"/>
  <c r="BE112" i="55"/>
  <c r="AH38" i="55"/>
  <c r="AI38" i="55"/>
  <c r="AJ38" i="55"/>
  <c r="AK38" i="55"/>
  <c r="AL38" i="55"/>
  <c r="AM38" i="55"/>
  <c r="AN38" i="55"/>
  <c r="AO38" i="55"/>
  <c r="AP38" i="55"/>
  <c r="AQ38" i="55"/>
  <c r="AR38" i="55"/>
  <c r="AS38" i="55"/>
  <c r="AT38" i="55"/>
  <c r="AU38" i="55"/>
  <c r="AV38" i="55"/>
  <c r="AW38" i="55"/>
  <c r="AX38" i="55"/>
  <c r="AY38" i="55"/>
  <c r="AZ38" i="55"/>
  <c r="BA38" i="55"/>
  <c r="BB38" i="55"/>
  <c r="BC38" i="55"/>
  <c r="BD38" i="55"/>
  <c r="C113" i="55"/>
  <c r="D113" i="55"/>
  <c r="E113" i="55"/>
  <c r="F113" i="55"/>
  <c r="G113" i="55"/>
  <c r="H113" i="55"/>
  <c r="I113" i="55"/>
  <c r="J113" i="55"/>
  <c r="K113" i="55"/>
  <c r="L113" i="55"/>
  <c r="M113" i="55"/>
  <c r="N113" i="55"/>
  <c r="O113" i="55"/>
  <c r="P113" i="55"/>
  <c r="Q113" i="55"/>
  <c r="R113" i="55"/>
  <c r="S113" i="55"/>
  <c r="T113" i="55"/>
  <c r="U113" i="55"/>
  <c r="V113" i="55"/>
  <c r="W113" i="55"/>
  <c r="X113" i="55"/>
  <c r="Y113" i="55"/>
  <c r="Z113" i="55"/>
  <c r="AA113" i="55"/>
  <c r="AB113" i="55"/>
  <c r="AC113" i="55"/>
  <c r="AD113" i="55"/>
  <c r="AE113" i="55"/>
  <c r="AH113" i="55"/>
  <c r="AI113" i="55"/>
  <c r="AJ113" i="55"/>
  <c r="AM113" i="55"/>
  <c r="AN113" i="55"/>
  <c r="AO113" i="55"/>
  <c r="AP113" i="55"/>
  <c r="AQ113" i="55"/>
  <c r="AR113" i="55"/>
  <c r="AS113" i="55"/>
  <c r="AT113" i="55"/>
  <c r="AU113" i="55"/>
  <c r="AV113" i="55"/>
  <c r="AW113" i="55"/>
  <c r="AX113" i="55"/>
  <c r="AY113" i="55"/>
  <c r="AZ113" i="55"/>
  <c r="BA113" i="55"/>
  <c r="BB113" i="55"/>
  <c r="BC113" i="55"/>
  <c r="BD113" i="55"/>
  <c r="BE113" i="55"/>
  <c r="AH39" i="55"/>
  <c r="AI39" i="55"/>
  <c r="AJ39" i="55"/>
  <c r="AK39" i="55"/>
  <c r="AL39" i="55"/>
  <c r="AM39" i="55"/>
  <c r="AN39" i="55"/>
  <c r="AO39" i="55"/>
  <c r="AP39" i="55"/>
  <c r="AQ39" i="55"/>
  <c r="AR39" i="55"/>
  <c r="AS39" i="55"/>
  <c r="AT39" i="55"/>
  <c r="AU39" i="55"/>
  <c r="AV39" i="55"/>
  <c r="AW39" i="55"/>
  <c r="AX39" i="55"/>
  <c r="AY39" i="55"/>
  <c r="AZ39" i="55"/>
  <c r="BA39" i="55"/>
  <c r="BB39" i="55"/>
  <c r="BC39" i="55"/>
  <c r="BD39" i="55"/>
  <c r="C114" i="55"/>
  <c r="D114" i="55"/>
  <c r="E114" i="55"/>
  <c r="F114" i="55"/>
  <c r="G114" i="55"/>
  <c r="H114" i="55"/>
  <c r="I114" i="55"/>
  <c r="J114" i="55"/>
  <c r="K114" i="55"/>
  <c r="L114" i="55"/>
  <c r="M114" i="55"/>
  <c r="N114" i="55"/>
  <c r="O114" i="55"/>
  <c r="P114" i="55"/>
  <c r="Q114" i="55"/>
  <c r="R114" i="55"/>
  <c r="S114" i="55"/>
  <c r="T114" i="55"/>
  <c r="U114" i="55"/>
  <c r="V114" i="55"/>
  <c r="W114" i="55"/>
  <c r="X114" i="55"/>
  <c r="Y114" i="55"/>
  <c r="Z114" i="55"/>
  <c r="AA114" i="55"/>
  <c r="AB114" i="55"/>
  <c r="AC114" i="55"/>
  <c r="AD114" i="55"/>
  <c r="AE114" i="55"/>
  <c r="AH114" i="55"/>
  <c r="AI114" i="55"/>
  <c r="AJ114" i="55"/>
  <c r="AM114" i="55"/>
  <c r="AN114" i="55"/>
  <c r="AO114" i="55"/>
  <c r="AP114" i="55"/>
  <c r="AQ114" i="55"/>
  <c r="AR114" i="55"/>
  <c r="AS114" i="55"/>
  <c r="AT114" i="55"/>
  <c r="AU114" i="55"/>
  <c r="AV114" i="55"/>
  <c r="AW114" i="55"/>
  <c r="AX114" i="55"/>
  <c r="AY114" i="55"/>
  <c r="AZ114" i="55"/>
  <c r="BA114" i="55"/>
  <c r="BB114" i="55"/>
  <c r="BC114" i="55"/>
  <c r="BD114" i="55"/>
  <c r="BE114" i="55"/>
  <c r="AH40" i="55"/>
  <c r="AI40" i="55"/>
  <c r="AJ40" i="55"/>
  <c r="AK40" i="55"/>
  <c r="AL40" i="55"/>
  <c r="AM40" i="55"/>
  <c r="AN40" i="55"/>
  <c r="AO40" i="55"/>
  <c r="AP40" i="55"/>
  <c r="AQ40" i="55"/>
  <c r="AR40" i="55"/>
  <c r="AS40" i="55"/>
  <c r="AT40" i="55"/>
  <c r="AU40" i="55"/>
  <c r="AV40" i="55"/>
  <c r="AW40" i="55"/>
  <c r="AX40" i="55"/>
  <c r="AY40" i="55"/>
  <c r="AZ40" i="55"/>
  <c r="BA40" i="55"/>
  <c r="BB40" i="55"/>
  <c r="BC40" i="55"/>
  <c r="BD40" i="55"/>
  <c r="C115" i="55"/>
  <c r="D115" i="55"/>
  <c r="E115" i="55"/>
  <c r="F115" i="55"/>
  <c r="G115" i="55"/>
  <c r="H115" i="55"/>
  <c r="I115" i="55"/>
  <c r="J115" i="55"/>
  <c r="K115" i="55"/>
  <c r="L115" i="55"/>
  <c r="M115" i="55"/>
  <c r="N115" i="55"/>
  <c r="O115" i="55"/>
  <c r="P115" i="55"/>
  <c r="Q115" i="55"/>
  <c r="R115" i="55"/>
  <c r="S115" i="55"/>
  <c r="T115" i="55"/>
  <c r="U115" i="55"/>
  <c r="V115" i="55"/>
  <c r="W115" i="55"/>
  <c r="X115" i="55"/>
  <c r="Y115" i="55"/>
  <c r="Z115" i="55"/>
  <c r="AA115" i="55"/>
  <c r="AB115" i="55"/>
  <c r="AC115" i="55"/>
  <c r="AD115" i="55"/>
  <c r="AE115" i="55"/>
  <c r="AI115" i="55"/>
  <c r="AJ115" i="55"/>
  <c r="AM115" i="55"/>
  <c r="AN115" i="55"/>
  <c r="AO115" i="55"/>
  <c r="AP115" i="55"/>
  <c r="AQ115" i="55"/>
  <c r="AR115" i="55"/>
  <c r="AS115" i="55"/>
  <c r="AT115" i="55"/>
  <c r="AU115" i="55"/>
  <c r="AV115" i="55"/>
  <c r="AW115" i="55"/>
  <c r="AX115" i="55"/>
  <c r="AY115" i="55"/>
  <c r="AZ115" i="55"/>
  <c r="BA115" i="55"/>
  <c r="BB115" i="55"/>
  <c r="BC115" i="55"/>
  <c r="BD115" i="55"/>
  <c r="BE115" i="55"/>
  <c r="AH41" i="55"/>
  <c r="AI41" i="55"/>
  <c r="AJ41" i="55"/>
  <c r="AK41" i="55"/>
  <c r="AL41" i="55"/>
  <c r="AM41" i="55"/>
  <c r="AN41" i="55"/>
  <c r="AO41" i="55"/>
  <c r="AP41" i="55"/>
  <c r="AQ41" i="55"/>
  <c r="AR41" i="55"/>
  <c r="AS41" i="55"/>
  <c r="AT41" i="55"/>
  <c r="AU41" i="55"/>
  <c r="AV41" i="55"/>
  <c r="AW41" i="55"/>
  <c r="AX41" i="55"/>
  <c r="AY41" i="55"/>
  <c r="AZ41" i="55"/>
  <c r="BA41" i="55"/>
  <c r="BB41" i="55"/>
  <c r="BC41" i="55"/>
  <c r="BD41" i="55"/>
  <c r="C116" i="55"/>
  <c r="D116" i="55"/>
  <c r="E116" i="55"/>
  <c r="F116" i="55"/>
  <c r="G116" i="55"/>
  <c r="H116" i="55"/>
  <c r="I116" i="55"/>
  <c r="J116" i="55"/>
  <c r="K116" i="55"/>
  <c r="L116" i="55"/>
  <c r="M116" i="55"/>
  <c r="N116" i="55"/>
  <c r="O116" i="55"/>
  <c r="P116" i="55"/>
  <c r="Q116" i="55"/>
  <c r="R116" i="55"/>
  <c r="S116" i="55"/>
  <c r="T116" i="55"/>
  <c r="U116" i="55"/>
  <c r="V116" i="55"/>
  <c r="W116" i="55"/>
  <c r="X116" i="55"/>
  <c r="Y116" i="55"/>
  <c r="Z116" i="55"/>
  <c r="AA116" i="55"/>
  <c r="AB116" i="55"/>
  <c r="AC116" i="55"/>
  <c r="AD116" i="55"/>
  <c r="AE116" i="55"/>
  <c r="AH116" i="55"/>
  <c r="AI116" i="55"/>
  <c r="AJ116" i="55"/>
  <c r="AM116" i="55"/>
  <c r="AN116" i="55"/>
  <c r="AO116" i="55"/>
  <c r="AP116" i="55"/>
  <c r="AQ116" i="55"/>
  <c r="AR116" i="55"/>
  <c r="AS116" i="55"/>
  <c r="AT116" i="55"/>
  <c r="AU116" i="55"/>
  <c r="AV116" i="55"/>
  <c r="AW116" i="55"/>
  <c r="AX116" i="55"/>
  <c r="AY116" i="55"/>
  <c r="AZ116" i="55"/>
  <c r="BA116" i="55"/>
  <c r="BB116" i="55"/>
  <c r="BC116" i="55"/>
  <c r="BD116" i="55"/>
  <c r="BE116" i="55"/>
  <c r="AH42" i="55"/>
  <c r="AI42" i="55"/>
  <c r="AJ42" i="55"/>
  <c r="AK42" i="55"/>
  <c r="AL42" i="55"/>
  <c r="AM42" i="55"/>
  <c r="AN42" i="55"/>
  <c r="AO42" i="55"/>
  <c r="AP42" i="55"/>
  <c r="AQ42" i="55"/>
  <c r="AR42" i="55"/>
  <c r="AS42" i="55"/>
  <c r="AT42" i="55"/>
  <c r="AU42" i="55"/>
  <c r="AV42" i="55"/>
  <c r="AW42" i="55"/>
  <c r="AX42" i="55"/>
  <c r="AY42" i="55"/>
  <c r="AZ42" i="55"/>
  <c r="BA42" i="55"/>
  <c r="BB42" i="55"/>
  <c r="BC42" i="55"/>
  <c r="BD42" i="55"/>
  <c r="C117" i="55"/>
  <c r="D117" i="55"/>
  <c r="E117" i="55"/>
  <c r="F117" i="55"/>
  <c r="G117" i="55"/>
  <c r="H117" i="55"/>
  <c r="I117" i="55"/>
  <c r="J117" i="55"/>
  <c r="K117" i="55"/>
  <c r="L117" i="55"/>
  <c r="M117" i="55"/>
  <c r="N117" i="55"/>
  <c r="O117" i="55"/>
  <c r="P117" i="55"/>
  <c r="Q117" i="55"/>
  <c r="R117" i="55"/>
  <c r="S117" i="55"/>
  <c r="T117" i="55"/>
  <c r="U117" i="55"/>
  <c r="V117" i="55"/>
  <c r="W117" i="55"/>
  <c r="X117" i="55"/>
  <c r="Y117" i="55"/>
  <c r="Z117" i="55"/>
  <c r="AA117" i="55"/>
  <c r="AB117" i="55"/>
  <c r="AC117" i="55"/>
  <c r="AD117" i="55"/>
  <c r="AE117" i="55"/>
  <c r="AI117" i="55"/>
  <c r="AJ117" i="55"/>
  <c r="AM117" i="55"/>
  <c r="AN117" i="55"/>
  <c r="AO117" i="55"/>
  <c r="AP117" i="55"/>
  <c r="AQ117" i="55"/>
  <c r="AR117" i="55"/>
  <c r="AS117" i="55"/>
  <c r="AT117" i="55"/>
  <c r="AU117" i="55"/>
  <c r="AV117" i="55"/>
  <c r="AW117" i="55"/>
  <c r="AX117" i="55"/>
  <c r="AY117" i="55"/>
  <c r="AZ117" i="55"/>
  <c r="BA117" i="55"/>
  <c r="BB117" i="55"/>
  <c r="BC117" i="55"/>
  <c r="BD117" i="55"/>
  <c r="BE117" i="55"/>
  <c r="AH43" i="55"/>
  <c r="AI43" i="55"/>
  <c r="AJ43" i="55"/>
  <c r="AK43" i="55"/>
  <c r="AL43" i="55"/>
  <c r="AM43" i="55"/>
  <c r="AN43" i="55"/>
  <c r="AO43" i="55"/>
  <c r="AP43" i="55"/>
  <c r="AQ43" i="55"/>
  <c r="AR43" i="55"/>
  <c r="AS43" i="55"/>
  <c r="AT43" i="55"/>
  <c r="AU43" i="55"/>
  <c r="AV43" i="55"/>
  <c r="AW43" i="55"/>
  <c r="AX43" i="55"/>
  <c r="AY43" i="55"/>
  <c r="AZ43" i="55"/>
  <c r="BA43" i="55"/>
  <c r="BB43" i="55"/>
  <c r="BC43" i="55"/>
  <c r="BD43" i="55"/>
  <c r="C118" i="55"/>
  <c r="D118" i="55"/>
  <c r="E118" i="55"/>
  <c r="F118" i="55"/>
  <c r="G118" i="55"/>
  <c r="H118" i="55"/>
  <c r="I118" i="55"/>
  <c r="J118" i="55"/>
  <c r="K118" i="55"/>
  <c r="L118" i="55"/>
  <c r="M118" i="55"/>
  <c r="N118" i="55"/>
  <c r="O118" i="55"/>
  <c r="P118" i="55"/>
  <c r="Q118" i="55"/>
  <c r="R118" i="55"/>
  <c r="S118" i="55"/>
  <c r="T118" i="55"/>
  <c r="U118" i="55"/>
  <c r="V118" i="55"/>
  <c r="W118" i="55"/>
  <c r="X118" i="55"/>
  <c r="Y118" i="55"/>
  <c r="Z118" i="55"/>
  <c r="AA118" i="55"/>
  <c r="AB118" i="55"/>
  <c r="AC118" i="55"/>
  <c r="AD118" i="55"/>
  <c r="AE118" i="55"/>
  <c r="AI118" i="55"/>
  <c r="AJ118" i="55"/>
  <c r="AM118" i="55"/>
  <c r="AN118" i="55"/>
  <c r="AO118" i="55"/>
  <c r="AP118" i="55"/>
  <c r="AQ118" i="55"/>
  <c r="AR118" i="55"/>
  <c r="AS118" i="55"/>
  <c r="AT118" i="55"/>
  <c r="AU118" i="55"/>
  <c r="AV118" i="55"/>
  <c r="AW118" i="55"/>
  <c r="AX118" i="55"/>
  <c r="AY118" i="55"/>
  <c r="AZ118" i="55"/>
  <c r="BA118" i="55"/>
  <c r="BB118" i="55"/>
  <c r="BC118" i="55"/>
  <c r="BD118" i="55"/>
  <c r="BE118" i="55"/>
  <c r="AH44" i="55"/>
  <c r="AI44" i="55"/>
  <c r="AJ44" i="55"/>
  <c r="AK44" i="55"/>
  <c r="AL44" i="55"/>
  <c r="AM44" i="55"/>
  <c r="AN44" i="55"/>
  <c r="AO44" i="55"/>
  <c r="AP44" i="55"/>
  <c r="AQ44" i="55"/>
  <c r="AR44" i="55"/>
  <c r="AS44" i="55"/>
  <c r="AT44" i="55"/>
  <c r="AU44" i="55"/>
  <c r="AV44" i="55"/>
  <c r="AW44" i="55"/>
  <c r="AX44" i="55"/>
  <c r="AY44" i="55"/>
  <c r="AZ44" i="55"/>
  <c r="BA44" i="55"/>
  <c r="BB44" i="55"/>
  <c r="BC44" i="55"/>
  <c r="BD44" i="55"/>
  <c r="C119" i="55"/>
  <c r="D119" i="55"/>
  <c r="E119" i="55"/>
  <c r="F119" i="55"/>
  <c r="G119" i="55"/>
  <c r="H119" i="55"/>
  <c r="I119" i="55"/>
  <c r="J119" i="55"/>
  <c r="K119" i="55"/>
  <c r="L119" i="55"/>
  <c r="M119" i="55"/>
  <c r="N119" i="55"/>
  <c r="O119" i="55"/>
  <c r="P119" i="55"/>
  <c r="Q119" i="55"/>
  <c r="R119" i="55"/>
  <c r="S119" i="55"/>
  <c r="T119" i="55"/>
  <c r="U119" i="55"/>
  <c r="V119" i="55"/>
  <c r="W119" i="55"/>
  <c r="X119" i="55"/>
  <c r="Y119" i="55"/>
  <c r="Z119" i="55"/>
  <c r="AA119" i="55"/>
  <c r="AB119" i="55"/>
  <c r="AC119" i="55"/>
  <c r="AD119" i="55"/>
  <c r="AE119" i="55"/>
  <c r="AH119" i="55"/>
  <c r="AI119" i="55"/>
  <c r="AJ119" i="55"/>
  <c r="AM119" i="55"/>
  <c r="AN119" i="55"/>
  <c r="AO119" i="55"/>
  <c r="AP119" i="55"/>
  <c r="AQ119" i="55"/>
  <c r="AR119" i="55"/>
  <c r="AS119" i="55"/>
  <c r="AT119" i="55"/>
  <c r="AU119" i="55"/>
  <c r="AV119" i="55"/>
  <c r="AW119" i="55"/>
  <c r="AX119" i="55"/>
  <c r="AY119" i="55"/>
  <c r="AZ119" i="55"/>
  <c r="BA119" i="55"/>
  <c r="BB119" i="55"/>
  <c r="BC119" i="55"/>
  <c r="BD119" i="55"/>
  <c r="BE119" i="55"/>
  <c r="AH45" i="55"/>
  <c r="AI45" i="55"/>
  <c r="AJ45" i="55"/>
  <c r="AK45" i="55"/>
  <c r="AL45" i="55"/>
  <c r="AM45" i="55"/>
  <c r="AN45" i="55"/>
  <c r="AO45" i="55"/>
  <c r="AP45" i="55"/>
  <c r="AQ45" i="55"/>
  <c r="AR45" i="55"/>
  <c r="AS45" i="55"/>
  <c r="AT45" i="55"/>
  <c r="AU45" i="55"/>
  <c r="AV45" i="55"/>
  <c r="AW45" i="55"/>
  <c r="AX45" i="55"/>
  <c r="AY45" i="55"/>
  <c r="AZ45" i="55"/>
  <c r="BA45" i="55"/>
  <c r="BB45" i="55"/>
  <c r="BC45" i="55"/>
  <c r="BD45" i="55"/>
  <c r="C120" i="55"/>
  <c r="D120" i="55"/>
  <c r="E120" i="55"/>
  <c r="F120" i="55"/>
  <c r="G120" i="55"/>
  <c r="H120" i="55"/>
  <c r="I120" i="55"/>
  <c r="J120" i="55"/>
  <c r="K120" i="55"/>
  <c r="L120" i="55"/>
  <c r="M120" i="55"/>
  <c r="N120" i="55"/>
  <c r="O120" i="55"/>
  <c r="P120" i="55"/>
  <c r="Q120" i="55"/>
  <c r="R120" i="55"/>
  <c r="S120" i="55"/>
  <c r="T120" i="55"/>
  <c r="U120" i="55"/>
  <c r="V120" i="55"/>
  <c r="W120" i="55"/>
  <c r="X120" i="55"/>
  <c r="Y120" i="55"/>
  <c r="Z120" i="55"/>
  <c r="AA120" i="55"/>
  <c r="AB120" i="55"/>
  <c r="AC120" i="55"/>
  <c r="AD120" i="55"/>
  <c r="AE120" i="55"/>
  <c r="AH120" i="55"/>
  <c r="AI120" i="55"/>
  <c r="AJ120" i="55"/>
  <c r="AM120" i="55"/>
  <c r="AN120" i="55"/>
  <c r="AO120" i="55"/>
  <c r="AP120" i="55"/>
  <c r="AQ120" i="55"/>
  <c r="AR120" i="55"/>
  <c r="AS120" i="55"/>
  <c r="AT120" i="55"/>
  <c r="AU120" i="55"/>
  <c r="AV120" i="55"/>
  <c r="AW120" i="55"/>
  <c r="AX120" i="55"/>
  <c r="AY120" i="55"/>
  <c r="AZ120" i="55"/>
  <c r="BA120" i="55"/>
  <c r="BB120" i="55"/>
  <c r="BC120" i="55"/>
  <c r="BD120" i="55"/>
  <c r="BE120" i="55"/>
  <c r="AH46" i="55"/>
  <c r="AI46" i="55"/>
  <c r="AJ46" i="55"/>
  <c r="AK46" i="55"/>
  <c r="AL46" i="55"/>
  <c r="AM46" i="55"/>
  <c r="AN46" i="55"/>
  <c r="AO46" i="55"/>
  <c r="AP46" i="55"/>
  <c r="AQ46" i="55"/>
  <c r="AR46" i="55"/>
  <c r="AS46" i="55"/>
  <c r="AT46" i="55"/>
  <c r="AU46" i="55"/>
  <c r="AV46" i="55"/>
  <c r="AW46" i="55"/>
  <c r="AX46" i="55"/>
  <c r="AY46" i="55"/>
  <c r="AZ46" i="55"/>
  <c r="BA46" i="55"/>
  <c r="BB46" i="55"/>
  <c r="BC46" i="55"/>
  <c r="BD46" i="55"/>
  <c r="C121" i="55"/>
  <c r="D121" i="55"/>
  <c r="E121" i="55"/>
  <c r="F121" i="55"/>
  <c r="G121" i="55"/>
  <c r="H121" i="55"/>
  <c r="I121" i="55"/>
  <c r="J121" i="55"/>
  <c r="K121" i="55"/>
  <c r="L121" i="55"/>
  <c r="M121" i="55"/>
  <c r="N121" i="55"/>
  <c r="O121" i="55"/>
  <c r="P121" i="55"/>
  <c r="Q121" i="55"/>
  <c r="R121" i="55"/>
  <c r="S121" i="55"/>
  <c r="T121" i="55"/>
  <c r="U121" i="55"/>
  <c r="V121" i="55"/>
  <c r="W121" i="55"/>
  <c r="X121" i="55"/>
  <c r="Y121" i="55"/>
  <c r="Z121" i="55"/>
  <c r="AA121" i="55"/>
  <c r="AB121" i="55"/>
  <c r="AC121" i="55"/>
  <c r="AD121" i="55"/>
  <c r="AE121" i="55"/>
  <c r="AH121" i="55"/>
  <c r="AI121" i="55"/>
  <c r="AJ121" i="55"/>
  <c r="AM121" i="55"/>
  <c r="AN121" i="55"/>
  <c r="AO121" i="55"/>
  <c r="AP121" i="55"/>
  <c r="AQ121" i="55"/>
  <c r="AR121" i="55"/>
  <c r="AS121" i="55"/>
  <c r="AT121" i="55"/>
  <c r="AU121" i="55"/>
  <c r="AV121" i="55"/>
  <c r="AW121" i="55"/>
  <c r="AX121" i="55"/>
  <c r="AY121" i="55"/>
  <c r="AZ121" i="55"/>
  <c r="BA121" i="55"/>
  <c r="BB121" i="55"/>
  <c r="BC121" i="55"/>
  <c r="BD121" i="55"/>
  <c r="BE121" i="55"/>
  <c r="AH47" i="55"/>
  <c r="AI47" i="55"/>
  <c r="AJ47" i="55"/>
  <c r="AK47" i="55"/>
  <c r="AL47" i="55"/>
  <c r="AM47" i="55"/>
  <c r="AN47" i="55"/>
  <c r="AO47" i="55"/>
  <c r="AP47" i="55"/>
  <c r="AQ47" i="55"/>
  <c r="AR47" i="55"/>
  <c r="AS47" i="55"/>
  <c r="AT47" i="55"/>
  <c r="AU47" i="55"/>
  <c r="AV47" i="55"/>
  <c r="AW47" i="55"/>
  <c r="AX47" i="55"/>
  <c r="AY47" i="55"/>
  <c r="AZ47" i="55"/>
  <c r="BA47" i="55"/>
  <c r="BB47" i="55"/>
  <c r="BC47" i="55"/>
  <c r="BD47" i="55"/>
  <c r="C122" i="55"/>
  <c r="D122" i="55"/>
  <c r="E122" i="55"/>
  <c r="F122" i="55"/>
  <c r="G122" i="55"/>
  <c r="H122" i="55"/>
  <c r="I122" i="55"/>
  <c r="J122" i="55"/>
  <c r="K122" i="55"/>
  <c r="L122" i="55"/>
  <c r="M122" i="55"/>
  <c r="N122" i="55"/>
  <c r="O122" i="55"/>
  <c r="P122" i="55"/>
  <c r="Q122" i="55"/>
  <c r="R122" i="55"/>
  <c r="S122" i="55"/>
  <c r="T122" i="55"/>
  <c r="U122" i="55"/>
  <c r="V122" i="55"/>
  <c r="W122" i="55"/>
  <c r="X122" i="55"/>
  <c r="Y122" i="55"/>
  <c r="Z122" i="55"/>
  <c r="AA122" i="55"/>
  <c r="AB122" i="55"/>
  <c r="AC122" i="55"/>
  <c r="AD122" i="55"/>
  <c r="AE122" i="55"/>
  <c r="AH122" i="55"/>
  <c r="AI122" i="55"/>
  <c r="AJ122" i="55"/>
  <c r="AM122" i="55"/>
  <c r="AN122" i="55"/>
  <c r="AO122" i="55"/>
  <c r="AP122" i="55"/>
  <c r="AQ122" i="55"/>
  <c r="AR122" i="55"/>
  <c r="AS122" i="55"/>
  <c r="AT122" i="55"/>
  <c r="AU122" i="55"/>
  <c r="AV122" i="55"/>
  <c r="AW122" i="55"/>
  <c r="AX122" i="55"/>
  <c r="AY122" i="55"/>
  <c r="AZ122" i="55"/>
  <c r="BA122" i="55"/>
  <c r="BB122" i="55"/>
  <c r="BC122" i="55"/>
  <c r="BD122" i="55"/>
  <c r="BE122" i="55"/>
  <c r="AH48" i="55"/>
  <c r="AI48" i="55"/>
  <c r="AJ48" i="55"/>
  <c r="AK48" i="55"/>
  <c r="AL48" i="55"/>
  <c r="AM48" i="55"/>
  <c r="AN48" i="55"/>
  <c r="AO48" i="55"/>
  <c r="AP48" i="55"/>
  <c r="AQ48" i="55"/>
  <c r="AR48" i="55"/>
  <c r="AS48" i="55"/>
  <c r="AT48" i="55"/>
  <c r="AU48" i="55"/>
  <c r="AV48" i="55"/>
  <c r="AW48" i="55"/>
  <c r="AX48" i="55"/>
  <c r="AY48" i="55"/>
  <c r="AZ48" i="55"/>
  <c r="BA48" i="55"/>
  <c r="BB48" i="55"/>
  <c r="BC48" i="55"/>
  <c r="BD48" i="55"/>
  <c r="C123" i="55"/>
  <c r="D123" i="55"/>
  <c r="E123" i="55"/>
  <c r="F123" i="55"/>
  <c r="G123" i="55"/>
  <c r="H123" i="55"/>
  <c r="I123" i="55"/>
  <c r="J123" i="55"/>
  <c r="K123" i="55"/>
  <c r="L123" i="55"/>
  <c r="M123" i="55"/>
  <c r="N123" i="55"/>
  <c r="O123" i="55"/>
  <c r="P123" i="55"/>
  <c r="Q123" i="55"/>
  <c r="R123" i="55"/>
  <c r="S123" i="55"/>
  <c r="T123" i="55"/>
  <c r="U123" i="55"/>
  <c r="V123" i="55"/>
  <c r="W123" i="55"/>
  <c r="X123" i="55"/>
  <c r="Y123" i="55"/>
  <c r="Z123" i="55"/>
  <c r="AA123" i="55"/>
  <c r="AB123" i="55"/>
  <c r="AC123" i="55"/>
  <c r="AD123" i="55"/>
  <c r="AE123" i="55"/>
  <c r="AH123" i="55"/>
  <c r="AI123" i="55"/>
  <c r="AJ123" i="55"/>
  <c r="AM123" i="55"/>
  <c r="AN123" i="55"/>
  <c r="AO123" i="55"/>
  <c r="AP123" i="55"/>
  <c r="AQ123" i="55"/>
  <c r="AR123" i="55"/>
  <c r="AS123" i="55"/>
  <c r="AT123" i="55"/>
  <c r="AU123" i="55"/>
  <c r="AV123" i="55"/>
  <c r="AW123" i="55"/>
  <c r="AX123" i="55"/>
  <c r="AY123" i="55"/>
  <c r="AZ123" i="55"/>
  <c r="BA123" i="55"/>
  <c r="BB123" i="55"/>
  <c r="BC123" i="55"/>
  <c r="BD123" i="55"/>
  <c r="BE123" i="55"/>
  <c r="AH49" i="55"/>
  <c r="AI49" i="55"/>
  <c r="AJ49" i="55"/>
  <c r="AK49" i="55"/>
  <c r="AL49" i="55"/>
  <c r="AM49" i="55"/>
  <c r="AN49" i="55"/>
  <c r="AO49" i="55"/>
  <c r="AP49" i="55"/>
  <c r="AQ49" i="55"/>
  <c r="AR49" i="55"/>
  <c r="AS49" i="55"/>
  <c r="AT49" i="55"/>
  <c r="AU49" i="55"/>
  <c r="AV49" i="55"/>
  <c r="AW49" i="55"/>
  <c r="AX49" i="55"/>
  <c r="AY49" i="55"/>
  <c r="AZ49" i="55"/>
  <c r="BA49" i="55"/>
  <c r="BB49" i="55"/>
  <c r="BC49" i="55"/>
  <c r="BD49" i="55"/>
  <c r="C124" i="55"/>
  <c r="D124" i="55"/>
  <c r="E124" i="55"/>
  <c r="F124" i="55"/>
  <c r="G124" i="55"/>
  <c r="H124" i="55"/>
  <c r="I124" i="55"/>
  <c r="J124" i="55"/>
  <c r="K124" i="55"/>
  <c r="L124" i="55"/>
  <c r="M124" i="55"/>
  <c r="N124" i="55"/>
  <c r="O124" i="55"/>
  <c r="P124" i="55"/>
  <c r="Q124" i="55"/>
  <c r="R124" i="55"/>
  <c r="S124" i="55"/>
  <c r="T124" i="55"/>
  <c r="U124" i="55"/>
  <c r="V124" i="55"/>
  <c r="W124" i="55"/>
  <c r="X124" i="55"/>
  <c r="Y124" i="55"/>
  <c r="Z124" i="55"/>
  <c r="AA124" i="55"/>
  <c r="AB124" i="55"/>
  <c r="AC124" i="55"/>
  <c r="AD124" i="55"/>
  <c r="AE124" i="55"/>
  <c r="AH124" i="55"/>
  <c r="AI124" i="55"/>
  <c r="AJ124" i="55"/>
  <c r="AM124" i="55"/>
  <c r="AN124" i="55"/>
  <c r="AO124" i="55"/>
  <c r="AP124" i="55"/>
  <c r="AQ124" i="55"/>
  <c r="AR124" i="55"/>
  <c r="AS124" i="55"/>
  <c r="AT124" i="55"/>
  <c r="AU124" i="55"/>
  <c r="AV124" i="55"/>
  <c r="AW124" i="55"/>
  <c r="AX124" i="55"/>
  <c r="AY124" i="55"/>
  <c r="AZ124" i="55"/>
  <c r="BA124" i="55"/>
  <c r="BB124" i="55"/>
  <c r="BC124" i="55"/>
  <c r="BD124" i="55"/>
  <c r="BE124" i="55"/>
  <c r="AH50" i="55"/>
  <c r="AI50" i="55"/>
  <c r="AJ50" i="55"/>
  <c r="AK50" i="55"/>
  <c r="AL50" i="55"/>
  <c r="AM50" i="55"/>
  <c r="AN50" i="55"/>
  <c r="AO50" i="55"/>
  <c r="AP50" i="55"/>
  <c r="AQ50" i="55"/>
  <c r="AR50" i="55"/>
  <c r="AS50" i="55"/>
  <c r="AT50" i="55"/>
  <c r="AU50" i="55"/>
  <c r="AV50" i="55"/>
  <c r="AW50" i="55"/>
  <c r="AX50" i="55"/>
  <c r="AY50" i="55"/>
  <c r="AZ50" i="55"/>
  <c r="BA50" i="55"/>
  <c r="BB50" i="55"/>
  <c r="BC50" i="55"/>
  <c r="BD50" i="55"/>
  <c r="C125" i="55"/>
  <c r="D125" i="55"/>
  <c r="E125" i="55"/>
  <c r="F125" i="55"/>
  <c r="G125" i="55"/>
  <c r="H125" i="55"/>
  <c r="I125" i="55"/>
  <c r="J125" i="55"/>
  <c r="K125" i="55"/>
  <c r="L125" i="55"/>
  <c r="M125" i="55"/>
  <c r="N125" i="55"/>
  <c r="O125" i="55"/>
  <c r="P125" i="55"/>
  <c r="Q125" i="55"/>
  <c r="R125" i="55"/>
  <c r="S125" i="55"/>
  <c r="T125" i="55"/>
  <c r="U125" i="55"/>
  <c r="V125" i="55"/>
  <c r="W125" i="55"/>
  <c r="X125" i="55"/>
  <c r="Y125" i="55"/>
  <c r="Z125" i="55"/>
  <c r="AA125" i="55"/>
  <c r="AB125" i="55"/>
  <c r="AC125" i="55"/>
  <c r="AD125" i="55"/>
  <c r="AE125" i="55"/>
  <c r="AH125" i="55"/>
  <c r="AI125" i="55"/>
  <c r="AJ125" i="55"/>
  <c r="AM125" i="55"/>
  <c r="AN125" i="55"/>
  <c r="AO125" i="55"/>
  <c r="AP125" i="55"/>
  <c r="AQ125" i="55"/>
  <c r="AR125" i="55"/>
  <c r="AS125" i="55"/>
  <c r="AT125" i="55"/>
  <c r="AU125" i="55"/>
  <c r="AV125" i="55"/>
  <c r="AW125" i="55"/>
  <c r="AX125" i="55"/>
  <c r="AY125" i="55"/>
  <c r="AZ125" i="55"/>
  <c r="BA125" i="55"/>
  <c r="BB125" i="55"/>
  <c r="BC125" i="55"/>
  <c r="BD125" i="55"/>
  <c r="BE125" i="55"/>
  <c r="AH51" i="55"/>
  <c r="AI51" i="55"/>
  <c r="AJ51" i="55"/>
  <c r="AK51" i="55"/>
  <c r="AL51" i="55"/>
  <c r="AM51" i="55"/>
  <c r="AN51" i="55"/>
  <c r="AO51" i="55"/>
  <c r="AP51" i="55"/>
  <c r="AQ51" i="55"/>
  <c r="AR51" i="55"/>
  <c r="AS51" i="55"/>
  <c r="AT51" i="55"/>
  <c r="AU51" i="55"/>
  <c r="AV51" i="55"/>
  <c r="AW51" i="55"/>
  <c r="AX51" i="55"/>
  <c r="AY51" i="55"/>
  <c r="AZ51" i="55"/>
  <c r="BA51" i="55"/>
  <c r="BB51" i="55"/>
  <c r="BC51" i="55"/>
  <c r="BD51" i="55"/>
  <c r="C126" i="55"/>
  <c r="D126" i="55"/>
  <c r="E126" i="55"/>
  <c r="F126" i="55"/>
  <c r="G126" i="55"/>
  <c r="H126" i="55"/>
  <c r="I126" i="55"/>
  <c r="J126" i="55"/>
  <c r="K126" i="55"/>
  <c r="L126" i="55"/>
  <c r="M126" i="55"/>
  <c r="N126" i="55"/>
  <c r="O126" i="55"/>
  <c r="P126" i="55"/>
  <c r="Q126" i="55"/>
  <c r="R126" i="55"/>
  <c r="S126" i="55"/>
  <c r="T126" i="55"/>
  <c r="U126" i="55"/>
  <c r="V126" i="55"/>
  <c r="W126" i="55"/>
  <c r="X126" i="55"/>
  <c r="Y126" i="55"/>
  <c r="Z126" i="55"/>
  <c r="AA126" i="55"/>
  <c r="AB126" i="55"/>
  <c r="AC126" i="55"/>
  <c r="AD126" i="55"/>
  <c r="AE126" i="55"/>
  <c r="AH126" i="55"/>
  <c r="AI126" i="55"/>
  <c r="AJ126" i="55"/>
  <c r="AM126" i="55"/>
  <c r="AN126" i="55"/>
  <c r="AO126" i="55"/>
  <c r="AP126" i="55"/>
  <c r="AQ126" i="55"/>
  <c r="AR126" i="55"/>
  <c r="AS126" i="55"/>
  <c r="AT126" i="55"/>
  <c r="AU126" i="55"/>
  <c r="AV126" i="55"/>
  <c r="AW126" i="55"/>
  <c r="AX126" i="55"/>
  <c r="AY126" i="55"/>
  <c r="AZ126" i="55"/>
  <c r="BA126" i="55"/>
  <c r="BB126" i="55"/>
  <c r="BC126" i="55"/>
  <c r="BD126" i="55"/>
  <c r="BE126" i="55"/>
  <c r="AH52" i="55"/>
  <c r="AI52" i="55"/>
  <c r="AJ52" i="55"/>
  <c r="AK52" i="55"/>
  <c r="AL52" i="55"/>
  <c r="AM52" i="55"/>
  <c r="AN52" i="55"/>
  <c r="AO52" i="55"/>
  <c r="AP52" i="55"/>
  <c r="AQ52" i="55"/>
  <c r="AR52" i="55"/>
  <c r="AS52" i="55"/>
  <c r="AT52" i="55"/>
  <c r="AU52" i="55"/>
  <c r="AV52" i="55"/>
  <c r="AW52" i="55"/>
  <c r="AX52" i="55"/>
  <c r="AY52" i="55"/>
  <c r="AZ52" i="55"/>
  <c r="BA52" i="55"/>
  <c r="BB52" i="55"/>
  <c r="BC52" i="55"/>
  <c r="BD52" i="55"/>
  <c r="C127" i="55"/>
  <c r="D127" i="55"/>
  <c r="E127" i="55"/>
  <c r="F127" i="55"/>
  <c r="G127" i="55"/>
  <c r="H127" i="55"/>
  <c r="I127" i="55"/>
  <c r="J127" i="55"/>
  <c r="K127" i="55"/>
  <c r="L127" i="55"/>
  <c r="M127" i="55"/>
  <c r="N127" i="55"/>
  <c r="O127" i="55"/>
  <c r="P127" i="55"/>
  <c r="Q127" i="55"/>
  <c r="R127" i="55"/>
  <c r="S127" i="55"/>
  <c r="T127" i="55"/>
  <c r="U127" i="55"/>
  <c r="V127" i="55"/>
  <c r="W127" i="55"/>
  <c r="X127" i="55"/>
  <c r="Y127" i="55"/>
  <c r="Z127" i="55"/>
  <c r="AA127" i="55"/>
  <c r="AB127" i="55"/>
  <c r="AC127" i="55"/>
  <c r="AD127" i="55"/>
  <c r="AE127" i="55"/>
  <c r="AH127" i="55"/>
  <c r="AI127" i="55"/>
  <c r="AJ127" i="55"/>
  <c r="AM127" i="55"/>
  <c r="AN127" i="55"/>
  <c r="AO127" i="55"/>
  <c r="AP127" i="55"/>
  <c r="AQ127" i="55"/>
  <c r="AR127" i="55"/>
  <c r="AS127" i="55"/>
  <c r="AT127" i="55"/>
  <c r="AU127" i="55"/>
  <c r="AV127" i="55"/>
  <c r="AW127" i="55"/>
  <c r="AX127" i="55"/>
  <c r="AY127" i="55"/>
  <c r="AZ127" i="55"/>
  <c r="BA127" i="55"/>
  <c r="BB127" i="55"/>
  <c r="BC127" i="55"/>
  <c r="BD127" i="55"/>
  <c r="BE127" i="55"/>
  <c r="AH53" i="55"/>
  <c r="AI53" i="55"/>
  <c r="AJ53" i="55"/>
  <c r="AK53" i="55"/>
  <c r="AL53" i="55"/>
  <c r="AM53" i="55"/>
  <c r="AN53" i="55"/>
  <c r="AO53" i="55"/>
  <c r="AP53" i="55"/>
  <c r="AQ53" i="55"/>
  <c r="AR53" i="55"/>
  <c r="AS53" i="55"/>
  <c r="AT53" i="55"/>
  <c r="AU53" i="55"/>
  <c r="AV53" i="55"/>
  <c r="AW53" i="55"/>
  <c r="AX53" i="55"/>
  <c r="AY53" i="55"/>
  <c r="AZ53" i="55"/>
  <c r="BA53" i="55"/>
  <c r="BB53" i="55"/>
  <c r="BC53" i="55"/>
  <c r="BD53" i="55"/>
  <c r="C128" i="55"/>
  <c r="D128" i="55"/>
  <c r="E128" i="55"/>
  <c r="F128" i="55"/>
  <c r="G128" i="55"/>
  <c r="H128" i="55"/>
  <c r="I128" i="55"/>
  <c r="J128" i="55"/>
  <c r="K128" i="55"/>
  <c r="L128" i="55"/>
  <c r="M128" i="55"/>
  <c r="N128" i="55"/>
  <c r="O128" i="55"/>
  <c r="P128" i="55"/>
  <c r="Q128" i="55"/>
  <c r="R128" i="55"/>
  <c r="S128" i="55"/>
  <c r="T128" i="55"/>
  <c r="U128" i="55"/>
  <c r="V128" i="55"/>
  <c r="W128" i="55"/>
  <c r="X128" i="55"/>
  <c r="Y128" i="55"/>
  <c r="Z128" i="55"/>
  <c r="AA128" i="55"/>
  <c r="AB128" i="55"/>
  <c r="AC128" i="55"/>
  <c r="AD128" i="55"/>
  <c r="AE128" i="55"/>
  <c r="AH128" i="55"/>
  <c r="AI128" i="55"/>
  <c r="AJ128" i="55"/>
  <c r="AM128" i="55"/>
  <c r="AN128" i="55"/>
  <c r="AO128" i="55"/>
  <c r="AP128" i="55"/>
  <c r="AQ128" i="55"/>
  <c r="AR128" i="55"/>
  <c r="AS128" i="55"/>
  <c r="AT128" i="55"/>
  <c r="AU128" i="55"/>
  <c r="AV128" i="55"/>
  <c r="AW128" i="55"/>
  <c r="AX128" i="55"/>
  <c r="AY128" i="55"/>
  <c r="AZ128" i="55"/>
  <c r="BA128" i="55"/>
  <c r="BB128" i="55"/>
  <c r="BC128" i="55"/>
  <c r="BD128" i="55"/>
  <c r="BE128" i="55"/>
  <c r="AH54" i="55"/>
  <c r="AI54" i="55"/>
  <c r="AJ54" i="55"/>
  <c r="AK54" i="55"/>
  <c r="AL54" i="55"/>
  <c r="AM54" i="55"/>
  <c r="AN54" i="55"/>
  <c r="AO54" i="55"/>
  <c r="AP54" i="55"/>
  <c r="AQ54" i="55"/>
  <c r="AR54" i="55"/>
  <c r="AS54" i="55"/>
  <c r="AT54" i="55"/>
  <c r="AU54" i="55"/>
  <c r="AV54" i="55"/>
  <c r="AW54" i="55"/>
  <c r="AX54" i="55"/>
  <c r="AY54" i="55"/>
  <c r="AZ54" i="55"/>
  <c r="BA54" i="55"/>
  <c r="BB54" i="55"/>
  <c r="BC54" i="55"/>
  <c r="BD54" i="55"/>
  <c r="C129" i="55"/>
  <c r="D129" i="55"/>
  <c r="E129" i="55"/>
  <c r="F129" i="55"/>
  <c r="G129" i="55"/>
  <c r="H129" i="55"/>
  <c r="I129" i="55"/>
  <c r="J129" i="55"/>
  <c r="K129" i="55"/>
  <c r="L129" i="55"/>
  <c r="M129" i="55"/>
  <c r="N129" i="55"/>
  <c r="O129" i="55"/>
  <c r="P129" i="55"/>
  <c r="Q129" i="55"/>
  <c r="R129" i="55"/>
  <c r="S129" i="55"/>
  <c r="T129" i="55"/>
  <c r="U129" i="55"/>
  <c r="V129" i="55"/>
  <c r="W129" i="55"/>
  <c r="X129" i="55"/>
  <c r="Y129" i="55"/>
  <c r="Z129" i="55"/>
  <c r="AA129" i="55"/>
  <c r="AB129" i="55"/>
  <c r="AC129" i="55"/>
  <c r="AD129" i="55"/>
  <c r="AE129" i="55"/>
  <c r="AH129" i="55"/>
  <c r="AI129" i="55"/>
  <c r="AJ129" i="55"/>
  <c r="AM129" i="55"/>
  <c r="AN129" i="55"/>
  <c r="AO129" i="55"/>
  <c r="AP129" i="55"/>
  <c r="AQ129" i="55"/>
  <c r="AR129" i="55"/>
  <c r="AS129" i="55"/>
  <c r="AT129" i="55"/>
  <c r="AU129" i="55"/>
  <c r="AV129" i="55"/>
  <c r="AW129" i="55"/>
  <c r="AX129" i="55"/>
  <c r="AY129" i="55"/>
  <c r="AZ129" i="55"/>
  <c r="BA129" i="55"/>
  <c r="BB129" i="55"/>
  <c r="BC129" i="55"/>
  <c r="BD129" i="55"/>
  <c r="BE129" i="55"/>
  <c r="AH55" i="55"/>
  <c r="AI55" i="55"/>
  <c r="AJ55" i="55"/>
  <c r="AK55" i="55"/>
  <c r="AL55" i="55"/>
  <c r="AM55" i="55"/>
  <c r="AN55" i="55"/>
  <c r="AO55" i="55"/>
  <c r="AP55" i="55"/>
  <c r="AQ55" i="55"/>
  <c r="AR55" i="55"/>
  <c r="AS55" i="55"/>
  <c r="AT55" i="55"/>
  <c r="AU55" i="55"/>
  <c r="AV55" i="55"/>
  <c r="AW55" i="55"/>
  <c r="AX55" i="55"/>
  <c r="AY55" i="55"/>
  <c r="AZ55" i="55"/>
  <c r="BA55" i="55"/>
  <c r="BB55" i="55"/>
  <c r="BC55" i="55"/>
  <c r="BD55" i="55"/>
  <c r="C130" i="55"/>
  <c r="D130" i="55"/>
  <c r="E130" i="55"/>
  <c r="F130" i="55"/>
  <c r="G130" i="55"/>
  <c r="H130" i="55"/>
  <c r="I130" i="55"/>
  <c r="J130" i="55"/>
  <c r="K130" i="55"/>
  <c r="L130" i="55"/>
  <c r="M130" i="55"/>
  <c r="N130" i="55"/>
  <c r="O130" i="55"/>
  <c r="P130" i="55"/>
  <c r="Q130" i="55"/>
  <c r="R130" i="55"/>
  <c r="S130" i="55"/>
  <c r="T130" i="55"/>
  <c r="U130" i="55"/>
  <c r="V130" i="55"/>
  <c r="W130" i="55"/>
  <c r="X130" i="55"/>
  <c r="Y130" i="55"/>
  <c r="Z130" i="55"/>
  <c r="AA130" i="55"/>
  <c r="AB130" i="55"/>
  <c r="AC130" i="55"/>
  <c r="AD130" i="55"/>
  <c r="AE130" i="55"/>
  <c r="AH130" i="55"/>
  <c r="AI130" i="55"/>
  <c r="AJ130" i="55"/>
  <c r="AM130" i="55"/>
  <c r="AN130" i="55"/>
  <c r="AO130" i="55"/>
  <c r="AP130" i="55"/>
  <c r="AQ130" i="55"/>
  <c r="AR130" i="55"/>
  <c r="AS130" i="55"/>
  <c r="AT130" i="55"/>
  <c r="AU130" i="55"/>
  <c r="AV130" i="55"/>
  <c r="AW130" i="55"/>
  <c r="AX130" i="55"/>
  <c r="AY130" i="55"/>
  <c r="AZ130" i="55"/>
  <c r="BA130" i="55"/>
  <c r="BB130" i="55"/>
  <c r="BC130" i="55"/>
  <c r="BD130" i="55"/>
  <c r="BE130" i="55"/>
  <c r="AH56" i="55"/>
  <c r="AI56" i="55"/>
  <c r="AJ56" i="55"/>
  <c r="AK56" i="55"/>
  <c r="AL56" i="55"/>
  <c r="AM56" i="55"/>
  <c r="AN56" i="55"/>
  <c r="AO56" i="55"/>
  <c r="AP56" i="55"/>
  <c r="AQ56" i="55"/>
  <c r="AR56" i="55"/>
  <c r="AS56" i="55"/>
  <c r="AT56" i="55"/>
  <c r="AU56" i="55"/>
  <c r="AV56" i="55"/>
  <c r="AW56" i="55"/>
  <c r="AX56" i="55"/>
  <c r="AY56" i="55"/>
  <c r="AZ56" i="55"/>
  <c r="BA56" i="55"/>
  <c r="BB56" i="55"/>
  <c r="BC56" i="55"/>
  <c r="BD56" i="55"/>
  <c r="C131" i="55"/>
  <c r="D131" i="55"/>
  <c r="E131" i="55"/>
  <c r="F131" i="55"/>
  <c r="G131" i="55"/>
  <c r="H131" i="55"/>
  <c r="I131" i="55"/>
  <c r="J131" i="55"/>
  <c r="K131" i="55"/>
  <c r="L131" i="55"/>
  <c r="M131" i="55"/>
  <c r="N131" i="55"/>
  <c r="O131" i="55"/>
  <c r="P131" i="55"/>
  <c r="Q131" i="55"/>
  <c r="R131" i="55"/>
  <c r="S131" i="55"/>
  <c r="T131" i="55"/>
  <c r="U131" i="55"/>
  <c r="V131" i="55"/>
  <c r="W131" i="55"/>
  <c r="X131" i="55"/>
  <c r="Y131" i="55"/>
  <c r="Z131" i="55"/>
  <c r="AA131" i="55"/>
  <c r="AB131" i="55"/>
  <c r="AC131" i="55"/>
  <c r="AD131" i="55"/>
  <c r="AE131" i="55"/>
  <c r="AH131" i="55"/>
  <c r="AI131" i="55"/>
  <c r="AJ131" i="55"/>
  <c r="AM131" i="55"/>
  <c r="AN131" i="55"/>
  <c r="AO131" i="55"/>
  <c r="AP131" i="55"/>
  <c r="AQ131" i="55"/>
  <c r="AR131" i="55"/>
  <c r="AS131" i="55"/>
  <c r="AT131" i="55"/>
  <c r="AU131" i="55"/>
  <c r="AV131" i="55"/>
  <c r="AW131" i="55"/>
  <c r="AX131" i="55"/>
  <c r="AY131" i="55"/>
  <c r="AZ131" i="55"/>
  <c r="BA131" i="55"/>
  <c r="BB131" i="55"/>
  <c r="BC131" i="55"/>
  <c r="BD131" i="55"/>
  <c r="BE131" i="55"/>
  <c r="AH57" i="55"/>
  <c r="AI57" i="55"/>
  <c r="AJ57" i="55"/>
  <c r="AK57" i="55"/>
  <c r="AL57" i="55"/>
  <c r="AM57" i="55"/>
  <c r="AN57" i="55"/>
  <c r="AO57" i="55"/>
  <c r="AP57" i="55"/>
  <c r="AQ57" i="55"/>
  <c r="AR57" i="55"/>
  <c r="AS57" i="55"/>
  <c r="AT57" i="55"/>
  <c r="AU57" i="55"/>
  <c r="AV57" i="55"/>
  <c r="AW57" i="55"/>
  <c r="AX57" i="55"/>
  <c r="AY57" i="55"/>
  <c r="AZ57" i="55"/>
  <c r="BA57" i="55"/>
  <c r="BB57" i="55"/>
  <c r="BC57" i="55"/>
  <c r="BD57" i="55"/>
  <c r="C132" i="55"/>
  <c r="D132" i="55"/>
  <c r="E132" i="55"/>
  <c r="F132" i="55"/>
  <c r="G132" i="55"/>
  <c r="H132" i="55"/>
  <c r="I132" i="55"/>
  <c r="J132" i="55"/>
  <c r="K132" i="55"/>
  <c r="L132" i="55"/>
  <c r="M132" i="55"/>
  <c r="N132" i="55"/>
  <c r="O132" i="55"/>
  <c r="P132" i="55"/>
  <c r="Q132" i="55"/>
  <c r="R132" i="55"/>
  <c r="S132" i="55"/>
  <c r="T132" i="55"/>
  <c r="U132" i="55"/>
  <c r="V132" i="55"/>
  <c r="W132" i="55"/>
  <c r="X132" i="55"/>
  <c r="Y132" i="55"/>
  <c r="Z132" i="55"/>
  <c r="AA132" i="55"/>
  <c r="AB132" i="55"/>
  <c r="AC132" i="55"/>
  <c r="AD132" i="55"/>
  <c r="AE132" i="55"/>
  <c r="AH132" i="55"/>
  <c r="AI132" i="55"/>
  <c r="AJ132" i="55"/>
  <c r="AM132" i="55"/>
  <c r="AN132" i="55"/>
  <c r="AO132" i="55"/>
  <c r="AP132" i="55"/>
  <c r="AQ132" i="55"/>
  <c r="AR132" i="55"/>
  <c r="AS132" i="55"/>
  <c r="AT132" i="55"/>
  <c r="AU132" i="55"/>
  <c r="AV132" i="55"/>
  <c r="AW132" i="55"/>
  <c r="AX132" i="55"/>
  <c r="AY132" i="55"/>
  <c r="AZ132" i="55"/>
  <c r="BA132" i="55"/>
  <c r="BB132" i="55"/>
  <c r="BC132" i="55"/>
  <c r="BD132" i="55"/>
  <c r="BE132" i="55"/>
  <c r="AH58" i="55"/>
  <c r="AI58" i="55"/>
  <c r="AJ58" i="55"/>
  <c r="AK58" i="55"/>
  <c r="AL58" i="55"/>
  <c r="AM58" i="55"/>
  <c r="AN58" i="55"/>
  <c r="AO58" i="55"/>
  <c r="AP58" i="55"/>
  <c r="AQ58" i="55"/>
  <c r="AR58" i="55"/>
  <c r="AS58" i="55"/>
  <c r="AT58" i="55"/>
  <c r="AU58" i="55"/>
  <c r="AV58" i="55"/>
  <c r="AW58" i="55"/>
  <c r="AX58" i="55"/>
  <c r="AY58" i="55"/>
  <c r="AZ58" i="55"/>
  <c r="BA58" i="55"/>
  <c r="BB58" i="55"/>
  <c r="BC58" i="55"/>
  <c r="BD58" i="55"/>
  <c r="C133" i="55"/>
  <c r="D133" i="55"/>
  <c r="E133" i="55"/>
  <c r="F133" i="55"/>
  <c r="G133" i="55"/>
  <c r="H133" i="55"/>
  <c r="I133" i="55"/>
  <c r="J133" i="55"/>
  <c r="K133" i="55"/>
  <c r="L133" i="55"/>
  <c r="M133" i="55"/>
  <c r="N133" i="55"/>
  <c r="O133" i="55"/>
  <c r="P133" i="55"/>
  <c r="Q133" i="55"/>
  <c r="R133" i="55"/>
  <c r="S133" i="55"/>
  <c r="T133" i="55"/>
  <c r="U133" i="55"/>
  <c r="V133" i="55"/>
  <c r="W133" i="55"/>
  <c r="X133" i="55"/>
  <c r="Y133" i="55"/>
  <c r="Z133" i="55"/>
  <c r="AA133" i="55"/>
  <c r="AB133" i="55"/>
  <c r="AC133" i="55"/>
  <c r="AD133" i="55"/>
  <c r="AE133" i="55"/>
  <c r="AH133" i="55"/>
  <c r="AI133" i="55"/>
  <c r="AJ133" i="55"/>
  <c r="AM133" i="55"/>
  <c r="AN133" i="55"/>
  <c r="AO133" i="55"/>
  <c r="AP133" i="55"/>
  <c r="AQ133" i="55"/>
  <c r="AR133" i="55"/>
  <c r="AS133" i="55"/>
  <c r="AT133" i="55"/>
  <c r="AU133" i="55"/>
  <c r="AV133" i="55"/>
  <c r="AW133" i="55"/>
  <c r="AX133" i="55"/>
  <c r="AY133" i="55"/>
  <c r="AZ133" i="55"/>
  <c r="BA133" i="55"/>
  <c r="BB133" i="55"/>
  <c r="BC133" i="55"/>
  <c r="BD133" i="55"/>
  <c r="BE133" i="55"/>
  <c r="AH59" i="55"/>
  <c r="AI59" i="55"/>
  <c r="AJ59" i="55"/>
  <c r="AK59" i="55"/>
  <c r="AL59" i="55"/>
  <c r="AM59" i="55"/>
  <c r="AN59" i="55"/>
  <c r="AO59" i="55"/>
  <c r="AP59" i="55"/>
  <c r="AQ59" i="55"/>
  <c r="AR59" i="55"/>
  <c r="AS59" i="55"/>
  <c r="AT59" i="55"/>
  <c r="AU59" i="55"/>
  <c r="AV59" i="55"/>
  <c r="AW59" i="55"/>
  <c r="AX59" i="55"/>
  <c r="AY59" i="55"/>
  <c r="AZ59" i="55"/>
  <c r="BA59" i="55"/>
  <c r="BB59" i="55"/>
  <c r="BC59" i="55"/>
  <c r="BD59" i="55"/>
  <c r="C134" i="55"/>
  <c r="D134" i="55"/>
  <c r="E134" i="55"/>
  <c r="F134" i="55"/>
  <c r="G134" i="55"/>
  <c r="H134" i="55"/>
  <c r="I134" i="55"/>
  <c r="J134" i="55"/>
  <c r="K134" i="55"/>
  <c r="L134" i="55"/>
  <c r="M134" i="55"/>
  <c r="N134" i="55"/>
  <c r="O134" i="55"/>
  <c r="P134" i="55"/>
  <c r="Q134" i="55"/>
  <c r="R134" i="55"/>
  <c r="S134" i="55"/>
  <c r="T134" i="55"/>
  <c r="U134" i="55"/>
  <c r="V134" i="55"/>
  <c r="W134" i="55"/>
  <c r="X134" i="55"/>
  <c r="Y134" i="55"/>
  <c r="Z134" i="55"/>
  <c r="AA134" i="55"/>
  <c r="AB134" i="55"/>
  <c r="AC134" i="55"/>
  <c r="AD134" i="55"/>
  <c r="AE134" i="55"/>
  <c r="AH134" i="55"/>
  <c r="AI134" i="55"/>
  <c r="AJ134" i="55"/>
  <c r="AM134" i="55"/>
  <c r="AN134" i="55"/>
  <c r="AO134" i="55"/>
  <c r="AP134" i="55"/>
  <c r="AQ134" i="55"/>
  <c r="AR134" i="55"/>
  <c r="AS134" i="55"/>
  <c r="AT134" i="55"/>
  <c r="AU134" i="55"/>
  <c r="AV134" i="55"/>
  <c r="AW134" i="55"/>
  <c r="AX134" i="55"/>
  <c r="AY134" i="55"/>
  <c r="AZ134" i="55"/>
  <c r="BA134" i="55"/>
  <c r="BB134" i="55"/>
  <c r="BC134" i="55"/>
  <c r="BD134" i="55"/>
  <c r="BE134" i="55"/>
  <c r="AH60" i="55"/>
  <c r="AI60" i="55"/>
  <c r="AJ60" i="55"/>
  <c r="AK60" i="55"/>
  <c r="AL60" i="55"/>
  <c r="AM60" i="55"/>
  <c r="AN60" i="55"/>
  <c r="AO60" i="55"/>
  <c r="AP60" i="55"/>
  <c r="AQ60" i="55"/>
  <c r="AR60" i="55"/>
  <c r="AS60" i="55"/>
  <c r="AT60" i="55"/>
  <c r="AU60" i="55"/>
  <c r="AV60" i="55"/>
  <c r="AW60" i="55"/>
  <c r="AX60" i="55"/>
  <c r="AY60" i="55"/>
  <c r="AZ60" i="55"/>
  <c r="BA60" i="55"/>
  <c r="BB60" i="55"/>
  <c r="BC60" i="55"/>
  <c r="BD60" i="55"/>
  <c r="C135" i="55"/>
  <c r="D135" i="55"/>
  <c r="E135" i="55"/>
  <c r="F135" i="55"/>
  <c r="G135" i="55"/>
  <c r="H135" i="55"/>
  <c r="I135" i="55"/>
  <c r="J135" i="55"/>
  <c r="K135" i="55"/>
  <c r="L135" i="55"/>
  <c r="M135" i="55"/>
  <c r="N135" i="55"/>
  <c r="O135" i="55"/>
  <c r="P135" i="55"/>
  <c r="Q135" i="55"/>
  <c r="R135" i="55"/>
  <c r="S135" i="55"/>
  <c r="T135" i="55"/>
  <c r="U135" i="55"/>
  <c r="V135" i="55"/>
  <c r="W135" i="55"/>
  <c r="X135" i="55"/>
  <c r="Y135" i="55"/>
  <c r="Z135" i="55"/>
  <c r="AA135" i="55"/>
  <c r="AB135" i="55"/>
  <c r="AC135" i="55"/>
  <c r="AD135" i="55"/>
  <c r="AE135" i="55"/>
  <c r="AH135" i="55"/>
  <c r="AI135" i="55"/>
  <c r="AJ135" i="55"/>
  <c r="AM135" i="55"/>
  <c r="AN135" i="55"/>
  <c r="AO135" i="55"/>
  <c r="AP135" i="55"/>
  <c r="AQ135" i="55"/>
  <c r="AR135" i="55"/>
  <c r="AS135" i="55"/>
  <c r="AT135" i="55"/>
  <c r="AU135" i="55"/>
  <c r="AV135" i="55"/>
  <c r="AW135" i="55"/>
  <c r="AX135" i="55"/>
  <c r="AY135" i="55"/>
  <c r="AZ135" i="55"/>
  <c r="BA135" i="55"/>
  <c r="BB135" i="55"/>
  <c r="BC135" i="55"/>
  <c r="BD135" i="55"/>
  <c r="BE135" i="55"/>
  <c r="AH61" i="55"/>
  <c r="AI61" i="55"/>
  <c r="AJ61" i="55"/>
  <c r="AK61" i="55"/>
  <c r="AL61" i="55"/>
  <c r="AM61" i="55"/>
  <c r="AN61" i="55"/>
  <c r="AO61" i="55"/>
  <c r="AP61" i="55"/>
  <c r="AQ61" i="55"/>
  <c r="AR61" i="55"/>
  <c r="AS61" i="55"/>
  <c r="AT61" i="55"/>
  <c r="AU61" i="55"/>
  <c r="AV61" i="55"/>
  <c r="AW61" i="55"/>
  <c r="AX61" i="55"/>
  <c r="AY61" i="55"/>
  <c r="AZ61" i="55"/>
  <c r="BA61" i="55"/>
  <c r="BB61" i="55"/>
  <c r="BC61" i="55"/>
  <c r="BD61" i="55"/>
  <c r="C136" i="55"/>
  <c r="D136" i="55"/>
  <c r="E136" i="55"/>
  <c r="F136" i="55"/>
  <c r="G136" i="55"/>
  <c r="H136" i="55"/>
  <c r="I136" i="55"/>
  <c r="J136" i="55"/>
  <c r="K136" i="55"/>
  <c r="L136" i="55"/>
  <c r="M136" i="55"/>
  <c r="N136" i="55"/>
  <c r="O136" i="55"/>
  <c r="P136" i="55"/>
  <c r="Q136" i="55"/>
  <c r="R136" i="55"/>
  <c r="S136" i="55"/>
  <c r="T136" i="55"/>
  <c r="U136" i="55"/>
  <c r="V136" i="55"/>
  <c r="W136" i="55"/>
  <c r="X136" i="55"/>
  <c r="Y136" i="55"/>
  <c r="Z136" i="55"/>
  <c r="AA136" i="55"/>
  <c r="AB136" i="55"/>
  <c r="AC136" i="55"/>
  <c r="AD136" i="55"/>
  <c r="AE136" i="55"/>
  <c r="AH136" i="55"/>
  <c r="AI136" i="55"/>
  <c r="AJ136" i="55"/>
  <c r="AM136" i="55"/>
  <c r="AN136" i="55"/>
  <c r="AO136" i="55"/>
  <c r="AP136" i="55"/>
  <c r="AQ136" i="55"/>
  <c r="AR136" i="55"/>
  <c r="AS136" i="55"/>
  <c r="AT136" i="55"/>
  <c r="AU136" i="55"/>
  <c r="AV136" i="55"/>
  <c r="AW136" i="55"/>
  <c r="AX136" i="55"/>
  <c r="AY136" i="55"/>
  <c r="AZ136" i="55"/>
  <c r="BA136" i="55"/>
  <c r="BB136" i="55"/>
  <c r="BC136" i="55"/>
  <c r="BD136" i="55"/>
  <c r="BE136" i="55"/>
  <c r="AH62" i="55"/>
  <c r="AI62" i="55"/>
  <c r="AJ62" i="55"/>
  <c r="AK62" i="55"/>
  <c r="AL62" i="55"/>
  <c r="AM62" i="55"/>
  <c r="AN62" i="55"/>
  <c r="AO62" i="55"/>
  <c r="AP62" i="55"/>
  <c r="AQ62" i="55"/>
  <c r="AR62" i="55"/>
  <c r="AS62" i="55"/>
  <c r="AT62" i="55"/>
  <c r="AU62" i="55"/>
  <c r="AV62" i="55"/>
  <c r="AW62" i="55"/>
  <c r="AX62" i="55"/>
  <c r="AY62" i="55"/>
  <c r="AZ62" i="55"/>
  <c r="BA62" i="55"/>
  <c r="BB62" i="55"/>
  <c r="BC62" i="55"/>
  <c r="BD62" i="55"/>
  <c r="C137" i="55"/>
  <c r="D137" i="55"/>
  <c r="E137" i="55"/>
  <c r="F137" i="55"/>
  <c r="G137" i="55"/>
  <c r="H137" i="55"/>
  <c r="I137" i="55"/>
  <c r="J137" i="55"/>
  <c r="K137" i="55"/>
  <c r="L137" i="55"/>
  <c r="M137" i="55"/>
  <c r="N137" i="55"/>
  <c r="O137" i="55"/>
  <c r="P137" i="55"/>
  <c r="Q137" i="55"/>
  <c r="R137" i="55"/>
  <c r="S137" i="55"/>
  <c r="T137" i="55"/>
  <c r="U137" i="55"/>
  <c r="V137" i="55"/>
  <c r="W137" i="55"/>
  <c r="X137" i="55"/>
  <c r="Y137" i="55"/>
  <c r="Z137" i="55"/>
  <c r="AA137" i="55"/>
  <c r="AB137" i="55"/>
  <c r="AC137" i="55"/>
  <c r="AD137" i="55"/>
  <c r="AE137" i="55"/>
  <c r="AH137" i="55"/>
  <c r="AI137" i="55"/>
  <c r="AJ137" i="55"/>
  <c r="AM137" i="55"/>
  <c r="AN137" i="55"/>
  <c r="AO137" i="55"/>
  <c r="AP137" i="55"/>
  <c r="AQ137" i="55"/>
  <c r="AR137" i="55"/>
  <c r="AS137" i="55"/>
  <c r="AT137" i="55"/>
  <c r="AU137" i="55"/>
  <c r="AV137" i="55"/>
  <c r="AW137" i="55"/>
  <c r="AX137" i="55"/>
  <c r="AY137" i="55"/>
  <c r="AZ137" i="55"/>
  <c r="BA137" i="55"/>
  <c r="BB137" i="55"/>
  <c r="BC137" i="55"/>
  <c r="BD137" i="55"/>
  <c r="BE137" i="55"/>
  <c r="AH63" i="55"/>
  <c r="AI63" i="55"/>
  <c r="AJ63" i="55"/>
  <c r="AK63" i="55"/>
  <c r="AL63" i="55"/>
  <c r="AM63" i="55"/>
  <c r="AN63" i="55"/>
  <c r="AO63" i="55"/>
  <c r="AP63" i="55"/>
  <c r="AQ63" i="55"/>
  <c r="AR63" i="55"/>
  <c r="AS63" i="55"/>
  <c r="AT63" i="55"/>
  <c r="AU63" i="55"/>
  <c r="AV63" i="55"/>
  <c r="AW63" i="55"/>
  <c r="AX63" i="55"/>
  <c r="AY63" i="55"/>
  <c r="AZ63" i="55"/>
  <c r="BA63" i="55"/>
  <c r="BB63" i="55"/>
  <c r="BC63" i="55"/>
  <c r="BD63" i="55"/>
  <c r="C138" i="55"/>
  <c r="D138" i="55"/>
  <c r="E138" i="55"/>
  <c r="F138" i="55"/>
  <c r="G138" i="55"/>
  <c r="H138" i="55"/>
  <c r="I138" i="55"/>
  <c r="J138" i="55"/>
  <c r="K138" i="55"/>
  <c r="L138" i="55"/>
  <c r="M138" i="55"/>
  <c r="N138" i="55"/>
  <c r="O138" i="55"/>
  <c r="P138" i="55"/>
  <c r="Q138" i="55"/>
  <c r="R138" i="55"/>
  <c r="S138" i="55"/>
  <c r="T138" i="55"/>
  <c r="U138" i="55"/>
  <c r="V138" i="55"/>
  <c r="W138" i="55"/>
  <c r="X138" i="55"/>
  <c r="Y138" i="55"/>
  <c r="Z138" i="55"/>
  <c r="AA138" i="55"/>
  <c r="AB138" i="55"/>
  <c r="AC138" i="55"/>
  <c r="AD138" i="55"/>
  <c r="AE138" i="55"/>
  <c r="AH138" i="55"/>
  <c r="AI138" i="55"/>
  <c r="AJ138" i="55"/>
  <c r="AM138" i="55"/>
  <c r="AN138" i="55"/>
  <c r="AO138" i="55"/>
  <c r="AP138" i="55"/>
  <c r="AQ138" i="55"/>
  <c r="AR138" i="55"/>
  <c r="AS138" i="55"/>
  <c r="AT138" i="55"/>
  <c r="AU138" i="55"/>
  <c r="AV138" i="55"/>
  <c r="AW138" i="55"/>
  <c r="AX138" i="55"/>
  <c r="AY138" i="55"/>
  <c r="AZ138" i="55"/>
  <c r="BA138" i="55"/>
  <c r="BB138" i="55"/>
  <c r="BC138" i="55"/>
  <c r="BD138" i="55"/>
  <c r="BE138" i="55"/>
  <c r="AH64" i="55"/>
  <c r="AI64" i="55"/>
  <c r="AJ64" i="55"/>
  <c r="AK64" i="55"/>
  <c r="AL64" i="55"/>
  <c r="AM64" i="55"/>
  <c r="AN64" i="55"/>
  <c r="AO64" i="55"/>
  <c r="AP64" i="55"/>
  <c r="AQ64" i="55"/>
  <c r="AR64" i="55"/>
  <c r="AS64" i="55"/>
  <c r="AT64" i="55"/>
  <c r="AU64" i="55"/>
  <c r="AV64" i="55"/>
  <c r="AW64" i="55"/>
  <c r="AX64" i="55"/>
  <c r="AY64" i="55"/>
  <c r="AZ64" i="55"/>
  <c r="BA64" i="55"/>
  <c r="BB64" i="55"/>
  <c r="BC64" i="55"/>
  <c r="BD64" i="55"/>
  <c r="C139" i="55"/>
  <c r="D139" i="55"/>
  <c r="E139" i="55"/>
  <c r="F139" i="55"/>
  <c r="G139" i="55"/>
  <c r="H139" i="55"/>
  <c r="I139" i="55"/>
  <c r="J139" i="55"/>
  <c r="K139" i="55"/>
  <c r="L139" i="55"/>
  <c r="M139" i="55"/>
  <c r="N139" i="55"/>
  <c r="O139" i="55"/>
  <c r="P139" i="55"/>
  <c r="Q139" i="55"/>
  <c r="R139" i="55"/>
  <c r="S139" i="55"/>
  <c r="T139" i="55"/>
  <c r="U139" i="55"/>
  <c r="V139" i="55"/>
  <c r="W139" i="55"/>
  <c r="X139" i="55"/>
  <c r="Y139" i="55"/>
  <c r="Z139" i="55"/>
  <c r="AA139" i="55"/>
  <c r="AB139" i="55"/>
  <c r="AC139" i="55"/>
  <c r="AD139" i="55"/>
  <c r="AE139" i="55"/>
  <c r="AH139" i="55"/>
  <c r="AI139" i="55"/>
  <c r="AJ139" i="55"/>
  <c r="AM139" i="55"/>
  <c r="AN139" i="55"/>
  <c r="AO139" i="55"/>
  <c r="AP139" i="55"/>
  <c r="AQ139" i="55"/>
  <c r="AR139" i="55"/>
  <c r="AS139" i="55"/>
  <c r="AT139" i="55"/>
  <c r="AU139" i="55"/>
  <c r="AV139" i="55"/>
  <c r="AW139" i="55"/>
  <c r="AX139" i="55"/>
  <c r="AY139" i="55"/>
  <c r="AZ139" i="55"/>
  <c r="BA139" i="55"/>
  <c r="BB139" i="55"/>
  <c r="BC139" i="55"/>
  <c r="BD139" i="55"/>
  <c r="BE139" i="55"/>
  <c r="AH65" i="55"/>
  <c r="AI65" i="55"/>
  <c r="AJ65" i="55"/>
  <c r="AK65" i="55"/>
  <c r="AL65" i="55"/>
  <c r="AM65" i="55"/>
  <c r="AN65" i="55"/>
  <c r="AO65" i="55"/>
  <c r="AP65" i="55"/>
  <c r="AQ65" i="55"/>
  <c r="AR65" i="55"/>
  <c r="AS65" i="55"/>
  <c r="AT65" i="55"/>
  <c r="AU65" i="55"/>
  <c r="AV65" i="55"/>
  <c r="AW65" i="55"/>
  <c r="AX65" i="55"/>
  <c r="AY65" i="55"/>
  <c r="AZ65" i="55"/>
  <c r="BA65" i="55"/>
  <c r="BB65" i="55"/>
  <c r="BC65" i="55"/>
  <c r="BD65" i="55"/>
  <c r="C140" i="55"/>
  <c r="D140" i="55"/>
  <c r="E140" i="55"/>
  <c r="F140" i="55"/>
  <c r="G140" i="55"/>
  <c r="H140" i="55"/>
  <c r="I140" i="55"/>
  <c r="J140" i="55"/>
  <c r="K140" i="55"/>
  <c r="L140" i="55"/>
  <c r="M140" i="55"/>
  <c r="N140" i="55"/>
  <c r="O140" i="55"/>
  <c r="P140" i="55"/>
  <c r="Q140" i="55"/>
  <c r="R140" i="55"/>
  <c r="S140" i="55"/>
  <c r="T140" i="55"/>
  <c r="U140" i="55"/>
  <c r="V140" i="55"/>
  <c r="W140" i="55"/>
  <c r="X140" i="55"/>
  <c r="Y140" i="55"/>
  <c r="Z140" i="55"/>
  <c r="AA140" i="55"/>
  <c r="AB140" i="55"/>
  <c r="AC140" i="55"/>
  <c r="AD140" i="55"/>
  <c r="AE140" i="55"/>
  <c r="AI140" i="55"/>
  <c r="AJ140" i="55"/>
  <c r="AM140" i="55"/>
  <c r="AN140" i="55"/>
  <c r="AO140" i="55"/>
  <c r="AP140" i="55"/>
  <c r="AQ140" i="55"/>
  <c r="AR140" i="55"/>
  <c r="AS140" i="55"/>
  <c r="AT140" i="55"/>
  <c r="AU140" i="55"/>
  <c r="AV140" i="55"/>
  <c r="AW140" i="55"/>
  <c r="AX140" i="55"/>
  <c r="AY140" i="55"/>
  <c r="AZ140" i="55"/>
  <c r="BA140" i="55"/>
  <c r="BB140" i="55"/>
  <c r="BC140" i="55"/>
  <c r="BD140" i="55"/>
  <c r="BE140" i="55"/>
  <c r="AH66" i="55"/>
  <c r="AI66" i="55"/>
  <c r="AJ66" i="55"/>
  <c r="AK66" i="55"/>
  <c r="AL66" i="55"/>
  <c r="AM66" i="55"/>
  <c r="AN66" i="55"/>
  <c r="AO66" i="55"/>
  <c r="AP66" i="55"/>
  <c r="AQ66" i="55"/>
  <c r="AR66" i="55"/>
  <c r="AS66" i="55"/>
  <c r="AT66" i="55"/>
  <c r="AU66" i="55"/>
  <c r="AV66" i="55"/>
  <c r="AW66" i="55"/>
  <c r="AX66" i="55"/>
  <c r="AY66" i="55"/>
  <c r="AZ66" i="55"/>
  <c r="BA66" i="55"/>
  <c r="BB66" i="55"/>
  <c r="BC66" i="55"/>
  <c r="BD66" i="55"/>
  <c r="C141" i="55"/>
  <c r="D141" i="55"/>
  <c r="E141" i="55"/>
  <c r="F141" i="55"/>
  <c r="G141" i="55"/>
  <c r="H141" i="55"/>
  <c r="I141" i="55"/>
  <c r="J141" i="55"/>
  <c r="K141" i="55"/>
  <c r="L141" i="55"/>
  <c r="M141" i="55"/>
  <c r="N141" i="55"/>
  <c r="O141" i="55"/>
  <c r="P141" i="55"/>
  <c r="Q141" i="55"/>
  <c r="R141" i="55"/>
  <c r="S141" i="55"/>
  <c r="T141" i="55"/>
  <c r="U141" i="55"/>
  <c r="V141" i="55"/>
  <c r="W141" i="55"/>
  <c r="X141" i="55"/>
  <c r="Y141" i="55"/>
  <c r="Z141" i="55"/>
  <c r="AA141" i="55"/>
  <c r="AB141" i="55"/>
  <c r="AC141" i="55"/>
  <c r="AD141" i="55"/>
  <c r="AE141" i="55"/>
  <c r="AI141" i="55"/>
  <c r="AJ141" i="55"/>
  <c r="AM141" i="55"/>
  <c r="AN141" i="55"/>
  <c r="AO141" i="55"/>
  <c r="AP141" i="55"/>
  <c r="AQ141" i="55"/>
  <c r="AR141" i="55"/>
  <c r="AS141" i="55"/>
  <c r="AT141" i="55"/>
  <c r="AU141" i="55"/>
  <c r="AV141" i="55"/>
  <c r="AW141" i="55"/>
  <c r="AX141" i="55"/>
  <c r="AY141" i="55"/>
  <c r="AZ141" i="55"/>
  <c r="BA141" i="55"/>
  <c r="BB141" i="55"/>
  <c r="BC141" i="55"/>
  <c r="BD141" i="55"/>
  <c r="BE141" i="55"/>
  <c r="AH67" i="55"/>
  <c r="AI67" i="55"/>
  <c r="AJ67" i="55"/>
  <c r="AK67" i="55"/>
  <c r="AL67" i="55"/>
  <c r="AM67" i="55"/>
  <c r="AN67" i="55"/>
  <c r="AO67" i="55"/>
  <c r="AP67" i="55"/>
  <c r="AQ67" i="55"/>
  <c r="AR67" i="55"/>
  <c r="AS67" i="55"/>
  <c r="AT67" i="55"/>
  <c r="AU67" i="55"/>
  <c r="AV67" i="55"/>
  <c r="AW67" i="55"/>
  <c r="AX67" i="55"/>
  <c r="AY67" i="55"/>
  <c r="AZ67" i="55"/>
  <c r="BA67" i="55"/>
  <c r="BB67" i="55"/>
  <c r="BC67" i="55"/>
  <c r="BD67" i="55"/>
  <c r="C142" i="55"/>
  <c r="D142" i="55"/>
  <c r="E142" i="55"/>
  <c r="F142" i="55"/>
  <c r="G142" i="55"/>
  <c r="H142" i="55"/>
  <c r="I142" i="55"/>
  <c r="J142" i="55"/>
  <c r="K142" i="55"/>
  <c r="L142" i="55"/>
  <c r="M142" i="55"/>
  <c r="N142" i="55"/>
  <c r="O142" i="55"/>
  <c r="P142" i="55"/>
  <c r="Q142" i="55"/>
  <c r="R142" i="55"/>
  <c r="S142" i="55"/>
  <c r="T142" i="55"/>
  <c r="U142" i="55"/>
  <c r="V142" i="55"/>
  <c r="W142" i="55"/>
  <c r="X142" i="55"/>
  <c r="Y142" i="55"/>
  <c r="Z142" i="55"/>
  <c r="AA142" i="55"/>
  <c r="AB142" i="55"/>
  <c r="AC142" i="55"/>
  <c r="AD142" i="55"/>
  <c r="AE142" i="55"/>
  <c r="AH142" i="55"/>
  <c r="AI142" i="55"/>
  <c r="AJ142" i="55"/>
  <c r="AM142" i="55"/>
  <c r="AN142" i="55"/>
  <c r="AO142" i="55"/>
  <c r="AP142" i="55"/>
  <c r="AQ142" i="55"/>
  <c r="AR142" i="55"/>
  <c r="AS142" i="55"/>
  <c r="AT142" i="55"/>
  <c r="AU142" i="55"/>
  <c r="AV142" i="55"/>
  <c r="AW142" i="55"/>
  <c r="AX142" i="55"/>
  <c r="AY142" i="55"/>
  <c r="AZ142" i="55"/>
  <c r="BA142" i="55"/>
  <c r="BB142" i="55"/>
  <c r="BC142" i="55"/>
  <c r="BD142" i="55"/>
  <c r="BE142" i="55"/>
  <c r="AH68" i="55"/>
  <c r="AI68" i="55"/>
  <c r="AJ68" i="55"/>
  <c r="AK68" i="55"/>
  <c r="AL68" i="55"/>
  <c r="AM68" i="55"/>
  <c r="AN68" i="55"/>
  <c r="AO68" i="55"/>
  <c r="AP68" i="55"/>
  <c r="AQ68" i="55"/>
  <c r="AR68" i="55"/>
  <c r="AS68" i="55"/>
  <c r="AT68" i="55"/>
  <c r="AU68" i="55"/>
  <c r="AV68" i="55"/>
  <c r="AW68" i="55"/>
  <c r="AX68" i="55"/>
  <c r="AY68" i="55"/>
  <c r="AZ68" i="55"/>
  <c r="BA68" i="55"/>
  <c r="BB68" i="55"/>
  <c r="BC68" i="55"/>
  <c r="BD68" i="55"/>
  <c r="C143" i="55"/>
  <c r="D143" i="55"/>
  <c r="E143" i="55"/>
  <c r="F143" i="55"/>
  <c r="G143" i="55"/>
  <c r="H143" i="55"/>
  <c r="I143" i="55"/>
  <c r="J143" i="55"/>
  <c r="K143" i="55"/>
  <c r="L143" i="55"/>
  <c r="M143" i="55"/>
  <c r="N143" i="55"/>
  <c r="O143" i="55"/>
  <c r="P143" i="55"/>
  <c r="Q143" i="55"/>
  <c r="R143" i="55"/>
  <c r="S143" i="55"/>
  <c r="T143" i="55"/>
  <c r="U143" i="55"/>
  <c r="V143" i="55"/>
  <c r="W143" i="55"/>
  <c r="X143" i="55"/>
  <c r="Y143" i="55"/>
  <c r="Z143" i="55"/>
  <c r="AA143" i="55"/>
  <c r="AB143" i="55"/>
  <c r="AC143" i="55"/>
  <c r="AD143" i="55"/>
  <c r="AE143" i="55"/>
  <c r="AH143" i="55"/>
  <c r="AI143" i="55"/>
  <c r="AJ143" i="55"/>
  <c r="AM143" i="55"/>
  <c r="AN143" i="55"/>
  <c r="AO143" i="55"/>
  <c r="AP143" i="55"/>
  <c r="AQ143" i="55"/>
  <c r="AR143" i="55"/>
  <c r="AS143" i="55"/>
  <c r="AT143" i="55"/>
  <c r="AU143" i="55"/>
  <c r="AV143" i="55"/>
  <c r="AW143" i="55"/>
  <c r="AX143" i="55"/>
  <c r="AY143" i="55"/>
  <c r="AZ143" i="55"/>
  <c r="BA143" i="55"/>
  <c r="BB143" i="55"/>
  <c r="BC143" i="55"/>
  <c r="BD143" i="55"/>
  <c r="BE143" i="55"/>
  <c r="AH69" i="55"/>
  <c r="AI69" i="55"/>
  <c r="AJ69" i="55"/>
  <c r="AK69" i="55"/>
  <c r="AL69" i="55"/>
  <c r="AM69" i="55"/>
  <c r="AN69" i="55"/>
  <c r="AO69" i="55"/>
  <c r="AP69" i="55"/>
  <c r="AQ69" i="55"/>
  <c r="AR69" i="55"/>
  <c r="AS69" i="55"/>
  <c r="AT69" i="55"/>
  <c r="AU69" i="55"/>
  <c r="AV69" i="55"/>
  <c r="AW69" i="55"/>
  <c r="AX69" i="55"/>
  <c r="AY69" i="55"/>
  <c r="AZ69" i="55"/>
  <c r="BA69" i="55"/>
  <c r="BB69" i="55"/>
  <c r="BC69" i="55"/>
  <c r="BD69" i="55"/>
  <c r="C144" i="55"/>
  <c r="D144" i="55"/>
  <c r="E144" i="55"/>
  <c r="F144" i="55"/>
  <c r="G144" i="55"/>
  <c r="H144" i="55"/>
  <c r="I144" i="55"/>
  <c r="J144" i="55"/>
  <c r="K144" i="55"/>
  <c r="L144" i="55"/>
  <c r="M144" i="55"/>
  <c r="N144" i="55"/>
  <c r="O144" i="55"/>
  <c r="P144" i="55"/>
  <c r="Q144" i="55"/>
  <c r="R144" i="55"/>
  <c r="S144" i="55"/>
  <c r="T144" i="55"/>
  <c r="U144" i="55"/>
  <c r="V144" i="55"/>
  <c r="W144" i="55"/>
  <c r="X144" i="55"/>
  <c r="Y144" i="55"/>
  <c r="Z144" i="55"/>
  <c r="AA144" i="55"/>
  <c r="AB144" i="55"/>
  <c r="AC144" i="55"/>
  <c r="AD144" i="55"/>
  <c r="AE144" i="55"/>
  <c r="AH144" i="55"/>
  <c r="AI144" i="55"/>
  <c r="AJ144" i="55"/>
  <c r="AM144" i="55"/>
  <c r="AN144" i="55"/>
  <c r="AO144" i="55"/>
  <c r="AP144" i="55"/>
  <c r="AQ144" i="55"/>
  <c r="AR144" i="55"/>
  <c r="AS144" i="55"/>
  <c r="AT144" i="55"/>
  <c r="AU144" i="55"/>
  <c r="AV144" i="55"/>
  <c r="AW144" i="55"/>
  <c r="AX144" i="55"/>
  <c r="AY144" i="55"/>
  <c r="AZ144" i="55"/>
  <c r="BA144" i="55"/>
  <c r="BB144" i="55"/>
  <c r="BC144" i="55"/>
  <c r="BD144" i="55"/>
  <c r="BE144" i="55"/>
  <c r="AH70" i="55"/>
  <c r="AI70" i="55"/>
  <c r="AJ70" i="55"/>
  <c r="AK70" i="55"/>
  <c r="AL70" i="55"/>
  <c r="AM70" i="55"/>
  <c r="AN70" i="55"/>
  <c r="AO70" i="55"/>
  <c r="AP70" i="55"/>
  <c r="AQ70" i="55"/>
  <c r="AR70" i="55"/>
  <c r="AS70" i="55"/>
  <c r="AT70" i="55"/>
  <c r="AU70" i="55"/>
  <c r="AV70" i="55"/>
  <c r="AW70" i="55"/>
  <c r="AX70" i="55"/>
  <c r="AY70" i="55"/>
  <c r="AZ70" i="55"/>
  <c r="BA70" i="55"/>
  <c r="BB70" i="55"/>
  <c r="BC70" i="55"/>
  <c r="BD70" i="55"/>
  <c r="C145" i="55"/>
  <c r="D145" i="55"/>
  <c r="E145" i="55"/>
  <c r="F145" i="55"/>
  <c r="G145" i="55"/>
  <c r="H145" i="55"/>
  <c r="I145" i="55"/>
  <c r="J145" i="55"/>
  <c r="K145" i="55"/>
  <c r="L145" i="55"/>
  <c r="M145" i="55"/>
  <c r="N145" i="55"/>
  <c r="O145" i="55"/>
  <c r="P145" i="55"/>
  <c r="Q145" i="55"/>
  <c r="R145" i="55"/>
  <c r="S145" i="55"/>
  <c r="T145" i="55"/>
  <c r="U145" i="55"/>
  <c r="V145" i="55"/>
  <c r="W145" i="55"/>
  <c r="X145" i="55"/>
  <c r="Y145" i="55"/>
  <c r="Z145" i="55"/>
  <c r="AA145" i="55"/>
  <c r="AB145" i="55"/>
  <c r="AC145" i="55"/>
  <c r="AD145" i="55"/>
  <c r="AE145" i="55"/>
  <c r="AI145" i="55"/>
  <c r="AJ145" i="55"/>
  <c r="AM145" i="55"/>
  <c r="AN145" i="55"/>
  <c r="AO145" i="55"/>
  <c r="AP145" i="55"/>
  <c r="AQ145" i="55"/>
  <c r="AR145" i="55"/>
  <c r="AS145" i="55"/>
  <c r="AT145" i="55"/>
  <c r="AU145" i="55"/>
  <c r="AV145" i="55"/>
  <c r="AW145" i="55"/>
  <c r="AX145" i="55"/>
  <c r="AY145" i="55"/>
  <c r="AZ145" i="55"/>
  <c r="BA145" i="55"/>
  <c r="BB145" i="55"/>
  <c r="BC145" i="55"/>
  <c r="BD145" i="55"/>
  <c r="BE145" i="55"/>
  <c r="AH71" i="55"/>
  <c r="AI71" i="55"/>
  <c r="AJ71" i="55"/>
  <c r="AK71" i="55"/>
  <c r="AL71" i="55"/>
  <c r="AM71" i="55"/>
  <c r="AN71" i="55"/>
  <c r="AO71" i="55"/>
  <c r="AP71" i="55"/>
  <c r="AQ71" i="55"/>
  <c r="AR71" i="55"/>
  <c r="AS71" i="55"/>
  <c r="AT71" i="55"/>
  <c r="AU71" i="55"/>
  <c r="AV71" i="55"/>
  <c r="AW71" i="55"/>
  <c r="AX71" i="55"/>
  <c r="AY71" i="55"/>
  <c r="AZ71" i="55"/>
  <c r="BA71" i="55"/>
  <c r="BB71" i="55"/>
  <c r="BC71" i="55"/>
  <c r="BD71" i="55"/>
  <c r="C146" i="55"/>
  <c r="D146" i="55"/>
  <c r="E146" i="55"/>
  <c r="F146" i="55"/>
  <c r="G146" i="55"/>
  <c r="H146" i="55"/>
  <c r="I146" i="55"/>
  <c r="J146" i="55"/>
  <c r="K146" i="55"/>
  <c r="L146" i="55"/>
  <c r="M146" i="55"/>
  <c r="N146" i="55"/>
  <c r="O146" i="55"/>
  <c r="P146" i="55"/>
  <c r="Q146" i="55"/>
  <c r="R146" i="55"/>
  <c r="S146" i="55"/>
  <c r="T146" i="55"/>
  <c r="U146" i="55"/>
  <c r="V146" i="55"/>
  <c r="W146" i="55"/>
  <c r="X146" i="55"/>
  <c r="Y146" i="55"/>
  <c r="Z146" i="55"/>
  <c r="AA146" i="55"/>
  <c r="AB146" i="55"/>
  <c r="AC146" i="55"/>
  <c r="AD146" i="55"/>
  <c r="AE146" i="55"/>
  <c r="AI146" i="55"/>
  <c r="AJ146" i="55"/>
  <c r="AM146" i="55"/>
  <c r="AN146" i="55"/>
  <c r="AO146" i="55"/>
  <c r="AP146" i="55"/>
  <c r="AQ146" i="55"/>
  <c r="AR146" i="55"/>
  <c r="AS146" i="55"/>
  <c r="AT146" i="55"/>
  <c r="AU146" i="55"/>
  <c r="AV146" i="55"/>
  <c r="AW146" i="55"/>
  <c r="AX146" i="55"/>
  <c r="AY146" i="55"/>
  <c r="AZ146" i="55"/>
  <c r="BA146" i="55"/>
  <c r="BB146" i="55"/>
  <c r="BC146" i="55"/>
  <c r="BD146" i="55"/>
  <c r="BE146" i="55"/>
  <c r="AH72" i="55"/>
  <c r="AI72" i="55"/>
  <c r="AJ72" i="55"/>
  <c r="AK72" i="55"/>
  <c r="AL72" i="55"/>
  <c r="AM72" i="55"/>
  <c r="AN72" i="55"/>
  <c r="AO72" i="55"/>
  <c r="AP72" i="55"/>
  <c r="AQ72" i="55"/>
  <c r="AR72" i="55"/>
  <c r="AS72" i="55"/>
  <c r="AT72" i="55"/>
  <c r="AU72" i="55"/>
  <c r="AV72" i="55"/>
  <c r="AW72" i="55"/>
  <c r="AX72" i="55"/>
  <c r="AY72" i="55"/>
  <c r="AZ72" i="55"/>
  <c r="BA72" i="55"/>
  <c r="BB72" i="55"/>
  <c r="BC72" i="55"/>
  <c r="BD72" i="55"/>
  <c r="C147" i="55"/>
  <c r="D147" i="55"/>
  <c r="E147" i="55"/>
  <c r="F147" i="55"/>
  <c r="G147" i="55"/>
  <c r="H147" i="55"/>
  <c r="I147" i="55"/>
  <c r="J147" i="55"/>
  <c r="K147" i="55"/>
  <c r="L147" i="55"/>
  <c r="M147" i="55"/>
  <c r="N147" i="55"/>
  <c r="O147" i="55"/>
  <c r="P147" i="55"/>
  <c r="Q147" i="55"/>
  <c r="R147" i="55"/>
  <c r="S147" i="55"/>
  <c r="T147" i="55"/>
  <c r="U147" i="55"/>
  <c r="V147" i="55"/>
  <c r="W147" i="55"/>
  <c r="X147" i="55"/>
  <c r="Y147" i="55"/>
  <c r="Z147" i="55"/>
  <c r="AA147" i="55"/>
  <c r="AB147" i="55"/>
  <c r="AC147" i="55"/>
  <c r="AD147" i="55"/>
  <c r="AE147" i="55"/>
  <c r="AH147" i="55"/>
  <c r="AI147" i="55"/>
  <c r="AJ147" i="55"/>
  <c r="AM147" i="55"/>
  <c r="AN147" i="55"/>
  <c r="AO147" i="55"/>
  <c r="AP147" i="55"/>
  <c r="AQ147" i="55"/>
  <c r="AR147" i="55"/>
  <c r="AS147" i="55"/>
  <c r="AT147" i="55"/>
  <c r="AU147" i="55"/>
  <c r="AV147" i="55"/>
  <c r="AW147" i="55"/>
  <c r="AX147" i="55"/>
  <c r="AY147" i="55"/>
  <c r="AZ147" i="55"/>
  <c r="BA147" i="55"/>
  <c r="BB147" i="55"/>
  <c r="BC147" i="55"/>
  <c r="BD147" i="55"/>
  <c r="BE147" i="55"/>
  <c r="AH73" i="55"/>
  <c r="AI73" i="55"/>
  <c r="AJ73" i="55"/>
  <c r="AK73" i="55"/>
  <c r="AL73" i="55"/>
  <c r="AM73" i="55"/>
  <c r="AN73" i="55"/>
  <c r="AO73" i="55"/>
  <c r="AP73" i="55"/>
  <c r="AQ73" i="55"/>
  <c r="AR73" i="55"/>
  <c r="AS73" i="55"/>
  <c r="AT73" i="55"/>
  <c r="AU73" i="55"/>
  <c r="AV73" i="55"/>
  <c r="AW73" i="55"/>
  <c r="AX73" i="55"/>
  <c r="AY73" i="55"/>
  <c r="AZ73" i="55"/>
  <c r="BA73" i="55"/>
  <c r="BB73" i="55"/>
  <c r="BC73" i="55"/>
  <c r="BD73" i="55"/>
  <c r="C148" i="55"/>
  <c r="D148" i="55"/>
  <c r="E148" i="55"/>
  <c r="F148" i="55"/>
  <c r="G148" i="55"/>
  <c r="H148" i="55"/>
  <c r="I148" i="55"/>
  <c r="J148" i="55"/>
  <c r="K148" i="55"/>
  <c r="L148" i="55"/>
  <c r="M148" i="55"/>
  <c r="N148" i="55"/>
  <c r="O148" i="55"/>
  <c r="P148" i="55"/>
  <c r="Q148" i="55"/>
  <c r="R148" i="55"/>
  <c r="S148" i="55"/>
  <c r="T148" i="55"/>
  <c r="U148" i="55"/>
  <c r="V148" i="55"/>
  <c r="W148" i="55"/>
  <c r="X148" i="55"/>
  <c r="Y148" i="55"/>
  <c r="Z148" i="55"/>
  <c r="AA148" i="55"/>
  <c r="AB148" i="55"/>
  <c r="AC148" i="55"/>
  <c r="AD148" i="55"/>
  <c r="AE148" i="55"/>
  <c r="AI148" i="55"/>
  <c r="AJ148" i="55"/>
  <c r="AM148" i="55"/>
  <c r="AN148" i="55"/>
  <c r="AO148" i="55"/>
  <c r="AP148" i="55"/>
  <c r="AQ148" i="55"/>
  <c r="AR148" i="55"/>
  <c r="AS148" i="55"/>
  <c r="AT148" i="55"/>
  <c r="AU148" i="55"/>
  <c r="AV148" i="55"/>
  <c r="AW148" i="55"/>
  <c r="AX148" i="55"/>
  <c r="AY148" i="55"/>
  <c r="AZ148" i="55"/>
  <c r="BA148" i="55"/>
  <c r="BB148" i="55"/>
  <c r="BC148" i="55"/>
  <c r="BD148" i="55"/>
  <c r="BE148" i="55"/>
  <c r="B4" i="55"/>
  <c r="C4" i="55"/>
  <c r="E4" i="55"/>
  <c r="G4" i="55"/>
  <c r="I4" i="55"/>
  <c r="K4" i="55"/>
  <c r="M4" i="55"/>
  <c r="O4" i="55"/>
  <c r="R4" i="55"/>
  <c r="U4" i="55"/>
  <c r="W4" i="55"/>
  <c r="Z4" i="55"/>
  <c r="AC4" i="55"/>
  <c r="AG4" i="55"/>
  <c r="C5" i="55"/>
  <c r="E5" i="55"/>
  <c r="G5" i="55"/>
  <c r="I5" i="55"/>
  <c r="K5" i="55"/>
  <c r="M5" i="55"/>
  <c r="O5" i="55"/>
  <c r="R5" i="55"/>
  <c r="U5" i="55"/>
  <c r="W5" i="55"/>
  <c r="Z5" i="55"/>
  <c r="AC5" i="55"/>
  <c r="AE5" i="55"/>
  <c r="AG5" i="55"/>
  <c r="C6" i="55"/>
  <c r="D6" i="55"/>
  <c r="E6" i="55"/>
  <c r="F6" i="55"/>
  <c r="G6" i="55"/>
  <c r="H6" i="55"/>
  <c r="I6" i="55"/>
  <c r="J6" i="55"/>
  <c r="K6" i="55"/>
  <c r="L6" i="55"/>
  <c r="M6" i="55"/>
  <c r="N6" i="55"/>
  <c r="O6" i="55"/>
  <c r="P6" i="55"/>
  <c r="Q6" i="55"/>
  <c r="R6" i="55"/>
  <c r="S6" i="55"/>
  <c r="T6" i="55"/>
  <c r="U6" i="55"/>
  <c r="V6" i="55"/>
  <c r="W6" i="55"/>
  <c r="X6" i="55"/>
  <c r="Y6" i="55"/>
  <c r="Z6" i="55"/>
  <c r="AA6" i="55"/>
  <c r="AB6" i="55"/>
  <c r="AC6" i="55"/>
  <c r="AD6" i="55"/>
  <c r="AE6" i="55"/>
  <c r="AF6" i="55"/>
  <c r="AG6" i="55"/>
  <c r="D7" i="55"/>
  <c r="F7" i="55"/>
  <c r="H7" i="55"/>
  <c r="J7" i="55"/>
  <c r="L7" i="55"/>
  <c r="M7" i="55"/>
  <c r="N7" i="55"/>
  <c r="Q7" i="55"/>
  <c r="T7" i="55"/>
  <c r="U7" i="55"/>
  <c r="V7" i="55"/>
  <c r="Y7" i="55"/>
  <c r="AB7" i="55"/>
  <c r="AF7" i="55"/>
  <c r="B8" i="55"/>
  <c r="C8" i="55"/>
  <c r="D8" i="55"/>
  <c r="E8" i="55"/>
  <c r="F8" i="55"/>
  <c r="G8" i="55"/>
  <c r="H8" i="55"/>
  <c r="I8" i="55"/>
  <c r="J8" i="55"/>
  <c r="K8" i="55"/>
  <c r="L8" i="55"/>
  <c r="M8" i="55"/>
  <c r="N8" i="55"/>
  <c r="O8" i="55"/>
  <c r="P8" i="55"/>
  <c r="Q8" i="55"/>
  <c r="R8" i="55"/>
  <c r="S8" i="55"/>
  <c r="T8" i="55"/>
  <c r="U8" i="55"/>
  <c r="V8" i="55"/>
  <c r="W8" i="55"/>
  <c r="X8" i="55"/>
  <c r="Y8" i="55"/>
  <c r="AB8" i="55"/>
  <c r="AC8" i="55"/>
  <c r="AD8" i="55"/>
  <c r="AE8" i="55"/>
  <c r="AF8" i="55"/>
  <c r="AG8" i="55"/>
  <c r="B9" i="55"/>
  <c r="C9" i="55"/>
  <c r="D9" i="55"/>
  <c r="E9" i="55"/>
  <c r="F9" i="55"/>
  <c r="G9" i="55"/>
  <c r="I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AB9" i="55"/>
  <c r="AC9" i="55"/>
  <c r="AD9" i="55"/>
  <c r="AE9" i="55"/>
  <c r="AF9" i="55"/>
  <c r="AG9" i="55"/>
  <c r="B10" i="55"/>
  <c r="C10" i="55"/>
  <c r="D10" i="55"/>
  <c r="E10" i="55"/>
  <c r="F10" i="55"/>
  <c r="G10" i="55"/>
  <c r="I10" i="55"/>
  <c r="J10" i="55"/>
  <c r="K10" i="55"/>
  <c r="L10" i="55"/>
  <c r="M10" i="55"/>
  <c r="N10" i="55"/>
  <c r="O10" i="55"/>
  <c r="P10" i="55"/>
  <c r="Q10" i="55"/>
  <c r="R10" i="55"/>
  <c r="S10" i="55"/>
  <c r="T10" i="55"/>
  <c r="U10" i="55"/>
  <c r="V10" i="55"/>
  <c r="W10" i="55"/>
  <c r="X10" i="55"/>
  <c r="Y10" i="55"/>
  <c r="AB10" i="55"/>
  <c r="AC10" i="55"/>
  <c r="AD10" i="55"/>
  <c r="AE10" i="55"/>
  <c r="AF10" i="55"/>
  <c r="AG10" i="55"/>
  <c r="B11" i="55"/>
  <c r="C11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AB11" i="55"/>
  <c r="AC11" i="55"/>
  <c r="AD11" i="55"/>
  <c r="AE11" i="55"/>
  <c r="AF11" i="55"/>
  <c r="AG11" i="55"/>
  <c r="B12" i="55"/>
  <c r="C12" i="55"/>
  <c r="D12" i="55"/>
  <c r="E12" i="55"/>
  <c r="F12" i="55"/>
  <c r="G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AB12" i="55"/>
  <c r="AC12" i="55"/>
  <c r="AD12" i="55"/>
  <c r="AE12" i="55"/>
  <c r="AF12" i="55"/>
  <c r="AG12" i="55"/>
  <c r="B13" i="55"/>
  <c r="C13" i="55"/>
  <c r="D13" i="55"/>
  <c r="E13" i="55"/>
  <c r="F13" i="55"/>
  <c r="G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AB13" i="55"/>
  <c r="AC13" i="55"/>
  <c r="AD13" i="55"/>
  <c r="AE13" i="55"/>
  <c r="AF13" i="55"/>
  <c r="AG13" i="55"/>
  <c r="B14" i="55"/>
  <c r="C14" i="55"/>
  <c r="D14" i="55"/>
  <c r="E14" i="55"/>
  <c r="F14" i="55"/>
  <c r="G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AB14" i="55"/>
  <c r="AC14" i="55"/>
  <c r="AD14" i="55"/>
  <c r="AE14" i="55"/>
  <c r="AF14" i="55"/>
  <c r="AG14" i="55"/>
  <c r="B15" i="55"/>
  <c r="C15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AB15" i="55"/>
  <c r="AC15" i="55"/>
  <c r="AD15" i="55"/>
  <c r="AE15" i="55"/>
  <c r="AF15" i="55"/>
  <c r="AG15" i="55"/>
  <c r="B16" i="55"/>
  <c r="C16" i="55"/>
  <c r="D16" i="55"/>
  <c r="E16" i="55"/>
  <c r="F16" i="55"/>
  <c r="G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AB16" i="55"/>
  <c r="AC16" i="55"/>
  <c r="AD16" i="55"/>
  <c r="AE16" i="55"/>
  <c r="AF16" i="55"/>
  <c r="AG16" i="55"/>
  <c r="B17" i="55"/>
  <c r="C17" i="55"/>
  <c r="D17" i="55"/>
  <c r="E17" i="55"/>
  <c r="F17" i="55"/>
  <c r="G17" i="55"/>
  <c r="H17" i="55"/>
  <c r="I17" i="55"/>
  <c r="J17" i="55"/>
  <c r="K17" i="55"/>
  <c r="L17" i="55"/>
  <c r="M17" i="55"/>
  <c r="N17" i="55"/>
  <c r="O17" i="55"/>
  <c r="P17" i="55"/>
  <c r="Q17" i="55"/>
  <c r="R17" i="55"/>
  <c r="S17" i="55"/>
  <c r="T17" i="55"/>
  <c r="U17" i="55"/>
  <c r="V17" i="55"/>
  <c r="W17" i="55"/>
  <c r="X17" i="55"/>
  <c r="Y17" i="55"/>
  <c r="AB17" i="55"/>
  <c r="AC17" i="55"/>
  <c r="AD17" i="55"/>
  <c r="AE17" i="55"/>
  <c r="AF17" i="55"/>
  <c r="AG17" i="55"/>
  <c r="B18" i="55"/>
  <c r="C18" i="55"/>
  <c r="D18" i="55"/>
  <c r="E18" i="55"/>
  <c r="F18" i="55"/>
  <c r="G18" i="55"/>
  <c r="H18" i="55"/>
  <c r="I18" i="55"/>
  <c r="J18" i="55"/>
  <c r="K18" i="55"/>
  <c r="L18" i="55"/>
  <c r="M18" i="55"/>
  <c r="N18" i="55"/>
  <c r="O18" i="55"/>
  <c r="P18" i="55"/>
  <c r="Q18" i="55"/>
  <c r="R18" i="55"/>
  <c r="S18" i="55"/>
  <c r="T18" i="55"/>
  <c r="U18" i="55"/>
  <c r="V18" i="55"/>
  <c r="W18" i="55"/>
  <c r="X18" i="55"/>
  <c r="Y18" i="55"/>
  <c r="AB18" i="55"/>
  <c r="AC18" i="55"/>
  <c r="AD18" i="55"/>
  <c r="AE18" i="55"/>
  <c r="AF18" i="55"/>
  <c r="AG18" i="55"/>
  <c r="B19" i="55"/>
  <c r="C19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AB19" i="55"/>
  <c r="AC19" i="55"/>
  <c r="AD19" i="55"/>
  <c r="AE19" i="55"/>
  <c r="AF19" i="55"/>
  <c r="AG19" i="55"/>
  <c r="B20" i="55"/>
  <c r="C20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AB20" i="55"/>
  <c r="AC20" i="55"/>
  <c r="AD20" i="55"/>
  <c r="AE20" i="55"/>
  <c r="AF20" i="55"/>
  <c r="AG20" i="55"/>
  <c r="B21" i="55"/>
  <c r="C21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T21" i="55"/>
  <c r="U21" i="55"/>
  <c r="V21" i="55"/>
  <c r="W21" i="55"/>
  <c r="X21" i="55"/>
  <c r="Y21" i="55"/>
  <c r="AB21" i="55"/>
  <c r="AC21" i="55"/>
  <c r="AD21" i="55"/>
  <c r="AE21" i="55"/>
  <c r="AF21" i="55"/>
  <c r="AG21" i="55"/>
  <c r="B22" i="55"/>
  <c r="C22" i="55"/>
  <c r="D22" i="55"/>
  <c r="E22" i="55"/>
  <c r="F22" i="55"/>
  <c r="G22" i="55"/>
  <c r="I22" i="55"/>
  <c r="J22" i="55"/>
  <c r="K22" i="55"/>
  <c r="L22" i="55"/>
  <c r="M22" i="55"/>
  <c r="N22" i="55"/>
  <c r="O22" i="55"/>
  <c r="P22" i="55"/>
  <c r="Q22" i="55"/>
  <c r="R22" i="55"/>
  <c r="T22" i="55"/>
  <c r="U22" i="55"/>
  <c r="V22" i="55"/>
  <c r="W22" i="55"/>
  <c r="X22" i="55"/>
  <c r="Y22" i="55"/>
  <c r="AB22" i="55"/>
  <c r="AC22" i="55"/>
  <c r="AD22" i="55"/>
  <c r="AE22" i="55"/>
  <c r="AF22" i="55"/>
  <c r="AG22" i="55"/>
  <c r="B23" i="55"/>
  <c r="C23" i="55"/>
  <c r="D23" i="55"/>
  <c r="E23" i="55"/>
  <c r="F23" i="55"/>
  <c r="G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AB23" i="55"/>
  <c r="AC23" i="55"/>
  <c r="AD23" i="55"/>
  <c r="AE23" i="55"/>
  <c r="AF23" i="55"/>
  <c r="AG23" i="55"/>
  <c r="B24" i="55"/>
  <c r="C24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T24" i="55"/>
  <c r="U24" i="55"/>
  <c r="V24" i="55"/>
  <c r="W24" i="55"/>
  <c r="X24" i="55"/>
  <c r="Y24" i="55"/>
  <c r="AB24" i="55"/>
  <c r="AC24" i="55"/>
  <c r="AD24" i="55"/>
  <c r="AE24" i="55"/>
  <c r="AF24" i="55"/>
  <c r="AG24" i="55"/>
  <c r="B25" i="55"/>
  <c r="C25" i="55"/>
  <c r="D25" i="55"/>
  <c r="E25" i="55"/>
  <c r="F25" i="55"/>
  <c r="G25" i="55"/>
  <c r="I25" i="55"/>
  <c r="J25" i="55"/>
  <c r="K25" i="55"/>
  <c r="L25" i="55"/>
  <c r="M25" i="55"/>
  <c r="N25" i="55"/>
  <c r="O25" i="55"/>
  <c r="P25" i="55"/>
  <c r="Q25" i="55"/>
  <c r="R25" i="55"/>
  <c r="T25" i="55"/>
  <c r="U25" i="55"/>
  <c r="V25" i="55"/>
  <c r="W25" i="55"/>
  <c r="X25" i="55"/>
  <c r="Y25" i="55"/>
  <c r="AB25" i="55"/>
  <c r="AC25" i="55"/>
  <c r="AD25" i="55"/>
  <c r="AE25" i="55"/>
  <c r="AF25" i="55"/>
  <c r="AG25" i="55"/>
  <c r="B26" i="55"/>
  <c r="C26" i="55"/>
  <c r="D26" i="55"/>
  <c r="E26" i="55"/>
  <c r="F26" i="55"/>
  <c r="G26" i="55"/>
  <c r="I26" i="55"/>
  <c r="J26" i="55"/>
  <c r="K26" i="55"/>
  <c r="L26" i="55"/>
  <c r="M26" i="55"/>
  <c r="N26" i="55"/>
  <c r="O26" i="55"/>
  <c r="P26" i="55"/>
  <c r="Q26" i="55"/>
  <c r="R26" i="55"/>
  <c r="S26" i="55"/>
  <c r="T26" i="55"/>
  <c r="U26" i="55"/>
  <c r="V26" i="55"/>
  <c r="W26" i="55"/>
  <c r="X26" i="55"/>
  <c r="Y26" i="55"/>
  <c r="AB26" i="55"/>
  <c r="AC26" i="55"/>
  <c r="AD26" i="55"/>
  <c r="AE26" i="55"/>
  <c r="AF26" i="55"/>
  <c r="AG26" i="55"/>
  <c r="B27" i="55"/>
  <c r="C27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AB27" i="55"/>
  <c r="AC27" i="55"/>
  <c r="AD27" i="55"/>
  <c r="AE27" i="55"/>
  <c r="AF27" i="55"/>
  <c r="AG27" i="55"/>
  <c r="B28" i="55"/>
  <c r="C28" i="55"/>
  <c r="D28" i="55"/>
  <c r="E28" i="55"/>
  <c r="F28" i="55"/>
  <c r="G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AB28" i="55"/>
  <c r="AC28" i="55"/>
  <c r="AD28" i="55"/>
  <c r="AE28" i="55"/>
  <c r="AF28" i="55"/>
  <c r="AG28" i="55"/>
  <c r="B29" i="55"/>
  <c r="C29" i="55"/>
  <c r="D29" i="55"/>
  <c r="E29" i="55"/>
  <c r="F29" i="55"/>
  <c r="G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AB29" i="55"/>
  <c r="AC29" i="55"/>
  <c r="AD29" i="55"/>
  <c r="AE29" i="55"/>
  <c r="AF29" i="55"/>
  <c r="AG29" i="55"/>
  <c r="B30" i="55"/>
  <c r="C30" i="55"/>
  <c r="D30" i="55"/>
  <c r="E30" i="55"/>
  <c r="F30" i="55"/>
  <c r="G30" i="55"/>
  <c r="H30" i="55"/>
  <c r="I30" i="55"/>
  <c r="J30" i="55"/>
  <c r="K30" i="55"/>
  <c r="L30" i="55"/>
  <c r="M30" i="55"/>
  <c r="N30" i="55"/>
  <c r="O30" i="55"/>
  <c r="P30" i="55"/>
  <c r="Q30" i="55"/>
  <c r="R30" i="55"/>
  <c r="T30" i="55"/>
  <c r="U30" i="55"/>
  <c r="V30" i="55"/>
  <c r="W30" i="55"/>
  <c r="X30" i="55"/>
  <c r="Y30" i="55"/>
  <c r="AB30" i="55"/>
  <c r="AC30" i="55"/>
  <c r="AD30" i="55"/>
  <c r="AE30" i="55"/>
  <c r="AF30" i="55"/>
  <c r="AG30" i="55"/>
  <c r="B31" i="55"/>
  <c r="C31" i="55"/>
  <c r="D31" i="55"/>
  <c r="E31" i="55"/>
  <c r="F31" i="55"/>
  <c r="G31" i="55"/>
  <c r="H31" i="55"/>
  <c r="I31" i="55"/>
  <c r="J31" i="55"/>
  <c r="K31" i="55"/>
  <c r="L31" i="55"/>
  <c r="M31" i="55"/>
  <c r="N31" i="55"/>
  <c r="O31" i="55"/>
  <c r="P31" i="55"/>
  <c r="Q31" i="55"/>
  <c r="R31" i="55"/>
  <c r="S31" i="55"/>
  <c r="T31" i="55"/>
  <c r="U31" i="55"/>
  <c r="V31" i="55"/>
  <c r="W31" i="55"/>
  <c r="X31" i="55"/>
  <c r="Y31" i="55"/>
  <c r="AB31" i="55"/>
  <c r="AC31" i="55"/>
  <c r="AD31" i="55"/>
  <c r="AE31" i="55"/>
  <c r="AF31" i="55"/>
  <c r="AG31" i="55"/>
  <c r="B32" i="55"/>
  <c r="C32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T32" i="55"/>
  <c r="U32" i="55"/>
  <c r="V32" i="55"/>
  <c r="W32" i="55"/>
  <c r="X32" i="55"/>
  <c r="Y32" i="55"/>
  <c r="AB32" i="55"/>
  <c r="AC32" i="55"/>
  <c r="AD32" i="55"/>
  <c r="AE32" i="55"/>
  <c r="AF32" i="55"/>
  <c r="AG32" i="55"/>
  <c r="B33" i="55"/>
  <c r="C33" i="55"/>
  <c r="D33" i="55"/>
  <c r="E33" i="55"/>
  <c r="F33" i="55"/>
  <c r="G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AB33" i="55"/>
  <c r="AC33" i="55"/>
  <c r="AD33" i="55"/>
  <c r="AE33" i="55"/>
  <c r="AF33" i="55"/>
  <c r="AG33" i="55"/>
  <c r="B34" i="55"/>
  <c r="C34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AB34" i="55"/>
  <c r="AC34" i="55"/>
  <c r="AD34" i="55"/>
  <c r="AE34" i="55"/>
  <c r="AF34" i="55"/>
  <c r="AG34" i="55"/>
  <c r="B35" i="55"/>
  <c r="C35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AB35" i="55"/>
  <c r="AC35" i="55"/>
  <c r="AD35" i="55"/>
  <c r="AE35" i="55"/>
  <c r="AF35" i="55"/>
  <c r="AG35" i="55"/>
  <c r="B36" i="55"/>
  <c r="C36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AB36" i="55"/>
  <c r="AC36" i="55"/>
  <c r="AD36" i="55"/>
  <c r="AE36" i="55"/>
  <c r="AF36" i="55"/>
  <c r="AG36" i="55"/>
  <c r="B37" i="55"/>
  <c r="C37" i="55"/>
  <c r="D37" i="55"/>
  <c r="E37" i="55"/>
  <c r="F37" i="55"/>
  <c r="G37" i="55"/>
  <c r="H37" i="55"/>
  <c r="I37" i="55"/>
  <c r="J37" i="55"/>
  <c r="K37" i="55"/>
  <c r="L37" i="55"/>
  <c r="M37" i="55"/>
  <c r="N37" i="55"/>
  <c r="O37" i="55"/>
  <c r="P37" i="55"/>
  <c r="Q37" i="55"/>
  <c r="R37" i="55"/>
  <c r="S37" i="55"/>
  <c r="T37" i="55"/>
  <c r="U37" i="55"/>
  <c r="V37" i="55"/>
  <c r="W37" i="55"/>
  <c r="X37" i="55"/>
  <c r="Y37" i="55"/>
  <c r="AB37" i="55"/>
  <c r="AC37" i="55"/>
  <c r="AD37" i="55"/>
  <c r="AE37" i="55"/>
  <c r="AF37" i="55"/>
  <c r="AG37" i="55"/>
  <c r="B38" i="55"/>
  <c r="C38" i="55"/>
  <c r="D38" i="55"/>
  <c r="E38" i="55"/>
  <c r="F38" i="55"/>
  <c r="G38" i="55"/>
  <c r="H38" i="55"/>
  <c r="I38" i="55"/>
  <c r="J38" i="55"/>
  <c r="K38" i="55"/>
  <c r="L38" i="55"/>
  <c r="M38" i="55"/>
  <c r="N38" i="55"/>
  <c r="O38" i="55"/>
  <c r="P38" i="55"/>
  <c r="Q38" i="55"/>
  <c r="R38" i="55"/>
  <c r="S38" i="55"/>
  <c r="T38" i="55"/>
  <c r="U38" i="55"/>
  <c r="V38" i="55"/>
  <c r="W38" i="55"/>
  <c r="X38" i="55"/>
  <c r="Y38" i="55"/>
  <c r="AB38" i="55"/>
  <c r="AC38" i="55"/>
  <c r="AD38" i="55"/>
  <c r="AE38" i="55"/>
  <c r="AF38" i="55"/>
  <c r="AG38" i="55"/>
  <c r="B39" i="55"/>
  <c r="C39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AB39" i="55"/>
  <c r="AC39" i="55"/>
  <c r="AD39" i="55"/>
  <c r="AE39" i="55"/>
  <c r="AF39" i="55"/>
  <c r="AG39" i="55"/>
  <c r="B40" i="55"/>
  <c r="C40" i="55"/>
  <c r="D40" i="55"/>
  <c r="E40" i="55"/>
  <c r="F40" i="55"/>
  <c r="G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AB40" i="55"/>
  <c r="AC40" i="55"/>
  <c r="AD40" i="55"/>
  <c r="AE40" i="55"/>
  <c r="AF40" i="55"/>
  <c r="AG40" i="55"/>
  <c r="B41" i="55"/>
  <c r="C41" i="55"/>
  <c r="D41" i="55"/>
  <c r="E41" i="55"/>
  <c r="F41" i="55"/>
  <c r="G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AB41" i="55"/>
  <c r="AC41" i="55"/>
  <c r="AD41" i="55"/>
  <c r="AE41" i="55"/>
  <c r="AF41" i="55"/>
  <c r="AG41" i="55"/>
  <c r="B42" i="55"/>
  <c r="C42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AB42" i="55"/>
  <c r="AC42" i="55"/>
  <c r="AD42" i="55"/>
  <c r="AE42" i="55"/>
  <c r="AF42" i="55"/>
  <c r="AG42" i="55"/>
  <c r="B43" i="55"/>
  <c r="C43" i="55"/>
  <c r="D43" i="55"/>
  <c r="E43" i="55"/>
  <c r="F43" i="55"/>
  <c r="G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AB43" i="55"/>
  <c r="AC43" i="55"/>
  <c r="AD43" i="55"/>
  <c r="AE43" i="55"/>
  <c r="AF43" i="55"/>
  <c r="AG43" i="55"/>
  <c r="B44" i="55"/>
  <c r="C44" i="55"/>
  <c r="D44" i="55"/>
  <c r="E44" i="55"/>
  <c r="F44" i="55"/>
  <c r="G44" i="55"/>
  <c r="H44" i="55"/>
  <c r="I44" i="55"/>
  <c r="J44" i="55"/>
  <c r="K44" i="55"/>
  <c r="L44" i="55"/>
  <c r="M44" i="55"/>
  <c r="N44" i="55"/>
  <c r="O44" i="55"/>
  <c r="P44" i="55"/>
  <c r="Q44" i="55"/>
  <c r="R44" i="55"/>
  <c r="T44" i="55"/>
  <c r="U44" i="55"/>
  <c r="V44" i="55"/>
  <c r="W44" i="55"/>
  <c r="X44" i="55"/>
  <c r="Y44" i="55"/>
  <c r="AB44" i="55"/>
  <c r="AC44" i="55"/>
  <c r="AD44" i="55"/>
  <c r="AE44" i="55"/>
  <c r="AF44" i="55"/>
  <c r="AG44" i="55"/>
  <c r="B45" i="55"/>
  <c r="C45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AB45" i="55"/>
  <c r="AC45" i="55"/>
  <c r="AD45" i="55"/>
  <c r="AE45" i="55"/>
  <c r="AF45" i="55"/>
  <c r="AG45" i="55"/>
  <c r="B46" i="55"/>
  <c r="C46" i="55"/>
  <c r="D46" i="55"/>
  <c r="E46" i="55"/>
  <c r="F46" i="55"/>
  <c r="G46" i="55"/>
  <c r="H46" i="55"/>
  <c r="I46" i="55"/>
  <c r="J46" i="55"/>
  <c r="K46" i="55"/>
  <c r="L46" i="55"/>
  <c r="M46" i="55"/>
  <c r="N46" i="55"/>
  <c r="O46" i="55"/>
  <c r="P46" i="55"/>
  <c r="Q46" i="55"/>
  <c r="R46" i="55"/>
  <c r="T46" i="55"/>
  <c r="U46" i="55"/>
  <c r="V46" i="55"/>
  <c r="W46" i="55"/>
  <c r="X46" i="55"/>
  <c r="Y46" i="55"/>
  <c r="AB46" i="55"/>
  <c r="AC46" i="55"/>
  <c r="AD46" i="55"/>
  <c r="AE46" i="55"/>
  <c r="AF46" i="55"/>
  <c r="AG46" i="55"/>
  <c r="B47" i="55"/>
  <c r="C47" i="55"/>
  <c r="D47" i="55"/>
  <c r="E47" i="55"/>
  <c r="F47" i="55"/>
  <c r="G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AB47" i="55"/>
  <c r="AC47" i="55"/>
  <c r="AD47" i="55"/>
  <c r="AE47" i="55"/>
  <c r="AF47" i="55"/>
  <c r="AG47" i="55"/>
  <c r="B48" i="55"/>
  <c r="C48" i="55"/>
  <c r="D48" i="55"/>
  <c r="E48" i="55"/>
  <c r="F48" i="55"/>
  <c r="G48" i="55"/>
  <c r="H48" i="55"/>
  <c r="I48" i="55"/>
  <c r="J48" i="55"/>
  <c r="K48" i="55"/>
  <c r="L48" i="55"/>
  <c r="M48" i="55"/>
  <c r="N48" i="55"/>
  <c r="O48" i="55"/>
  <c r="P48" i="55"/>
  <c r="Q48" i="55"/>
  <c r="R48" i="55"/>
  <c r="S48" i="55"/>
  <c r="T48" i="55"/>
  <c r="U48" i="55"/>
  <c r="V48" i="55"/>
  <c r="W48" i="55"/>
  <c r="X48" i="55"/>
  <c r="Y48" i="55"/>
  <c r="AB48" i="55"/>
  <c r="AC48" i="55"/>
  <c r="AD48" i="55"/>
  <c r="AE48" i="55"/>
  <c r="AF48" i="55"/>
  <c r="AG48" i="55"/>
  <c r="B49" i="55"/>
  <c r="C49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AB49" i="55"/>
  <c r="AC49" i="55"/>
  <c r="AD49" i="55"/>
  <c r="AE49" i="55"/>
  <c r="AF49" i="55"/>
  <c r="AG49" i="55"/>
  <c r="B50" i="55"/>
  <c r="C50" i="55"/>
  <c r="D50" i="55"/>
  <c r="E50" i="55"/>
  <c r="F50" i="55"/>
  <c r="G50" i="55"/>
  <c r="I50" i="55"/>
  <c r="J50" i="55"/>
  <c r="K50" i="55"/>
  <c r="L50" i="55"/>
  <c r="M50" i="55"/>
  <c r="N50" i="55"/>
  <c r="O50" i="55"/>
  <c r="P50" i="55"/>
  <c r="Q50" i="55"/>
  <c r="R50" i="55"/>
  <c r="S50" i="55"/>
  <c r="T50" i="55"/>
  <c r="U50" i="55"/>
  <c r="V50" i="55"/>
  <c r="W50" i="55"/>
  <c r="X50" i="55"/>
  <c r="Y50" i="55"/>
  <c r="AB50" i="55"/>
  <c r="AC50" i="55"/>
  <c r="AD50" i="55"/>
  <c r="AE50" i="55"/>
  <c r="AF50" i="55"/>
  <c r="AG50" i="55"/>
  <c r="B51" i="55"/>
  <c r="C51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AB51" i="55"/>
  <c r="AC51" i="55"/>
  <c r="AD51" i="55"/>
  <c r="AE51" i="55"/>
  <c r="AF51" i="55"/>
  <c r="AG51" i="55"/>
  <c r="B52" i="55"/>
  <c r="C52" i="55"/>
  <c r="D52" i="55"/>
  <c r="E52" i="55"/>
  <c r="F52" i="55"/>
  <c r="G52" i="55"/>
  <c r="H52" i="55"/>
  <c r="I52" i="55"/>
  <c r="J52" i="55"/>
  <c r="K52" i="55"/>
  <c r="L52" i="55"/>
  <c r="M52" i="55"/>
  <c r="N52" i="55"/>
  <c r="O52" i="55"/>
  <c r="P52" i="55"/>
  <c r="Q52" i="55"/>
  <c r="R52" i="55"/>
  <c r="S52" i="55"/>
  <c r="T52" i="55"/>
  <c r="U52" i="55"/>
  <c r="V52" i="55"/>
  <c r="W52" i="55"/>
  <c r="X52" i="55"/>
  <c r="Y52" i="55"/>
  <c r="AB52" i="55"/>
  <c r="AC52" i="55"/>
  <c r="AD52" i="55"/>
  <c r="AE52" i="55"/>
  <c r="AF52" i="55"/>
  <c r="AG52" i="55"/>
  <c r="B53" i="55"/>
  <c r="C53" i="55"/>
  <c r="D53" i="55"/>
  <c r="E53" i="55"/>
  <c r="F53" i="55"/>
  <c r="G53" i="55"/>
  <c r="H53" i="55"/>
  <c r="I53" i="55"/>
  <c r="J53" i="55"/>
  <c r="K53" i="55"/>
  <c r="L53" i="55"/>
  <c r="M53" i="55"/>
  <c r="N53" i="55"/>
  <c r="O53" i="55"/>
  <c r="P53" i="55"/>
  <c r="Q53" i="55"/>
  <c r="R53" i="55"/>
  <c r="T53" i="55"/>
  <c r="U53" i="55"/>
  <c r="V53" i="55"/>
  <c r="W53" i="55"/>
  <c r="X53" i="55"/>
  <c r="Y53" i="55"/>
  <c r="AB53" i="55"/>
  <c r="AC53" i="55"/>
  <c r="AD53" i="55"/>
  <c r="AE53" i="55"/>
  <c r="AF53" i="55"/>
  <c r="AG53" i="55"/>
  <c r="B54" i="55"/>
  <c r="C54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AB54" i="55"/>
  <c r="AC54" i="55"/>
  <c r="AD54" i="55"/>
  <c r="AE54" i="55"/>
  <c r="AF54" i="55"/>
  <c r="AG54" i="55"/>
  <c r="B55" i="55"/>
  <c r="C55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AB55" i="55"/>
  <c r="AC55" i="55"/>
  <c r="AD55" i="55"/>
  <c r="AE55" i="55"/>
  <c r="AF55" i="55"/>
  <c r="AG55" i="55"/>
  <c r="B56" i="55"/>
  <c r="C56" i="55"/>
  <c r="D56" i="55"/>
  <c r="E56" i="55"/>
  <c r="F56" i="55"/>
  <c r="G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AB56" i="55"/>
  <c r="AC56" i="55"/>
  <c r="AD56" i="55"/>
  <c r="AE56" i="55"/>
  <c r="AF56" i="55"/>
  <c r="AG56" i="55"/>
  <c r="B57" i="55"/>
  <c r="C57" i="55"/>
  <c r="D57" i="55"/>
  <c r="E57" i="55"/>
  <c r="F57" i="55"/>
  <c r="G57" i="55"/>
  <c r="I57" i="55"/>
  <c r="J57" i="55"/>
  <c r="K57" i="55"/>
  <c r="L57" i="55"/>
  <c r="M57" i="55"/>
  <c r="N57" i="55"/>
  <c r="O57" i="55"/>
  <c r="P57" i="55"/>
  <c r="Q57" i="55"/>
  <c r="R57" i="55"/>
  <c r="S57" i="55"/>
  <c r="T57" i="55"/>
  <c r="U57" i="55"/>
  <c r="V57" i="55"/>
  <c r="W57" i="55"/>
  <c r="X57" i="55"/>
  <c r="Y57" i="55"/>
  <c r="AB57" i="55"/>
  <c r="AC57" i="55"/>
  <c r="AD57" i="55"/>
  <c r="AE57" i="55"/>
  <c r="AF57" i="55"/>
  <c r="AG57" i="55"/>
  <c r="B58" i="55"/>
  <c r="C58" i="55"/>
  <c r="D58" i="55"/>
  <c r="E58" i="55"/>
  <c r="F58" i="55"/>
  <c r="G58" i="55"/>
  <c r="I58" i="55"/>
  <c r="J58" i="55"/>
  <c r="K58" i="55"/>
  <c r="L58" i="55"/>
  <c r="M58" i="55"/>
  <c r="N58" i="55"/>
  <c r="O58" i="55"/>
  <c r="P58" i="55"/>
  <c r="Q58" i="55"/>
  <c r="R58" i="55"/>
  <c r="S58" i="55"/>
  <c r="T58" i="55"/>
  <c r="U58" i="55"/>
  <c r="V58" i="55"/>
  <c r="W58" i="55"/>
  <c r="X58" i="55"/>
  <c r="Y58" i="55"/>
  <c r="AB58" i="55"/>
  <c r="AC58" i="55"/>
  <c r="AD58" i="55"/>
  <c r="AE58" i="55"/>
  <c r="AF58" i="55"/>
  <c r="AG58" i="55"/>
  <c r="B59" i="55"/>
  <c r="C59" i="55"/>
  <c r="D59" i="55"/>
  <c r="E59" i="55"/>
  <c r="F59" i="55"/>
  <c r="G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AB59" i="55"/>
  <c r="AC59" i="55"/>
  <c r="AD59" i="55"/>
  <c r="AE59" i="55"/>
  <c r="AF59" i="55"/>
  <c r="AG59" i="55"/>
  <c r="B60" i="55"/>
  <c r="C60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AB60" i="55"/>
  <c r="AC60" i="55"/>
  <c r="AD60" i="55"/>
  <c r="AE60" i="55"/>
  <c r="AF60" i="55"/>
  <c r="AG60" i="55"/>
  <c r="B61" i="55"/>
  <c r="C61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AB61" i="55"/>
  <c r="AC61" i="55"/>
  <c r="AD61" i="55"/>
  <c r="AE61" i="55"/>
  <c r="AF61" i="55"/>
  <c r="AG61" i="55"/>
  <c r="B62" i="55"/>
  <c r="C62" i="55"/>
  <c r="D62" i="55"/>
  <c r="E62" i="55"/>
  <c r="F62" i="55"/>
  <c r="G62" i="55"/>
  <c r="H62" i="55"/>
  <c r="I62" i="55"/>
  <c r="J62" i="55"/>
  <c r="K62" i="55"/>
  <c r="L62" i="55"/>
  <c r="M62" i="55"/>
  <c r="N62" i="55"/>
  <c r="O62" i="55"/>
  <c r="P62" i="55"/>
  <c r="Q62" i="55"/>
  <c r="R62" i="55"/>
  <c r="S62" i="55"/>
  <c r="T62" i="55"/>
  <c r="U62" i="55"/>
  <c r="V62" i="55"/>
  <c r="W62" i="55"/>
  <c r="X62" i="55"/>
  <c r="Y62" i="55"/>
  <c r="AB62" i="55"/>
  <c r="AC62" i="55"/>
  <c r="AD62" i="55"/>
  <c r="AE62" i="55"/>
  <c r="AF62" i="55"/>
  <c r="AG62" i="55"/>
  <c r="B63" i="55"/>
  <c r="C63" i="55"/>
  <c r="D63" i="55"/>
  <c r="E63" i="55"/>
  <c r="F63" i="55"/>
  <c r="G63" i="55"/>
  <c r="H63" i="55"/>
  <c r="I63" i="55"/>
  <c r="J63" i="55"/>
  <c r="K63" i="55"/>
  <c r="L63" i="55"/>
  <c r="M63" i="55"/>
  <c r="N63" i="55"/>
  <c r="O63" i="55"/>
  <c r="P63" i="55"/>
  <c r="Q63" i="55"/>
  <c r="R63" i="55"/>
  <c r="T63" i="55"/>
  <c r="U63" i="55"/>
  <c r="V63" i="55"/>
  <c r="W63" i="55"/>
  <c r="X63" i="55"/>
  <c r="Y63" i="55"/>
  <c r="AB63" i="55"/>
  <c r="AC63" i="55"/>
  <c r="AD63" i="55"/>
  <c r="AE63" i="55"/>
  <c r="AF63" i="55"/>
  <c r="AG63" i="55"/>
  <c r="B64" i="55"/>
  <c r="C64" i="55"/>
  <c r="D64" i="55"/>
  <c r="E64" i="55"/>
  <c r="F64" i="55"/>
  <c r="G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AB64" i="55"/>
  <c r="AC64" i="55"/>
  <c r="AD64" i="55"/>
  <c r="AE64" i="55"/>
  <c r="AF64" i="55"/>
  <c r="AG64" i="55"/>
  <c r="B65" i="55"/>
  <c r="C65" i="55"/>
  <c r="D65" i="55"/>
  <c r="E65" i="55"/>
  <c r="F65" i="55"/>
  <c r="G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AB65" i="55"/>
  <c r="AC65" i="55"/>
  <c r="AD65" i="55"/>
  <c r="AE65" i="55"/>
  <c r="AF65" i="55"/>
  <c r="AG65" i="55"/>
  <c r="B66" i="55"/>
  <c r="C66" i="55"/>
  <c r="D66" i="55"/>
  <c r="E66" i="55"/>
  <c r="F66" i="55"/>
  <c r="G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AB66" i="55"/>
  <c r="AC66" i="55"/>
  <c r="AD66" i="55"/>
  <c r="AE66" i="55"/>
  <c r="AF66" i="55"/>
  <c r="AG66" i="55"/>
  <c r="B67" i="55"/>
  <c r="C67" i="55"/>
  <c r="D67" i="55"/>
  <c r="E67" i="55"/>
  <c r="F67" i="55"/>
  <c r="G67" i="55"/>
  <c r="I67" i="55"/>
  <c r="J67" i="55"/>
  <c r="K67" i="55"/>
  <c r="L67" i="55"/>
  <c r="M67" i="55"/>
  <c r="N67" i="55"/>
  <c r="O67" i="55"/>
  <c r="P67" i="55"/>
  <c r="Q67" i="55"/>
  <c r="R67" i="55"/>
  <c r="S67" i="55"/>
  <c r="T67" i="55"/>
  <c r="U67" i="55"/>
  <c r="V67" i="55"/>
  <c r="W67" i="55"/>
  <c r="X67" i="55"/>
  <c r="Y67" i="55"/>
  <c r="AB67" i="55"/>
  <c r="AC67" i="55"/>
  <c r="AD67" i="55"/>
  <c r="AE67" i="55"/>
  <c r="AF67" i="55"/>
  <c r="AG67" i="55"/>
  <c r="B68" i="55"/>
  <c r="C68" i="55"/>
  <c r="D68" i="55"/>
  <c r="E68" i="55"/>
  <c r="F68" i="55"/>
  <c r="G68" i="55"/>
  <c r="I68" i="55"/>
  <c r="J68" i="55"/>
  <c r="K68" i="55"/>
  <c r="L68" i="55"/>
  <c r="M68" i="55"/>
  <c r="N68" i="55"/>
  <c r="O68" i="55"/>
  <c r="P68" i="55"/>
  <c r="Q68" i="55"/>
  <c r="R68" i="55"/>
  <c r="S68" i="55"/>
  <c r="T68" i="55"/>
  <c r="U68" i="55"/>
  <c r="V68" i="55"/>
  <c r="W68" i="55"/>
  <c r="X68" i="55"/>
  <c r="Y68" i="55"/>
  <c r="AB68" i="55"/>
  <c r="AC68" i="55"/>
  <c r="AD68" i="55"/>
  <c r="AE68" i="55"/>
  <c r="AF68" i="55"/>
  <c r="AG68" i="55"/>
  <c r="B69" i="55"/>
  <c r="C69" i="55"/>
  <c r="D69" i="55"/>
  <c r="E69" i="55"/>
  <c r="F69" i="55"/>
  <c r="G69" i="55"/>
  <c r="H69" i="55"/>
  <c r="I69" i="55"/>
  <c r="J69" i="55"/>
  <c r="K69" i="55"/>
  <c r="L69" i="55"/>
  <c r="M69" i="55"/>
  <c r="N69" i="55"/>
  <c r="O69" i="55"/>
  <c r="P69" i="55"/>
  <c r="Q69" i="55"/>
  <c r="R69" i="55"/>
  <c r="S69" i="55"/>
  <c r="T69" i="55"/>
  <c r="U69" i="55"/>
  <c r="V69" i="55"/>
  <c r="W69" i="55"/>
  <c r="X69" i="55"/>
  <c r="Y69" i="55"/>
  <c r="AB69" i="55"/>
  <c r="AC69" i="55"/>
  <c r="AD69" i="55"/>
  <c r="AE69" i="55"/>
  <c r="AF69" i="55"/>
  <c r="AG69" i="55"/>
  <c r="B70" i="55"/>
  <c r="C70" i="55"/>
  <c r="D70" i="55"/>
  <c r="E70" i="55"/>
  <c r="F70" i="55"/>
  <c r="G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AB70" i="55"/>
  <c r="AC70" i="55"/>
  <c r="AD70" i="55"/>
  <c r="AE70" i="55"/>
  <c r="AF70" i="55"/>
  <c r="AG70" i="55"/>
  <c r="B71" i="55"/>
  <c r="C71" i="55"/>
  <c r="D71" i="55"/>
  <c r="E71" i="55"/>
  <c r="F71" i="55"/>
  <c r="G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AB71" i="55"/>
  <c r="AC71" i="55"/>
  <c r="AD71" i="55"/>
  <c r="AE71" i="55"/>
  <c r="AF71" i="55"/>
  <c r="AG71" i="55"/>
  <c r="B72" i="55"/>
  <c r="C72" i="55"/>
  <c r="D72" i="55"/>
  <c r="E72" i="55"/>
  <c r="F72" i="55"/>
  <c r="G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AB72" i="55"/>
  <c r="AC72" i="55"/>
  <c r="AD72" i="55"/>
  <c r="AE72" i="55"/>
  <c r="AF72" i="55"/>
  <c r="AG72" i="55"/>
  <c r="B73" i="55"/>
  <c r="C73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AB73" i="55"/>
  <c r="AC73" i="55"/>
  <c r="AD73" i="55"/>
  <c r="AE73" i="55"/>
  <c r="AF73" i="55"/>
  <c r="AG73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4" i="55"/>
  <c r="HT73" i="47"/>
  <c r="HT64" i="47"/>
  <c r="AB114" i="16" l="1"/>
  <c r="AB113" i="16"/>
  <c r="AA113" i="16"/>
  <c r="BB79" i="47"/>
  <c r="BB80" i="47"/>
  <c r="BB81" i="47"/>
  <c r="BB82" i="47"/>
  <c r="BB83" i="47"/>
  <c r="BB84" i="47"/>
  <c r="BB85" i="47"/>
  <c r="BB86" i="47"/>
  <c r="BB76" i="47"/>
  <c r="BB77" i="47"/>
  <c r="BB78" i="47"/>
  <c r="AP25" i="46"/>
  <c r="AP24" i="46"/>
  <c r="AP23" i="46"/>
  <c r="AP22" i="46"/>
  <c r="AP21" i="46"/>
  <c r="AP20" i="46"/>
  <c r="AP19" i="46"/>
  <c r="AP18" i="46"/>
  <c r="AO11" i="46" a="1"/>
  <c r="AO11" i="46" s="1"/>
  <c r="AP11" i="46" s="1"/>
  <c r="AO10" i="46" a="1"/>
  <c r="AO10" i="46" s="1"/>
  <c r="AP10" i="46" s="1"/>
  <c r="AO9" i="46"/>
  <c r="AP9" i="46" s="1"/>
  <c r="AO9" i="46" a="1"/>
  <c r="AO8" i="46" a="1"/>
  <c r="AO8" i="46" s="1"/>
  <c r="AP8" i="46" s="1"/>
  <c r="BA73" i="47" a="1"/>
  <c r="BA73" i="47" s="1"/>
  <c r="BB73" i="47" s="1"/>
  <c r="BA72" i="47"/>
  <c r="BB72" i="47" s="1"/>
  <c r="BA72" i="47" a="1"/>
  <c r="BA71" i="47" a="1"/>
  <c r="BA71" i="47" s="1"/>
  <c r="BB71" i="47" s="1"/>
  <c r="BA70" i="47" a="1"/>
  <c r="BA70" i="47" s="1"/>
  <c r="BB70" i="47" s="1"/>
  <c r="BA69" i="47" a="1"/>
  <c r="BA69" i="47" s="1"/>
  <c r="BB69" i="47" s="1"/>
  <c r="BA68" i="47"/>
  <c r="BB68" i="47" s="1"/>
  <c r="BA68" i="47" a="1"/>
  <c r="BA67" i="47" a="1"/>
  <c r="BA67" i="47" s="1"/>
  <c r="BB67" i="47" s="1"/>
  <c r="BA66" i="47" a="1"/>
  <c r="BA66" i="47" s="1"/>
  <c r="BB66" i="47" s="1"/>
  <c r="BA65" i="47" a="1"/>
  <c r="BA65" i="47" s="1"/>
  <c r="BB65" i="47" s="1"/>
  <c r="BA64" i="47"/>
  <c r="BB64" i="47" s="1"/>
  <c r="BA64" i="47" a="1"/>
  <c r="BB63" i="47"/>
  <c r="S63" i="55" s="1"/>
  <c r="BA62" i="47" a="1"/>
  <c r="BA62" i="47" s="1"/>
  <c r="BB62" i="47" s="1"/>
  <c r="BA61" i="47" a="1"/>
  <c r="BA61" i="47" s="1"/>
  <c r="BB61" i="47" s="1"/>
  <c r="BA60" i="47"/>
  <c r="BB60" i="47" s="1"/>
  <c r="BA60" i="47" a="1"/>
  <c r="BA59" i="47" a="1"/>
  <c r="BA59" i="47" s="1"/>
  <c r="BB59" i="47" s="1"/>
  <c r="BA58" i="47" a="1"/>
  <c r="BA58" i="47" s="1"/>
  <c r="BB58" i="47" s="1"/>
  <c r="BA57" i="47" a="1"/>
  <c r="BA57" i="47" s="1"/>
  <c r="BB57" i="47" s="1"/>
  <c r="BA56" i="47"/>
  <c r="BB56" i="47" s="1"/>
  <c r="BA56" i="47" a="1"/>
  <c r="BA55" i="47" a="1"/>
  <c r="BA55" i="47" s="1"/>
  <c r="BB55" i="47" s="1"/>
  <c r="BA54" i="47" a="1"/>
  <c r="BA54" i="47" s="1"/>
  <c r="BB54" i="47" s="1"/>
  <c r="BB53" i="47"/>
  <c r="S53" i="55" s="1"/>
  <c r="BA52" i="47"/>
  <c r="BB52" i="47" s="1"/>
  <c r="BA52" i="47" a="1"/>
  <c r="BA51" i="47" a="1"/>
  <c r="BA51" i="47" s="1"/>
  <c r="BB51" i="47" s="1"/>
  <c r="BA50" i="47" a="1"/>
  <c r="BA50" i="47" s="1"/>
  <c r="BB50" i="47" s="1"/>
  <c r="BA49" i="47" a="1"/>
  <c r="BA49" i="47" s="1"/>
  <c r="BB49" i="47" s="1"/>
  <c r="BA48" i="47"/>
  <c r="BB48" i="47" s="1"/>
  <c r="BA48" i="47" a="1"/>
  <c r="BA47" i="47" a="1"/>
  <c r="BA47" i="47" s="1"/>
  <c r="BB47" i="47" s="1"/>
  <c r="BB46" i="47"/>
  <c r="S46" i="55" s="1"/>
  <c r="BA45" i="47" a="1"/>
  <c r="BA45" i="47" s="1"/>
  <c r="BB45" i="47" s="1"/>
  <c r="BB44" i="47"/>
  <c r="S44" i="55" s="1"/>
  <c r="BA43" i="47" a="1"/>
  <c r="BA43" i="47" s="1"/>
  <c r="BB43" i="47" s="1"/>
  <c r="BA42" i="47" a="1"/>
  <c r="BA42" i="47" s="1"/>
  <c r="BB42" i="47" s="1"/>
  <c r="BA41" i="47" a="1"/>
  <c r="BA41" i="47" s="1"/>
  <c r="BB41" i="47" s="1"/>
  <c r="BA40" i="47"/>
  <c r="BB40" i="47" s="1"/>
  <c r="BA40" i="47" a="1"/>
  <c r="BA39" i="47" a="1"/>
  <c r="BA39" i="47" s="1"/>
  <c r="BB39" i="47" s="1"/>
  <c r="BA38" i="47" a="1"/>
  <c r="BA38" i="47" s="1"/>
  <c r="BB38" i="47" s="1"/>
  <c r="BA37" i="47" a="1"/>
  <c r="BA37" i="47" s="1"/>
  <c r="BB37" i="47" s="1"/>
  <c r="BA36" i="47"/>
  <c r="BB36" i="47" s="1"/>
  <c r="BA36" i="47" a="1"/>
  <c r="BA35" i="47" a="1"/>
  <c r="BA35" i="47" s="1"/>
  <c r="BB35" i="47" s="1"/>
  <c r="BA34" i="47" a="1"/>
  <c r="BA34" i="47" s="1"/>
  <c r="BB34" i="47" s="1"/>
  <c r="BA33" i="47" a="1"/>
  <c r="BA33" i="47" s="1"/>
  <c r="BB33" i="47" s="1"/>
  <c r="BB32" i="47"/>
  <c r="S32" i="55" s="1"/>
  <c r="BA31" i="47" a="1"/>
  <c r="BA31" i="47" s="1"/>
  <c r="BB31" i="47" s="1"/>
  <c r="BB30" i="47"/>
  <c r="S30" i="55" s="1"/>
  <c r="BA29" i="47" a="1"/>
  <c r="BA29" i="47" s="1"/>
  <c r="BB29" i="47" s="1"/>
  <c r="BA28" i="47"/>
  <c r="BB28" i="47" s="1"/>
  <c r="BA28" i="47" a="1"/>
  <c r="BA27" i="47" a="1"/>
  <c r="BA27" i="47" s="1"/>
  <c r="BB27" i="47" s="1"/>
  <c r="BA26" i="47" a="1"/>
  <c r="BA26" i="47" s="1"/>
  <c r="BB26" i="47" s="1"/>
  <c r="BB25" i="47"/>
  <c r="S25" i="55" s="1"/>
  <c r="BB24" i="47"/>
  <c r="S24" i="55" s="1"/>
  <c r="BA23" i="47" a="1"/>
  <c r="BA23" i="47" s="1"/>
  <c r="BB23" i="47" s="1"/>
  <c r="BB22" i="47"/>
  <c r="S22" i="55" s="1"/>
  <c r="BB21" i="47"/>
  <c r="S21" i="55" s="1"/>
  <c r="BA20" i="47"/>
  <c r="BB20" i="47" s="1"/>
  <c r="BA20" i="47" a="1"/>
  <c r="BA19" i="47" a="1"/>
  <c r="BA19" i="47" s="1"/>
  <c r="BB19" i="47" s="1"/>
  <c r="BA18" i="47" a="1"/>
  <c r="BA18" i="47" s="1"/>
  <c r="BB18" i="47" s="1"/>
  <c r="BA17" i="47" a="1"/>
  <c r="BA17" i="47" s="1"/>
  <c r="BB17" i="47" s="1"/>
  <c r="BA16" i="47"/>
  <c r="BB16" i="47" s="1"/>
  <c r="BA16" i="47" a="1"/>
  <c r="BA15" i="47" a="1"/>
  <c r="BA15" i="47" s="1"/>
  <c r="BB15" i="47" s="1"/>
  <c r="BA14" i="47" a="1"/>
  <c r="BA14" i="47" s="1"/>
  <c r="BB14" i="47" s="1"/>
  <c r="BA13" i="47" a="1"/>
  <c r="BA13" i="47" s="1"/>
  <c r="BB13" i="47" s="1"/>
  <c r="BA12" i="47"/>
  <c r="BB12" i="47" s="1"/>
  <c r="BA12" i="47" a="1"/>
  <c r="BA11" i="47" a="1"/>
  <c r="BA11" i="47" s="1"/>
  <c r="BB11" i="47" s="1"/>
  <c r="BA10" i="47" a="1"/>
  <c r="BA10" i="47" s="1"/>
  <c r="BB10" i="47" s="1"/>
  <c r="BA9" i="47" a="1"/>
  <c r="BA9" i="47" s="1"/>
  <c r="BB9" i="47" s="1"/>
  <c r="BA8" i="47"/>
  <c r="BB8" i="47" s="1"/>
  <c r="BA8" i="47" a="1"/>
  <c r="BF40" i="35"/>
  <c r="BF39" i="35"/>
  <c r="BF38" i="35"/>
  <c r="BF37" i="35"/>
  <c r="BF36" i="35"/>
  <c r="BF35" i="35"/>
  <c r="BF34" i="35"/>
  <c r="BF33" i="35"/>
  <c r="BF32" i="35"/>
  <c r="BF31" i="35"/>
  <c r="BF30" i="35"/>
  <c r="BF29" i="35"/>
  <c r="BF28" i="35"/>
  <c r="BF27" i="35"/>
  <c r="BF26" i="35"/>
  <c r="BF25" i="35"/>
  <c r="BF24" i="35"/>
  <c r="BF23" i="35"/>
  <c r="BF54" i="35" s="1"/>
  <c r="BF22" i="35"/>
  <c r="BF21" i="35"/>
  <c r="BF20" i="35"/>
  <c r="BF19" i="35"/>
  <c r="BF18" i="35"/>
  <c r="BF17" i="35"/>
  <c r="BF16" i="35"/>
  <c r="BF15" i="35"/>
  <c r="BF14" i="35"/>
  <c r="BF13" i="35"/>
  <c r="BF12" i="35"/>
  <c r="BF11" i="35"/>
  <c r="BF10" i="35"/>
  <c r="BF9" i="35"/>
  <c r="BF8" i="35"/>
  <c r="BE40" i="35" a="1"/>
  <c r="BE40" i="35" s="1"/>
  <c r="BE39" i="35" a="1"/>
  <c r="BE39" i="35" s="1"/>
  <c r="BE38" i="35" a="1"/>
  <c r="BE38" i="35" s="1"/>
  <c r="BE36" i="35" a="1"/>
  <c r="BE36" i="35" s="1"/>
  <c r="BE35" i="35" a="1"/>
  <c r="BE35" i="35" s="1"/>
  <c r="BE34" i="35" a="1"/>
  <c r="BE34" i="35" s="1"/>
  <c r="BE33" i="35" a="1"/>
  <c r="BE33" i="35" s="1"/>
  <c r="BE32" i="35" a="1"/>
  <c r="BE32" i="35" s="1"/>
  <c r="BE31" i="35" a="1"/>
  <c r="BE31" i="35" s="1"/>
  <c r="BE30" i="35" a="1"/>
  <c r="BE30" i="35" s="1"/>
  <c r="BE29" i="35" a="1"/>
  <c r="BE29" i="35" s="1"/>
  <c r="BE28" i="35" a="1"/>
  <c r="BE28" i="35" s="1"/>
  <c r="BE27" i="35" a="1"/>
  <c r="BE27" i="35" s="1"/>
  <c r="BE26" i="35" a="1"/>
  <c r="BE26" i="35" s="1"/>
  <c r="BE25" i="35" a="1"/>
  <c r="BE25" i="35" s="1"/>
  <c r="BE24" i="35" a="1"/>
  <c r="BE24" i="35" s="1"/>
  <c r="BE22" i="35" a="1"/>
  <c r="BE22" i="35" s="1"/>
  <c r="BE21" i="35" a="1"/>
  <c r="BE21" i="35" s="1"/>
  <c r="BE20" i="35" a="1"/>
  <c r="BE20" i="35" s="1"/>
  <c r="BE19" i="35" a="1"/>
  <c r="BE19" i="35" s="1"/>
  <c r="BE18" i="35" a="1"/>
  <c r="BE18" i="35" s="1"/>
  <c r="BE17" i="35" a="1"/>
  <c r="BE17" i="35" s="1"/>
  <c r="BE16" i="35" a="1"/>
  <c r="BE16" i="35" s="1"/>
  <c r="BE15" i="35" a="1"/>
  <c r="BE15" i="35" s="1"/>
  <c r="BE14" i="35" a="1"/>
  <c r="BE14" i="35" s="1"/>
  <c r="BE13" i="35" a="1"/>
  <c r="BE13" i="35" s="1"/>
  <c r="BE12" i="35" a="1"/>
  <c r="BE12" i="35" s="1"/>
  <c r="BE11" i="35" a="1"/>
  <c r="BE11" i="35" s="1"/>
  <c r="BE10" i="35" a="1"/>
  <c r="BE10" i="35" s="1"/>
  <c r="BE9" i="35" a="1"/>
  <c r="BE9" i="35" s="1"/>
  <c r="BE8" i="35" a="1"/>
  <c r="BE8" i="35" s="1"/>
  <c r="F28" i="50" l="1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HT59" i="47"/>
  <c r="HT20" i="47"/>
  <c r="HT16" i="47"/>
  <c r="HT15" i="47"/>
  <c r="HT53" i="47"/>
  <c r="HT44" i="47"/>
  <c r="HT41" i="47"/>
  <c r="HT40" i="47"/>
  <c r="HT39" i="47"/>
  <c r="HT38" i="47"/>
  <c r="HT37" i="47"/>
  <c r="HT34" i="47"/>
  <c r="HT32" i="47"/>
  <c r="HT30" i="47"/>
  <c r="HT28" i="47"/>
  <c r="HT25" i="47"/>
  <c r="HT24" i="47"/>
  <c r="HT22" i="47"/>
  <c r="HT21" i="47"/>
  <c r="HT19" i="47"/>
  <c r="HT17" i="47"/>
  <c r="HT14" i="47"/>
  <c r="HT12" i="47"/>
  <c r="HT8" i="47"/>
  <c r="HT66" i="47"/>
  <c r="HT63" i="47"/>
  <c r="HT62" i="47"/>
  <c r="HT61" i="47"/>
  <c r="HT60" i="47"/>
  <c r="HT56" i="47"/>
  <c r="HT55" i="47"/>
  <c r="HT54" i="47"/>
  <c r="HT52" i="47"/>
  <c r="HT51" i="47"/>
  <c r="HT50" i="47"/>
  <c r="HT49" i="47"/>
  <c r="HT48" i="47"/>
  <c r="HT47" i="47"/>
  <c r="HT46" i="47"/>
  <c r="HT45" i="47"/>
  <c r="HT43" i="47"/>
  <c r="HT42" i="47"/>
  <c r="HT36" i="47"/>
  <c r="HT35" i="47"/>
  <c r="HT33" i="47"/>
  <c r="HT31" i="47"/>
  <c r="HT29" i="47"/>
  <c r="HT27" i="47"/>
  <c r="HT26" i="47"/>
  <c r="HT23" i="47"/>
  <c r="HT18" i="47"/>
  <c r="HT13" i="47"/>
  <c r="HT11" i="47"/>
  <c r="HT10" i="47"/>
  <c r="HT9" i="47"/>
  <c r="HT72" i="47"/>
  <c r="HT71" i="47"/>
  <c r="HT70" i="47"/>
  <c r="HT69" i="47"/>
  <c r="HT68" i="47"/>
  <c r="HT67" i="47"/>
  <c r="HT65" i="47"/>
  <c r="HT58" i="47"/>
  <c r="HT57" i="47"/>
  <c r="JE35" i="35"/>
  <c r="JE40" i="35"/>
  <c r="JE36" i="35"/>
  <c r="JE9" i="35"/>
  <c r="JF40" i="35"/>
  <c r="JF37" i="35"/>
  <c r="JF36" i="35"/>
  <c r="JF9" i="35"/>
  <c r="JF38" i="35"/>
  <c r="JF35" i="35"/>
  <c r="JF27" i="35"/>
  <c r="JF23" i="35"/>
  <c r="JF13" i="35"/>
  <c r="JF12" i="35"/>
  <c r="JF8" i="35"/>
  <c r="JF39" i="35"/>
  <c r="JF34" i="35"/>
  <c r="JF33" i="35"/>
  <c r="JF32" i="35"/>
  <c r="JF31" i="35"/>
  <c r="JF30" i="35"/>
  <c r="JF29" i="35"/>
  <c r="JF26" i="35"/>
  <c r="JF25" i="35"/>
  <c r="JF24" i="35"/>
  <c r="JF22" i="35"/>
  <c r="JF21" i="35"/>
  <c r="JF20" i="35"/>
  <c r="JF19" i="35"/>
  <c r="JF18" i="35"/>
  <c r="JF17" i="35"/>
  <c r="JF16" i="35"/>
  <c r="JF14" i="35"/>
  <c r="JF11" i="35"/>
  <c r="JF10" i="35"/>
  <c r="JF28" i="35"/>
  <c r="JF15" i="35"/>
  <c r="JE39" i="35"/>
  <c r="JE38" i="35"/>
  <c r="JE37" i="35"/>
  <c r="JE34" i="35"/>
  <c r="JE33" i="35"/>
  <c r="JE32" i="35"/>
  <c r="JE31" i="35"/>
  <c r="JE30" i="35"/>
  <c r="JE29" i="35"/>
  <c r="JE28" i="35"/>
  <c r="JE27" i="35"/>
  <c r="JE26" i="35"/>
  <c r="JE25" i="35"/>
  <c r="JE24" i="35"/>
  <c r="JE23" i="35"/>
  <c r="JE22" i="35"/>
  <c r="JE21" i="35"/>
  <c r="JE20" i="35"/>
  <c r="JE19" i="35"/>
  <c r="JE18" i="35"/>
  <c r="JE17" i="35"/>
  <c r="JE16" i="35"/>
  <c r="JE15" i="35"/>
  <c r="JE14" i="35"/>
  <c r="JE13" i="35"/>
  <c r="JE12" i="35"/>
  <c r="JE11" i="35"/>
  <c r="JE10" i="35"/>
  <c r="JE8" i="35"/>
  <c r="R61" i="48" l="1"/>
  <c r="O46" i="53" l="1"/>
  <c r="Q46" i="53"/>
  <c r="S46" i="53"/>
  <c r="V46" i="53"/>
  <c r="AA46" i="53"/>
  <c r="AF46" i="53"/>
  <c r="AJ46" i="53"/>
  <c r="AM46" i="53"/>
  <c r="AO46" i="53"/>
  <c r="AQ46" i="53"/>
  <c r="AT46" i="53"/>
  <c r="AV46" i="53"/>
  <c r="AX46" i="53"/>
  <c r="AZ46" i="53"/>
  <c r="BB46" i="53"/>
  <c r="BD46" i="53"/>
  <c r="BF46" i="53"/>
  <c r="BH46" i="53"/>
  <c r="BJ46" i="53"/>
  <c r="BL46" i="53"/>
  <c r="O47" i="53"/>
  <c r="Q47" i="53"/>
  <c r="S47" i="53"/>
  <c r="V47" i="53"/>
  <c r="AD47" i="53"/>
  <c r="AG47" i="53"/>
  <c r="AK47" i="53"/>
  <c r="AM47" i="53"/>
  <c r="AO47" i="53"/>
  <c r="AQ47" i="53"/>
  <c r="AT47" i="53"/>
  <c r="AV47" i="53"/>
  <c r="AX47" i="53"/>
  <c r="AZ47" i="53"/>
  <c r="BB47" i="53"/>
  <c r="BD47" i="53"/>
  <c r="BF47" i="53"/>
  <c r="BH47" i="53"/>
  <c r="BJ47" i="53"/>
  <c r="BL47" i="53"/>
  <c r="O48" i="53"/>
  <c r="P48" i="53"/>
  <c r="Q48" i="53"/>
  <c r="R48" i="53"/>
  <c r="S48" i="53"/>
  <c r="T48" i="53"/>
  <c r="U48" i="53"/>
  <c r="V48" i="53"/>
  <c r="W48" i="53"/>
  <c r="X48" i="53"/>
  <c r="Y48" i="53"/>
  <c r="Z48" i="53"/>
  <c r="AA48" i="53"/>
  <c r="AB48" i="53"/>
  <c r="AC48" i="53"/>
  <c r="AD48" i="53"/>
  <c r="AE48" i="53"/>
  <c r="AF48" i="53"/>
  <c r="AG48" i="53"/>
  <c r="AH48" i="53"/>
  <c r="AI48" i="53"/>
  <c r="AJ48" i="53"/>
  <c r="AK48" i="53"/>
  <c r="AL48" i="53"/>
  <c r="AM48" i="53"/>
  <c r="AN48" i="53"/>
  <c r="AO48" i="53"/>
  <c r="AP48" i="53"/>
  <c r="AQ48" i="53"/>
  <c r="AR48" i="53"/>
  <c r="AS48" i="53"/>
  <c r="AT48" i="53"/>
  <c r="AU48" i="53"/>
  <c r="AV48" i="53"/>
  <c r="AW48" i="53"/>
  <c r="AX48" i="53"/>
  <c r="AY48" i="53"/>
  <c r="AZ48" i="53"/>
  <c r="BA48" i="53"/>
  <c r="BB48" i="53"/>
  <c r="BC48" i="53"/>
  <c r="BD48" i="53"/>
  <c r="BE48" i="53"/>
  <c r="BG48" i="53"/>
  <c r="BH48" i="53"/>
  <c r="BI48" i="53"/>
  <c r="BJ48" i="53"/>
  <c r="BK48" i="53"/>
  <c r="BL48" i="53"/>
  <c r="BM48" i="53"/>
  <c r="P49" i="53"/>
  <c r="R49" i="53"/>
  <c r="U49" i="53"/>
  <c r="Z49" i="53"/>
  <c r="AE49" i="53"/>
  <c r="AI49" i="53"/>
  <c r="AL49" i="53"/>
  <c r="AN49" i="53"/>
  <c r="AP49" i="53"/>
  <c r="AS49" i="53"/>
  <c r="AU49" i="53"/>
  <c r="AW49" i="53"/>
  <c r="AX49" i="53"/>
  <c r="AY49" i="53"/>
  <c r="AZ49" i="53"/>
  <c r="BA49" i="53"/>
  <c r="BB49" i="53"/>
  <c r="BC49" i="53"/>
  <c r="BD49" i="53"/>
  <c r="BE49" i="53"/>
  <c r="BG49" i="53"/>
  <c r="BI49" i="53"/>
  <c r="BK49" i="53"/>
  <c r="BM49" i="53"/>
  <c r="P50" i="53"/>
  <c r="R50" i="53"/>
  <c r="T50" i="53"/>
  <c r="U50" i="53"/>
  <c r="W50" i="53"/>
  <c r="X50" i="53"/>
  <c r="Y50" i="53"/>
  <c r="Z50" i="53"/>
  <c r="AB50" i="53"/>
  <c r="AC50" i="53"/>
  <c r="AD50" i="53"/>
  <c r="AE50" i="53"/>
  <c r="AG50" i="53"/>
  <c r="AI50" i="53"/>
  <c r="AM50" i="53"/>
  <c r="AN50" i="53"/>
  <c r="AP50" i="53"/>
  <c r="AS50" i="53"/>
  <c r="AU50" i="53"/>
  <c r="AW50" i="53"/>
  <c r="AX50" i="53"/>
  <c r="AY50" i="53"/>
  <c r="AZ50" i="53"/>
  <c r="BA50" i="53"/>
  <c r="BB50" i="53"/>
  <c r="BC50" i="53"/>
  <c r="BD50" i="53"/>
  <c r="BF50" i="53"/>
  <c r="BG50" i="53"/>
  <c r="BH50" i="53"/>
  <c r="BI50" i="53"/>
  <c r="BJ50" i="53"/>
  <c r="BK50" i="53"/>
  <c r="BL50" i="53"/>
  <c r="BM50" i="53"/>
  <c r="P51" i="53"/>
  <c r="R51" i="53"/>
  <c r="T51" i="53"/>
  <c r="U51" i="53"/>
  <c r="W51" i="53"/>
  <c r="X51" i="53"/>
  <c r="Y51" i="53"/>
  <c r="Z51" i="53"/>
  <c r="AB51" i="53"/>
  <c r="AC51" i="53"/>
  <c r="AD51" i="53"/>
  <c r="AE51" i="53"/>
  <c r="AG51" i="53"/>
  <c r="AI51" i="53"/>
  <c r="AM51" i="53"/>
  <c r="AN51" i="53"/>
  <c r="AP51" i="53"/>
  <c r="AS51" i="53"/>
  <c r="AU51" i="53"/>
  <c r="AW51" i="53"/>
  <c r="AY51" i="53"/>
  <c r="AZ51" i="53"/>
  <c r="BA51" i="53"/>
  <c r="BB51" i="53"/>
  <c r="BC51" i="53"/>
  <c r="BD51" i="53"/>
  <c r="BF51" i="53"/>
  <c r="BG51" i="53"/>
  <c r="BH51" i="53"/>
  <c r="BI51" i="53"/>
  <c r="BJ51" i="53"/>
  <c r="BK51" i="53"/>
  <c r="BL51" i="53"/>
  <c r="BM51" i="53"/>
  <c r="P52" i="53"/>
  <c r="R52" i="53"/>
  <c r="T52" i="53"/>
  <c r="U52" i="53"/>
  <c r="W52" i="53"/>
  <c r="X52" i="53"/>
  <c r="Y52" i="53"/>
  <c r="Z52" i="53"/>
  <c r="AB52" i="53"/>
  <c r="AC52" i="53"/>
  <c r="AD52" i="53"/>
  <c r="AE52" i="53"/>
  <c r="AG52" i="53"/>
  <c r="AI52" i="53"/>
  <c r="AM52" i="53"/>
  <c r="AN52" i="53"/>
  <c r="AP52" i="53"/>
  <c r="AS52" i="53"/>
  <c r="AU52" i="53"/>
  <c r="AW52" i="53"/>
  <c r="AY52" i="53"/>
  <c r="AZ52" i="53"/>
  <c r="BA52" i="53"/>
  <c r="BB52" i="53"/>
  <c r="BC52" i="53"/>
  <c r="BD52" i="53"/>
  <c r="BF52" i="53"/>
  <c r="BG52" i="53"/>
  <c r="BH52" i="53"/>
  <c r="BI52" i="53"/>
  <c r="BJ52" i="53"/>
  <c r="BK52" i="53"/>
  <c r="BL52" i="53"/>
  <c r="BM52" i="53"/>
  <c r="P53" i="53"/>
  <c r="R53" i="53"/>
  <c r="T53" i="53"/>
  <c r="U53" i="53"/>
  <c r="W53" i="53"/>
  <c r="X53" i="53"/>
  <c r="Y53" i="53"/>
  <c r="Z53" i="53"/>
  <c r="AB53" i="53"/>
  <c r="AC53" i="53"/>
  <c r="AD53" i="53"/>
  <c r="AE53" i="53"/>
  <c r="AG53" i="53"/>
  <c r="AI53" i="53"/>
  <c r="AM53" i="53"/>
  <c r="AN53" i="53"/>
  <c r="AP53" i="53"/>
  <c r="AS53" i="53"/>
  <c r="AU53" i="53"/>
  <c r="AW53" i="53"/>
  <c r="AY53" i="53"/>
  <c r="AZ53" i="53"/>
  <c r="BA53" i="53"/>
  <c r="BB53" i="53"/>
  <c r="BC53" i="53"/>
  <c r="BD53" i="53"/>
  <c r="BF53" i="53"/>
  <c r="BG53" i="53"/>
  <c r="BH53" i="53"/>
  <c r="BI53" i="53"/>
  <c r="BJ53" i="53"/>
  <c r="BL53" i="53"/>
  <c r="BM53" i="53"/>
  <c r="P54" i="53"/>
  <c r="R54" i="53"/>
  <c r="T54" i="53"/>
  <c r="U54" i="53"/>
  <c r="W54" i="53"/>
  <c r="X54" i="53"/>
  <c r="Y54" i="53"/>
  <c r="Z54" i="53"/>
  <c r="AB54" i="53"/>
  <c r="AC54" i="53"/>
  <c r="AD54" i="53"/>
  <c r="AE54" i="53"/>
  <c r="AG54" i="53"/>
  <c r="AI54" i="53"/>
  <c r="AM54" i="53"/>
  <c r="AN54" i="53"/>
  <c r="AP54" i="53"/>
  <c r="AS54" i="53"/>
  <c r="AU54" i="53"/>
  <c r="AW54" i="53"/>
  <c r="AY54" i="53"/>
  <c r="AZ54" i="53"/>
  <c r="BA54" i="53"/>
  <c r="BB54" i="53"/>
  <c r="BC54" i="53"/>
  <c r="BD54" i="53"/>
  <c r="BF54" i="53"/>
  <c r="BG54" i="53"/>
  <c r="BH54" i="53"/>
  <c r="BI54" i="53"/>
  <c r="BJ54" i="53"/>
  <c r="BL54" i="53"/>
  <c r="BM54" i="53"/>
  <c r="P55" i="53"/>
  <c r="R55" i="53"/>
  <c r="T55" i="53"/>
  <c r="U55" i="53"/>
  <c r="W55" i="53"/>
  <c r="X55" i="53"/>
  <c r="Y55" i="53"/>
  <c r="Z55" i="53"/>
  <c r="AB55" i="53"/>
  <c r="AC55" i="53"/>
  <c r="AD55" i="53"/>
  <c r="AE55" i="53"/>
  <c r="AG55" i="53"/>
  <c r="AI55" i="53"/>
  <c r="AM55" i="53"/>
  <c r="AN55" i="53"/>
  <c r="AP55" i="53"/>
  <c r="AS55" i="53"/>
  <c r="AU55" i="53"/>
  <c r="AW55" i="53"/>
  <c r="AY55" i="53"/>
  <c r="AZ55" i="53"/>
  <c r="BA55" i="53"/>
  <c r="BB55" i="53"/>
  <c r="BC55" i="53"/>
  <c r="BD55" i="53"/>
  <c r="BF55" i="53"/>
  <c r="BG55" i="53"/>
  <c r="BH55" i="53"/>
  <c r="BI55" i="53"/>
  <c r="BJ55" i="53"/>
  <c r="BL55" i="53"/>
  <c r="BM55" i="53"/>
  <c r="P56" i="53"/>
  <c r="R56" i="53"/>
  <c r="T56" i="53"/>
  <c r="U56" i="53"/>
  <c r="W56" i="53"/>
  <c r="X56" i="53"/>
  <c r="Y56" i="53"/>
  <c r="Z56" i="53"/>
  <c r="AB56" i="53"/>
  <c r="AC56" i="53"/>
  <c r="AD56" i="53"/>
  <c r="AE56" i="53"/>
  <c r="AG56" i="53"/>
  <c r="AI56" i="53"/>
  <c r="AM56" i="53"/>
  <c r="AN56" i="53"/>
  <c r="AP56" i="53"/>
  <c r="AS56" i="53"/>
  <c r="AU56" i="53"/>
  <c r="AW56" i="53"/>
  <c r="AY56" i="53"/>
  <c r="AZ56" i="53"/>
  <c r="BA56" i="53"/>
  <c r="BB56" i="53"/>
  <c r="BC56" i="53"/>
  <c r="BD56" i="53"/>
  <c r="BF56" i="53"/>
  <c r="BG56" i="53"/>
  <c r="BH56" i="53"/>
  <c r="BI56" i="53"/>
  <c r="BJ56" i="53"/>
  <c r="BL56" i="53"/>
  <c r="BM56" i="53"/>
  <c r="P57" i="53"/>
  <c r="R57" i="53"/>
  <c r="T57" i="53"/>
  <c r="U57" i="53"/>
  <c r="W57" i="53"/>
  <c r="X57" i="53"/>
  <c r="Y57" i="53"/>
  <c r="Z57" i="53"/>
  <c r="AB57" i="53"/>
  <c r="AC57" i="53"/>
  <c r="AD57" i="53"/>
  <c r="AE57" i="53"/>
  <c r="AG57" i="53"/>
  <c r="AI57" i="53"/>
  <c r="AM57" i="53"/>
  <c r="AN57" i="53"/>
  <c r="AP57" i="53"/>
  <c r="AS57" i="53"/>
  <c r="AU57" i="53"/>
  <c r="AW57" i="53"/>
  <c r="AY57" i="53"/>
  <c r="AZ57" i="53"/>
  <c r="BA57" i="53"/>
  <c r="BB57" i="53"/>
  <c r="BC57" i="53"/>
  <c r="BD57" i="53"/>
  <c r="BF57" i="53"/>
  <c r="BG57" i="53"/>
  <c r="BH57" i="53"/>
  <c r="BI57" i="53"/>
  <c r="BJ57" i="53"/>
  <c r="BL57" i="53"/>
  <c r="BM57" i="53"/>
  <c r="P58" i="53"/>
  <c r="R58" i="53"/>
  <c r="T58" i="53"/>
  <c r="U58" i="53"/>
  <c r="W58" i="53"/>
  <c r="X58" i="53"/>
  <c r="Y58" i="53"/>
  <c r="Z58" i="53"/>
  <c r="AB58" i="53"/>
  <c r="AC58" i="53"/>
  <c r="AD58" i="53"/>
  <c r="AE58" i="53"/>
  <c r="AG58" i="53"/>
  <c r="AI58" i="53"/>
  <c r="AM58" i="53"/>
  <c r="AN58" i="53"/>
  <c r="AP58" i="53"/>
  <c r="AS58" i="53"/>
  <c r="AU58" i="53"/>
  <c r="AW58" i="53"/>
  <c r="AY58" i="53"/>
  <c r="AZ58" i="53"/>
  <c r="BA58" i="53"/>
  <c r="BB58" i="53"/>
  <c r="BC58" i="53"/>
  <c r="BD58" i="53"/>
  <c r="BF58" i="53"/>
  <c r="BG58" i="53"/>
  <c r="BH58" i="53"/>
  <c r="BI58" i="53"/>
  <c r="BJ58" i="53"/>
  <c r="BL58" i="53"/>
  <c r="BM58" i="53"/>
  <c r="P59" i="53"/>
  <c r="R59" i="53"/>
  <c r="T59" i="53"/>
  <c r="U59" i="53"/>
  <c r="W59" i="53"/>
  <c r="X59" i="53"/>
  <c r="Y59" i="53"/>
  <c r="Z59" i="53"/>
  <c r="AB59" i="53"/>
  <c r="AC59" i="53"/>
  <c r="AD59" i="53"/>
  <c r="AE59" i="53"/>
  <c r="AG59" i="53"/>
  <c r="AI59" i="53"/>
  <c r="AM59" i="53"/>
  <c r="AN59" i="53"/>
  <c r="AP59" i="53"/>
  <c r="AS59" i="53"/>
  <c r="AU59" i="53"/>
  <c r="AW59" i="53"/>
  <c r="AY59" i="53"/>
  <c r="AZ59" i="53"/>
  <c r="BA59" i="53"/>
  <c r="BB59" i="53"/>
  <c r="BC59" i="53"/>
  <c r="BD59" i="53"/>
  <c r="BE59" i="53"/>
  <c r="BF59" i="53"/>
  <c r="BG59" i="53"/>
  <c r="BH59" i="53"/>
  <c r="BI59" i="53"/>
  <c r="BJ59" i="53"/>
  <c r="BL59" i="53"/>
  <c r="BM59" i="53"/>
  <c r="P60" i="53"/>
  <c r="R60" i="53"/>
  <c r="T60" i="53"/>
  <c r="U60" i="53"/>
  <c r="W60" i="53"/>
  <c r="X60" i="53"/>
  <c r="Y60" i="53"/>
  <c r="Z60" i="53"/>
  <c r="AB60" i="53"/>
  <c r="AC60" i="53"/>
  <c r="AD60" i="53"/>
  <c r="AE60" i="53"/>
  <c r="AG60" i="53"/>
  <c r="AI60" i="53"/>
  <c r="AM60" i="53"/>
  <c r="AN60" i="53"/>
  <c r="AP60" i="53"/>
  <c r="AS60" i="53"/>
  <c r="AU60" i="53"/>
  <c r="AW60" i="53"/>
  <c r="AY60" i="53"/>
  <c r="AZ60" i="53"/>
  <c r="BA60" i="53"/>
  <c r="BB60" i="53"/>
  <c r="BC60" i="53"/>
  <c r="BD60" i="53"/>
  <c r="BF60" i="53"/>
  <c r="BG60" i="53"/>
  <c r="BH60" i="53"/>
  <c r="BI60" i="53"/>
  <c r="BJ60" i="53"/>
  <c r="BL60" i="53"/>
  <c r="BM60" i="53"/>
  <c r="P61" i="53"/>
  <c r="R61" i="53"/>
  <c r="T61" i="53"/>
  <c r="U61" i="53"/>
  <c r="W61" i="53"/>
  <c r="X61" i="53"/>
  <c r="Y61" i="53"/>
  <c r="Z61" i="53"/>
  <c r="AB61" i="53"/>
  <c r="AC61" i="53"/>
  <c r="AD61" i="53"/>
  <c r="AE61" i="53"/>
  <c r="AG61" i="53"/>
  <c r="AI61" i="53"/>
  <c r="AM61" i="53"/>
  <c r="AN61" i="53"/>
  <c r="AP61" i="53"/>
  <c r="AS61" i="53"/>
  <c r="AU61" i="53"/>
  <c r="AW61" i="53"/>
  <c r="AY61" i="53"/>
  <c r="AZ61" i="53"/>
  <c r="BA61" i="53"/>
  <c r="BB61" i="53"/>
  <c r="BC61" i="53"/>
  <c r="BD61" i="53"/>
  <c r="BF61" i="53"/>
  <c r="BG61" i="53"/>
  <c r="BH61" i="53"/>
  <c r="BI61" i="53"/>
  <c r="BJ61" i="53"/>
  <c r="BL61" i="53"/>
  <c r="BM61" i="53"/>
  <c r="P62" i="53"/>
  <c r="R62" i="53"/>
  <c r="T62" i="53"/>
  <c r="U62" i="53"/>
  <c r="W62" i="53"/>
  <c r="X62" i="53"/>
  <c r="Y62" i="53"/>
  <c r="Z62" i="53"/>
  <c r="AB62" i="53"/>
  <c r="AC62" i="53"/>
  <c r="AD62" i="53"/>
  <c r="AE62" i="53"/>
  <c r="AG62" i="53"/>
  <c r="AI62" i="53"/>
  <c r="AM62" i="53"/>
  <c r="AN62" i="53"/>
  <c r="AP62" i="53"/>
  <c r="AS62" i="53"/>
  <c r="AU62" i="53"/>
  <c r="AW62" i="53"/>
  <c r="AY62" i="53"/>
  <c r="AZ62" i="53"/>
  <c r="BA62" i="53"/>
  <c r="BB62" i="53"/>
  <c r="BC62" i="53"/>
  <c r="BD62" i="53"/>
  <c r="BF62" i="53"/>
  <c r="BG62" i="53"/>
  <c r="BH62" i="53"/>
  <c r="BI62" i="53"/>
  <c r="BJ62" i="53"/>
  <c r="BL62" i="53"/>
  <c r="BM62" i="53"/>
  <c r="P63" i="53"/>
  <c r="R63" i="53"/>
  <c r="T63" i="53"/>
  <c r="U63" i="53"/>
  <c r="W63" i="53"/>
  <c r="X63" i="53"/>
  <c r="Y63" i="53"/>
  <c r="Z63" i="53"/>
  <c r="AB63" i="53"/>
  <c r="AC63" i="53"/>
  <c r="AD63" i="53"/>
  <c r="AE63" i="53"/>
  <c r="AG63" i="53"/>
  <c r="AI63" i="53"/>
  <c r="AM63" i="53"/>
  <c r="AN63" i="53"/>
  <c r="AP63" i="53"/>
  <c r="AS63" i="53"/>
  <c r="AU63" i="53"/>
  <c r="AW63" i="53"/>
  <c r="AY63" i="53"/>
  <c r="AZ63" i="53"/>
  <c r="BA63" i="53"/>
  <c r="BB63" i="53"/>
  <c r="BC63" i="53"/>
  <c r="BD63" i="53"/>
  <c r="BF63" i="53"/>
  <c r="BG63" i="53"/>
  <c r="BH63" i="53"/>
  <c r="BI63" i="53"/>
  <c r="BJ63" i="53"/>
  <c r="BL63" i="53"/>
  <c r="BM63" i="53"/>
  <c r="P64" i="53"/>
  <c r="R64" i="53"/>
  <c r="T64" i="53"/>
  <c r="U64" i="53"/>
  <c r="W64" i="53"/>
  <c r="X64" i="53"/>
  <c r="Y64" i="53"/>
  <c r="Z64" i="53"/>
  <c r="AB64" i="53"/>
  <c r="AC64" i="53"/>
  <c r="AD64" i="53"/>
  <c r="AE64" i="53"/>
  <c r="AG64" i="53"/>
  <c r="AI64" i="53"/>
  <c r="AM64" i="53"/>
  <c r="AN64" i="53"/>
  <c r="AP64" i="53"/>
  <c r="AS64" i="53"/>
  <c r="AU64" i="53"/>
  <c r="AW64" i="53"/>
  <c r="AY64" i="53"/>
  <c r="AZ64" i="53"/>
  <c r="BA64" i="53"/>
  <c r="BB64" i="53"/>
  <c r="BC64" i="53"/>
  <c r="BD64" i="53"/>
  <c r="BE64" i="53"/>
  <c r="BF64" i="53"/>
  <c r="BG64" i="53"/>
  <c r="BH64" i="53"/>
  <c r="BI64" i="53"/>
  <c r="BJ64" i="53"/>
  <c r="BL64" i="53"/>
  <c r="BM64" i="53"/>
  <c r="P65" i="53"/>
  <c r="R65" i="53"/>
  <c r="T65" i="53"/>
  <c r="U65" i="53"/>
  <c r="W65" i="53"/>
  <c r="X65" i="53"/>
  <c r="Y65" i="53"/>
  <c r="Z65" i="53"/>
  <c r="AB65" i="53"/>
  <c r="AC65" i="53"/>
  <c r="AD65" i="53"/>
  <c r="AE65" i="53"/>
  <c r="AG65" i="53"/>
  <c r="AI65" i="53"/>
  <c r="AM65" i="53"/>
  <c r="AN65" i="53"/>
  <c r="AP65" i="53"/>
  <c r="AS65" i="53"/>
  <c r="AU65" i="53"/>
  <c r="AW65" i="53"/>
  <c r="AY65" i="53"/>
  <c r="AZ65" i="53"/>
  <c r="BA65" i="53"/>
  <c r="BB65" i="53"/>
  <c r="BC65" i="53"/>
  <c r="BD65" i="53"/>
  <c r="BF65" i="53"/>
  <c r="BG65" i="53"/>
  <c r="BH65" i="53"/>
  <c r="BI65" i="53"/>
  <c r="BJ65" i="53"/>
  <c r="BL65" i="53"/>
  <c r="BM65" i="53"/>
  <c r="P66" i="53"/>
  <c r="R66" i="53"/>
  <c r="T66" i="53"/>
  <c r="U66" i="53"/>
  <c r="W66" i="53"/>
  <c r="X66" i="53"/>
  <c r="Y66" i="53"/>
  <c r="Z66" i="53"/>
  <c r="AB66" i="53"/>
  <c r="AC66" i="53"/>
  <c r="AD66" i="53"/>
  <c r="AE66" i="53"/>
  <c r="AG66" i="53"/>
  <c r="AI66" i="53"/>
  <c r="AM66" i="53"/>
  <c r="AN66" i="53"/>
  <c r="AP66" i="53"/>
  <c r="AS66" i="53"/>
  <c r="AU66" i="53"/>
  <c r="AW66" i="53"/>
  <c r="AY66" i="53"/>
  <c r="AZ66" i="53"/>
  <c r="BA66" i="53"/>
  <c r="BB66" i="53"/>
  <c r="BC66" i="53"/>
  <c r="BD66" i="53"/>
  <c r="BF66" i="53"/>
  <c r="BG66" i="53"/>
  <c r="BH66" i="53"/>
  <c r="BI66" i="53"/>
  <c r="BJ66" i="53"/>
  <c r="BL66" i="53"/>
  <c r="BM66" i="53"/>
  <c r="P67" i="53"/>
  <c r="R67" i="53"/>
  <c r="T67" i="53"/>
  <c r="U67" i="53"/>
  <c r="W67" i="53"/>
  <c r="X67" i="53"/>
  <c r="Y67" i="53"/>
  <c r="Z67" i="53"/>
  <c r="AB67" i="53"/>
  <c r="AC67" i="53"/>
  <c r="AD67" i="53"/>
  <c r="AE67" i="53"/>
  <c r="AG67" i="53"/>
  <c r="AI67" i="53"/>
  <c r="AM67" i="53"/>
  <c r="AN67" i="53"/>
  <c r="AP67" i="53"/>
  <c r="AS67" i="53"/>
  <c r="AU67" i="53"/>
  <c r="AW67" i="53"/>
  <c r="AY67" i="53"/>
  <c r="AZ67" i="53"/>
  <c r="BA67" i="53"/>
  <c r="BB67" i="53"/>
  <c r="BC67" i="53"/>
  <c r="BD67" i="53"/>
  <c r="BF67" i="53"/>
  <c r="BG67" i="53"/>
  <c r="BH67" i="53"/>
  <c r="BI67" i="53"/>
  <c r="BJ67" i="53"/>
  <c r="BL67" i="53"/>
  <c r="BM67" i="53"/>
  <c r="P68" i="53"/>
  <c r="R68" i="53"/>
  <c r="T68" i="53"/>
  <c r="U68" i="53"/>
  <c r="W68" i="53"/>
  <c r="X68" i="53"/>
  <c r="Y68" i="53"/>
  <c r="Z68" i="53"/>
  <c r="AB68" i="53"/>
  <c r="AC68" i="53"/>
  <c r="AD68" i="53"/>
  <c r="AE68" i="53"/>
  <c r="AG68" i="53"/>
  <c r="AI68" i="53"/>
  <c r="AM68" i="53"/>
  <c r="AN68" i="53"/>
  <c r="AP68" i="53"/>
  <c r="AS68" i="53"/>
  <c r="AU68" i="53"/>
  <c r="AW68" i="53"/>
  <c r="AY68" i="53"/>
  <c r="AZ68" i="53"/>
  <c r="BA68" i="53"/>
  <c r="BB68" i="53"/>
  <c r="BC68" i="53"/>
  <c r="BD68" i="53"/>
  <c r="BF68" i="53"/>
  <c r="BG68" i="53"/>
  <c r="BH68" i="53"/>
  <c r="BI68" i="53"/>
  <c r="BJ68" i="53"/>
  <c r="BL68" i="53"/>
  <c r="BM68" i="53"/>
  <c r="P69" i="53"/>
  <c r="R69" i="53"/>
  <c r="T69" i="53"/>
  <c r="U69" i="53"/>
  <c r="W69" i="53"/>
  <c r="X69" i="53"/>
  <c r="Y69" i="53"/>
  <c r="Z69" i="53"/>
  <c r="AB69" i="53"/>
  <c r="AC69" i="53"/>
  <c r="AD69" i="53"/>
  <c r="AE69" i="53"/>
  <c r="AG69" i="53"/>
  <c r="AI69" i="53"/>
  <c r="AM69" i="53"/>
  <c r="AN69" i="53"/>
  <c r="AP69" i="53"/>
  <c r="AS69" i="53"/>
  <c r="AU69" i="53"/>
  <c r="AW69" i="53"/>
  <c r="AY69" i="53"/>
  <c r="AZ69" i="53"/>
  <c r="BA69" i="53"/>
  <c r="BB69" i="53"/>
  <c r="BC69" i="53"/>
  <c r="BD69" i="53"/>
  <c r="BE69" i="53"/>
  <c r="BF69" i="53"/>
  <c r="BG69" i="53"/>
  <c r="BH69" i="53"/>
  <c r="BI69" i="53"/>
  <c r="BJ69" i="53"/>
  <c r="BL69" i="53"/>
  <c r="BM69" i="53"/>
  <c r="P70" i="53"/>
  <c r="R70" i="53"/>
  <c r="T70" i="53"/>
  <c r="U70" i="53"/>
  <c r="W70" i="53"/>
  <c r="X70" i="53"/>
  <c r="Y70" i="53"/>
  <c r="Z70" i="53"/>
  <c r="AB70" i="53"/>
  <c r="AC70" i="53"/>
  <c r="AD70" i="53"/>
  <c r="AE70" i="53"/>
  <c r="AG70" i="53"/>
  <c r="AI70" i="53"/>
  <c r="AM70" i="53"/>
  <c r="AN70" i="53"/>
  <c r="AP70" i="53"/>
  <c r="AS70" i="53"/>
  <c r="AU70" i="53"/>
  <c r="AW70" i="53"/>
  <c r="AY70" i="53"/>
  <c r="AZ70" i="53"/>
  <c r="BA70" i="53"/>
  <c r="BB70" i="53"/>
  <c r="BC70" i="53"/>
  <c r="BD70" i="53"/>
  <c r="BF70" i="53"/>
  <c r="BG70" i="53"/>
  <c r="BH70" i="53"/>
  <c r="BI70" i="53"/>
  <c r="BJ70" i="53"/>
  <c r="BL70" i="53"/>
  <c r="BM70" i="53"/>
  <c r="P71" i="53"/>
  <c r="R71" i="53"/>
  <c r="T71" i="53"/>
  <c r="U71" i="53"/>
  <c r="W71" i="53"/>
  <c r="X71" i="53"/>
  <c r="Y71" i="53"/>
  <c r="Z71" i="53"/>
  <c r="AB71" i="53"/>
  <c r="AC71" i="53"/>
  <c r="AD71" i="53"/>
  <c r="AE71" i="53"/>
  <c r="AG71" i="53"/>
  <c r="AI71" i="53"/>
  <c r="AM71" i="53"/>
  <c r="AN71" i="53"/>
  <c r="AP71" i="53"/>
  <c r="AS71" i="53"/>
  <c r="AU71" i="53"/>
  <c r="AW71" i="53"/>
  <c r="AY71" i="53"/>
  <c r="AZ71" i="53"/>
  <c r="BA71" i="53"/>
  <c r="BB71" i="53"/>
  <c r="BC71" i="53"/>
  <c r="BD71" i="53"/>
  <c r="BF71" i="53"/>
  <c r="BG71" i="53"/>
  <c r="BH71" i="53"/>
  <c r="BI71" i="53"/>
  <c r="BJ71" i="53"/>
  <c r="BL71" i="53"/>
  <c r="BM71" i="53"/>
  <c r="P72" i="53"/>
  <c r="R72" i="53"/>
  <c r="T72" i="53"/>
  <c r="U72" i="53"/>
  <c r="W72" i="53"/>
  <c r="X72" i="53"/>
  <c r="Y72" i="53"/>
  <c r="Z72" i="53"/>
  <c r="AB72" i="53"/>
  <c r="AC72" i="53"/>
  <c r="AD72" i="53"/>
  <c r="AE72" i="53"/>
  <c r="AG72" i="53"/>
  <c r="AI72" i="53"/>
  <c r="AM72" i="53"/>
  <c r="AN72" i="53"/>
  <c r="AP72" i="53"/>
  <c r="AS72" i="53"/>
  <c r="AU72" i="53"/>
  <c r="AW72" i="53"/>
  <c r="AY72" i="53"/>
  <c r="AZ72" i="53"/>
  <c r="BA72" i="53"/>
  <c r="BB72" i="53"/>
  <c r="BC72" i="53"/>
  <c r="BD72" i="53"/>
  <c r="BF72" i="53"/>
  <c r="BG72" i="53"/>
  <c r="BH72" i="53"/>
  <c r="BI72" i="53"/>
  <c r="BJ72" i="53"/>
  <c r="BL72" i="53"/>
  <c r="BM72" i="53"/>
  <c r="P73" i="53"/>
  <c r="R73" i="53"/>
  <c r="T73" i="53"/>
  <c r="U73" i="53"/>
  <c r="W73" i="53"/>
  <c r="X73" i="53"/>
  <c r="Y73" i="53"/>
  <c r="Z73" i="53"/>
  <c r="AB73" i="53"/>
  <c r="AC73" i="53"/>
  <c r="AD73" i="53"/>
  <c r="AE73" i="53"/>
  <c r="AG73" i="53"/>
  <c r="AI73" i="53"/>
  <c r="AM73" i="53"/>
  <c r="AN73" i="53"/>
  <c r="AP73" i="53"/>
  <c r="AS73" i="53"/>
  <c r="AU73" i="53"/>
  <c r="AW73" i="53"/>
  <c r="AY73" i="53"/>
  <c r="AZ73" i="53"/>
  <c r="BA73" i="53"/>
  <c r="BB73" i="53"/>
  <c r="BC73" i="53"/>
  <c r="BD73" i="53"/>
  <c r="BF73" i="53"/>
  <c r="BG73" i="53"/>
  <c r="BH73" i="53"/>
  <c r="BI73" i="53"/>
  <c r="BJ73" i="53"/>
  <c r="BL73" i="53"/>
  <c r="BM73" i="53"/>
  <c r="P74" i="53"/>
  <c r="R74" i="53"/>
  <c r="T74" i="53"/>
  <c r="U74" i="53"/>
  <c r="W74" i="53"/>
  <c r="X74" i="53"/>
  <c r="Y74" i="53"/>
  <c r="Z74" i="53"/>
  <c r="AB74" i="53"/>
  <c r="AC74" i="53"/>
  <c r="AD74" i="53"/>
  <c r="AE74" i="53"/>
  <c r="AG74" i="53"/>
  <c r="AI74" i="53"/>
  <c r="AM74" i="53"/>
  <c r="AN74" i="53"/>
  <c r="AP74" i="53"/>
  <c r="AS74" i="53"/>
  <c r="AU74" i="53"/>
  <c r="AW74" i="53"/>
  <c r="AY74" i="53"/>
  <c r="AZ74" i="53"/>
  <c r="BA74" i="53"/>
  <c r="BB74" i="53"/>
  <c r="BC74" i="53"/>
  <c r="BD74" i="53"/>
  <c r="BF74" i="53"/>
  <c r="BG74" i="53"/>
  <c r="BH74" i="53"/>
  <c r="BI74" i="53"/>
  <c r="BJ74" i="53"/>
  <c r="BL74" i="53"/>
  <c r="BM74" i="53"/>
  <c r="P75" i="53"/>
  <c r="R75" i="53"/>
  <c r="T75" i="53"/>
  <c r="U75" i="53"/>
  <c r="W75" i="53"/>
  <c r="X75" i="53"/>
  <c r="Y75" i="53"/>
  <c r="Z75" i="53"/>
  <c r="AB75" i="53"/>
  <c r="AC75" i="53"/>
  <c r="AD75" i="53"/>
  <c r="AE75" i="53"/>
  <c r="AG75" i="53"/>
  <c r="AI75" i="53"/>
  <c r="AM75" i="53"/>
  <c r="AN75" i="53"/>
  <c r="AP75" i="53"/>
  <c r="AS75" i="53"/>
  <c r="AU75" i="53"/>
  <c r="AW75" i="53"/>
  <c r="AY75" i="53"/>
  <c r="AZ75" i="53"/>
  <c r="BA75" i="53"/>
  <c r="BB75" i="53"/>
  <c r="BC75" i="53"/>
  <c r="BD75" i="53"/>
  <c r="BF75" i="53"/>
  <c r="BG75" i="53"/>
  <c r="BH75" i="53"/>
  <c r="BI75" i="53"/>
  <c r="BJ75" i="53"/>
  <c r="BL75" i="53"/>
  <c r="BM75" i="53"/>
  <c r="P76" i="53"/>
  <c r="R76" i="53"/>
  <c r="T76" i="53"/>
  <c r="U76" i="53"/>
  <c r="W76" i="53"/>
  <c r="X76" i="53"/>
  <c r="Y76" i="53"/>
  <c r="Z76" i="53"/>
  <c r="AB76" i="53"/>
  <c r="AC76" i="53"/>
  <c r="AD76" i="53"/>
  <c r="AE76" i="53"/>
  <c r="AG76" i="53"/>
  <c r="AI76" i="53"/>
  <c r="AM76" i="53"/>
  <c r="AN76" i="53"/>
  <c r="AP76" i="53"/>
  <c r="AS76" i="53"/>
  <c r="AU76" i="53"/>
  <c r="AW76" i="53"/>
  <c r="AY76" i="53"/>
  <c r="AZ76" i="53"/>
  <c r="BA76" i="53"/>
  <c r="BB76" i="53"/>
  <c r="BC76" i="53"/>
  <c r="BD76" i="53"/>
  <c r="BF76" i="53"/>
  <c r="BG76" i="53"/>
  <c r="BH76" i="53"/>
  <c r="BI76" i="53"/>
  <c r="BJ76" i="53"/>
  <c r="BL76" i="53"/>
  <c r="BM76" i="53"/>
  <c r="P77" i="53"/>
  <c r="R77" i="53"/>
  <c r="T77" i="53"/>
  <c r="U77" i="53"/>
  <c r="W77" i="53"/>
  <c r="X77" i="53"/>
  <c r="Y77" i="53"/>
  <c r="Z77" i="53"/>
  <c r="AB77" i="53"/>
  <c r="AC77" i="53"/>
  <c r="AD77" i="53"/>
  <c r="AE77" i="53"/>
  <c r="AG77" i="53"/>
  <c r="AI77" i="53"/>
  <c r="AM77" i="53"/>
  <c r="AN77" i="53"/>
  <c r="AP77" i="53"/>
  <c r="AS77" i="53"/>
  <c r="AU77" i="53"/>
  <c r="AW77" i="53"/>
  <c r="AY77" i="53"/>
  <c r="AZ77" i="53"/>
  <c r="BA77" i="53"/>
  <c r="BB77" i="53"/>
  <c r="BC77" i="53"/>
  <c r="BD77" i="53"/>
  <c r="BF77" i="53"/>
  <c r="BG77" i="53"/>
  <c r="BH77" i="53"/>
  <c r="BI77" i="53"/>
  <c r="BJ77" i="53"/>
  <c r="BL77" i="53"/>
  <c r="BM77" i="53"/>
  <c r="P78" i="53"/>
  <c r="R78" i="53"/>
  <c r="T78" i="53"/>
  <c r="U78" i="53"/>
  <c r="W78" i="53"/>
  <c r="X78" i="53"/>
  <c r="Y78" i="53"/>
  <c r="Z78" i="53"/>
  <c r="AB78" i="53"/>
  <c r="AC78" i="53"/>
  <c r="AD78" i="53"/>
  <c r="AE78" i="53"/>
  <c r="AG78" i="53"/>
  <c r="AI78" i="53"/>
  <c r="AM78" i="53"/>
  <c r="AN78" i="53"/>
  <c r="AP78" i="53"/>
  <c r="AS78" i="53"/>
  <c r="AU78" i="53"/>
  <c r="AW78" i="53"/>
  <c r="AY78" i="53"/>
  <c r="AZ78" i="53"/>
  <c r="BA78" i="53"/>
  <c r="BB78" i="53"/>
  <c r="BC78" i="53"/>
  <c r="BD78" i="53"/>
  <c r="BF78" i="53"/>
  <c r="BG78" i="53"/>
  <c r="BH78" i="53"/>
  <c r="BI78" i="53"/>
  <c r="BJ78" i="53"/>
  <c r="BL78" i="53"/>
  <c r="BM78" i="53"/>
  <c r="P79" i="53"/>
  <c r="R79" i="53"/>
  <c r="T79" i="53"/>
  <c r="U79" i="53"/>
  <c r="W79" i="53"/>
  <c r="X79" i="53"/>
  <c r="Y79" i="53"/>
  <c r="Z79" i="53"/>
  <c r="AB79" i="53"/>
  <c r="AC79" i="53"/>
  <c r="AD79" i="53"/>
  <c r="AE79" i="53"/>
  <c r="AG79" i="53"/>
  <c r="AI79" i="53"/>
  <c r="AM79" i="53"/>
  <c r="AN79" i="53"/>
  <c r="AP79" i="53"/>
  <c r="AS79" i="53"/>
  <c r="AU79" i="53"/>
  <c r="AW79" i="53"/>
  <c r="AY79" i="53"/>
  <c r="AZ79" i="53"/>
  <c r="BA79" i="53"/>
  <c r="BB79" i="53"/>
  <c r="BC79" i="53"/>
  <c r="BD79" i="53"/>
  <c r="BF79" i="53"/>
  <c r="BG79" i="53"/>
  <c r="BH79" i="53"/>
  <c r="BI79" i="53"/>
  <c r="BJ79" i="53"/>
  <c r="BL79" i="53"/>
  <c r="BM79" i="53"/>
  <c r="P80" i="53"/>
  <c r="R80" i="53"/>
  <c r="T80" i="53"/>
  <c r="U80" i="53"/>
  <c r="W80" i="53"/>
  <c r="X80" i="53"/>
  <c r="Y80" i="53"/>
  <c r="Z80" i="53"/>
  <c r="AB80" i="53"/>
  <c r="AC80" i="53"/>
  <c r="AD80" i="53"/>
  <c r="AE80" i="53"/>
  <c r="AG80" i="53"/>
  <c r="AI80" i="53"/>
  <c r="AM80" i="53"/>
  <c r="AN80" i="53"/>
  <c r="AP80" i="53"/>
  <c r="AS80" i="53"/>
  <c r="AU80" i="53"/>
  <c r="AW80" i="53"/>
  <c r="AY80" i="53"/>
  <c r="AZ80" i="53"/>
  <c r="BA80" i="53"/>
  <c r="BB80" i="53"/>
  <c r="BC80" i="53"/>
  <c r="BD80" i="53"/>
  <c r="BF80" i="53"/>
  <c r="BG80" i="53"/>
  <c r="BH80" i="53"/>
  <c r="BI80" i="53"/>
  <c r="BJ80" i="53"/>
  <c r="BL80" i="53"/>
  <c r="BM80" i="53"/>
  <c r="P81" i="53"/>
  <c r="R81" i="53"/>
  <c r="T81" i="53"/>
  <c r="U81" i="53"/>
  <c r="W81" i="53"/>
  <c r="X81" i="53"/>
  <c r="Y81" i="53"/>
  <c r="Z81" i="53"/>
  <c r="AB81" i="53"/>
  <c r="AC81" i="53"/>
  <c r="AD81" i="53"/>
  <c r="AE81" i="53"/>
  <c r="AG81" i="53"/>
  <c r="AI81" i="53"/>
  <c r="AM81" i="53"/>
  <c r="AN81" i="53"/>
  <c r="AP81" i="53"/>
  <c r="AS81" i="53"/>
  <c r="AU81" i="53"/>
  <c r="AW81" i="53"/>
  <c r="AY81" i="53"/>
  <c r="AZ81" i="53"/>
  <c r="BA81" i="53"/>
  <c r="BB81" i="53"/>
  <c r="BC81" i="53"/>
  <c r="BD81" i="53"/>
  <c r="BE81" i="53"/>
  <c r="BF81" i="53"/>
  <c r="BG81" i="53"/>
  <c r="BH81" i="53"/>
  <c r="BI81" i="53"/>
  <c r="BJ81" i="53"/>
  <c r="BL81" i="53"/>
  <c r="BM81" i="53"/>
  <c r="P82" i="53"/>
  <c r="R82" i="53"/>
  <c r="T82" i="53"/>
  <c r="U82" i="53"/>
  <c r="W82" i="53"/>
  <c r="X82" i="53"/>
  <c r="Y82" i="53"/>
  <c r="Z82" i="53"/>
  <c r="AB82" i="53"/>
  <c r="AC82" i="53"/>
  <c r="AD82" i="53"/>
  <c r="AE82" i="53"/>
  <c r="AG82" i="53"/>
  <c r="AI82" i="53"/>
  <c r="AM82" i="53"/>
  <c r="AN82" i="53"/>
  <c r="AP82" i="53"/>
  <c r="AS82" i="53"/>
  <c r="AU82" i="53"/>
  <c r="AW82" i="53"/>
  <c r="AY82" i="53"/>
  <c r="AZ82" i="53"/>
  <c r="BA82" i="53"/>
  <c r="BB82" i="53"/>
  <c r="BC82" i="53"/>
  <c r="BD82" i="53"/>
  <c r="BF82" i="53"/>
  <c r="BG82" i="53"/>
  <c r="BH82" i="53"/>
  <c r="BI82" i="53"/>
  <c r="BJ82" i="53"/>
  <c r="BL82" i="53"/>
  <c r="BM82" i="53"/>
  <c r="AC4" i="53"/>
  <c r="AG4" i="53"/>
  <c r="AK4" i="53"/>
  <c r="AM4" i="53"/>
  <c r="AO4" i="53"/>
  <c r="AQ4" i="53"/>
  <c r="AS4" i="53"/>
  <c r="AU4" i="53"/>
  <c r="AW4" i="53"/>
  <c r="AY4" i="53"/>
  <c r="BA4" i="53"/>
  <c r="BC4" i="53"/>
  <c r="BE4" i="53"/>
  <c r="BG4" i="53"/>
  <c r="BI4" i="53"/>
  <c r="BK4" i="53"/>
  <c r="BM4" i="53"/>
  <c r="C46" i="53"/>
  <c r="E46" i="53"/>
  <c r="G46" i="53"/>
  <c r="I46" i="53"/>
  <c r="K46" i="53"/>
  <c r="M46" i="53"/>
  <c r="AC5" i="53"/>
  <c r="AE5" i="53"/>
  <c r="AG5" i="53"/>
  <c r="AI5" i="53"/>
  <c r="AK5" i="53"/>
  <c r="AM5" i="53"/>
  <c r="AO5" i="53"/>
  <c r="AQ5" i="53"/>
  <c r="AS5" i="53"/>
  <c r="AU5" i="53"/>
  <c r="AW5" i="53"/>
  <c r="AY5" i="53"/>
  <c r="BA5" i="53"/>
  <c r="BC5" i="53"/>
  <c r="BE5" i="53"/>
  <c r="BG5" i="53"/>
  <c r="BI5" i="53"/>
  <c r="BK5" i="53"/>
  <c r="BM5" i="53"/>
  <c r="C47" i="53"/>
  <c r="E47" i="53"/>
  <c r="G47" i="53"/>
  <c r="I47" i="53"/>
  <c r="K47" i="53"/>
  <c r="M47" i="53"/>
  <c r="AC6" i="53"/>
  <c r="AD6" i="53"/>
  <c r="AE6" i="53"/>
  <c r="AF6" i="53"/>
  <c r="AG6" i="53"/>
  <c r="AH6" i="53"/>
  <c r="AI6" i="53"/>
  <c r="AJ6" i="53"/>
  <c r="AK6" i="53"/>
  <c r="AL6" i="53"/>
  <c r="AM6" i="53"/>
  <c r="AN6" i="53"/>
  <c r="AO6" i="53"/>
  <c r="AP6" i="53"/>
  <c r="AQ6" i="53"/>
  <c r="AR6" i="53"/>
  <c r="AS6" i="53"/>
  <c r="AT6" i="53"/>
  <c r="AU6" i="53"/>
  <c r="AV6" i="53"/>
  <c r="AW6" i="53"/>
  <c r="AX6" i="53"/>
  <c r="AY6" i="53"/>
  <c r="AZ6" i="53"/>
  <c r="BA6" i="53"/>
  <c r="BB6" i="53"/>
  <c r="BC6" i="53"/>
  <c r="BD6" i="53"/>
  <c r="BE6" i="53"/>
  <c r="BF6" i="53"/>
  <c r="BG6" i="53"/>
  <c r="BH6" i="53"/>
  <c r="BI6" i="53"/>
  <c r="BJ6" i="53"/>
  <c r="BK6" i="53"/>
  <c r="BL6" i="53"/>
  <c r="BM6" i="53"/>
  <c r="BN6" i="53"/>
  <c r="C48" i="53"/>
  <c r="D48" i="53"/>
  <c r="E48" i="53"/>
  <c r="F48" i="53"/>
  <c r="G48" i="53"/>
  <c r="H48" i="53"/>
  <c r="I48" i="53"/>
  <c r="J48" i="53"/>
  <c r="K48" i="53"/>
  <c r="L48" i="53"/>
  <c r="M48" i="53"/>
  <c r="N48" i="53"/>
  <c r="AF7" i="53"/>
  <c r="AJ7" i="53"/>
  <c r="AK7" i="53"/>
  <c r="AL7" i="53"/>
  <c r="AM7" i="53"/>
  <c r="AN7" i="53"/>
  <c r="AP7" i="53"/>
  <c r="AR7" i="53"/>
  <c r="AT7" i="53"/>
  <c r="AV7" i="53"/>
  <c r="AX7" i="53"/>
  <c r="AZ7" i="53"/>
  <c r="BB7" i="53"/>
  <c r="BD7" i="53"/>
  <c r="BF7" i="53"/>
  <c r="BH7" i="53"/>
  <c r="BJ7" i="53"/>
  <c r="BL7" i="53"/>
  <c r="BN7" i="53"/>
  <c r="D49" i="53"/>
  <c r="F49" i="53"/>
  <c r="H49" i="53"/>
  <c r="J49" i="53"/>
  <c r="L49" i="53"/>
  <c r="N49" i="53"/>
  <c r="AE8" i="53"/>
  <c r="AF8" i="53"/>
  <c r="AI8" i="53"/>
  <c r="AJ8" i="53"/>
  <c r="AK8" i="53"/>
  <c r="AL8" i="53"/>
  <c r="AM8" i="53"/>
  <c r="AN8" i="53"/>
  <c r="AP8" i="53"/>
  <c r="AR8" i="53"/>
  <c r="AT8" i="53"/>
  <c r="AZ8" i="53"/>
  <c r="BB8" i="53"/>
  <c r="BC8" i="53"/>
  <c r="BD8" i="53"/>
  <c r="BE8" i="53"/>
  <c r="BF8" i="53"/>
  <c r="BG8" i="53"/>
  <c r="BJ8" i="53"/>
  <c r="BL8" i="53"/>
  <c r="BN8" i="53"/>
  <c r="D50" i="53"/>
  <c r="F50" i="53"/>
  <c r="H50" i="53"/>
  <c r="J50" i="53"/>
  <c r="L50" i="53"/>
  <c r="AF9" i="53"/>
  <c r="AI9" i="53"/>
  <c r="AJ9" i="53"/>
  <c r="AK9" i="53"/>
  <c r="AL9" i="53"/>
  <c r="AM9" i="53"/>
  <c r="AN9" i="53"/>
  <c r="AP9" i="53"/>
  <c r="AR9" i="53"/>
  <c r="AT9" i="53"/>
  <c r="AZ9" i="53"/>
  <c r="BB9" i="53"/>
  <c r="BC9" i="53"/>
  <c r="BD9" i="53"/>
  <c r="BE9" i="53"/>
  <c r="BF9" i="53"/>
  <c r="BG9" i="53"/>
  <c r="BJ9" i="53"/>
  <c r="BL9" i="53"/>
  <c r="BN9" i="53"/>
  <c r="D51" i="53"/>
  <c r="F51" i="53"/>
  <c r="H51" i="53"/>
  <c r="J51" i="53"/>
  <c r="L51" i="53"/>
  <c r="AF10" i="53"/>
  <c r="AI10" i="53"/>
  <c r="AJ10" i="53"/>
  <c r="AK10" i="53"/>
  <c r="AL10" i="53"/>
  <c r="AM10" i="53"/>
  <c r="AN10" i="53"/>
  <c r="AP10" i="53"/>
  <c r="AR10" i="53"/>
  <c r="AT10" i="53"/>
  <c r="AZ10" i="53"/>
  <c r="BB10" i="53"/>
  <c r="BC10" i="53"/>
  <c r="BD10" i="53"/>
  <c r="BE10" i="53"/>
  <c r="BF10" i="53"/>
  <c r="BG10" i="53"/>
  <c r="BJ10" i="53"/>
  <c r="BL10" i="53"/>
  <c r="BN10" i="53"/>
  <c r="D52" i="53"/>
  <c r="F52" i="53"/>
  <c r="H52" i="53"/>
  <c r="J52" i="53"/>
  <c r="L52" i="53"/>
  <c r="AF11" i="53"/>
  <c r="AI11" i="53"/>
  <c r="AJ11" i="53"/>
  <c r="AK11" i="53"/>
  <c r="AL11" i="53"/>
  <c r="AM11" i="53"/>
  <c r="AN11" i="53"/>
  <c r="AP11" i="53"/>
  <c r="AR11" i="53"/>
  <c r="AT11" i="53"/>
  <c r="AZ11" i="53"/>
  <c r="BB11" i="53"/>
  <c r="BC11" i="53"/>
  <c r="BD11" i="53"/>
  <c r="BE11" i="53"/>
  <c r="BF11" i="53"/>
  <c r="BG11" i="53"/>
  <c r="BJ11" i="53"/>
  <c r="BL11" i="53"/>
  <c r="BN11" i="53"/>
  <c r="D53" i="53"/>
  <c r="F53" i="53"/>
  <c r="H53" i="53"/>
  <c r="J53" i="53"/>
  <c r="L53" i="53"/>
  <c r="AF12" i="53"/>
  <c r="AI12" i="53"/>
  <c r="AJ12" i="53"/>
  <c r="AK12" i="53"/>
  <c r="AL12" i="53"/>
  <c r="AM12" i="53"/>
  <c r="AN12" i="53"/>
  <c r="AP12" i="53"/>
  <c r="AR12" i="53"/>
  <c r="AT12" i="53"/>
  <c r="AZ12" i="53"/>
  <c r="BB12" i="53"/>
  <c r="BC12" i="53"/>
  <c r="BD12" i="53"/>
  <c r="BE12" i="53"/>
  <c r="BF12" i="53"/>
  <c r="BG12" i="53"/>
  <c r="BJ12" i="53"/>
  <c r="BL12" i="53"/>
  <c r="BN12" i="53"/>
  <c r="D54" i="53"/>
  <c r="F54" i="53"/>
  <c r="H54" i="53"/>
  <c r="J54" i="53"/>
  <c r="L54" i="53"/>
  <c r="AF13" i="53"/>
  <c r="AI13" i="53"/>
  <c r="AJ13" i="53"/>
  <c r="AK13" i="53"/>
  <c r="AL13" i="53"/>
  <c r="AM13" i="53"/>
  <c r="AN13" i="53"/>
  <c r="AP13" i="53"/>
  <c r="AR13" i="53"/>
  <c r="AT13" i="53"/>
  <c r="AZ13" i="53"/>
  <c r="BB13" i="53"/>
  <c r="BC13" i="53"/>
  <c r="BD13" i="53"/>
  <c r="BE13" i="53"/>
  <c r="BF13" i="53"/>
  <c r="BG13" i="53"/>
  <c r="BJ13" i="53"/>
  <c r="BL13" i="53"/>
  <c r="BN13" i="53"/>
  <c r="D55" i="53"/>
  <c r="F55" i="53"/>
  <c r="H55" i="53"/>
  <c r="J55" i="53"/>
  <c r="L55" i="53"/>
  <c r="AC14" i="53"/>
  <c r="AD14" i="53"/>
  <c r="AE14" i="53"/>
  <c r="AI14" i="53"/>
  <c r="AJ14" i="53"/>
  <c r="AK14" i="53"/>
  <c r="AL14" i="53"/>
  <c r="AM14" i="53"/>
  <c r="AN14" i="53"/>
  <c r="AP14" i="53"/>
  <c r="AR14" i="53"/>
  <c r="AT14" i="53"/>
  <c r="AZ14" i="53"/>
  <c r="BB14" i="53"/>
  <c r="BC14" i="53"/>
  <c r="BD14" i="53"/>
  <c r="BE14" i="53"/>
  <c r="BF14" i="53"/>
  <c r="BG14" i="53"/>
  <c r="BJ14" i="53"/>
  <c r="BL14" i="53"/>
  <c r="BN14" i="53"/>
  <c r="D56" i="53"/>
  <c r="F56" i="53"/>
  <c r="H56" i="53"/>
  <c r="J56" i="53"/>
  <c r="L56" i="53"/>
  <c r="AC15" i="53"/>
  <c r="AD15" i="53"/>
  <c r="AE15" i="53"/>
  <c r="AI15" i="53"/>
  <c r="AJ15" i="53"/>
  <c r="AK15" i="53"/>
  <c r="AL15" i="53"/>
  <c r="AM15" i="53"/>
  <c r="AN15" i="53"/>
  <c r="AP15" i="53"/>
  <c r="AR15" i="53"/>
  <c r="AT15" i="53"/>
  <c r="AZ15" i="53"/>
  <c r="BB15" i="53"/>
  <c r="BC15" i="53"/>
  <c r="BD15" i="53"/>
  <c r="BE15" i="53"/>
  <c r="BF15" i="53"/>
  <c r="BG15" i="53"/>
  <c r="BJ15" i="53"/>
  <c r="BL15" i="53"/>
  <c r="BN15" i="53"/>
  <c r="D57" i="53"/>
  <c r="F57" i="53"/>
  <c r="H57" i="53"/>
  <c r="J57" i="53"/>
  <c r="L57" i="53"/>
  <c r="AC16" i="53"/>
  <c r="AD16" i="53"/>
  <c r="AE16" i="53"/>
  <c r="AI16" i="53"/>
  <c r="AJ16" i="53"/>
  <c r="AK16" i="53"/>
  <c r="AL16" i="53"/>
  <c r="AM16" i="53"/>
  <c r="AN16" i="53"/>
  <c r="AP16" i="53"/>
  <c r="AR16" i="53"/>
  <c r="AT16" i="53"/>
  <c r="AZ16" i="53"/>
  <c r="BB16" i="53"/>
  <c r="BC16" i="53"/>
  <c r="BD16" i="53"/>
  <c r="BE16" i="53"/>
  <c r="BF16" i="53"/>
  <c r="BG16" i="53"/>
  <c r="BJ16" i="53"/>
  <c r="BL16" i="53"/>
  <c r="BN16" i="53"/>
  <c r="D58" i="53"/>
  <c r="F58" i="53"/>
  <c r="H58" i="53"/>
  <c r="J58" i="53"/>
  <c r="L58" i="53"/>
  <c r="AC17" i="53"/>
  <c r="AD17" i="53"/>
  <c r="AE17" i="53"/>
  <c r="AI17" i="53"/>
  <c r="AJ17" i="53"/>
  <c r="AK17" i="53"/>
  <c r="AL17" i="53"/>
  <c r="AM17" i="53"/>
  <c r="AN17" i="53"/>
  <c r="AP17" i="53"/>
  <c r="AR17" i="53"/>
  <c r="AT17" i="53"/>
  <c r="AZ17" i="53"/>
  <c r="BB17" i="53"/>
  <c r="BC17" i="53"/>
  <c r="BD17" i="53"/>
  <c r="BE17" i="53"/>
  <c r="BF17" i="53"/>
  <c r="BG17" i="53"/>
  <c r="BH17" i="53"/>
  <c r="BJ17" i="53"/>
  <c r="BL17" i="53"/>
  <c r="BN17" i="53"/>
  <c r="D59" i="53"/>
  <c r="F59" i="53"/>
  <c r="H59" i="53"/>
  <c r="J59" i="53"/>
  <c r="L59" i="53"/>
  <c r="AF18" i="53"/>
  <c r="AI18" i="53"/>
  <c r="AJ18" i="53"/>
  <c r="AK18" i="53"/>
  <c r="AL18" i="53"/>
  <c r="AM18" i="53"/>
  <c r="AN18" i="53"/>
  <c r="AP18" i="53"/>
  <c r="AR18" i="53"/>
  <c r="AT18" i="53"/>
  <c r="AZ18" i="53"/>
  <c r="BB18" i="53"/>
  <c r="BC18" i="53"/>
  <c r="BD18" i="53"/>
  <c r="BE18" i="53"/>
  <c r="BF18" i="53"/>
  <c r="BG18" i="53"/>
  <c r="BJ18" i="53"/>
  <c r="BL18" i="53"/>
  <c r="BN18" i="53"/>
  <c r="D60" i="53"/>
  <c r="F60" i="53"/>
  <c r="H60" i="53"/>
  <c r="J60" i="53"/>
  <c r="L60" i="53"/>
  <c r="AC19" i="53"/>
  <c r="AD19" i="53"/>
  <c r="AE19" i="53"/>
  <c r="AI19" i="53"/>
  <c r="AJ19" i="53"/>
  <c r="AK19" i="53"/>
  <c r="AL19" i="53"/>
  <c r="AM19" i="53"/>
  <c r="AN19" i="53"/>
  <c r="AP19" i="53"/>
  <c r="AR19" i="53"/>
  <c r="AT19" i="53"/>
  <c r="AZ19" i="53"/>
  <c r="BB19" i="53"/>
  <c r="BC19" i="53"/>
  <c r="BD19" i="53"/>
  <c r="BE19" i="53"/>
  <c r="BF19" i="53"/>
  <c r="BG19" i="53"/>
  <c r="BJ19" i="53"/>
  <c r="BL19" i="53"/>
  <c r="BN19" i="53"/>
  <c r="D61" i="53"/>
  <c r="F61" i="53"/>
  <c r="H61" i="53"/>
  <c r="J61" i="53"/>
  <c r="L61" i="53"/>
  <c r="AC20" i="53"/>
  <c r="AD20" i="53"/>
  <c r="AE20" i="53"/>
  <c r="AI20" i="53"/>
  <c r="AJ20" i="53"/>
  <c r="AK20" i="53"/>
  <c r="AL20" i="53"/>
  <c r="AM20" i="53"/>
  <c r="AN20" i="53"/>
  <c r="AP20" i="53"/>
  <c r="AR20" i="53"/>
  <c r="AT20" i="53"/>
  <c r="AZ20" i="53"/>
  <c r="BB20" i="53"/>
  <c r="BC20" i="53"/>
  <c r="BD20" i="53"/>
  <c r="BE20" i="53"/>
  <c r="BF20" i="53"/>
  <c r="BG20" i="53"/>
  <c r="BJ20" i="53"/>
  <c r="BL20" i="53"/>
  <c r="BN20" i="53"/>
  <c r="D62" i="53"/>
  <c r="F62" i="53"/>
  <c r="H62" i="53"/>
  <c r="J62" i="53"/>
  <c r="L62" i="53"/>
  <c r="AC21" i="53"/>
  <c r="AD21" i="53"/>
  <c r="AE21" i="53"/>
  <c r="AI21" i="53"/>
  <c r="AJ21" i="53"/>
  <c r="AK21" i="53"/>
  <c r="AL21" i="53"/>
  <c r="AM21" i="53"/>
  <c r="AN21" i="53"/>
  <c r="AP21" i="53"/>
  <c r="AR21" i="53"/>
  <c r="AT21" i="53"/>
  <c r="AZ21" i="53"/>
  <c r="BB21" i="53"/>
  <c r="BC21" i="53"/>
  <c r="BD21" i="53"/>
  <c r="BE21" i="53"/>
  <c r="BF21" i="53"/>
  <c r="BG21" i="53"/>
  <c r="BJ21" i="53"/>
  <c r="BL21" i="53"/>
  <c r="BN21" i="53"/>
  <c r="D63" i="53"/>
  <c r="F63" i="53"/>
  <c r="H63" i="53"/>
  <c r="J63" i="53"/>
  <c r="L63" i="53"/>
  <c r="AC22" i="53"/>
  <c r="AD22" i="53"/>
  <c r="AE22" i="53"/>
  <c r="AI22" i="53"/>
  <c r="AJ22" i="53"/>
  <c r="AK22" i="53"/>
  <c r="AL22" i="53"/>
  <c r="AM22" i="53"/>
  <c r="AN22" i="53"/>
  <c r="AP22" i="53"/>
  <c r="AR22" i="53"/>
  <c r="AT22" i="53"/>
  <c r="AZ22" i="53"/>
  <c r="BB22" i="53"/>
  <c r="BC22" i="53"/>
  <c r="BD22" i="53"/>
  <c r="BE22" i="53"/>
  <c r="BF22" i="53"/>
  <c r="BG22" i="53"/>
  <c r="BH22" i="53"/>
  <c r="BJ22" i="53"/>
  <c r="BL22" i="53"/>
  <c r="BN22" i="53"/>
  <c r="D64" i="53"/>
  <c r="F64" i="53"/>
  <c r="H64" i="53"/>
  <c r="J64" i="53"/>
  <c r="L64" i="53"/>
  <c r="AC23" i="53"/>
  <c r="AD23" i="53"/>
  <c r="AE23" i="53"/>
  <c r="AI23" i="53"/>
  <c r="AJ23" i="53"/>
  <c r="AK23" i="53"/>
  <c r="AL23" i="53"/>
  <c r="AM23" i="53"/>
  <c r="AN23" i="53"/>
  <c r="AP23" i="53"/>
  <c r="AR23" i="53"/>
  <c r="AT23" i="53"/>
  <c r="AZ23" i="53"/>
  <c r="BB23" i="53"/>
  <c r="BC23" i="53"/>
  <c r="BD23" i="53"/>
  <c r="BE23" i="53"/>
  <c r="BF23" i="53"/>
  <c r="BG23" i="53"/>
  <c r="BJ23" i="53"/>
  <c r="BL23" i="53"/>
  <c r="BN23" i="53"/>
  <c r="D65" i="53"/>
  <c r="F65" i="53"/>
  <c r="H65" i="53"/>
  <c r="J65" i="53"/>
  <c r="L65" i="53"/>
  <c r="AC24" i="53"/>
  <c r="AD24" i="53"/>
  <c r="AE24" i="53"/>
  <c r="AI24" i="53"/>
  <c r="AJ24" i="53"/>
  <c r="AK24" i="53"/>
  <c r="AL24" i="53"/>
  <c r="AM24" i="53"/>
  <c r="AN24" i="53"/>
  <c r="AP24" i="53"/>
  <c r="AR24" i="53"/>
  <c r="AT24" i="53"/>
  <c r="AZ24" i="53"/>
  <c r="BB24" i="53"/>
  <c r="BC24" i="53"/>
  <c r="BD24" i="53"/>
  <c r="BE24" i="53"/>
  <c r="BF24" i="53"/>
  <c r="BG24" i="53"/>
  <c r="BJ24" i="53"/>
  <c r="BL24" i="53"/>
  <c r="BN24" i="53"/>
  <c r="D66" i="53"/>
  <c r="F66" i="53"/>
  <c r="H66" i="53"/>
  <c r="J66" i="53"/>
  <c r="L66" i="53"/>
  <c r="AC25" i="53"/>
  <c r="AD25" i="53"/>
  <c r="AE25" i="53"/>
  <c r="AI25" i="53"/>
  <c r="AJ25" i="53"/>
  <c r="AK25" i="53"/>
  <c r="AL25" i="53"/>
  <c r="AM25" i="53"/>
  <c r="AN25" i="53"/>
  <c r="AP25" i="53"/>
  <c r="AR25" i="53"/>
  <c r="AT25" i="53"/>
  <c r="AZ25" i="53"/>
  <c r="BB25" i="53"/>
  <c r="BC25" i="53"/>
  <c r="BD25" i="53"/>
  <c r="BE25" i="53"/>
  <c r="BF25" i="53"/>
  <c r="BG25" i="53"/>
  <c r="BJ25" i="53"/>
  <c r="BL25" i="53"/>
  <c r="BN25" i="53"/>
  <c r="D67" i="53"/>
  <c r="F67" i="53"/>
  <c r="H67" i="53"/>
  <c r="J67" i="53"/>
  <c r="L67" i="53"/>
  <c r="AC26" i="53"/>
  <c r="AD26" i="53"/>
  <c r="AE26" i="53"/>
  <c r="AI26" i="53"/>
  <c r="AJ26" i="53"/>
  <c r="AK26" i="53"/>
  <c r="AL26" i="53"/>
  <c r="AM26" i="53"/>
  <c r="AN26" i="53"/>
  <c r="AP26" i="53"/>
  <c r="AR26" i="53"/>
  <c r="AT26" i="53"/>
  <c r="AZ26" i="53"/>
  <c r="BB26" i="53"/>
  <c r="BC26" i="53"/>
  <c r="BD26" i="53"/>
  <c r="BE26" i="53"/>
  <c r="BF26" i="53"/>
  <c r="BG26" i="53"/>
  <c r="BJ26" i="53"/>
  <c r="BL26" i="53"/>
  <c r="BN26" i="53"/>
  <c r="D68" i="53"/>
  <c r="F68" i="53"/>
  <c r="H68" i="53"/>
  <c r="J68" i="53"/>
  <c r="L68" i="53"/>
  <c r="AF27" i="53"/>
  <c r="AI27" i="53"/>
  <c r="AJ27" i="53"/>
  <c r="AK27" i="53"/>
  <c r="AL27" i="53"/>
  <c r="AM27" i="53"/>
  <c r="AN27" i="53"/>
  <c r="AP27" i="53"/>
  <c r="AR27" i="53"/>
  <c r="AT27" i="53"/>
  <c r="AZ27" i="53"/>
  <c r="BB27" i="53"/>
  <c r="BC27" i="53"/>
  <c r="BD27" i="53"/>
  <c r="BE27" i="53"/>
  <c r="BF27" i="53"/>
  <c r="BG27" i="53"/>
  <c r="BH27" i="53"/>
  <c r="BJ27" i="53"/>
  <c r="BL27" i="53"/>
  <c r="BN27" i="53"/>
  <c r="D69" i="53"/>
  <c r="F69" i="53"/>
  <c r="H69" i="53"/>
  <c r="J69" i="53"/>
  <c r="L69" i="53"/>
  <c r="AC28" i="53"/>
  <c r="AD28" i="53"/>
  <c r="AE28" i="53"/>
  <c r="AI28" i="53"/>
  <c r="AJ28" i="53"/>
  <c r="AK28" i="53"/>
  <c r="AL28" i="53"/>
  <c r="AM28" i="53"/>
  <c r="AN28" i="53"/>
  <c r="AP28" i="53"/>
  <c r="AR28" i="53"/>
  <c r="AT28" i="53"/>
  <c r="AZ28" i="53"/>
  <c r="BB28" i="53"/>
  <c r="BC28" i="53"/>
  <c r="BD28" i="53"/>
  <c r="BE28" i="53"/>
  <c r="BF28" i="53"/>
  <c r="BG28" i="53"/>
  <c r="BJ28" i="53"/>
  <c r="BL28" i="53"/>
  <c r="BN28" i="53"/>
  <c r="D70" i="53"/>
  <c r="F70" i="53"/>
  <c r="H70" i="53"/>
  <c r="J70" i="53"/>
  <c r="L70" i="53"/>
  <c r="AC29" i="53"/>
  <c r="AD29" i="53"/>
  <c r="AE29" i="53"/>
  <c r="AI29" i="53"/>
  <c r="AJ29" i="53"/>
  <c r="AK29" i="53"/>
  <c r="AL29" i="53"/>
  <c r="AM29" i="53"/>
  <c r="AN29" i="53"/>
  <c r="AP29" i="53"/>
  <c r="AR29" i="53"/>
  <c r="AT29" i="53"/>
  <c r="AZ29" i="53"/>
  <c r="BB29" i="53"/>
  <c r="BC29" i="53"/>
  <c r="BD29" i="53"/>
  <c r="BE29" i="53"/>
  <c r="BF29" i="53"/>
  <c r="BG29" i="53"/>
  <c r="BJ29" i="53"/>
  <c r="BL29" i="53"/>
  <c r="BN29" i="53"/>
  <c r="D71" i="53"/>
  <c r="F71" i="53"/>
  <c r="H71" i="53"/>
  <c r="J71" i="53"/>
  <c r="L71" i="53"/>
  <c r="AC30" i="53"/>
  <c r="AD30" i="53"/>
  <c r="AE30" i="53"/>
  <c r="AI30" i="53"/>
  <c r="AJ30" i="53"/>
  <c r="AK30" i="53"/>
  <c r="AL30" i="53"/>
  <c r="AM30" i="53"/>
  <c r="AN30" i="53"/>
  <c r="AP30" i="53"/>
  <c r="AR30" i="53"/>
  <c r="AT30" i="53"/>
  <c r="AZ30" i="53"/>
  <c r="BB30" i="53"/>
  <c r="BC30" i="53"/>
  <c r="BD30" i="53"/>
  <c r="BE30" i="53"/>
  <c r="BF30" i="53"/>
  <c r="BG30" i="53"/>
  <c r="BJ30" i="53"/>
  <c r="BL30" i="53"/>
  <c r="BN30" i="53"/>
  <c r="D72" i="53"/>
  <c r="F72" i="53"/>
  <c r="H72" i="53"/>
  <c r="J72" i="53"/>
  <c r="L72" i="53"/>
  <c r="AC31" i="53"/>
  <c r="AD31" i="53"/>
  <c r="AE31" i="53"/>
  <c r="AI31" i="53"/>
  <c r="AJ31" i="53"/>
  <c r="AK31" i="53"/>
  <c r="AL31" i="53"/>
  <c r="AM31" i="53"/>
  <c r="AN31" i="53"/>
  <c r="AP31" i="53"/>
  <c r="AR31" i="53"/>
  <c r="AT31" i="53"/>
  <c r="AZ31" i="53"/>
  <c r="BB31" i="53"/>
  <c r="BC31" i="53"/>
  <c r="BD31" i="53"/>
  <c r="BE31" i="53"/>
  <c r="BF31" i="53"/>
  <c r="BG31" i="53"/>
  <c r="BJ31" i="53"/>
  <c r="BL31" i="53"/>
  <c r="BN31" i="53"/>
  <c r="D73" i="53"/>
  <c r="F73" i="53"/>
  <c r="H73" i="53"/>
  <c r="J73" i="53"/>
  <c r="L73" i="53"/>
  <c r="AC32" i="53"/>
  <c r="AD32" i="53"/>
  <c r="AE32" i="53"/>
  <c r="AI32" i="53"/>
  <c r="AJ32" i="53"/>
  <c r="AK32" i="53"/>
  <c r="AL32" i="53"/>
  <c r="AM32" i="53"/>
  <c r="AN32" i="53"/>
  <c r="AP32" i="53"/>
  <c r="AR32" i="53"/>
  <c r="AT32" i="53"/>
  <c r="AZ32" i="53"/>
  <c r="BB32" i="53"/>
  <c r="BC32" i="53"/>
  <c r="BD32" i="53"/>
  <c r="BE32" i="53"/>
  <c r="BF32" i="53"/>
  <c r="BG32" i="53"/>
  <c r="BJ32" i="53"/>
  <c r="BL32" i="53"/>
  <c r="BN32" i="53"/>
  <c r="D74" i="53"/>
  <c r="F74" i="53"/>
  <c r="H74" i="53"/>
  <c r="J74" i="53"/>
  <c r="L74" i="53"/>
  <c r="AC33" i="53"/>
  <c r="AD33" i="53"/>
  <c r="AE33" i="53"/>
  <c r="AI33" i="53"/>
  <c r="AJ33" i="53"/>
  <c r="AK33" i="53"/>
  <c r="AL33" i="53"/>
  <c r="AM33" i="53"/>
  <c r="AN33" i="53"/>
  <c r="AP33" i="53"/>
  <c r="AR33" i="53"/>
  <c r="AT33" i="53"/>
  <c r="AZ33" i="53"/>
  <c r="BB33" i="53"/>
  <c r="BC33" i="53"/>
  <c r="BD33" i="53"/>
  <c r="BE33" i="53"/>
  <c r="BF33" i="53"/>
  <c r="BG33" i="53"/>
  <c r="BJ33" i="53"/>
  <c r="BL33" i="53"/>
  <c r="BN33" i="53"/>
  <c r="D75" i="53"/>
  <c r="F75" i="53"/>
  <c r="H75" i="53"/>
  <c r="J75" i="53"/>
  <c r="L75" i="53"/>
  <c r="AC34" i="53"/>
  <c r="AD34" i="53"/>
  <c r="AE34" i="53"/>
  <c r="AI34" i="53"/>
  <c r="AJ34" i="53"/>
  <c r="AK34" i="53"/>
  <c r="AL34" i="53"/>
  <c r="AM34" i="53"/>
  <c r="AN34" i="53"/>
  <c r="AP34" i="53"/>
  <c r="AR34" i="53"/>
  <c r="AT34" i="53"/>
  <c r="AZ34" i="53"/>
  <c r="BB34" i="53"/>
  <c r="BC34" i="53"/>
  <c r="BD34" i="53"/>
  <c r="BE34" i="53"/>
  <c r="BF34" i="53"/>
  <c r="BG34" i="53"/>
  <c r="BJ34" i="53"/>
  <c r="BL34" i="53"/>
  <c r="BN34" i="53"/>
  <c r="D76" i="53"/>
  <c r="F76" i="53"/>
  <c r="H76" i="53"/>
  <c r="J76" i="53"/>
  <c r="L76" i="53"/>
  <c r="AC35" i="53"/>
  <c r="AD35" i="53"/>
  <c r="AE35" i="53"/>
  <c r="AI35" i="53"/>
  <c r="AJ35" i="53"/>
  <c r="AK35" i="53"/>
  <c r="AL35" i="53"/>
  <c r="AM35" i="53"/>
  <c r="AN35" i="53"/>
  <c r="AP35" i="53"/>
  <c r="AR35" i="53"/>
  <c r="AT35" i="53"/>
  <c r="AZ35" i="53"/>
  <c r="BB35" i="53"/>
  <c r="BC35" i="53"/>
  <c r="BD35" i="53"/>
  <c r="BE35" i="53"/>
  <c r="BF35" i="53"/>
  <c r="BG35" i="53"/>
  <c r="BJ35" i="53"/>
  <c r="BL35" i="53"/>
  <c r="BN35" i="53"/>
  <c r="D77" i="53"/>
  <c r="F77" i="53"/>
  <c r="H77" i="53"/>
  <c r="J77" i="53"/>
  <c r="L77" i="53"/>
  <c r="AF36" i="53"/>
  <c r="AI36" i="53"/>
  <c r="AJ36" i="53"/>
  <c r="AK36" i="53"/>
  <c r="AL36" i="53"/>
  <c r="AM36" i="53"/>
  <c r="AN36" i="53"/>
  <c r="AP36" i="53"/>
  <c r="AR36" i="53"/>
  <c r="AT36" i="53"/>
  <c r="AZ36" i="53"/>
  <c r="BB36" i="53"/>
  <c r="BC36" i="53"/>
  <c r="BD36" i="53"/>
  <c r="BE36" i="53"/>
  <c r="BF36" i="53"/>
  <c r="BG36" i="53"/>
  <c r="BJ36" i="53"/>
  <c r="BL36" i="53"/>
  <c r="BN36" i="53"/>
  <c r="D78" i="53"/>
  <c r="F78" i="53"/>
  <c r="H78" i="53"/>
  <c r="J78" i="53"/>
  <c r="L78" i="53"/>
  <c r="AC37" i="53"/>
  <c r="AD37" i="53"/>
  <c r="AE37" i="53"/>
  <c r="AI37" i="53"/>
  <c r="AJ37" i="53"/>
  <c r="AK37" i="53"/>
  <c r="AL37" i="53"/>
  <c r="AN37" i="53"/>
  <c r="AP37" i="53"/>
  <c r="AR37" i="53"/>
  <c r="AT37" i="53"/>
  <c r="AZ37" i="53"/>
  <c r="BB37" i="53"/>
  <c r="BC37" i="53"/>
  <c r="BD37" i="53"/>
  <c r="BE37" i="53"/>
  <c r="BF37" i="53"/>
  <c r="BG37" i="53"/>
  <c r="BJ37" i="53"/>
  <c r="BL37" i="53"/>
  <c r="BN37" i="53"/>
  <c r="D79" i="53"/>
  <c r="F79" i="53"/>
  <c r="H79" i="53"/>
  <c r="J79" i="53"/>
  <c r="L79" i="53"/>
  <c r="AC38" i="53"/>
  <c r="AD38" i="53"/>
  <c r="AE38" i="53"/>
  <c r="AI38" i="53"/>
  <c r="AJ38" i="53"/>
  <c r="AK38" i="53"/>
  <c r="AL38" i="53"/>
  <c r="AM38" i="53"/>
  <c r="AN38" i="53"/>
  <c r="AP38" i="53"/>
  <c r="AR38" i="53"/>
  <c r="AT38" i="53"/>
  <c r="AZ38" i="53"/>
  <c r="BB38" i="53"/>
  <c r="BC38" i="53"/>
  <c r="BD38" i="53"/>
  <c r="BE38" i="53"/>
  <c r="BF38" i="53"/>
  <c r="BG38" i="53"/>
  <c r="BJ38" i="53"/>
  <c r="BL38" i="53"/>
  <c r="BN38" i="53"/>
  <c r="D80" i="53"/>
  <c r="F80" i="53"/>
  <c r="H80" i="53"/>
  <c r="J80" i="53"/>
  <c r="L80" i="53"/>
  <c r="AF39" i="53"/>
  <c r="AI39" i="53"/>
  <c r="AJ39" i="53"/>
  <c r="AK39" i="53"/>
  <c r="AL39" i="53"/>
  <c r="AM39" i="53"/>
  <c r="AN39" i="53"/>
  <c r="AP39" i="53"/>
  <c r="AR39" i="53"/>
  <c r="AT39" i="53"/>
  <c r="AZ39" i="53"/>
  <c r="BB39" i="53"/>
  <c r="BC39" i="53"/>
  <c r="BD39" i="53"/>
  <c r="BE39" i="53"/>
  <c r="BF39" i="53"/>
  <c r="BG39" i="53"/>
  <c r="BH39" i="53"/>
  <c r="BJ39" i="53"/>
  <c r="BL39" i="53"/>
  <c r="BN39" i="53"/>
  <c r="D81" i="53"/>
  <c r="F81" i="53"/>
  <c r="H81" i="53"/>
  <c r="J81" i="53"/>
  <c r="L81" i="53"/>
  <c r="AF40" i="53"/>
  <c r="AI40" i="53"/>
  <c r="AJ40" i="53"/>
  <c r="AK40" i="53"/>
  <c r="AL40" i="53"/>
  <c r="AM40" i="53"/>
  <c r="AN40" i="53"/>
  <c r="AP40" i="53"/>
  <c r="AR40" i="53"/>
  <c r="AT40" i="53"/>
  <c r="AZ40" i="53"/>
  <c r="BB40" i="53"/>
  <c r="BC40" i="53"/>
  <c r="BD40" i="53"/>
  <c r="BE40" i="53"/>
  <c r="BF40" i="53"/>
  <c r="BG40" i="53"/>
  <c r="BJ40" i="53"/>
  <c r="BL40" i="53"/>
  <c r="BN40" i="53"/>
  <c r="D82" i="53"/>
  <c r="F82" i="53"/>
  <c r="H82" i="53"/>
  <c r="J82" i="53"/>
  <c r="L82" i="53"/>
  <c r="C4" i="53"/>
  <c r="E4" i="53"/>
  <c r="G4" i="53"/>
  <c r="I4" i="53"/>
  <c r="K4" i="53"/>
  <c r="M4" i="53"/>
  <c r="O4" i="53"/>
  <c r="R4" i="53"/>
  <c r="U4" i="53"/>
  <c r="W4" i="53"/>
  <c r="Z4" i="53"/>
  <c r="C5" i="53"/>
  <c r="E5" i="53"/>
  <c r="G5" i="53"/>
  <c r="I5" i="53"/>
  <c r="K5" i="53"/>
  <c r="M5" i="53"/>
  <c r="O5" i="53"/>
  <c r="R5" i="53"/>
  <c r="U5" i="53"/>
  <c r="W5" i="53"/>
  <c r="Z5" i="53"/>
  <c r="C6" i="53"/>
  <c r="D6" i="53"/>
  <c r="E6" i="53"/>
  <c r="F6" i="53"/>
  <c r="G6" i="53"/>
  <c r="H6" i="53"/>
  <c r="I6" i="53"/>
  <c r="J6" i="53"/>
  <c r="K6" i="53"/>
  <c r="L6" i="53"/>
  <c r="M6" i="53"/>
  <c r="N6" i="53"/>
  <c r="O6" i="53"/>
  <c r="P6" i="53"/>
  <c r="Q6" i="53"/>
  <c r="R6" i="53"/>
  <c r="S6" i="53"/>
  <c r="T6" i="53"/>
  <c r="U6" i="53"/>
  <c r="V6" i="53"/>
  <c r="W6" i="53"/>
  <c r="X6" i="53"/>
  <c r="Y6" i="53"/>
  <c r="Z6" i="53"/>
  <c r="AA6" i="53"/>
  <c r="AB6" i="53"/>
  <c r="D7" i="53"/>
  <c r="F7" i="53"/>
  <c r="H7" i="53"/>
  <c r="J7" i="53"/>
  <c r="L7" i="53"/>
  <c r="M7" i="53"/>
  <c r="N7" i="53"/>
  <c r="Q7" i="53"/>
  <c r="T7" i="53"/>
  <c r="U7" i="53"/>
  <c r="V7" i="53"/>
  <c r="W7" i="53"/>
  <c r="X7" i="53"/>
  <c r="Y7" i="53"/>
  <c r="AB7" i="53"/>
  <c r="D8" i="53"/>
  <c r="F8" i="53"/>
  <c r="H8" i="53"/>
  <c r="J8" i="53"/>
  <c r="L8" i="53"/>
  <c r="M8" i="53"/>
  <c r="N8" i="53"/>
  <c r="Q8" i="53"/>
  <c r="T8" i="53"/>
  <c r="U8" i="53"/>
  <c r="V8" i="53"/>
  <c r="Y8" i="53"/>
  <c r="AB8" i="53"/>
  <c r="D9" i="53"/>
  <c r="F9" i="53"/>
  <c r="H9" i="53"/>
  <c r="J9" i="53"/>
  <c r="L9" i="53"/>
  <c r="N9" i="53"/>
  <c r="Q9" i="53"/>
  <c r="T9" i="53"/>
  <c r="U9" i="53"/>
  <c r="V9" i="53"/>
  <c r="Y9" i="53"/>
  <c r="AB9" i="53"/>
  <c r="D10" i="53"/>
  <c r="F10" i="53"/>
  <c r="H10" i="53"/>
  <c r="J10" i="53"/>
  <c r="L10" i="53"/>
  <c r="N10" i="53"/>
  <c r="Q10" i="53"/>
  <c r="T10" i="53"/>
  <c r="U10" i="53"/>
  <c r="V10" i="53"/>
  <c r="Y10" i="53"/>
  <c r="AB10" i="53"/>
  <c r="D11" i="53"/>
  <c r="F11" i="53"/>
  <c r="H11" i="53"/>
  <c r="J11" i="53"/>
  <c r="L11" i="53"/>
  <c r="N11" i="53"/>
  <c r="Q11" i="53"/>
  <c r="T11" i="53"/>
  <c r="U11" i="53"/>
  <c r="V11" i="53"/>
  <c r="Y11" i="53"/>
  <c r="AB11" i="53"/>
  <c r="D12" i="53"/>
  <c r="F12" i="53"/>
  <c r="H12" i="53"/>
  <c r="J12" i="53"/>
  <c r="L12" i="53"/>
  <c r="N12" i="53"/>
  <c r="Q12" i="53"/>
  <c r="T12" i="53"/>
  <c r="U12" i="53"/>
  <c r="V12" i="53"/>
  <c r="Y12" i="53"/>
  <c r="AB12" i="53"/>
  <c r="D13" i="53"/>
  <c r="F13" i="53"/>
  <c r="H13" i="53"/>
  <c r="J13" i="53"/>
  <c r="L13" i="53"/>
  <c r="N13" i="53"/>
  <c r="Q13" i="53"/>
  <c r="T13" i="53"/>
  <c r="U13" i="53"/>
  <c r="V13" i="53"/>
  <c r="Y13" i="53"/>
  <c r="AB13" i="53"/>
  <c r="D14" i="53"/>
  <c r="F14" i="53"/>
  <c r="J14" i="53"/>
  <c r="L14" i="53"/>
  <c r="N14" i="53"/>
  <c r="Q14" i="53"/>
  <c r="T14" i="53"/>
  <c r="U14" i="53"/>
  <c r="V14" i="53"/>
  <c r="Y14" i="53"/>
  <c r="AB14" i="53"/>
  <c r="D15" i="53"/>
  <c r="F15" i="53"/>
  <c r="J15" i="53"/>
  <c r="L15" i="53"/>
  <c r="N15" i="53"/>
  <c r="Q15" i="53"/>
  <c r="T15" i="53"/>
  <c r="U15" i="53"/>
  <c r="V15" i="53"/>
  <c r="Y15" i="53"/>
  <c r="AB15" i="53"/>
  <c r="D16" i="53"/>
  <c r="F16" i="53"/>
  <c r="J16" i="53"/>
  <c r="L16" i="53"/>
  <c r="N16" i="53"/>
  <c r="Q16" i="53"/>
  <c r="T16" i="53"/>
  <c r="U16" i="53"/>
  <c r="V16" i="53"/>
  <c r="Y16" i="53"/>
  <c r="AB16" i="53"/>
  <c r="D17" i="53"/>
  <c r="F17" i="53"/>
  <c r="H17" i="53"/>
  <c r="J17" i="53"/>
  <c r="L17" i="53"/>
  <c r="N17" i="53"/>
  <c r="Q17" i="53"/>
  <c r="T17" i="53"/>
  <c r="U17" i="53"/>
  <c r="V17" i="53"/>
  <c r="Y17" i="53"/>
  <c r="AB17" i="53"/>
  <c r="D18" i="53"/>
  <c r="F18" i="53"/>
  <c r="H18" i="53"/>
  <c r="J18" i="53"/>
  <c r="L18" i="53"/>
  <c r="N18" i="53"/>
  <c r="Q18" i="53"/>
  <c r="T18" i="53"/>
  <c r="U18" i="53"/>
  <c r="V18" i="53"/>
  <c r="Y18" i="53"/>
  <c r="AB18" i="53"/>
  <c r="D19" i="53"/>
  <c r="F19" i="53"/>
  <c r="J19" i="53"/>
  <c r="L19" i="53"/>
  <c r="N19" i="53"/>
  <c r="Q19" i="53"/>
  <c r="T19" i="53"/>
  <c r="U19" i="53"/>
  <c r="V19" i="53"/>
  <c r="Y19" i="53"/>
  <c r="AB19" i="53"/>
  <c r="D20" i="53"/>
  <c r="F20" i="53"/>
  <c r="H20" i="53"/>
  <c r="J20" i="53"/>
  <c r="L20" i="53"/>
  <c r="N20" i="53"/>
  <c r="Q20" i="53"/>
  <c r="T20" i="53"/>
  <c r="U20" i="53"/>
  <c r="V20" i="53"/>
  <c r="Y20" i="53"/>
  <c r="AB20" i="53"/>
  <c r="D21" i="53"/>
  <c r="F21" i="53"/>
  <c r="J21" i="53"/>
  <c r="L21" i="53"/>
  <c r="N21" i="53"/>
  <c r="Q21" i="53"/>
  <c r="T21" i="53"/>
  <c r="U21" i="53"/>
  <c r="V21" i="53"/>
  <c r="Y21" i="53"/>
  <c r="AB21" i="53"/>
  <c r="D22" i="53"/>
  <c r="F22" i="53"/>
  <c r="J22" i="53"/>
  <c r="L22" i="53"/>
  <c r="N22" i="53"/>
  <c r="Q22" i="53"/>
  <c r="T22" i="53"/>
  <c r="U22" i="53"/>
  <c r="V22" i="53"/>
  <c r="Y22" i="53"/>
  <c r="AB22" i="53"/>
  <c r="D23" i="53"/>
  <c r="F23" i="53"/>
  <c r="J23" i="53"/>
  <c r="L23" i="53"/>
  <c r="N23" i="53"/>
  <c r="Q23" i="53"/>
  <c r="T23" i="53"/>
  <c r="U23" i="53"/>
  <c r="V23" i="53"/>
  <c r="Y23" i="53"/>
  <c r="AB23" i="53"/>
  <c r="D24" i="53"/>
  <c r="F24" i="53"/>
  <c r="J24" i="53"/>
  <c r="L24" i="53"/>
  <c r="N24" i="53"/>
  <c r="Q24" i="53"/>
  <c r="T24" i="53"/>
  <c r="U24" i="53"/>
  <c r="V24" i="53"/>
  <c r="Y24" i="53"/>
  <c r="AB24" i="53"/>
  <c r="D25" i="53"/>
  <c r="F25" i="53"/>
  <c r="J25" i="53"/>
  <c r="L25" i="53"/>
  <c r="N25" i="53"/>
  <c r="Q25" i="53"/>
  <c r="T25" i="53"/>
  <c r="U25" i="53"/>
  <c r="V25" i="53"/>
  <c r="Y25" i="53"/>
  <c r="AB25" i="53"/>
  <c r="D26" i="53"/>
  <c r="F26" i="53"/>
  <c r="J26" i="53"/>
  <c r="L26" i="53"/>
  <c r="N26" i="53"/>
  <c r="Q26" i="53"/>
  <c r="T26" i="53"/>
  <c r="U26" i="53"/>
  <c r="V26" i="53"/>
  <c r="Y26" i="53"/>
  <c r="AB26" i="53"/>
  <c r="D27" i="53"/>
  <c r="F27" i="53"/>
  <c r="H27" i="53"/>
  <c r="J27" i="53"/>
  <c r="L27" i="53"/>
  <c r="N27" i="53"/>
  <c r="Q27" i="53"/>
  <c r="T27" i="53"/>
  <c r="U27" i="53"/>
  <c r="V27" i="53"/>
  <c r="Y27" i="53"/>
  <c r="AB27" i="53"/>
  <c r="D28" i="53"/>
  <c r="F28" i="53"/>
  <c r="J28" i="53"/>
  <c r="L28" i="53"/>
  <c r="N28" i="53"/>
  <c r="Q28" i="53"/>
  <c r="T28" i="53"/>
  <c r="U28" i="53"/>
  <c r="V28" i="53"/>
  <c r="Y28" i="53"/>
  <c r="AB28" i="53"/>
  <c r="D29" i="53"/>
  <c r="F29" i="53"/>
  <c r="J29" i="53"/>
  <c r="L29" i="53"/>
  <c r="N29" i="53"/>
  <c r="Q29" i="53"/>
  <c r="T29" i="53"/>
  <c r="U29" i="53"/>
  <c r="V29" i="53"/>
  <c r="Y29" i="53"/>
  <c r="AB29" i="53"/>
  <c r="D30" i="53"/>
  <c r="F30" i="53"/>
  <c r="J30" i="53"/>
  <c r="L30" i="53"/>
  <c r="N30" i="53"/>
  <c r="Q30" i="53"/>
  <c r="T30" i="53"/>
  <c r="U30" i="53"/>
  <c r="V30" i="53"/>
  <c r="Y30" i="53"/>
  <c r="AB30" i="53"/>
  <c r="D31" i="53"/>
  <c r="F31" i="53"/>
  <c r="J31" i="53"/>
  <c r="L31" i="53"/>
  <c r="N31" i="53"/>
  <c r="Q31" i="53"/>
  <c r="T31" i="53"/>
  <c r="U31" i="53"/>
  <c r="V31" i="53"/>
  <c r="Y31" i="53"/>
  <c r="AB31" i="53"/>
  <c r="D32" i="53"/>
  <c r="F32" i="53"/>
  <c r="J32" i="53"/>
  <c r="L32" i="53"/>
  <c r="N32" i="53"/>
  <c r="Q32" i="53"/>
  <c r="T32" i="53"/>
  <c r="U32" i="53"/>
  <c r="V32" i="53"/>
  <c r="Y32" i="53"/>
  <c r="AB32" i="53"/>
  <c r="D33" i="53"/>
  <c r="F33" i="53"/>
  <c r="H33" i="53"/>
  <c r="J33" i="53"/>
  <c r="L33" i="53"/>
  <c r="N33" i="53"/>
  <c r="Q33" i="53"/>
  <c r="T33" i="53"/>
  <c r="U33" i="53"/>
  <c r="V33" i="53"/>
  <c r="Y33" i="53"/>
  <c r="AB33" i="53"/>
  <c r="D34" i="53"/>
  <c r="F34" i="53"/>
  <c r="J34" i="53"/>
  <c r="L34" i="53"/>
  <c r="N34" i="53"/>
  <c r="Q34" i="53"/>
  <c r="T34" i="53"/>
  <c r="U34" i="53"/>
  <c r="V34" i="53"/>
  <c r="Y34" i="53"/>
  <c r="AB34" i="53"/>
  <c r="D35" i="53"/>
  <c r="F35" i="53"/>
  <c r="J35" i="53"/>
  <c r="L35" i="53"/>
  <c r="N35" i="53"/>
  <c r="Q35" i="53"/>
  <c r="T35" i="53"/>
  <c r="U35" i="53"/>
  <c r="V35" i="53"/>
  <c r="Y35" i="53"/>
  <c r="AB35" i="53"/>
  <c r="D36" i="53"/>
  <c r="F36" i="53"/>
  <c r="H36" i="53"/>
  <c r="J36" i="53"/>
  <c r="L36" i="53"/>
  <c r="N36" i="53"/>
  <c r="Q36" i="53"/>
  <c r="T36" i="53"/>
  <c r="U36" i="53"/>
  <c r="V36" i="53"/>
  <c r="Y36" i="53"/>
  <c r="AB36" i="53"/>
  <c r="D37" i="53"/>
  <c r="F37" i="53"/>
  <c r="J37" i="53"/>
  <c r="L37" i="53"/>
  <c r="N37" i="53"/>
  <c r="Q37" i="53"/>
  <c r="T37" i="53"/>
  <c r="U37" i="53"/>
  <c r="V37" i="53"/>
  <c r="Y37" i="53"/>
  <c r="AB37" i="53"/>
  <c r="D38" i="53"/>
  <c r="F38" i="53"/>
  <c r="J38" i="53"/>
  <c r="L38" i="53"/>
  <c r="N38" i="53"/>
  <c r="Q38" i="53"/>
  <c r="T38" i="53"/>
  <c r="U38" i="53"/>
  <c r="V38" i="53"/>
  <c r="Y38" i="53"/>
  <c r="AB38" i="53"/>
  <c r="D39" i="53"/>
  <c r="F39" i="53"/>
  <c r="H39" i="53"/>
  <c r="J39" i="53"/>
  <c r="L39" i="53"/>
  <c r="N39" i="53"/>
  <c r="Q39" i="53"/>
  <c r="T39" i="53"/>
  <c r="U39" i="53"/>
  <c r="V39" i="53"/>
  <c r="Y39" i="53"/>
  <c r="AB39" i="53"/>
  <c r="D40" i="53"/>
  <c r="F40" i="53"/>
  <c r="H40" i="53"/>
  <c r="J40" i="53"/>
  <c r="L40" i="53"/>
  <c r="N40" i="53"/>
  <c r="Q40" i="53"/>
  <c r="T40" i="53"/>
  <c r="U40" i="53"/>
  <c r="V40" i="53"/>
  <c r="Y40" i="53"/>
  <c r="AB40" i="53"/>
  <c r="B4" i="53"/>
  <c r="B8" i="53"/>
  <c r="B9" i="53"/>
  <c r="B10" i="53"/>
  <c r="B11" i="53"/>
  <c r="B12" i="53"/>
  <c r="B13" i="53"/>
  <c r="B14" i="53"/>
  <c r="B15" i="53"/>
  <c r="B16" i="53"/>
  <c r="B17" i="53"/>
  <c r="B18" i="53"/>
  <c r="B19" i="53"/>
  <c r="B20" i="53"/>
  <c r="B21" i="53"/>
  <c r="B22" i="53"/>
  <c r="B23" i="53"/>
  <c r="B24" i="53"/>
  <c r="B25" i="53"/>
  <c r="B26" i="53"/>
  <c r="B27" i="53"/>
  <c r="B28" i="53"/>
  <c r="B29" i="53"/>
  <c r="B30" i="53"/>
  <c r="B31" i="53"/>
  <c r="B32" i="53"/>
  <c r="B33" i="53"/>
  <c r="B34" i="53"/>
  <c r="B35" i="53"/>
  <c r="B36" i="53"/>
  <c r="B37" i="53"/>
  <c r="B38" i="53"/>
  <c r="B39" i="53"/>
  <c r="B40" i="53"/>
  <c r="A8" i="53"/>
  <c r="A9" i="53"/>
  <c r="A10" i="53"/>
  <c r="A11" i="53"/>
  <c r="A12" i="53"/>
  <c r="A13" i="53"/>
  <c r="A14" i="53"/>
  <c r="A15" i="53"/>
  <c r="A16" i="53"/>
  <c r="A17" i="53"/>
  <c r="A18" i="53"/>
  <c r="A19" i="53"/>
  <c r="A20" i="53"/>
  <c r="A21" i="53"/>
  <c r="A22" i="53"/>
  <c r="A23" i="53"/>
  <c r="A24" i="53"/>
  <c r="A25" i="53"/>
  <c r="A26" i="53"/>
  <c r="A27" i="53"/>
  <c r="A28" i="53"/>
  <c r="A29" i="53"/>
  <c r="A30" i="53"/>
  <c r="A31" i="53"/>
  <c r="A32" i="53"/>
  <c r="A33" i="53"/>
  <c r="A34" i="53"/>
  <c r="A35" i="53"/>
  <c r="A36" i="53"/>
  <c r="A37" i="53"/>
  <c r="A38" i="53"/>
  <c r="A39" i="53"/>
  <c r="A40" i="53"/>
  <c r="A4" i="53"/>
  <c r="M86" i="48"/>
  <c r="M87" i="48"/>
  <c r="M88" i="48"/>
  <c r="M89" i="48"/>
  <c r="M90" i="48"/>
  <c r="M91" i="48"/>
  <c r="M92" i="48"/>
  <c r="M85" i="48"/>
  <c r="C11" i="49" l="1"/>
  <c r="C12" i="49"/>
  <c r="C13" i="49"/>
  <c r="C14" i="49"/>
  <c r="C15" i="49"/>
  <c r="C16" i="49"/>
  <c r="C17" i="49"/>
  <c r="C18" i="49"/>
  <c r="C19" i="49"/>
  <c r="C20" i="49"/>
  <c r="C21" i="49"/>
  <c r="C22" i="49"/>
  <c r="C23" i="49"/>
  <c r="C24" i="49"/>
  <c r="C25" i="49"/>
  <c r="C26" i="49"/>
  <c r="C27" i="49"/>
  <c r="C28" i="49"/>
  <c r="C29" i="49"/>
  <c r="C30" i="49"/>
  <c r="C31" i="49"/>
  <c r="C32" i="49"/>
  <c r="C33" i="49"/>
  <c r="C34" i="49"/>
  <c r="C35" i="49"/>
  <c r="C36" i="49"/>
  <c r="C37" i="49"/>
  <c r="C38" i="49"/>
  <c r="C39" i="49"/>
  <c r="C40" i="49"/>
  <c r="C41" i="49"/>
  <c r="C42" i="49"/>
  <c r="C43" i="49"/>
  <c r="C44" i="49"/>
  <c r="C45" i="49"/>
  <c r="C46" i="49"/>
  <c r="C47" i="49"/>
  <c r="C48" i="49"/>
  <c r="C49" i="49"/>
  <c r="C50" i="49"/>
  <c r="C51" i="49"/>
  <c r="C52" i="49"/>
  <c r="C53" i="49"/>
  <c r="C54" i="49"/>
  <c r="C55" i="49"/>
  <c r="C56" i="49"/>
  <c r="C57" i="49"/>
  <c r="C58" i="49"/>
  <c r="C59" i="49"/>
  <c r="C60" i="49"/>
  <c r="C61" i="49"/>
  <c r="C62" i="49"/>
  <c r="C63" i="49"/>
  <c r="C64" i="49"/>
  <c r="C65" i="49"/>
  <c r="C66" i="49"/>
  <c r="C67" i="49"/>
  <c r="C68" i="49"/>
  <c r="C69" i="49"/>
  <c r="C70" i="49"/>
  <c r="C71" i="49"/>
  <c r="C72" i="49"/>
  <c r="C73" i="49"/>
  <c r="C74" i="49"/>
  <c r="C75" i="49"/>
  <c r="C76" i="49"/>
  <c r="C77" i="49"/>
  <c r="C78" i="49"/>
  <c r="C79" i="49"/>
  <c r="C80" i="49"/>
  <c r="C81" i="49"/>
  <c r="C82" i="49"/>
  <c r="C83" i="49"/>
  <c r="C84" i="49"/>
  <c r="C85" i="49"/>
  <c r="C86" i="49"/>
  <c r="C87" i="49"/>
  <c r="C88" i="49"/>
  <c r="C89" i="49"/>
  <c r="C90" i="49"/>
  <c r="C91" i="49"/>
  <c r="C92" i="49"/>
  <c r="C93" i="49"/>
  <c r="C94" i="49"/>
  <c r="C95" i="49"/>
  <c r="C96" i="49"/>
  <c r="C97" i="49"/>
  <c r="C98" i="49"/>
  <c r="C99" i="49"/>
  <c r="C100" i="49"/>
  <c r="C101" i="49"/>
  <c r="C102" i="49"/>
  <c r="C103" i="49"/>
  <c r="C104" i="49"/>
  <c r="C105" i="49"/>
  <c r="C106" i="49"/>
  <c r="C107" i="49"/>
  <c r="C108" i="49"/>
  <c r="C109" i="49"/>
  <c r="C110" i="49"/>
  <c r="C111" i="49"/>
  <c r="C112" i="49"/>
  <c r="C113" i="49"/>
  <c r="C114" i="49"/>
  <c r="C115" i="49"/>
  <c r="C116" i="49"/>
  <c r="C117" i="49"/>
  <c r="C118" i="49"/>
  <c r="C119" i="49"/>
  <c r="C120" i="49"/>
  <c r="C121" i="49"/>
  <c r="C122" i="49"/>
  <c r="C123" i="49"/>
  <c r="C124" i="49"/>
  <c r="C125" i="49"/>
  <c r="C126" i="49"/>
  <c r="C127" i="49"/>
  <c r="C128" i="49"/>
  <c r="C129" i="49"/>
  <c r="C130" i="49"/>
  <c r="C131" i="49"/>
  <c r="C132" i="49"/>
  <c r="C133" i="49"/>
  <c r="C134" i="49"/>
  <c r="C135" i="49"/>
  <c r="C136" i="49"/>
  <c r="C137" i="49"/>
  <c r="C138" i="49"/>
  <c r="C139" i="49"/>
  <c r="C140" i="49"/>
  <c r="C141" i="49"/>
  <c r="C142" i="49"/>
  <c r="C143" i="49"/>
  <c r="C144" i="49"/>
  <c r="C145" i="49"/>
  <c r="C146" i="49"/>
  <c r="C147" i="49"/>
  <c r="C148" i="49"/>
  <c r="C149" i="49"/>
  <c r="C150" i="49"/>
  <c r="C10" i="49"/>
  <c r="R62" i="48"/>
  <c r="R63" i="48"/>
  <c r="R64" i="48"/>
  <c r="R65" i="48"/>
  <c r="R66" i="48"/>
  <c r="R67" i="48"/>
  <c r="R68" i="48"/>
  <c r="R99" i="48"/>
  <c r="R100" i="48"/>
  <c r="R101" i="48"/>
  <c r="R102" i="48"/>
  <c r="R103" i="48"/>
  <c r="R104" i="48"/>
  <c r="R105" i="48"/>
  <c r="R98" i="48"/>
  <c r="N12" i="16"/>
  <c r="N11" i="16"/>
  <c r="N10" i="16"/>
  <c r="N9" i="16"/>
  <c r="N8" i="16"/>
  <c r="N7" i="16"/>
  <c r="N6" i="16"/>
  <c r="N5" i="16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8" i="51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7" i="50"/>
  <c r="JI9" i="35"/>
  <c r="JI10" i="35"/>
  <c r="JI11" i="35"/>
  <c r="JI12" i="35"/>
  <c r="JI13" i="35"/>
  <c r="JI14" i="35"/>
  <c r="JI15" i="35"/>
  <c r="JI16" i="35"/>
  <c r="JI17" i="35"/>
  <c r="JI18" i="35"/>
  <c r="JI19" i="35"/>
  <c r="JI20" i="35"/>
  <c r="JI21" i="35"/>
  <c r="JI22" i="35"/>
  <c r="JI23" i="35"/>
  <c r="JI24" i="35"/>
  <c r="JI25" i="35"/>
  <c r="JI26" i="35"/>
  <c r="JI27" i="35"/>
  <c r="JI28" i="35"/>
  <c r="JI29" i="35"/>
  <c r="JI30" i="35"/>
  <c r="JI31" i="35"/>
  <c r="JI32" i="35"/>
  <c r="JI33" i="35"/>
  <c r="JI34" i="35"/>
  <c r="JI35" i="35"/>
  <c r="JI36" i="35"/>
  <c r="JI37" i="35"/>
  <c r="JI38" i="35"/>
  <c r="JI39" i="35"/>
  <c r="JI40" i="35"/>
  <c r="JI8" i="35"/>
  <c r="EQ11" i="46" s="1"/>
  <c r="JD45" i="35"/>
  <c r="JD44" i="35"/>
  <c r="JD43" i="35"/>
  <c r="HW8" i="47" l="1"/>
  <c r="HW10" i="47"/>
  <c r="HW12" i="47"/>
  <c r="HW14" i="47"/>
  <c r="HW16" i="47"/>
  <c r="HW18" i="47"/>
  <c r="HW20" i="47"/>
  <c r="HW22" i="47"/>
  <c r="HW24" i="47"/>
  <c r="HW26" i="47"/>
  <c r="HW28" i="47"/>
  <c r="HW30" i="47"/>
  <c r="HW32" i="47"/>
  <c r="HW34" i="47"/>
  <c r="HW36" i="47"/>
  <c r="HW38" i="47"/>
  <c r="HW40" i="47"/>
  <c r="HW42" i="47"/>
  <c r="HW44" i="47"/>
  <c r="HW46" i="47"/>
  <c r="HW48" i="47"/>
  <c r="HW50" i="47"/>
  <c r="HW52" i="47"/>
  <c r="HW54" i="47"/>
  <c r="HW56" i="47"/>
  <c r="HW58" i="47"/>
  <c r="HW60" i="47"/>
  <c r="HW62" i="47"/>
  <c r="HW64" i="47"/>
  <c r="HW66" i="47"/>
  <c r="HW68" i="47"/>
  <c r="HW70" i="47"/>
  <c r="HW72" i="47"/>
  <c r="EQ8" i="46"/>
  <c r="EQ10" i="46"/>
  <c r="HW9" i="47"/>
  <c r="HW11" i="47"/>
  <c r="HW13" i="47"/>
  <c r="HW15" i="47"/>
  <c r="HW17" i="47"/>
  <c r="HW19" i="47"/>
  <c r="HW21" i="47"/>
  <c r="HW23" i="47"/>
  <c r="HW25" i="47"/>
  <c r="HW27" i="47"/>
  <c r="HW29" i="47"/>
  <c r="HW31" i="47"/>
  <c r="HW33" i="47"/>
  <c r="HW35" i="47"/>
  <c r="HW37" i="47"/>
  <c r="HW39" i="47"/>
  <c r="HW41" i="47"/>
  <c r="HW43" i="47"/>
  <c r="HW45" i="47"/>
  <c r="HW47" i="47"/>
  <c r="HW49" i="47"/>
  <c r="HW51" i="47"/>
  <c r="HW53" i="47"/>
  <c r="HW55" i="47"/>
  <c r="HW57" i="47"/>
  <c r="HW59" i="47"/>
  <c r="HW61" i="47"/>
  <c r="HW63" i="47"/>
  <c r="HW65" i="47"/>
  <c r="HW67" i="47"/>
  <c r="HW69" i="47"/>
  <c r="HW71" i="47"/>
  <c r="HW73" i="47"/>
  <c r="EQ9" i="46"/>
  <c r="JJ8" i="35" l="1"/>
  <c r="ID1" i="47"/>
  <c r="EX1" i="46" s="1"/>
  <c r="IC1" i="47"/>
  <c r="EW1" i="46" s="1"/>
  <c r="JQ1" i="35"/>
  <c r="IE1" i="47" s="1"/>
  <c r="EY1" i="46" s="1"/>
  <c r="AQ42" i="15"/>
  <c r="AA28" i="15"/>
  <c r="AA29" i="15"/>
  <c r="AA30" i="15"/>
  <c r="AA31" i="15"/>
  <c r="AA32" i="15"/>
  <c r="AA33" i="15"/>
  <c r="S107" i="48"/>
  <c r="S108" i="48"/>
  <c r="S109" i="48"/>
  <c r="S110" i="48"/>
  <c r="S111" i="48"/>
  <c r="S112" i="48"/>
  <c r="S113" i="48"/>
  <c r="S114" i="48"/>
  <c r="S115" i="48"/>
  <c r="S106" i="48"/>
  <c r="R80" i="48"/>
  <c r="R132" i="48"/>
  <c r="R128" i="48"/>
  <c r="S158" i="48"/>
  <c r="S157" i="48"/>
  <c r="S156" i="48"/>
  <c r="S155" i="48"/>
  <c r="S154" i="48"/>
  <c r="S153" i="48"/>
  <c r="S152" i="48"/>
  <c r="S151" i="48"/>
  <c r="S150" i="48"/>
  <c r="S84" i="48"/>
  <c r="S83" i="48"/>
  <c r="S82" i="48"/>
  <c r="S81" i="48"/>
  <c r="R35" i="48"/>
  <c r="R34" i="48"/>
  <c r="AQ75" i="15"/>
  <c r="AQ74" i="15"/>
  <c r="AQ73" i="15"/>
  <c r="JJ40" i="35" l="1"/>
  <c r="JJ10" i="35"/>
  <c r="ER10" i="46"/>
  <c r="ER8" i="46"/>
  <c r="HX72" i="47"/>
  <c r="HX70" i="47"/>
  <c r="HX68" i="47"/>
  <c r="HX66" i="47"/>
  <c r="HX64" i="47"/>
  <c r="HX62" i="47"/>
  <c r="HX60" i="47"/>
  <c r="HX58" i="47"/>
  <c r="HX56" i="47"/>
  <c r="HX54" i="47"/>
  <c r="HX52" i="47"/>
  <c r="HX50" i="47"/>
  <c r="HX48" i="47"/>
  <c r="HX46" i="47"/>
  <c r="HX44" i="47"/>
  <c r="HX42" i="47"/>
  <c r="HX40" i="47"/>
  <c r="HX38" i="47"/>
  <c r="HX36" i="47"/>
  <c r="HX34" i="47"/>
  <c r="HX32" i="47"/>
  <c r="HX30" i="47"/>
  <c r="HX28" i="47"/>
  <c r="HX26" i="47"/>
  <c r="HX24" i="47"/>
  <c r="HX22" i="47"/>
  <c r="HX20" i="47"/>
  <c r="HX18" i="47"/>
  <c r="HX16" i="47"/>
  <c r="HX14" i="47"/>
  <c r="HX12" i="47"/>
  <c r="HX10" i="47"/>
  <c r="HX8" i="47"/>
  <c r="HX11" i="47"/>
  <c r="HX15" i="47"/>
  <c r="HX19" i="47"/>
  <c r="HX23" i="47"/>
  <c r="HX27" i="47"/>
  <c r="HX31" i="47"/>
  <c r="HX35" i="47"/>
  <c r="HX39" i="47"/>
  <c r="HX43" i="47"/>
  <c r="HX47" i="47"/>
  <c r="HX51" i="47"/>
  <c r="HX55" i="47"/>
  <c r="HX59" i="47"/>
  <c r="HX63" i="47"/>
  <c r="HX67" i="47"/>
  <c r="HX71" i="47"/>
  <c r="ER9" i="46"/>
  <c r="HX9" i="47"/>
  <c r="HX13" i="47"/>
  <c r="HX17" i="47"/>
  <c r="HX21" i="47"/>
  <c r="HX25" i="47"/>
  <c r="HX29" i="47"/>
  <c r="HX33" i="47"/>
  <c r="HX37" i="47"/>
  <c r="HX41" i="47"/>
  <c r="HX45" i="47"/>
  <c r="HX49" i="47"/>
  <c r="HX53" i="47"/>
  <c r="HX57" i="47"/>
  <c r="HX61" i="47"/>
  <c r="HX65" i="47"/>
  <c r="HX69" i="47"/>
  <c r="HX73" i="47"/>
  <c r="ER11" i="46"/>
  <c r="JJ9" i="35"/>
  <c r="JJ11" i="35"/>
  <c r="JJ13" i="35"/>
  <c r="JJ15" i="35"/>
  <c r="JJ17" i="35"/>
  <c r="JJ19" i="35"/>
  <c r="JJ21" i="35"/>
  <c r="JJ23" i="35"/>
  <c r="JJ25" i="35"/>
  <c r="JJ27" i="35"/>
  <c r="JJ29" i="35"/>
  <c r="JJ31" i="35"/>
  <c r="JJ33" i="35"/>
  <c r="JJ35" i="35"/>
  <c r="JJ37" i="35"/>
  <c r="JJ39" i="35"/>
  <c r="JJ12" i="35"/>
  <c r="JJ14" i="35"/>
  <c r="JJ16" i="35"/>
  <c r="JJ18" i="35"/>
  <c r="JJ20" i="35"/>
  <c r="JJ22" i="35"/>
  <c r="JJ24" i="35"/>
  <c r="JJ26" i="35"/>
  <c r="JJ28" i="35"/>
  <c r="JJ30" i="35"/>
  <c r="JJ32" i="35"/>
  <c r="JJ34" i="35"/>
  <c r="JJ36" i="35"/>
  <c r="JJ38" i="35"/>
  <c r="R94" i="48"/>
  <c r="O94" i="48" s="1"/>
  <c r="E86" i="49" s="1"/>
  <c r="R95" i="48"/>
  <c r="O95" i="48" s="1"/>
  <c r="E87" i="49" s="1"/>
  <c r="R96" i="48"/>
  <c r="R97" i="48"/>
  <c r="O97" i="48" s="1"/>
  <c r="E89" i="49" s="1"/>
  <c r="R93" i="48"/>
  <c r="O93" i="48" s="1"/>
  <c r="E85" i="49" s="1"/>
  <c r="R25" i="48"/>
  <c r="O25" i="48" s="1"/>
  <c r="E17" i="49" s="1"/>
  <c r="R26" i="48"/>
  <c r="R27" i="48"/>
  <c r="O27" i="48" s="1"/>
  <c r="E19" i="49" s="1"/>
  <c r="R28" i="48"/>
  <c r="O28" i="48" s="1"/>
  <c r="E20" i="49" s="1"/>
  <c r="R29" i="48"/>
  <c r="O29" i="48" s="1"/>
  <c r="E21" i="49" s="1"/>
  <c r="R24" i="48"/>
  <c r="R22" i="48"/>
  <c r="O22" i="48" s="1"/>
  <c r="E14" i="49" s="1"/>
  <c r="R23" i="48"/>
  <c r="O23" i="48" s="1"/>
  <c r="E15" i="49" s="1"/>
  <c r="R21" i="48"/>
  <c r="O21" i="48" s="1"/>
  <c r="E13" i="49" s="1"/>
  <c r="R70" i="48"/>
  <c r="R71" i="48"/>
  <c r="O71" i="48" s="1"/>
  <c r="E63" i="49" s="1"/>
  <c r="R72" i="48"/>
  <c r="O72" i="48" s="1"/>
  <c r="E64" i="49" s="1"/>
  <c r="R69" i="48"/>
  <c r="O69" i="48" s="1"/>
  <c r="E61" i="49" s="1"/>
  <c r="R19" i="48"/>
  <c r="O19" i="48" s="1"/>
  <c r="E11" i="49" s="1"/>
  <c r="R20" i="48"/>
  <c r="R18" i="48"/>
  <c r="O18" i="48" s="1"/>
  <c r="E10" i="49" s="1"/>
  <c r="S119" i="48"/>
  <c r="S118" i="48"/>
  <c r="S144" i="48"/>
  <c r="S14" i="48"/>
  <c r="R14" i="48"/>
  <c r="S145" i="48"/>
  <c r="S146" i="48"/>
  <c r="S147" i="48"/>
  <c r="S148" i="48"/>
  <c r="S149" i="48"/>
  <c r="O20" i="48"/>
  <c r="E12" i="49" s="1"/>
  <c r="O24" i="48"/>
  <c r="E16" i="49" s="1"/>
  <c r="O26" i="48"/>
  <c r="E18" i="49" s="1"/>
  <c r="O30" i="48"/>
  <c r="E22" i="49" s="1"/>
  <c r="O31" i="48"/>
  <c r="E23" i="49" s="1"/>
  <c r="O32" i="48"/>
  <c r="E24" i="49" s="1"/>
  <c r="O33" i="48"/>
  <c r="E25" i="49" s="1"/>
  <c r="O34" i="48"/>
  <c r="O35" i="48"/>
  <c r="E27" i="49" s="1"/>
  <c r="O36" i="48"/>
  <c r="E28" i="49" s="1"/>
  <c r="O37" i="48"/>
  <c r="E29" i="49" s="1"/>
  <c r="O38" i="48"/>
  <c r="E30" i="49" s="1"/>
  <c r="O39" i="48"/>
  <c r="E31" i="49" s="1"/>
  <c r="O40" i="48"/>
  <c r="E32" i="49" s="1"/>
  <c r="O41" i="48"/>
  <c r="E33" i="49" s="1"/>
  <c r="O42" i="48"/>
  <c r="E34" i="49" s="1"/>
  <c r="O43" i="48"/>
  <c r="E35" i="49" s="1"/>
  <c r="O44" i="48"/>
  <c r="E36" i="49" s="1"/>
  <c r="O45" i="48"/>
  <c r="E37" i="49" s="1"/>
  <c r="O46" i="48"/>
  <c r="O47" i="48"/>
  <c r="E39" i="49" s="1"/>
  <c r="O48" i="48"/>
  <c r="E40" i="49" s="1"/>
  <c r="O49" i="48"/>
  <c r="E41" i="49" s="1"/>
  <c r="O50" i="48"/>
  <c r="E42" i="49" s="1"/>
  <c r="O51" i="48"/>
  <c r="E43" i="49" s="1"/>
  <c r="O52" i="48"/>
  <c r="E44" i="49" s="1"/>
  <c r="O53" i="48"/>
  <c r="E45" i="49" s="1"/>
  <c r="O54" i="48"/>
  <c r="O55" i="48"/>
  <c r="E47" i="49" s="1"/>
  <c r="O56" i="48"/>
  <c r="E48" i="49" s="1"/>
  <c r="O57" i="48"/>
  <c r="E49" i="49" s="1"/>
  <c r="O58" i="48"/>
  <c r="O59" i="48"/>
  <c r="E51" i="49" s="1"/>
  <c r="O60" i="48"/>
  <c r="O61" i="48"/>
  <c r="E53" i="49" s="1"/>
  <c r="O62" i="48"/>
  <c r="E54" i="49" s="1"/>
  <c r="O63" i="48"/>
  <c r="E55" i="49" s="1"/>
  <c r="O64" i="48"/>
  <c r="E56" i="49" s="1"/>
  <c r="O65" i="48"/>
  <c r="E57" i="49" s="1"/>
  <c r="O66" i="48"/>
  <c r="E58" i="49" s="1"/>
  <c r="O67" i="48"/>
  <c r="E59" i="49" s="1"/>
  <c r="O68" i="48"/>
  <c r="E60" i="49" s="1"/>
  <c r="O70" i="48"/>
  <c r="E62" i="49" s="1"/>
  <c r="O73" i="48"/>
  <c r="E65" i="49" s="1"/>
  <c r="O74" i="48"/>
  <c r="E66" i="49" s="1"/>
  <c r="O75" i="48"/>
  <c r="E67" i="49" s="1"/>
  <c r="O76" i="48"/>
  <c r="E68" i="49" s="1"/>
  <c r="O77" i="48"/>
  <c r="E69" i="49" s="1"/>
  <c r="O78" i="48"/>
  <c r="E70" i="49" s="1"/>
  <c r="O79" i="48"/>
  <c r="E71" i="49" s="1"/>
  <c r="O80" i="48"/>
  <c r="E72" i="49" s="1"/>
  <c r="O96" i="48"/>
  <c r="O98" i="48"/>
  <c r="O99" i="48"/>
  <c r="E91" i="49" s="1"/>
  <c r="O100" i="48"/>
  <c r="E92" i="49" s="1"/>
  <c r="O101" i="48"/>
  <c r="E93" i="49" s="1"/>
  <c r="O102" i="48"/>
  <c r="E94" i="49" s="1"/>
  <c r="O103" i="48"/>
  <c r="E95" i="49" s="1"/>
  <c r="O104" i="48"/>
  <c r="E96" i="49" s="1"/>
  <c r="O105" i="48"/>
  <c r="E97" i="49" s="1"/>
  <c r="O116" i="48"/>
  <c r="E108" i="49" s="1"/>
  <c r="O117" i="48"/>
  <c r="E109" i="49" s="1"/>
  <c r="O128" i="48"/>
  <c r="E120" i="49" s="1"/>
  <c r="O129" i="48"/>
  <c r="O130" i="48"/>
  <c r="E122" i="49" s="1"/>
  <c r="O132" i="48"/>
  <c r="E124" i="49" s="1"/>
  <c r="O133" i="48"/>
  <c r="E125" i="49" s="1"/>
  <c r="O134" i="48"/>
  <c r="E126" i="49" s="1"/>
  <c r="R139" i="48"/>
  <c r="O139" i="48" s="1"/>
  <c r="E131" i="49" s="1"/>
  <c r="R140" i="48"/>
  <c r="O140" i="48" s="1"/>
  <c r="E132" i="49" s="1"/>
  <c r="R141" i="48"/>
  <c r="O141" i="48" s="1"/>
  <c r="E133" i="49" s="1"/>
  <c r="R142" i="48"/>
  <c r="O142" i="48" s="1"/>
  <c r="E134" i="49" s="1"/>
  <c r="R143" i="48"/>
  <c r="O143" i="48" s="1"/>
  <c r="E135" i="49" s="1"/>
  <c r="R138" i="48"/>
  <c r="O138" i="48" s="1"/>
  <c r="E130" i="49" s="1"/>
  <c r="E26" i="49"/>
  <c r="E38" i="49"/>
  <c r="E46" i="49"/>
  <c r="E50" i="49"/>
  <c r="E52" i="49"/>
  <c r="E88" i="49"/>
  <c r="E90" i="49"/>
  <c r="E121" i="49"/>
  <c r="M158" i="48"/>
  <c r="B150" i="49" s="1"/>
  <c r="M157" i="48"/>
  <c r="B149" i="49" s="1"/>
  <c r="M156" i="48"/>
  <c r="B148" i="49" s="1"/>
  <c r="M155" i="48"/>
  <c r="B147" i="49" s="1"/>
  <c r="M154" i="48"/>
  <c r="B146" i="49" s="1"/>
  <c r="M153" i="48"/>
  <c r="B145" i="49" s="1"/>
  <c r="M152" i="48"/>
  <c r="B144" i="49" s="1"/>
  <c r="M151" i="48"/>
  <c r="B143" i="49" s="1"/>
  <c r="M150" i="48"/>
  <c r="B142" i="49" s="1"/>
  <c r="M149" i="48"/>
  <c r="B141" i="49" s="1"/>
  <c r="M148" i="48"/>
  <c r="B140" i="49" s="1"/>
  <c r="M147" i="48"/>
  <c r="B139" i="49" s="1"/>
  <c r="M146" i="48"/>
  <c r="B138" i="49" s="1"/>
  <c r="M145" i="48"/>
  <c r="B137" i="49" s="1"/>
  <c r="M144" i="48"/>
  <c r="B136" i="49" s="1"/>
  <c r="M143" i="48"/>
  <c r="B135" i="49" s="1"/>
  <c r="M142" i="48"/>
  <c r="B134" i="49" s="1"/>
  <c r="M141" i="48"/>
  <c r="B133" i="49" s="1"/>
  <c r="M140" i="48"/>
  <c r="B132" i="49" s="1"/>
  <c r="M139" i="48"/>
  <c r="B131" i="49" s="1"/>
  <c r="M138" i="48"/>
  <c r="B130" i="49" s="1"/>
  <c r="M132" i="48"/>
  <c r="B124" i="49" s="1"/>
  <c r="M131" i="48"/>
  <c r="B123" i="49" s="1"/>
  <c r="B119" i="49"/>
  <c r="B118" i="49"/>
  <c r="B117" i="49"/>
  <c r="B116" i="49"/>
  <c r="B115" i="49"/>
  <c r="B114" i="49"/>
  <c r="B113" i="49"/>
  <c r="B112" i="49"/>
  <c r="M137" i="48"/>
  <c r="B129" i="49" s="1"/>
  <c r="M136" i="48"/>
  <c r="B128" i="49" s="1"/>
  <c r="M135" i="48"/>
  <c r="B127" i="49" s="1"/>
  <c r="M134" i="48"/>
  <c r="B126" i="49" s="1"/>
  <c r="M133" i="48"/>
  <c r="B125" i="49" s="1"/>
  <c r="M130" i="48"/>
  <c r="B122" i="49" s="1"/>
  <c r="M129" i="48"/>
  <c r="B121" i="49" s="1"/>
  <c r="M128" i="48"/>
  <c r="B120" i="49" s="1"/>
  <c r="M119" i="48"/>
  <c r="B111" i="49" s="1"/>
  <c r="M118" i="48"/>
  <c r="B110" i="49" s="1"/>
  <c r="M117" i="48"/>
  <c r="B109" i="49" s="1"/>
  <c r="M43" i="48"/>
  <c r="B35" i="49" s="1"/>
  <c r="M44" i="48"/>
  <c r="B36" i="49" s="1"/>
  <c r="M45" i="48"/>
  <c r="B37" i="49" s="1"/>
  <c r="M46" i="48"/>
  <c r="B38" i="49" s="1"/>
  <c r="M47" i="48"/>
  <c r="B39" i="49" s="1"/>
  <c r="M48" i="48"/>
  <c r="B40" i="49" s="1"/>
  <c r="M49" i="48"/>
  <c r="B41" i="49" s="1"/>
  <c r="M50" i="48"/>
  <c r="B42" i="49" s="1"/>
  <c r="M51" i="48"/>
  <c r="B43" i="49" s="1"/>
  <c r="M52" i="48"/>
  <c r="B44" i="49" s="1"/>
  <c r="M53" i="48"/>
  <c r="B45" i="49" s="1"/>
  <c r="M54" i="48"/>
  <c r="B46" i="49" s="1"/>
  <c r="M55" i="48"/>
  <c r="B47" i="49" s="1"/>
  <c r="M56" i="48"/>
  <c r="B48" i="49" s="1"/>
  <c r="M57" i="48"/>
  <c r="B49" i="49" s="1"/>
  <c r="M58" i="48"/>
  <c r="B50" i="49" s="1"/>
  <c r="M42" i="48"/>
  <c r="B34" i="49" s="1"/>
  <c r="M31" i="48"/>
  <c r="B23" i="49" s="1"/>
  <c r="M32" i="48"/>
  <c r="B24" i="49" s="1"/>
  <c r="M33" i="48"/>
  <c r="B25" i="49" s="1"/>
  <c r="M30" i="48"/>
  <c r="B22" i="49" s="1"/>
  <c r="M116" i="48"/>
  <c r="B108" i="49" s="1"/>
  <c r="M115" i="48"/>
  <c r="B107" i="49" s="1"/>
  <c r="M114" i="48"/>
  <c r="B106" i="49" s="1"/>
  <c r="M113" i="48"/>
  <c r="B105" i="49" s="1"/>
  <c r="M112" i="48"/>
  <c r="B104" i="49" s="1"/>
  <c r="M111" i="48"/>
  <c r="B103" i="49" s="1"/>
  <c r="M110" i="48"/>
  <c r="B102" i="49" s="1"/>
  <c r="M109" i="48"/>
  <c r="B101" i="49" s="1"/>
  <c r="M108" i="48"/>
  <c r="B100" i="49" s="1"/>
  <c r="M107" i="48"/>
  <c r="B99" i="49" s="1"/>
  <c r="M106" i="48"/>
  <c r="B98" i="49" s="1"/>
  <c r="M105" i="48"/>
  <c r="B97" i="49" s="1"/>
  <c r="M104" i="48"/>
  <c r="B96" i="49" s="1"/>
  <c r="M103" i="48"/>
  <c r="B95" i="49" s="1"/>
  <c r="M102" i="48"/>
  <c r="B94" i="49" s="1"/>
  <c r="M101" i="48"/>
  <c r="B93" i="49" s="1"/>
  <c r="M100" i="48"/>
  <c r="B92" i="49" s="1"/>
  <c r="M99" i="48"/>
  <c r="B91" i="49" s="1"/>
  <c r="M98" i="48"/>
  <c r="B90" i="49" s="1"/>
  <c r="M97" i="48"/>
  <c r="B89" i="49" s="1"/>
  <c r="M96" i="48"/>
  <c r="B88" i="49" s="1"/>
  <c r="M95" i="48"/>
  <c r="B87" i="49" s="1"/>
  <c r="M94" i="48"/>
  <c r="B86" i="49" s="1"/>
  <c r="M93" i="48"/>
  <c r="B85" i="49" s="1"/>
  <c r="B84" i="49"/>
  <c r="B83" i="49"/>
  <c r="B82" i="49"/>
  <c r="B81" i="49"/>
  <c r="B80" i="49"/>
  <c r="B79" i="49"/>
  <c r="B78" i="49"/>
  <c r="B77" i="49"/>
  <c r="M84" i="48"/>
  <c r="B76" i="49" s="1"/>
  <c r="M83" i="48"/>
  <c r="B75" i="49" s="1"/>
  <c r="M82" i="48"/>
  <c r="B74" i="49" s="1"/>
  <c r="M81" i="48"/>
  <c r="B73" i="49" s="1"/>
  <c r="M80" i="48"/>
  <c r="B72" i="49" s="1"/>
  <c r="M79" i="48"/>
  <c r="B71" i="49" s="1"/>
  <c r="M78" i="48"/>
  <c r="B70" i="49" s="1"/>
  <c r="M77" i="48"/>
  <c r="B69" i="49" s="1"/>
  <c r="M76" i="48"/>
  <c r="B68" i="49" s="1"/>
  <c r="M75" i="48"/>
  <c r="B67" i="49" s="1"/>
  <c r="M74" i="48"/>
  <c r="B66" i="49" s="1"/>
  <c r="M73" i="48"/>
  <c r="B65" i="49" s="1"/>
  <c r="M72" i="48"/>
  <c r="B64" i="49" s="1"/>
  <c r="M71" i="48"/>
  <c r="B63" i="49" s="1"/>
  <c r="M70" i="48"/>
  <c r="B62" i="49" s="1"/>
  <c r="M69" i="48"/>
  <c r="B61" i="49" s="1"/>
  <c r="M68" i="48"/>
  <c r="B60" i="49" s="1"/>
  <c r="M67" i="48"/>
  <c r="B59" i="49" s="1"/>
  <c r="M66" i="48"/>
  <c r="B58" i="49" s="1"/>
  <c r="M65" i="48"/>
  <c r="B57" i="49" s="1"/>
  <c r="M64" i="48"/>
  <c r="B56" i="49" s="1"/>
  <c r="M63" i="48"/>
  <c r="B55" i="49" s="1"/>
  <c r="M62" i="48"/>
  <c r="B54" i="49" s="1"/>
  <c r="M61" i="48"/>
  <c r="B53" i="49" s="1"/>
  <c r="M60" i="48"/>
  <c r="B52" i="49" s="1"/>
  <c r="M59" i="48"/>
  <c r="B51" i="49" s="1"/>
  <c r="M19" i="48"/>
  <c r="B11" i="49" s="1"/>
  <c r="M20" i="48"/>
  <c r="B12" i="49" s="1"/>
  <c r="M21" i="48"/>
  <c r="B13" i="49" s="1"/>
  <c r="M22" i="48"/>
  <c r="B14" i="49" s="1"/>
  <c r="M23" i="48"/>
  <c r="B15" i="49" s="1"/>
  <c r="M24" i="48"/>
  <c r="B16" i="49" s="1"/>
  <c r="M25" i="48"/>
  <c r="B17" i="49" s="1"/>
  <c r="M26" i="48"/>
  <c r="B18" i="49" s="1"/>
  <c r="M27" i="48"/>
  <c r="B19" i="49" s="1"/>
  <c r="M28" i="48"/>
  <c r="B20" i="49" s="1"/>
  <c r="M29" i="48"/>
  <c r="B21" i="49" s="1"/>
  <c r="M34" i="48"/>
  <c r="B26" i="49" s="1"/>
  <c r="M35" i="48"/>
  <c r="B27" i="49" s="1"/>
  <c r="M36" i="48"/>
  <c r="B28" i="49" s="1"/>
  <c r="M37" i="48"/>
  <c r="B29" i="49" s="1"/>
  <c r="M38" i="48"/>
  <c r="B30" i="49" s="1"/>
  <c r="M39" i="48"/>
  <c r="B31" i="49" s="1"/>
  <c r="M40" i="48"/>
  <c r="B32" i="49" s="1"/>
  <c r="M41" i="48"/>
  <c r="B33" i="49" s="1"/>
  <c r="M18" i="48"/>
  <c r="B10" i="49" s="1"/>
  <c r="R113" i="48" l="1"/>
  <c r="O113" i="48" s="1"/>
  <c r="E105" i="49" s="1"/>
  <c r="R124" i="48"/>
  <c r="R127" i="48"/>
  <c r="R146" i="48"/>
  <c r="O146" i="48" s="1"/>
  <c r="E138" i="49" s="1"/>
  <c r="F138" i="49" s="1"/>
  <c r="R144" i="48"/>
  <c r="R120" i="48"/>
  <c r="R126" i="48"/>
  <c r="R122" i="48"/>
  <c r="R148" i="48"/>
  <c r="O148" i="48" s="1"/>
  <c r="E140" i="49" s="1"/>
  <c r="R119" i="48"/>
  <c r="O119" i="48" s="1"/>
  <c r="E111" i="49" s="1"/>
  <c r="F111" i="49" s="1"/>
  <c r="R147" i="48"/>
  <c r="O147" i="48" s="1"/>
  <c r="E139" i="49" s="1"/>
  <c r="F139" i="49" s="1"/>
  <c r="R123" i="48"/>
  <c r="R149" i="48"/>
  <c r="O149" i="48" s="1"/>
  <c r="E141" i="49" s="1"/>
  <c r="F141" i="49" s="1"/>
  <c r="R145" i="48"/>
  <c r="O145" i="48" s="1"/>
  <c r="E137" i="49" s="1"/>
  <c r="F137" i="49" s="1"/>
  <c r="R118" i="48"/>
  <c r="O118" i="48" s="1"/>
  <c r="E110" i="49" s="1"/>
  <c r="F110" i="49" s="1"/>
  <c r="R125" i="48"/>
  <c r="R121" i="48"/>
  <c r="R108" i="48"/>
  <c r="O108" i="48" s="1"/>
  <c r="E100" i="49" s="1"/>
  <c r="F100" i="49" s="1"/>
  <c r="R112" i="48"/>
  <c r="O112" i="48" s="1"/>
  <c r="E104" i="49" s="1"/>
  <c r="F104" i="49" s="1"/>
  <c r="R106" i="48"/>
  <c r="O106" i="48" s="1"/>
  <c r="E98" i="49" s="1"/>
  <c r="F98" i="49" s="1"/>
  <c r="R109" i="48"/>
  <c r="O109" i="48" s="1"/>
  <c r="E101" i="49" s="1"/>
  <c r="F101" i="49" s="1"/>
  <c r="R158" i="48"/>
  <c r="O158" i="48" s="1"/>
  <c r="E150" i="49" s="1"/>
  <c r="F150" i="49" s="1"/>
  <c r="R156" i="48"/>
  <c r="O156" i="48" s="1"/>
  <c r="E148" i="49" s="1"/>
  <c r="F148" i="49" s="1"/>
  <c r="R154" i="48"/>
  <c r="O154" i="48" s="1"/>
  <c r="E146" i="49" s="1"/>
  <c r="R152" i="48"/>
  <c r="O152" i="48" s="1"/>
  <c r="E144" i="49" s="1"/>
  <c r="F144" i="49" s="1"/>
  <c r="R150" i="48"/>
  <c r="O150" i="48" s="1"/>
  <c r="E142" i="49" s="1"/>
  <c r="F142" i="49" s="1"/>
  <c r="R84" i="48"/>
  <c r="O84" i="48" s="1"/>
  <c r="E76" i="49" s="1"/>
  <c r="F76" i="49" s="1"/>
  <c r="R82" i="48"/>
  <c r="O82" i="48" s="1"/>
  <c r="E74" i="49" s="1"/>
  <c r="F74" i="49" s="1"/>
  <c r="R157" i="48"/>
  <c r="O157" i="48" s="1"/>
  <c r="E149" i="49" s="1"/>
  <c r="F149" i="49" s="1"/>
  <c r="R155" i="48"/>
  <c r="O155" i="48" s="1"/>
  <c r="E147" i="49" s="1"/>
  <c r="F147" i="49" s="1"/>
  <c r="R153" i="48"/>
  <c r="O153" i="48" s="1"/>
  <c r="E145" i="49" s="1"/>
  <c r="F145" i="49" s="1"/>
  <c r="R151" i="48"/>
  <c r="O151" i="48" s="1"/>
  <c r="E143" i="49" s="1"/>
  <c r="F143" i="49" s="1"/>
  <c r="R83" i="48"/>
  <c r="O83" i="48" s="1"/>
  <c r="E75" i="49" s="1"/>
  <c r="F75" i="49" s="1"/>
  <c r="R81" i="48"/>
  <c r="O81" i="48" s="1"/>
  <c r="E73" i="49" s="1"/>
  <c r="F73" i="49" s="1"/>
  <c r="R110" i="48"/>
  <c r="O110" i="48" s="1"/>
  <c r="E102" i="49" s="1"/>
  <c r="F102" i="49" s="1"/>
  <c r="R114" i="48"/>
  <c r="O114" i="48" s="1"/>
  <c r="E106" i="49" s="1"/>
  <c r="F106" i="49" s="1"/>
  <c r="R107" i="48"/>
  <c r="O107" i="48" s="1"/>
  <c r="E99" i="49" s="1"/>
  <c r="F99" i="49" s="1"/>
  <c r="R111" i="48"/>
  <c r="O111" i="48" s="1"/>
  <c r="E103" i="49" s="1"/>
  <c r="F103" i="49" s="1"/>
  <c r="R115" i="48"/>
  <c r="O115" i="48" s="1"/>
  <c r="E107" i="49" s="1"/>
  <c r="F107" i="49" s="1"/>
  <c r="F146" i="49"/>
  <c r="F140" i="49"/>
  <c r="F135" i="49"/>
  <c r="F133" i="49"/>
  <c r="F131" i="49"/>
  <c r="F125" i="49"/>
  <c r="F121" i="49"/>
  <c r="F108" i="49"/>
  <c r="F96" i="49"/>
  <c r="F94" i="49"/>
  <c r="F92" i="49"/>
  <c r="F90" i="49"/>
  <c r="F88" i="49"/>
  <c r="F86" i="49"/>
  <c r="F72" i="49"/>
  <c r="F70" i="49"/>
  <c r="F68" i="49"/>
  <c r="F66" i="49"/>
  <c r="F64" i="49"/>
  <c r="F62" i="49"/>
  <c r="F60" i="49"/>
  <c r="F58" i="49"/>
  <c r="F56" i="49"/>
  <c r="F54" i="49"/>
  <c r="F52" i="49"/>
  <c r="F50" i="49"/>
  <c r="F48" i="49"/>
  <c r="F46" i="49"/>
  <c r="F44" i="49"/>
  <c r="F42" i="49"/>
  <c r="F40" i="49"/>
  <c r="F38" i="49"/>
  <c r="F36" i="49"/>
  <c r="F34" i="49"/>
  <c r="F32" i="49"/>
  <c r="F30" i="49"/>
  <c r="F28" i="49"/>
  <c r="F26" i="49"/>
  <c r="F24" i="49"/>
  <c r="F22" i="49"/>
  <c r="F20" i="49"/>
  <c r="F18" i="49"/>
  <c r="F16" i="49"/>
  <c r="F14" i="49"/>
  <c r="F12" i="49"/>
  <c r="F134" i="49"/>
  <c r="F132" i="49"/>
  <c r="F130" i="49"/>
  <c r="F126" i="49"/>
  <c r="F124" i="49"/>
  <c r="F122" i="49"/>
  <c r="F120" i="49"/>
  <c r="F109" i="49"/>
  <c r="F105" i="49"/>
  <c r="F97" i="49"/>
  <c r="F95" i="49"/>
  <c r="F93" i="49"/>
  <c r="F91" i="49"/>
  <c r="F89" i="49"/>
  <c r="F87" i="49"/>
  <c r="F85" i="49"/>
  <c r="F71" i="49"/>
  <c r="F69" i="49"/>
  <c r="F67" i="49"/>
  <c r="F65" i="49"/>
  <c r="F63" i="49"/>
  <c r="F61" i="49"/>
  <c r="F59" i="49"/>
  <c r="F57" i="49"/>
  <c r="F55" i="49"/>
  <c r="F53" i="49"/>
  <c r="F51" i="49"/>
  <c r="F49" i="49"/>
  <c r="F47" i="49"/>
  <c r="F45" i="49"/>
  <c r="F43" i="49"/>
  <c r="F41" i="49"/>
  <c r="F39" i="49"/>
  <c r="F37" i="49"/>
  <c r="F35" i="49"/>
  <c r="F33" i="49"/>
  <c r="F31" i="49"/>
  <c r="F29" i="49"/>
  <c r="F27" i="49"/>
  <c r="F25" i="49"/>
  <c r="F23" i="49"/>
  <c r="F21" i="49"/>
  <c r="F19" i="49"/>
  <c r="F17" i="49"/>
  <c r="F15" i="49"/>
  <c r="F13" i="49"/>
  <c r="F11" i="49"/>
  <c r="O144" i="48"/>
  <c r="E136" i="49" s="1"/>
  <c r="F136" i="49" s="1"/>
  <c r="F10" i="49"/>
  <c r="AQ43" i="15"/>
  <c r="AQ44" i="15"/>
  <c r="AQ45" i="15"/>
  <c r="AQ46" i="15"/>
  <c r="AB93" i="16"/>
  <c r="AA6" i="15"/>
  <c r="AA7" i="15"/>
  <c r="AA8" i="15"/>
  <c r="AA5" i="15"/>
  <c r="AQ20" i="15"/>
  <c r="O122" i="48" l="1"/>
  <c r="E114" i="49" s="1"/>
  <c r="F114" i="49" s="1"/>
  <c r="O127" i="48"/>
  <c r="E119" i="49" s="1"/>
  <c r="F119" i="49" s="1"/>
  <c r="O121" i="48"/>
  <c r="E113" i="49" s="1"/>
  <c r="F113" i="49" s="1"/>
  <c r="O120" i="48"/>
  <c r="E112" i="49" s="1"/>
  <c r="F112" i="49" s="1"/>
  <c r="O124" i="48"/>
  <c r="E116" i="49" s="1"/>
  <c r="F116" i="49" s="1"/>
  <c r="O126" i="48"/>
  <c r="E118" i="49" s="1"/>
  <c r="F118" i="49" s="1"/>
  <c r="O125" i="48"/>
  <c r="E117" i="49" s="1"/>
  <c r="F117" i="49" s="1"/>
  <c r="O123" i="48"/>
  <c r="E115" i="49" s="1"/>
  <c r="F115" i="49" s="1"/>
  <c r="AA78" i="15"/>
  <c r="AA79" i="15"/>
  <c r="AA80" i="15"/>
  <c r="AA81" i="15"/>
  <c r="AA82" i="15"/>
  <c r="AA83" i="15"/>
  <c r="AA84" i="15"/>
  <c r="AA77" i="15"/>
  <c r="AQ22" i="15" l="1"/>
  <c r="AQ23" i="15"/>
  <c r="AQ21" i="15"/>
  <c r="AQ40" i="15"/>
  <c r="AA26" i="15" s="1"/>
  <c r="AQ41" i="15"/>
  <c r="AA27" i="15" s="1"/>
  <c r="AQ39" i="15"/>
  <c r="AA25" i="15" s="1"/>
  <c r="AA114" i="16"/>
  <c r="AB107" i="16"/>
  <c r="AB108" i="16"/>
  <c r="AB109" i="16"/>
  <c r="AB110" i="16"/>
  <c r="AB111" i="16"/>
  <c r="AB112" i="16"/>
  <c r="M73" i="16" l="1"/>
  <c r="AB84" i="16"/>
  <c r="AB85" i="16"/>
  <c r="AB86" i="16"/>
  <c r="AB87" i="16"/>
  <c r="AB88" i="16"/>
  <c r="AB89" i="16"/>
  <c r="AB90" i="16"/>
  <c r="AB91" i="16"/>
  <c r="AB92" i="16"/>
  <c r="AB83" i="16"/>
  <c r="M57" i="16"/>
  <c r="M56" i="16"/>
  <c r="AB65" i="16" l="1"/>
  <c r="AB66" i="16"/>
  <c r="AB67" i="16"/>
  <c r="AB68" i="16"/>
  <c r="AB69" i="16"/>
  <c r="AB64" i="16"/>
  <c r="M10" i="15"/>
  <c r="M11" i="15"/>
  <c r="M12" i="15"/>
  <c r="M13" i="15"/>
  <c r="M14" i="15"/>
  <c r="M9" i="15"/>
  <c r="M80" i="16"/>
  <c r="M79" i="16"/>
  <c r="M71" i="16"/>
  <c r="R131" i="48" s="1"/>
  <c r="O131" i="48" s="1"/>
  <c r="E123" i="49" s="1"/>
  <c r="F123" i="49" s="1"/>
  <c r="M68" i="16"/>
  <c r="M67" i="16"/>
  <c r="AQ24" i="15"/>
  <c r="AQ69" i="15"/>
  <c r="AQ70" i="15"/>
  <c r="AQ71" i="15"/>
  <c r="AQ72" i="15"/>
  <c r="AQ68" i="15"/>
  <c r="AB45" i="16"/>
  <c r="AB46" i="16"/>
  <c r="AB47" i="16"/>
  <c r="AB48" i="16"/>
  <c r="AB49" i="16"/>
  <c r="AB50" i="16"/>
  <c r="AB51" i="16"/>
  <c r="AB44" i="16"/>
  <c r="AB29" i="16"/>
  <c r="AA10" i="15" s="1"/>
  <c r="AB30" i="16"/>
  <c r="AA11" i="15" s="1"/>
  <c r="AB31" i="16"/>
  <c r="AA12" i="15" s="1"/>
  <c r="AB32" i="16"/>
  <c r="AA13" i="15" s="1"/>
  <c r="AB33" i="16"/>
  <c r="AA14" i="15" s="1"/>
  <c r="AB28" i="16"/>
  <c r="AA9" i="15" s="1"/>
  <c r="AF29" i="16"/>
  <c r="AF30" i="16"/>
  <c r="AF31" i="16"/>
  <c r="AF32" i="16"/>
  <c r="AF28" i="16"/>
  <c r="AF33" i="16"/>
  <c r="AF51" i="16"/>
  <c r="AF50" i="16"/>
  <c r="AF49" i="16"/>
  <c r="AF48" i="16"/>
  <c r="AF47" i="16"/>
  <c r="AF46" i="16"/>
  <c r="AF45" i="16"/>
  <c r="AF44" i="16"/>
  <c r="AB10" i="16"/>
  <c r="AB11" i="16"/>
  <c r="AB12" i="16"/>
  <c r="AB13" i="16"/>
  <c r="AB14" i="16"/>
  <c r="AB9" i="16"/>
  <c r="M64" i="16"/>
  <c r="AQ26" i="15"/>
  <c r="AQ27" i="15"/>
  <c r="AQ28" i="15"/>
  <c r="AQ25" i="15"/>
  <c r="M87" i="16"/>
  <c r="R135" i="48" s="1"/>
  <c r="O135" i="48" s="1"/>
  <c r="E127" i="49" s="1"/>
  <c r="F127" i="49" s="1"/>
  <c r="M88" i="16"/>
  <c r="R136" i="48" s="1"/>
  <c r="O136" i="48" s="1"/>
  <c r="E128" i="49" s="1"/>
  <c r="F128" i="49" s="1"/>
  <c r="M90" i="16"/>
  <c r="M89" i="16" s="1"/>
  <c r="R137" i="48" s="1"/>
  <c r="O137" i="48" s="1"/>
  <c r="E129" i="49" s="1"/>
  <c r="F129" i="49" s="1"/>
  <c r="C19" i="48"/>
  <c r="C20" i="48"/>
  <c r="C21" i="48"/>
  <c r="C22" i="48"/>
  <c r="C23" i="48"/>
  <c r="C24" i="48"/>
  <c r="C25" i="48"/>
  <c r="C26" i="48"/>
  <c r="C27" i="48"/>
  <c r="C28" i="48"/>
  <c r="C29" i="48"/>
  <c r="C30" i="48"/>
  <c r="C31" i="48"/>
  <c r="C32" i="48"/>
  <c r="C33" i="48"/>
  <c r="C34" i="48"/>
  <c r="C35" i="48"/>
  <c r="C36" i="48"/>
  <c r="C37" i="48"/>
  <c r="C38" i="48"/>
  <c r="C39" i="48"/>
  <c r="C40" i="48"/>
  <c r="C41" i="48"/>
  <c r="C42" i="48"/>
  <c r="C43" i="48"/>
  <c r="C44" i="48"/>
  <c r="C45" i="48"/>
  <c r="C46" i="48"/>
  <c r="C47" i="48"/>
  <c r="C48" i="48"/>
  <c r="C49" i="48"/>
  <c r="C50" i="48"/>
  <c r="C51" i="48"/>
  <c r="C52" i="48"/>
  <c r="C53" i="48"/>
  <c r="C54" i="48"/>
  <c r="C55" i="48"/>
  <c r="C56" i="48"/>
  <c r="C57" i="48"/>
  <c r="C58" i="48"/>
  <c r="C59" i="48"/>
  <c r="C60" i="48"/>
  <c r="C61" i="48"/>
  <c r="C62" i="48"/>
  <c r="C63" i="48"/>
  <c r="C64" i="48"/>
  <c r="C65" i="48"/>
  <c r="C66" i="48"/>
  <c r="C67" i="48"/>
  <c r="C68" i="48"/>
  <c r="C69" i="48"/>
  <c r="C70" i="48"/>
  <c r="C71" i="48"/>
  <c r="C72" i="48"/>
  <c r="C73" i="48"/>
  <c r="C74" i="48"/>
  <c r="C75" i="48"/>
  <c r="C76" i="48"/>
  <c r="C77" i="48"/>
  <c r="C78" i="48"/>
  <c r="C79" i="48"/>
  <c r="C80" i="48"/>
  <c r="C81" i="48"/>
  <c r="C82" i="48"/>
  <c r="C83" i="48"/>
  <c r="C84" i="48"/>
  <c r="C85" i="48"/>
  <c r="C86" i="48"/>
  <c r="C87" i="48"/>
  <c r="C88" i="48"/>
  <c r="C89" i="48"/>
  <c r="C90" i="48"/>
  <c r="C91" i="48"/>
  <c r="C92" i="48"/>
  <c r="C93" i="48"/>
  <c r="C94" i="48"/>
  <c r="C95" i="48"/>
  <c r="C96" i="48"/>
  <c r="C97" i="48"/>
  <c r="C98" i="48"/>
  <c r="C99" i="48"/>
  <c r="C100" i="48"/>
  <c r="C101" i="48"/>
  <c r="C102" i="48"/>
  <c r="C103" i="48"/>
  <c r="C104" i="48"/>
  <c r="C105" i="48"/>
  <c r="C106" i="48"/>
  <c r="C107" i="48"/>
  <c r="C108" i="48"/>
  <c r="C109" i="48"/>
  <c r="C110" i="48"/>
  <c r="C111" i="48"/>
  <c r="C112" i="48"/>
  <c r="C113" i="48"/>
  <c r="C114" i="48"/>
  <c r="C115" i="48"/>
  <c r="C116" i="48"/>
  <c r="C117" i="48"/>
  <c r="C118" i="48"/>
  <c r="C119" i="48"/>
  <c r="C120" i="48"/>
  <c r="C121" i="48"/>
  <c r="C122" i="48"/>
  <c r="C123" i="48"/>
  <c r="C124" i="48"/>
  <c r="C125" i="48"/>
  <c r="C126" i="48"/>
  <c r="C127" i="48"/>
  <c r="C128" i="48"/>
  <c r="C129" i="48"/>
  <c r="C130" i="48"/>
  <c r="C131" i="48"/>
  <c r="C132" i="48"/>
  <c r="C133" i="48"/>
  <c r="C134" i="48"/>
  <c r="C135" i="48"/>
  <c r="C136" i="48"/>
  <c r="C137" i="48"/>
  <c r="C138" i="48"/>
  <c r="C139" i="48"/>
  <c r="C140" i="48"/>
  <c r="C141" i="48"/>
  <c r="C142" i="48"/>
  <c r="C143" i="48"/>
  <c r="C144" i="48"/>
  <c r="C145" i="48"/>
  <c r="C146" i="48"/>
  <c r="C147" i="48"/>
  <c r="C148" i="48"/>
  <c r="C149" i="48"/>
  <c r="C150" i="48"/>
  <c r="C151" i="48"/>
  <c r="C152" i="48"/>
  <c r="C153" i="48"/>
  <c r="C154" i="48"/>
  <c r="C155" i="48"/>
  <c r="C156" i="48"/>
  <c r="C157" i="48"/>
  <c r="C158" i="48"/>
  <c r="C18" i="48"/>
  <c r="P55" i="48" l="1"/>
  <c r="P56" i="48"/>
  <c r="FQ9" i="47" l="1"/>
  <c r="FQ10" i="47"/>
  <c r="FQ11" i="47"/>
  <c r="FQ12" i="47"/>
  <c r="FQ13" i="47"/>
  <c r="FQ14" i="47"/>
  <c r="FQ15" i="47"/>
  <c r="FQ16" i="47"/>
  <c r="FQ17" i="47"/>
  <c r="FQ18" i="47"/>
  <c r="FQ19" i="47"/>
  <c r="FQ20" i="47"/>
  <c r="FQ21" i="47"/>
  <c r="FQ22" i="47"/>
  <c r="FQ23" i="47"/>
  <c r="FQ24" i="47"/>
  <c r="FQ25" i="47"/>
  <c r="FQ26" i="47"/>
  <c r="FQ27" i="47"/>
  <c r="FQ28" i="47"/>
  <c r="FQ29" i="47"/>
  <c r="FQ30" i="47"/>
  <c r="FQ31" i="47"/>
  <c r="FQ32" i="47"/>
  <c r="FQ33" i="47"/>
  <c r="FQ34" i="47"/>
  <c r="FQ35" i="47"/>
  <c r="FQ36" i="47"/>
  <c r="FQ37" i="47"/>
  <c r="FQ38" i="47"/>
  <c r="FQ39" i="47"/>
  <c r="FQ40" i="47"/>
  <c r="FQ41" i="47"/>
  <c r="FQ42" i="47"/>
  <c r="FQ43" i="47"/>
  <c r="FQ44" i="47"/>
  <c r="FQ45" i="47"/>
  <c r="FQ46" i="47"/>
  <c r="FQ47" i="47"/>
  <c r="FQ48" i="47"/>
  <c r="FQ49" i="47"/>
  <c r="FQ50" i="47"/>
  <c r="FQ51" i="47"/>
  <c r="FQ52" i="47"/>
  <c r="FQ53" i="47"/>
  <c r="FQ54" i="47"/>
  <c r="FQ55" i="47"/>
  <c r="FQ56" i="47"/>
  <c r="FQ57" i="47"/>
  <c r="FQ58" i="47"/>
  <c r="FQ59" i="47"/>
  <c r="FQ60" i="47"/>
  <c r="FQ61" i="47"/>
  <c r="FQ62" i="47"/>
  <c r="FQ63" i="47"/>
  <c r="FQ64" i="47"/>
  <c r="FQ65" i="47"/>
  <c r="FQ66" i="47"/>
  <c r="FQ67" i="47"/>
  <c r="FQ68" i="47"/>
  <c r="FQ69" i="47"/>
  <c r="FQ70" i="47"/>
  <c r="FQ71" i="47"/>
  <c r="FQ72" i="47"/>
  <c r="FQ73" i="47"/>
  <c r="FJ39" i="47" l="1"/>
  <c r="FQ8" i="47"/>
  <c r="FJ9" i="47"/>
  <c r="FJ10" i="47"/>
  <c r="FJ11" i="47"/>
  <c r="FJ12" i="47"/>
  <c r="FJ13" i="47"/>
  <c r="FJ14" i="47"/>
  <c r="FJ15" i="47"/>
  <c r="FJ16" i="47"/>
  <c r="FJ17" i="47"/>
  <c r="FJ18" i="47"/>
  <c r="FJ19" i="47"/>
  <c r="FJ20" i="47"/>
  <c r="FJ21" i="47"/>
  <c r="FJ22" i="47"/>
  <c r="FJ23" i="47"/>
  <c r="FJ24" i="47"/>
  <c r="FJ25" i="47"/>
  <c r="FJ26" i="47"/>
  <c r="FJ27" i="47"/>
  <c r="FJ28" i="47"/>
  <c r="FJ29" i="47"/>
  <c r="FJ30" i="47"/>
  <c r="FJ31" i="47"/>
  <c r="FJ32" i="47"/>
  <c r="FJ33" i="47"/>
  <c r="FJ34" i="47"/>
  <c r="FJ35" i="47"/>
  <c r="FJ36" i="47"/>
  <c r="FJ37" i="47"/>
  <c r="FJ38" i="47"/>
  <c r="FJ40" i="47"/>
  <c r="FJ41" i="47"/>
  <c r="FJ42" i="47"/>
  <c r="FJ43" i="47"/>
  <c r="FJ44" i="47"/>
  <c r="FJ45" i="47"/>
  <c r="FJ46" i="47"/>
  <c r="FJ47" i="47"/>
  <c r="FJ48" i="47"/>
  <c r="FJ49" i="47"/>
  <c r="FJ50" i="47"/>
  <c r="FJ51" i="47"/>
  <c r="FJ52" i="47"/>
  <c r="FJ53" i="47"/>
  <c r="FJ54" i="47"/>
  <c r="FJ55" i="47"/>
  <c r="FJ56" i="47"/>
  <c r="FJ57" i="47"/>
  <c r="FJ58" i="47"/>
  <c r="FJ59" i="47"/>
  <c r="FJ60" i="47"/>
  <c r="FJ61" i="47"/>
  <c r="FJ62" i="47"/>
  <c r="FJ63" i="47"/>
  <c r="FJ64" i="47"/>
  <c r="FJ65" i="47"/>
  <c r="FJ66" i="47"/>
  <c r="FJ67" i="47"/>
  <c r="FJ68" i="47"/>
  <c r="FJ69" i="47"/>
  <c r="FJ70" i="47"/>
  <c r="FJ71" i="47"/>
  <c r="FJ72" i="47"/>
  <c r="FJ73" i="47"/>
  <c r="FJ8" i="47"/>
  <c r="CT9" i="46"/>
  <c r="CT10" i="46"/>
  <c r="CT11" i="46"/>
  <c r="CT8" i="46"/>
  <c r="GO9" i="35"/>
  <c r="GO10" i="35"/>
  <c r="GO11" i="35"/>
  <c r="GO12" i="35"/>
  <c r="GO13" i="35"/>
  <c r="GO14" i="35"/>
  <c r="GO15" i="35"/>
  <c r="GO16" i="35"/>
  <c r="GO17" i="35"/>
  <c r="GO18" i="35"/>
  <c r="GO19" i="35"/>
  <c r="GO20" i="35"/>
  <c r="GO21" i="35"/>
  <c r="GO22" i="35"/>
  <c r="GO23" i="35"/>
  <c r="GO24" i="35"/>
  <c r="GO25" i="35"/>
  <c r="GO26" i="35"/>
  <c r="GO27" i="35"/>
  <c r="GO28" i="35"/>
  <c r="GO29" i="35"/>
  <c r="GO30" i="35"/>
  <c r="GO31" i="35"/>
  <c r="GO32" i="35"/>
  <c r="GO33" i="35"/>
  <c r="GO34" i="35"/>
  <c r="GO35" i="35"/>
  <c r="GO36" i="35"/>
  <c r="GO37" i="35"/>
  <c r="GO38" i="35"/>
  <c r="GO39" i="35"/>
  <c r="GO40" i="35"/>
  <c r="GO8" i="35"/>
  <c r="GH9" i="35"/>
  <c r="GH10" i="35"/>
  <c r="GH11" i="35"/>
  <c r="GH12" i="35"/>
  <c r="GH13" i="35"/>
  <c r="GH14" i="35"/>
  <c r="GH15" i="35"/>
  <c r="GH16" i="35"/>
  <c r="GH17" i="35"/>
  <c r="GH18" i="35"/>
  <c r="GH19" i="35"/>
  <c r="GH20" i="35"/>
  <c r="GH21" i="35"/>
  <c r="GH22" i="35"/>
  <c r="GH23" i="35"/>
  <c r="GH24" i="35"/>
  <c r="GH25" i="35"/>
  <c r="GH26" i="35"/>
  <c r="GH27" i="35"/>
  <c r="GH28" i="35"/>
  <c r="GH29" i="35"/>
  <c r="GH30" i="35"/>
  <c r="GH31" i="35"/>
  <c r="GH32" i="35"/>
  <c r="GH33" i="35"/>
  <c r="GH34" i="35"/>
  <c r="GH35" i="35"/>
  <c r="GH36" i="35"/>
  <c r="GH37" i="35"/>
  <c r="GH38" i="35"/>
  <c r="GH39" i="35"/>
  <c r="GH40" i="35"/>
  <c r="GH8" i="35"/>
  <c r="FP78" i="47"/>
  <c r="FP77" i="47"/>
  <c r="FP76" i="47"/>
  <c r="O101" i="15" s="1"/>
  <c r="L54" i="48" s="1"/>
  <c r="GN44" i="35"/>
  <c r="O103" i="15" s="1"/>
  <c r="L56" i="48" s="1"/>
  <c r="GN45" i="35"/>
  <c r="GN43" i="35"/>
  <c r="GG44" i="35"/>
  <c r="GG45" i="35"/>
  <c r="GG46" i="35"/>
  <c r="GG47" i="35"/>
  <c r="GG48" i="35"/>
  <c r="O100" i="15" s="1"/>
  <c r="L53" i="48" s="1"/>
  <c r="GG43" i="35"/>
  <c r="O93" i="15" s="1"/>
  <c r="L46" i="48" s="1"/>
  <c r="FI80" i="47"/>
  <c r="O94" i="15" s="1"/>
  <c r="L47" i="48" s="1"/>
  <c r="FI81" i="47"/>
  <c r="FI82" i="47"/>
  <c r="FI83" i="47"/>
  <c r="FI84" i="47"/>
  <c r="FI85" i="47"/>
  <c r="O99" i="15" s="1"/>
  <c r="L52" i="48" s="1"/>
  <c r="FI78" i="47"/>
  <c r="O91" i="15" s="1"/>
  <c r="L44" i="48" s="1"/>
  <c r="FI79" i="47"/>
  <c r="O92" i="15" s="1"/>
  <c r="L45" i="48" s="1"/>
  <c r="FI77" i="47"/>
  <c r="O90" i="15" s="1"/>
  <c r="L43" i="48" s="1"/>
  <c r="FI76" i="47"/>
  <c r="O89" i="15" s="1"/>
  <c r="L42" i="48" s="1"/>
  <c r="O97" i="15" l="1"/>
  <c r="L50" i="48" s="1"/>
  <c r="O95" i="15"/>
  <c r="L48" i="48" s="1"/>
  <c r="O96" i="15"/>
  <c r="L49" i="48" s="1"/>
  <c r="O98" i="15"/>
  <c r="L51" i="48" s="1"/>
  <c r="O104" i="15"/>
  <c r="L57" i="48" s="1"/>
  <c r="O102" i="15"/>
  <c r="L55" i="48" s="1"/>
  <c r="P20" i="48"/>
  <c r="P21" i="48"/>
  <c r="P22" i="48"/>
  <c r="P23" i="48"/>
  <c r="P24" i="48"/>
  <c r="P25" i="48"/>
  <c r="P26" i="48"/>
  <c r="P27" i="48"/>
  <c r="P28" i="48"/>
  <c r="P29" i="48"/>
  <c r="P30" i="48"/>
  <c r="P31" i="48"/>
  <c r="P32" i="48"/>
  <c r="P33" i="48"/>
  <c r="P34" i="48"/>
  <c r="P35" i="48"/>
  <c r="P36" i="48"/>
  <c r="P37" i="48"/>
  <c r="P38" i="48"/>
  <c r="P39" i="48"/>
  <c r="P40" i="48"/>
  <c r="P41" i="48"/>
  <c r="P42" i="48"/>
  <c r="P43" i="48"/>
  <c r="P44" i="48"/>
  <c r="P45" i="48"/>
  <c r="P46" i="48"/>
  <c r="P47" i="48"/>
  <c r="P48" i="48"/>
  <c r="P49" i="48"/>
  <c r="P50" i="48"/>
  <c r="P51" i="48"/>
  <c r="P52" i="48"/>
  <c r="P53" i="48"/>
  <c r="P54" i="48"/>
  <c r="P57" i="48"/>
  <c r="P58" i="48"/>
  <c r="P59" i="48"/>
  <c r="P60" i="48"/>
  <c r="P61" i="48"/>
  <c r="P62" i="48"/>
  <c r="P63" i="48"/>
  <c r="P64" i="48"/>
  <c r="P65" i="48"/>
  <c r="P66" i="48"/>
  <c r="P67" i="48"/>
  <c r="P68" i="48"/>
  <c r="P69" i="48"/>
  <c r="P70" i="48"/>
  <c r="P71" i="48"/>
  <c r="P72" i="48"/>
  <c r="P73" i="48"/>
  <c r="P74" i="48"/>
  <c r="P75" i="48"/>
  <c r="P76" i="48"/>
  <c r="P77" i="48"/>
  <c r="P78" i="48"/>
  <c r="P79" i="48"/>
  <c r="P80" i="48"/>
  <c r="P81" i="48"/>
  <c r="P82" i="48"/>
  <c r="P83" i="48"/>
  <c r="P84" i="48"/>
  <c r="P93" i="48"/>
  <c r="P94" i="48"/>
  <c r="P95" i="48"/>
  <c r="P96" i="48"/>
  <c r="P97" i="48"/>
  <c r="P98" i="48"/>
  <c r="P99" i="48"/>
  <c r="P100" i="48"/>
  <c r="P101" i="48"/>
  <c r="P102" i="48"/>
  <c r="P103" i="48"/>
  <c r="P104" i="48"/>
  <c r="P105" i="48"/>
  <c r="P106" i="48"/>
  <c r="P107" i="48"/>
  <c r="P108" i="48"/>
  <c r="P109" i="48"/>
  <c r="P110" i="48"/>
  <c r="P111" i="48"/>
  <c r="P112" i="48"/>
  <c r="P113" i="48"/>
  <c r="P114" i="48"/>
  <c r="P115" i="48"/>
  <c r="P116" i="48"/>
  <c r="P117" i="48"/>
  <c r="P118" i="48"/>
  <c r="P119" i="48"/>
  <c r="P120" i="48"/>
  <c r="P121" i="48"/>
  <c r="P122" i="48"/>
  <c r="P123" i="48"/>
  <c r="P124" i="48"/>
  <c r="P125" i="48"/>
  <c r="P126" i="48"/>
  <c r="P127" i="48"/>
  <c r="P128" i="48"/>
  <c r="P129" i="48"/>
  <c r="P130" i="48"/>
  <c r="P131" i="48"/>
  <c r="P132" i="48"/>
  <c r="P133" i="48"/>
  <c r="P134" i="48"/>
  <c r="P135" i="48"/>
  <c r="P136" i="48"/>
  <c r="P137" i="48"/>
  <c r="P138" i="48"/>
  <c r="P139" i="48"/>
  <c r="P140" i="48"/>
  <c r="P141" i="48"/>
  <c r="P142" i="48"/>
  <c r="P143" i="48"/>
  <c r="P144" i="48"/>
  <c r="P145" i="48"/>
  <c r="P146" i="48"/>
  <c r="P147" i="48"/>
  <c r="P148" i="48"/>
  <c r="P149" i="48"/>
  <c r="P150" i="48"/>
  <c r="P151" i="48"/>
  <c r="P152" i="48"/>
  <c r="P153" i="48"/>
  <c r="P154" i="48"/>
  <c r="P155" i="48"/>
  <c r="P156" i="48"/>
  <c r="P157" i="48"/>
  <c r="P158" i="48"/>
  <c r="P19" i="48"/>
  <c r="P18" i="48"/>
  <c r="L117" i="48" l="1"/>
  <c r="AS77" i="15"/>
  <c r="AS76" i="15"/>
  <c r="AS75" i="15"/>
  <c r="AS74" i="15"/>
  <c r="AS73" i="15"/>
  <c r="AS69" i="15"/>
  <c r="L94" i="48" s="1"/>
  <c r="AS68" i="15"/>
  <c r="L93" i="48" s="1"/>
  <c r="O55" i="15"/>
  <c r="O54" i="15"/>
  <c r="O53" i="15"/>
  <c r="O52" i="15"/>
  <c r="O51" i="15"/>
  <c r="L33" i="48" s="1"/>
  <c r="O50" i="15"/>
  <c r="L32" i="48" s="1"/>
  <c r="O49" i="15"/>
  <c r="L31" i="48" s="1"/>
  <c r="O48" i="15"/>
  <c r="L30" i="48" s="1"/>
  <c r="O47" i="15"/>
  <c r="O46" i="15"/>
  <c r="O45" i="15"/>
  <c r="O44" i="15"/>
  <c r="O43" i="15"/>
  <c r="CL15" i="46" l="1"/>
  <c r="CL16" i="46"/>
  <c r="CL17" i="46"/>
  <c r="CL18" i="46"/>
  <c r="CL19" i="46"/>
  <c r="CL14" i="46"/>
  <c r="FB77" i="47"/>
  <c r="FB78" i="47"/>
  <c r="FB79" i="47"/>
  <c r="FB80" i="47"/>
  <c r="FB81" i="47"/>
  <c r="FB76" i="47"/>
  <c r="FZ44" i="35"/>
  <c r="FZ45" i="35"/>
  <c r="FZ46" i="35"/>
  <c r="FZ47" i="35"/>
  <c r="FZ48" i="35"/>
  <c r="FZ43" i="35"/>
  <c r="BM14" i="46"/>
  <c r="BI14" i="46"/>
  <c r="DE76" i="47"/>
  <c r="DA76" i="47"/>
  <c r="DY43" i="35"/>
  <c r="DU43" i="35"/>
  <c r="AU15" i="46"/>
  <c r="AU16" i="46"/>
  <c r="AU17" i="46"/>
  <c r="AU18" i="46"/>
  <c r="AU19" i="46"/>
  <c r="AU20" i="46"/>
  <c r="AU21" i="46"/>
  <c r="AU14" i="46"/>
  <c r="AG14" i="46"/>
  <c r="BG76" i="47"/>
  <c r="AS76" i="47"/>
  <c r="BK43" i="35"/>
  <c r="AW43" i="35"/>
  <c r="AK81" i="47"/>
  <c r="AO47" i="35"/>
  <c r="BZ27" i="35"/>
  <c r="AE27" i="53" s="1"/>
  <c r="BZ40" i="35"/>
  <c r="AE40" i="53" s="1"/>
  <c r="BZ39" i="35"/>
  <c r="AE39" i="53" s="1"/>
  <c r="BZ36" i="35"/>
  <c r="AE36" i="53" s="1"/>
  <c r="BV36" i="47"/>
  <c r="BZ18" i="35"/>
  <c r="AE18" i="53" s="1"/>
  <c r="O57" i="16" l="1"/>
  <c r="L119" i="48" s="1"/>
  <c r="O77" i="15"/>
  <c r="L39" i="48" s="1"/>
  <c r="O56" i="16"/>
  <c r="L118" i="48" s="1"/>
  <c r="O79" i="15"/>
  <c r="L41" i="48" s="1"/>
  <c r="O75" i="15"/>
  <c r="L37" i="48" s="1"/>
  <c r="O74" i="15"/>
  <c r="L36" i="48" s="1"/>
  <c r="O78" i="15"/>
  <c r="L40" i="48" s="1"/>
  <c r="O76" i="15"/>
  <c r="L38" i="48" s="1"/>
  <c r="EH14" i="46"/>
  <c r="ED14" i="46"/>
  <c r="DZ14" i="46"/>
  <c r="DV14" i="46"/>
  <c r="DN14" i="46"/>
  <c r="DJ14" i="46"/>
  <c r="DF14" i="46"/>
  <c r="HN76" i="47"/>
  <c r="HF76" i="47"/>
  <c r="HB76" i="47"/>
  <c r="GT76" i="47"/>
  <c r="GP76" i="47"/>
  <c r="GL76" i="47"/>
  <c r="IZ43" i="35" l="1"/>
  <c r="O87" i="16" s="1"/>
  <c r="L135" i="48" s="1"/>
  <c r="IR43" i="35"/>
  <c r="O89" i="16" s="1"/>
  <c r="IN43" i="35"/>
  <c r="O64" i="16" s="1"/>
  <c r="L128" i="48" s="1"/>
  <c r="IF43" i="35"/>
  <c r="O68" i="16" s="1"/>
  <c r="L130" i="48" s="1"/>
  <c r="IB43" i="35"/>
  <c r="O80" i="16" s="1"/>
  <c r="L134" i="48" s="1"/>
  <c r="HX43" i="35"/>
  <c r="O79" i="16" s="1"/>
  <c r="L133" i="48" s="1"/>
  <c r="DB14" i="46"/>
  <c r="FY76" i="47"/>
  <c r="HC43" i="35"/>
  <c r="AD14" i="16"/>
  <c r="AD13" i="16"/>
  <c r="AD12" i="16"/>
  <c r="AD11" i="16"/>
  <c r="AD10" i="16"/>
  <c r="AD9" i="16"/>
  <c r="O90" i="16" l="1"/>
  <c r="L137" i="48"/>
  <c r="O73" i="16"/>
  <c r="L132" i="48" s="1"/>
  <c r="EA9" i="46"/>
  <c r="EA10" i="46"/>
  <c r="EA11" i="46"/>
  <c r="EA8" i="46"/>
  <c r="HG9" i="47"/>
  <c r="HG10" i="47"/>
  <c r="HG11" i="47"/>
  <c r="HG12" i="47"/>
  <c r="HG13" i="47"/>
  <c r="HG14" i="47"/>
  <c r="HG15" i="47"/>
  <c r="HG16" i="47"/>
  <c r="HG17" i="47"/>
  <c r="HG18" i="47"/>
  <c r="HG19" i="47"/>
  <c r="HG20" i="47"/>
  <c r="HG21" i="47"/>
  <c r="HG22" i="47"/>
  <c r="HG23" i="47"/>
  <c r="HG24" i="47"/>
  <c r="HG25" i="47"/>
  <c r="HG26" i="47"/>
  <c r="HG27" i="47"/>
  <c r="HG28" i="47"/>
  <c r="HG29" i="47"/>
  <c r="HG30" i="47"/>
  <c r="HG31" i="47"/>
  <c r="HG32" i="47"/>
  <c r="HG33" i="47"/>
  <c r="HG34" i="47"/>
  <c r="HG35" i="47"/>
  <c r="HG36" i="47"/>
  <c r="HG37" i="47"/>
  <c r="HG38" i="47"/>
  <c r="HG39" i="47"/>
  <c r="HG40" i="47"/>
  <c r="HG41" i="47"/>
  <c r="HG42" i="47"/>
  <c r="HG43" i="47"/>
  <c r="HG44" i="47"/>
  <c r="HG45" i="47"/>
  <c r="HG46" i="47"/>
  <c r="HG47" i="47"/>
  <c r="HG48" i="47"/>
  <c r="HG49" i="47"/>
  <c r="HG50" i="47"/>
  <c r="HG51" i="47"/>
  <c r="HG52" i="47"/>
  <c r="HG53" i="47"/>
  <c r="HG54" i="47"/>
  <c r="HG55" i="47"/>
  <c r="HG56" i="47"/>
  <c r="HG57" i="47"/>
  <c r="HG58" i="47"/>
  <c r="HG59" i="47"/>
  <c r="HG60" i="47"/>
  <c r="HG61" i="47"/>
  <c r="HG62" i="47"/>
  <c r="HG63" i="47"/>
  <c r="HG64" i="47"/>
  <c r="HG65" i="47"/>
  <c r="HG66" i="47"/>
  <c r="HG67" i="47"/>
  <c r="HG68" i="47"/>
  <c r="HG69" i="47"/>
  <c r="HG70" i="47"/>
  <c r="HG71" i="47"/>
  <c r="HG72" i="47"/>
  <c r="HG73" i="47"/>
  <c r="HG8" i="47"/>
  <c r="IS9" i="35"/>
  <c r="IS10" i="35"/>
  <c r="IS11" i="35"/>
  <c r="IS12" i="35"/>
  <c r="IS13" i="35"/>
  <c r="IS14" i="35"/>
  <c r="IS15" i="35"/>
  <c r="IS16" i="35"/>
  <c r="IS17" i="35"/>
  <c r="IS18" i="35"/>
  <c r="IS19" i="35"/>
  <c r="IS20" i="35"/>
  <c r="IS21" i="35"/>
  <c r="IS22" i="35"/>
  <c r="IS23" i="35"/>
  <c r="IS24" i="35"/>
  <c r="IS25" i="35"/>
  <c r="IS26" i="35"/>
  <c r="IS27" i="35"/>
  <c r="IS28" i="35"/>
  <c r="IS29" i="35"/>
  <c r="IS30" i="35"/>
  <c r="IS31" i="35"/>
  <c r="IS32" i="35"/>
  <c r="IS33" i="35"/>
  <c r="IS34" i="35"/>
  <c r="IS35" i="35"/>
  <c r="IS36" i="35"/>
  <c r="IS37" i="35"/>
  <c r="IS38" i="35"/>
  <c r="IS39" i="35"/>
  <c r="IS40" i="35"/>
  <c r="IS8" i="35"/>
  <c r="EC39" i="35" l="1"/>
  <c r="EC27" i="35"/>
  <c r="EC22" i="35"/>
  <c r="EC17" i="35"/>
  <c r="EC10" i="35"/>
  <c r="BH10" i="53" s="1"/>
  <c r="EC11" i="35"/>
  <c r="BH11" i="53" s="1"/>
  <c r="EC12" i="35"/>
  <c r="BH12" i="53" s="1"/>
  <c r="EC13" i="35"/>
  <c r="BH13" i="53" s="1"/>
  <c r="EC14" i="35"/>
  <c r="BH14" i="53" s="1"/>
  <c r="EC15" i="35"/>
  <c r="BH15" i="53" s="1"/>
  <c r="EC16" i="35"/>
  <c r="BH16" i="53" s="1"/>
  <c r="EC18" i="35"/>
  <c r="BH18" i="53" s="1"/>
  <c r="EC19" i="35"/>
  <c r="BH19" i="53" s="1"/>
  <c r="EC20" i="35"/>
  <c r="BH20" i="53" s="1"/>
  <c r="EC21" i="35"/>
  <c r="BH21" i="53" s="1"/>
  <c r="EC23" i="35"/>
  <c r="BH23" i="53" s="1"/>
  <c r="EC24" i="35"/>
  <c r="BH24" i="53" s="1"/>
  <c r="EC25" i="35"/>
  <c r="BH25" i="53" s="1"/>
  <c r="EC26" i="35"/>
  <c r="BH26" i="53" s="1"/>
  <c r="EC28" i="35"/>
  <c r="BH28" i="53" s="1"/>
  <c r="EC29" i="35"/>
  <c r="BH29" i="53" s="1"/>
  <c r="EC30" i="35"/>
  <c r="BH30" i="53" s="1"/>
  <c r="EC31" i="35"/>
  <c r="BH31" i="53" s="1"/>
  <c r="EC32" i="35"/>
  <c r="BH32" i="53" s="1"/>
  <c r="EC33" i="35"/>
  <c r="BH33" i="53" s="1"/>
  <c r="EC34" i="35"/>
  <c r="BH34" i="53" s="1"/>
  <c r="EC35" i="35"/>
  <c r="BH35" i="53" s="1"/>
  <c r="EC36" i="35"/>
  <c r="BH36" i="53" s="1"/>
  <c r="EC37" i="35"/>
  <c r="BH37" i="53" s="1"/>
  <c r="EC38" i="35"/>
  <c r="BH38" i="53" s="1"/>
  <c r="EC40" i="35"/>
  <c r="BH40" i="53" s="1"/>
  <c r="EC9" i="35"/>
  <c r="BH9" i="53" s="1"/>
  <c r="EC8" i="35"/>
  <c r="IJ39" i="35"/>
  <c r="IJ40" i="35"/>
  <c r="BE82" i="53" s="1"/>
  <c r="IJ38" i="35"/>
  <c r="BE80" i="53" s="1"/>
  <c r="IJ37" i="35"/>
  <c r="BE79" i="53" s="1"/>
  <c r="IJ36" i="35"/>
  <c r="BE78" i="53" s="1"/>
  <c r="IJ35" i="35"/>
  <c r="BE77" i="53" s="1"/>
  <c r="IJ34" i="35"/>
  <c r="BE76" i="53" s="1"/>
  <c r="IJ33" i="35"/>
  <c r="BE75" i="53" s="1"/>
  <c r="IJ32" i="35"/>
  <c r="BE74" i="53" s="1"/>
  <c r="IJ31" i="35"/>
  <c r="BE73" i="53" s="1"/>
  <c r="IJ27" i="35"/>
  <c r="IJ30" i="35"/>
  <c r="BE72" i="53" s="1"/>
  <c r="IJ29" i="35"/>
  <c r="BE71" i="53" s="1"/>
  <c r="IJ28" i="35"/>
  <c r="BE70" i="53" s="1"/>
  <c r="IJ26" i="35"/>
  <c r="BE68" i="53" s="1"/>
  <c r="IJ25" i="35"/>
  <c r="BE67" i="53" s="1"/>
  <c r="IJ24" i="35"/>
  <c r="BE66" i="53" s="1"/>
  <c r="IJ23" i="35"/>
  <c r="BE65" i="53" s="1"/>
  <c r="IJ22" i="35"/>
  <c r="IJ21" i="35"/>
  <c r="BE63" i="53" s="1"/>
  <c r="IJ20" i="35"/>
  <c r="BE62" i="53" s="1"/>
  <c r="IJ19" i="35"/>
  <c r="BE61" i="53" s="1"/>
  <c r="IJ18" i="35"/>
  <c r="BE60" i="53" s="1"/>
  <c r="IJ17" i="35"/>
  <c r="IJ16" i="35"/>
  <c r="BE58" i="53" s="1"/>
  <c r="IJ15" i="35"/>
  <c r="BE57" i="53" s="1"/>
  <c r="IJ14" i="35"/>
  <c r="BE56" i="53" s="1"/>
  <c r="IJ13" i="35"/>
  <c r="BE55" i="53" s="1"/>
  <c r="IJ12" i="35"/>
  <c r="BE54" i="53" s="1"/>
  <c r="IJ11" i="35"/>
  <c r="BE53" i="53" s="1"/>
  <c r="IJ10" i="35"/>
  <c r="BE52" i="53" s="1"/>
  <c r="IJ9" i="35"/>
  <c r="BE51" i="53" s="1"/>
  <c r="IJ8" i="35"/>
  <c r="DI73" i="47"/>
  <c r="DI71" i="47"/>
  <c r="DI70" i="47"/>
  <c r="DI66" i="47"/>
  <c r="DI65" i="47"/>
  <c r="DI43" i="47"/>
  <c r="DI42" i="47"/>
  <c r="DI40" i="47"/>
  <c r="DI31" i="47"/>
  <c r="DI29" i="47"/>
  <c r="DI26" i="47"/>
  <c r="DI23" i="47"/>
  <c r="DI18" i="47"/>
  <c r="DI13" i="47"/>
  <c r="DI12" i="47"/>
  <c r="DI10" i="47"/>
  <c r="DI9" i="47"/>
  <c r="DI11" i="47"/>
  <c r="DI14" i="47"/>
  <c r="DI15" i="47"/>
  <c r="DI16" i="47"/>
  <c r="DI17" i="47"/>
  <c r="DI19" i="47"/>
  <c r="DI20" i="47"/>
  <c r="DI21" i="47"/>
  <c r="DI22" i="47"/>
  <c r="DI24" i="47"/>
  <c r="DI25" i="47"/>
  <c r="DI27" i="47"/>
  <c r="DI28" i="47"/>
  <c r="DI30" i="47"/>
  <c r="DI32" i="47"/>
  <c r="DI33" i="47"/>
  <c r="DI34" i="47"/>
  <c r="DI35" i="47"/>
  <c r="DI36" i="47"/>
  <c r="DI37" i="47"/>
  <c r="DI38" i="47"/>
  <c r="DI39" i="47"/>
  <c r="DI41" i="47"/>
  <c r="DI44" i="47"/>
  <c r="DI45" i="47"/>
  <c r="DI46" i="47"/>
  <c r="DI47" i="47"/>
  <c r="DI48" i="47"/>
  <c r="DI49" i="47"/>
  <c r="DI50" i="47"/>
  <c r="DI51" i="47"/>
  <c r="DI52" i="47"/>
  <c r="DI53" i="47"/>
  <c r="DI54" i="47"/>
  <c r="DI55" i="47"/>
  <c r="DI56" i="47"/>
  <c r="DI57" i="47"/>
  <c r="DI58" i="47"/>
  <c r="DI59" i="47"/>
  <c r="DI60" i="47"/>
  <c r="DI61" i="47"/>
  <c r="DI62" i="47"/>
  <c r="DI63" i="47"/>
  <c r="DI64" i="47"/>
  <c r="DI67" i="47"/>
  <c r="DI68" i="47"/>
  <c r="DI69" i="47"/>
  <c r="DI72" i="47"/>
  <c r="DI8" i="47"/>
  <c r="DI76" i="47" l="1"/>
  <c r="IJ43" i="35"/>
  <c r="BE50" i="53"/>
  <c r="EC43" i="35"/>
  <c r="BH8" i="53"/>
  <c r="GX73" i="47"/>
  <c r="GX72" i="47"/>
  <c r="GX71" i="47"/>
  <c r="GX70" i="47"/>
  <c r="GX69" i="47"/>
  <c r="GX68" i="47"/>
  <c r="GX67" i="47"/>
  <c r="GX66" i="47"/>
  <c r="GX65" i="47"/>
  <c r="GX64" i="47"/>
  <c r="GX63" i="47"/>
  <c r="GX62" i="47"/>
  <c r="GX61" i="47"/>
  <c r="GX60" i="47"/>
  <c r="GX59" i="47"/>
  <c r="GX58" i="47"/>
  <c r="GX57" i="47"/>
  <c r="GX56" i="47"/>
  <c r="GX55" i="47"/>
  <c r="GX54" i="47"/>
  <c r="GX53" i="47"/>
  <c r="GX52" i="47"/>
  <c r="GX51" i="47"/>
  <c r="GX50" i="47"/>
  <c r="GX49" i="47"/>
  <c r="GX48" i="47"/>
  <c r="GX47" i="47"/>
  <c r="GX46" i="47"/>
  <c r="GX45" i="47"/>
  <c r="GX44" i="47"/>
  <c r="GX43" i="47"/>
  <c r="GX42" i="47"/>
  <c r="GX41" i="47"/>
  <c r="GX40" i="47"/>
  <c r="GX39" i="47"/>
  <c r="GX38" i="47"/>
  <c r="GX37" i="47"/>
  <c r="GX36" i="47"/>
  <c r="GX35" i="47"/>
  <c r="GX34" i="47"/>
  <c r="GX33" i="47"/>
  <c r="GX32" i="47"/>
  <c r="GX31" i="47"/>
  <c r="GX30" i="47"/>
  <c r="GX29" i="47"/>
  <c r="GX28" i="47"/>
  <c r="GX27" i="47"/>
  <c r="GX26" i="47"/>
  <c r="GX25" i="47"/>
  <c r="GX24" i="47"/>
  <c r="GX23" i="47"/>
  <c r="GX22" i="47"/>
  <c r="GX21" i="47"/>
  <c r="GX20" i="47"/>
  <c r="GX19" i="47"/>
  <c r="GX18" i="47"/>
  <c r="GX17" i="47"/>
  <c r="GX16" i="47"/>
  <c r="GX15" i="47"/>
  <c r="GX14" i="47"/>
  <c r="GX13" i="47"/>
  <c r="GX12" i="47"/>
  <c r="GX11" i="47"/>
  <c r="GX10" i="47"/>
  <c r="GX9" i="47"/>
  <c r="GX8" i="47"/>
  <c r="DX9" i="47"/>
  <c r="DZ9" i="47" s="1"/>
  <c r="EA9" i="47" s="1"/>
  <c r="DX10" i="47"/>
  <c r="DZ10" i="47" s="1"/>
  <c r="EA10" i="47" s="1"/>
  <c r="DX11" i="47"/>
  <c r="DZ11" i="47" s="1"/>
  <c r="EA11" i="47" s="1"/>
  <c r="DX12" i="47"/>
  <c r="DZ12" i="47" s="1"/>
  <c r="EA12" i="47" s="1"/>
  <c r="DX13" i="47"/>
  <c r="DZ13" i="47" s="1"/>
  <c r="EA13" i="47" s="1"/>
  <c r="DX14" i="47"/>
  <c r="DZ14" i="47" s="1"/>
  <c r="EA14" i="47" s="1"/>
  <c r="DX15" i="47"/>
  <c r="DZ15" i="47" s="1"/>
  <c r="EA15" i="47" s="1"/>
  <c r="DX16" i="47"/>
  <c r="DZ16" i="47" s="1"/>
  <c r="EA16" i="47" s="1"/>
  <c r="DX17" i="47"/>
  <c r="DZ17" i="47" s="1"/>
  <c r="EA17" i="47" s="1"/>
  <c r="DX18" i="47"/>
  <c r="DZ18" i="47" s="1"/>
  <c r="EA18" i="47" s="1"/>
  <c r="DX19" i="47"/>
  <c r="DZ19" i="47" s="1"/>
  <c r="EA19" i="47" s="1"/>
  <c r="DX20" i="47"/>
  <c r="DZ20" i="47" s="1"/>
  <c r="EA20" i="47" s="1"/>
  <c r="DX21" i="47"/>
  <c r="DZ21" i="47" s="1"/>
  <c r="EA21" i="47" s="1"/>
  <c r="DX22" i="47"/>
  <c r="DZ22" i="47" s="1"/>
  <c r="EA22" i="47" s="1"/>
  <c r="DX23" i="47"/>
  <c r="DZ23" i="47" s="1"/>
  <c r="EA23" i="47" s="1"/>
  <c r="DX24" i="47"/>
  <c r="DZ24" i="47" s="1"/>
  <c r="EA24" i="47" s="1"/>
  <c r="DX25" i="47"/>
  <c r="DZ25" i="47" s="1"/>
  <c r="EA25" i="47" s="1"/>
  <c r="DX26" i="47"/>
  <c r="DZ26" i="47" s="1"/>
  <c r="EA26" i="47" s="1"/>
  <c r="DX27" i="47"/>
  <c r="DZ27" i="47" s="1"/>
  <c r="EA27" i="47" s="1"/>
  <c r="DX28" i="47"/>
  <c r="DZ28" i="47" s="1"/>
  <c r="EA28" i="47" s="1"/>
  <c r="DX29" i="47"/>
  <c r="DZ29" i="47" s="1"/>
  <c r="EA29" i="47" s="1"/>
  <c r="DX30" i="47"/>
  <c r="DZ30" i="47" s="1"/>
  <c r="EA30" i="47" s="1"/>
  <c r="DX31" i="47"/>
  <c r="DZ31" i="47" s="1"/>
  <c r="EA31" i="47" s="1"/>
  <c r="DX32" i="47"/>
  <c r="DZ32" i="47" s="1"/>
  <c r="EA32" i="47" s="1"/>
  <c r="DX33" i="47"/>
  <c r="DZ33" i="47" s="1"/>
  <c r="EA33" i="47" s="1"/>
  <c r="DX34" i="47"/>
  <c r="DZ34" i="47" s="1"/>
  <c r="EA34" i="47" s="1"/>
  <c r="DX35" i="47"/>
  <c r="DZ35" i="47" s="1"/>
  <c r="EA35" i="47" s="1"/>
  <c r="DX36" i="47"/>
  <c r="DZ36" i="47" s="1"/>
  <c r="EA36" i="47" s="1"/>
  <c r="DX37" i="47"/>
  <c r="DZ37" i="47" s="1"/>
  <c r="EA37" i="47" s="1"/>
  <c r="DX38" i="47"/>
  <c r="DZ38" i="47" s="1"/>
  <c r="EA38" i="47" s="1"/>
  <c r="DX39" i="47"/>
  <c r="DZ39" i="47" s="1"/>
  <c r="EA39" i="47" s="1"/>
  <c r="DX40" i="47"/>
  <c r="DZ40" i="47" s="1"/>
  <c r="EA40" i="47" s="1"/>
  <c r="DX41" i="47"/>
  <c r="DZ41" i="47" s="1"/>
  <c r="EA41" i="47" s="1"/>
  <c r="DX42" i="47"/>
  <c r="DZ42" i="47" s="1"/>
  <c r="EA42" i="47" s="1"/>
  <c r="DX43" i="47"/>
  <c r="DZ43" i="47" s="1"/>
  <c r="EA43" i="47" s="1"/>
  <c r="DX44" i="47"/>
  <c r="DZ44" i="47" s="1"/>
  <c r="EA44" i="47" s="1"/>
  <c r="DX45" i="47"/>
  <c r="DZ45" i="47" s="1"/>
  <c r="EA45" i="47" s="1"/>
  <c r="DX46" i="47"/>
  <c r="DZ46" i="47" s="1"/>
  <c r="EA46" i="47" s="1"/>
  <c r="DX47" i="47"/>
  <c r="DZ47" i="47" s="1"/>
  <c r="EA47" i="47" s="1"/>
  <c r="DX48" i="47"/>
  <c r="DZ48" i="47" s="1"/>
  <c r="EA48" i="47" s="1"/>
  <c r="DX49" i="47"/>
  <c r="DZ49" i="47" s="1"/>
  <c r="EA49" i="47" s="1"/>
  <c r="DX50" i="47"/>
  <c r="DZ50" i="47" s="1"/>
  <c r="EA50" i="47" s="1"/>
  <c r="DX51" i="47"/>
  <c r="DZ51" i="47" s="1"/>
  <c r="EA51" i="47" s="1"/>
  <c r="DX52" i="47"/>
  <c r="DZ52" i="47" s="1"/>
  <c r="EA52" i="47" s="1"/>
  <c r="DX53" i="47"/>
  <c r="DZ53" i="47" s="1"/>
  <c r="EA53" i="47" s="1"/>
  <c r="DX54" i="47"/>
  <c r="DZ54" i="47" s="1"/>
  <c r="EA54" i="47" s="1"/>
  <c r="DX55" i="47"/>
  <c r="DZ55" i="47" s="1"/>
  <c r="EA55" i="47" s="1"/>
  <c r="DX56" i="47"/>
  <c r="DZ56" i="47" s="1"/>
  <c r="EA56" i="47" s="1"/>
  <c r="DX57" i="47"/>
  <c r="DZ57" i="47" s="1"/>
  <c r="EA57" i="47" s="1"/>
  <c r="DX58" i="47"/>
  <c r="DZ58" i="47" s="1"/>
  <c r="EA58" i="47" s="1"/>
  <c r="DX59" i="47"/>
  <c r="DZ59" i="47" s="1"/>
  <c r="EA59" i="47" s="1"/>
  <c r="DX60" i="47"/>
  <c r="DZ60" i="47" s="1"/>
  <c r="EA60" i="47" s="1"/>
  <c r="DX61" i="47"/>
  <c r="DZ61" i="47" s="1"/>
  <c r="EA61" i="47" s="1"/>
  <c r="DX62" i="47"/>
  <c r="DZ62" i="47" s="1"/>
  <c r="EA62" i="47" s="1"/>
  <c r="DX63" i="47"/>
  <c r="DZ63" i="47" s="1"/>
  <c r="EA63" i="47" s="1"/>
  <c r="DX64" i="47"/>
  <c r="DZ64" i="47" s="1"/>
  <c r="EA64" i="47" s="1"/>
  <c r="DX65" i="47"/>
  <c r="DZ65" i="47" s="1"/>
  <c r="EA65" i="47" s="1"/>
  <c r="DX66" i="47"/>
  <c r="DZ66" i="47" s="1"/>
  <c r="EA66" i="47" s="1"/>
  <c r="DX67" i="47"/>
  <c r="DZ67" i="47" s="1"/>
  <c r="EA67" i="47" s="1"/>
  <c r="DX68" i="47"/>
  <c r="DZ68" i="47" s="1"/>
  <c r="EA68" i="47" s="1"/>
  <c r="DX69" i="47"/>
  <c r="DZ69" i="47" s="1"/>
  <c r="EA69" i="47" s="1"/>
  <c r="DX70" i="47"/>
  <c r="DZ70" i="47" s="1"/>
  <c r="EA70" i="47" s="1"/>
  <c r="DX71" i="47"/>
  <c r="DZ71" i="47" s="1"/>
  <c r="EA71" i="47" s="1"/>
  <c r="DX72" i="47"/>
  <c r="DZ72" i="47" s="1"/>
  <c r="EA72" i="47" s="1"/>
  <c r="DX73" i="47"/>
  <c r="DZ73" i="47" s="1"/>
  <c r="EA73" i="47" s="1"/>
  <c r="DX8" i="47"/>
  <c r="HQ9" i="47"/>
  <c r="HQ10" i="47"/>
  <c r="HQ11" i="47"/>
  <c r="HQ12" i="47"/>
  <c r="HQ13" i="47"/>
  <c r="HQ14" i="47"/>
  <c r="HQ15" i="47"/>
  <c r="HQ16" i="47"/>
  <c r="HQ17" i="47"/>
  <c r="HQ18" i="47"/>
  <c r="HQ19" i="47"/>
  <c r="HQ20" i="47"/>
  <c r="HQ21" i="47"/>
  <c r="HQ22" i="47"/>
  <c r="HQ23" i="47"/>
  <c r="HQ24" i="47"/>
  <c r="HQ25" i="47"/>
  <c r="HQ26" i="47"/>
  <c r="HQ27" i="47"/>
  <c r="HQ28" i="47"/>
  <c r="HQ29" i="47"/>
  <c r="HQ30" i="47"/>
  <c r="HQ31" i="47"/>
  <c r="HQ32" i="47"/>
  <c r="HQ33" i="47"/>
  <c r="HQ34" i="47"/>
  <c r="HQ35" i="47"/>
  <c r="HQ36" i="47"/>
  <c r="HQ37" i="47"/>
  <c r="HQ38" i="47"/>
  <c r="HQ39" i="47"/>
  <c r="HQ40" i="47"/>
  <c r="HQ41" i="47"/>
  <c r="HQ42" i="47"/>
  <c r="HQ43" i="47"/>
  <c r="HQ44" i="47"/>
  <c r="HQ45" i="47"/>
  <c r="HQ46" i="47"/>
  <c r="HQ47" i="47"/>
  <c r="HQ48" i="47"/>
  <c r="HQ49" i="47"/>
  <c r="HQ50" i="47"/>
  <c r="HQ51" i="47"/>
  <c r="HQ52" i="47"/>
  <c r="HQ53" i="47"/>
  <c r="HQ54" i="47"/>
  <c r="HQ55" i="47"/>
  <c r="HQ56" i="47"/>
  <c r="HQ57" i="47"/>
  <c r="HQ58" i="47"/>
  <c r="HQ59" i="47"/>
  <c r="HQ60" i="47"/>
  <c r="HQ61" i="47"/>
  <c r="HQ62" i="47"/>
  <c r="HQ63" i="47"/>
  <c r="HQ64" i="47"/>
  <c r="HQ65" i="47"/>
  <c r="HQ66" i="47"/>
  <c r="HQ67" i="47"/>
  <c r="HQ68" i="47"/>
  <c r="HQ69" i="47"/>
  <c r="HQ70" i="47"/>
  <c r="HQ71" i="47"/>
  <c r="HQ72" i="47"/>
  <c r="HQ73" i="47"/>
  <c r="HQ8" i="47"/>
  <c r="HO41" i="47"/>
  <c r="HP41" i="47" s="1"/>
  <c r="HO42" i="47"/>
  <c r="HP42" i="47" s="1"/>
  <c r="HO43" i="47"/>
  <c r="HP43" i="47" s="1"/>
  <c r="HO44" i="47"/>
  <c r="HP44" i="47" s="1"/>
  <c r="HO45" i="47"/>
  <c r="HP45" i="47" s="1"/>
  <c r="HO46" i="47"/>
  <c r="HP46" i="47" s="1"/>
  <c r="HO47" i="47"/>
  <c r="HP47" i="47" s="1"/>
  <c r="HO48" i="47"/>
  <c r="HP48" i="47" s="1"/>
  <c r="HO49" i="47"/>
  <c r="HP49" i="47" s="1"/>
  <c r="HO50" i="47"/>
  <c r="HP50" i="47" s="1"/>
  <c r="HO51" i="47"/>
  <c r="HP51" i="47" s="1"/>
  <c r="HO52" i="47"/>
  <c r="HP52" i="47" s="1"/>
  <c r="HO53" i="47"/>
  <c r="HP53" i="47" s="1"/>
  <c r="HO54" i="47"/>
  <c r="HP54" i="47" s="1"/>
  <c r="HO55" i="47"/>
  <c r="HP55" i="47" s="1"/>
  <c r="HO56" i="47"/>
  <c r="HP56" i="47" s="1"/>
  <c r="HO57" i="47"/>
  <c r="HP57" i="47" s="1"/>
  <c r="HO58" i="47"/>
  <c r="HP58" i="47" s="1"/>
  <c r="HO59" i="47"/>
  <c r="HP59" i="47" s="1"/>
  <c r="HO60" i="47"/>
  <c r="HP60" i="47" s="1"/>
  <c r="HO61" i="47"/>
  <c r="HP61" i="47" s="1"/>
  <c r="HO62" i="47"/>
  <c r="HP62" i="47" s="1"/>
  <c r="HO63" i="47"/>
  <c r="HP63" i="47" s="1"/>
  <c r="HO64" i="47"/>
  <c r="HP64" i="47" s="1"/>
  <c r="HO65" i="47"/>
  <c r="HP65" i="47" s="1"/>
  <c r="HO66" i="47"/>
  <c r="HP66" i="47" s="1"/>
  <c r="HO67" i="47"/>
  <c r="HP67" i="47" s="1"/>
  <c r="HO68" i="47"/>
  <c r="HP68" i="47" s="1"/>
  <c r="HO69" i="47"/>
  <c r="HP69" i="47" s="1"/>
  <c r="HO70" i="47"/>
  <c r="HP70" i="47" s="1"/>
  <c r="HO71" i="47"/>
  <c r="HP71" i="47" s="1"/>
  <c r="HO72" i="47"/>
  <c r="HP72" i="47" s="1"/>
  <c r="HO73" i="47"/>
  <c r="HP73" i="47" s="1"/>
  <c r="HK41" i="47"/>
  <c r="HL41" i="47" s="1"/>
  <c r="HK42" i="47"/>
  <c r="HL42" i="47" s="1"/>
  <c r="HK43" i="47"/>
  <c r="HL43" i="47" s="1"/>
  <c r="HJ44" i="47"/>
  <c r="HK44" i="47"/>
  <c r="HJ45" i="47"/>
  <c r="HK45" i="47"/>
  <c r="HJ46" i="47"/>
  <c r="HK46" i="47"/>
  <c r="HJ47" i="47"/>
  <c r="HK47" i="47"/>
  <c r="HJ48" i="47"/>
  <c r="HK48" i="47"/>
  <c r="HJ49" i="47"/>
  <c r="HK49" i="47"/>
  <c r="HJ50" i="47"/>
  <c r="HK50" i="47"/>
  <c r="HJ51" i="47"/>
  <c r="HK51" i="47"/>
  <c r="HJ52" i="47"/>
  <c r="HK52" i="47"/>
  <c r="HJ53" i="47"/>
  <c r="HK53" i="47"/>
  <c r="HJ54" i="47"/>
  <c r="HK54" i="47"/>
  <c r="HJ55" i="47"/>
  <c r="HK55" i="47"/>
  <c r="HJ56" i="47"/>
  <c r="HK56" i="47"/>
  <c r="HJ57" i="47"/>
  <c r="HK57" i="47"/>
  <c r="HJ58" i="47"/>
  <c r="HK58" i="47"/>
  <c r="HJ59" i="47"/>
  <c r="HK59" i="47"/>
  <c r="HJ60" i="47"/>
  <c r="HK60" i="47"/>
  <c r="HJ61" i="47"/>
  <c r="HK61" i="47"/>
  <c r="HJ62" i="47"/>
  <c r="HK62" i="47"/>
  <c r="HJ63" i="47"/>
  <c r="HK63" i="47"/>
  <c r="HJ64" i="47"/>
  <c r="HK64" i="47"/>
  <c r="HJ65" i="47"/>
  <c r="HK65" i="47"/>
  <c r="HJ66" i="47"/>
  <c r="HK66" i="47"/>
  <c r="HJ67" i="47"/>
  <c r="HK67" i="47"/>
  <c r="HJ68" i="47"/>
  <c r="HK68" i="47"/>
  <c r="HJ69" i="47"/>
  <c r="HK69" i="47"/>
  <c r="HJ70" i="47"/>
  <c r="HK70" i="47"/>
  <c r="HJ71" i="47"/>
  <c r="HK71" i="47"/>
  <c r="HJ72" i="47"/>
  <c r="HK72" i="47"/>
  <c r="HJ73" i="47"/>
  <c r="HK73" i="47"/>
  <c r="HH41" i="47"/>
  <c r="HH42" i="47"/>
  <c r="HH43" i="47"/>
  <c r="HH44" i="47"/>
  <c r="HH45" i="47"/>
  <c r="HH46" i="47"/>
  <c r="HH47" i="47"/>
  <c r="HH48" i="47"/>
  <c r="HH49" i="47"/>
  <c r="HH50" i="47"/>
  <c r="HH51" i="47"/>
  <c r="HH52" i="47"/>
  <c r="HH53" i="47"/>
  <c r="HH54" i="47"/>
  <c r="HH55" i="47"/>
  <c r="HH56" i="47"/>
  <c r="HH57" i="47"/>
  <c r="HH58" i="47"/>
  <c r="HH59" i="47"/>
  <c r="HH60" i="47"/>
  <c r="HH61" i="47"/>
  <c r="HH62" i="47"/>
  <c r="HH63" i="47"/>
  <c r="HH64" i="47"/>
  <c r="HH65" i="47"/>
  <c r="HH66" i="47"/>
  <c r="HH67" i="47"/>
  <c r="HH68" i="47"/>
  <c r="HH69" i="47"/>
  <c r="HH70" i="47"/>
  <c r="HH71" i="47"/>
  <c r="HH72" i="47"/>
  <c r="HH73" i="47"/>
  <c r="HC41" i="47"/>
  <c r="HD41" i="47" s="1"/>
  <c r="HC42" i="47"/>
  <c r="HD42" i="47" s="1"/>
  <c r="HC43" i="47"/>
  <c r="HD43" i="47" s="1"/>
  <c r="HC44" i="47"/>
  <c r="HD44" i="47" s="1"/>
  <c r="HC45" i="47"/>
  <c r="HD45" i="47" s="1"/>
  <c r="HC46" i="47"/>
  <c r="HD46" i="47" s="1"/>
  <c r="HC47" i="47"/>
  <c r="HD47" i="47" s="1"/>
  <c r="HC48" i="47"/>
  <c r="HD48" i="47" s="1"/>
  <c r="HC49" i="47"/>
  <c r="HD49" i="47" s="1"/>
  <c r="HC50" i="47"/>
  <c r="HD50" i="47" s="1"/>
  <c r="HC51" i="47"/>
  <c r="HD51" i="47" s="1"/>
  <c r="HC52" i="47"/>
  <c r="HD52" i="47" s="1"/>
  <c r="HC53" i="47"/>
  <c r="HD53" i="47" s="1"/>
  <c r="HC54" i="47"/>
  <c r="HD54" i="47" s="1"/>
  <c r="HC55" i="47"/>
  <c r="HD55" i="47" s="1"/>
  <c r="HC56" i="47"/>
  <c r="HD56" i="47" s="1"/>
  <c r="HC57" i="47"/>
  <c r="HD57" i="47" s="1"/>
  <c r="HC58" i="47"/>
  <c r="HD58" i="47" s="1"/>
  <c r="HC59" i="47"/>
  <c r="HD59" i="47" s="1"/>
  <c r="HC60" i="47"/>
  <c r="HD60" i="47" s="1"/>
  <c r="HC61" i="47"/>
  <c r="HD61" i="47" s="1"/>
  <c r="HC62" i="47"/>
  <c r="HD62" i="47" s="1"/>
  <c r="HC63" i="47"/>
  <c r="HD63" i="47" s="1"/>
  <c r="HC64" i="47"/>
  <c r="HD64" i="47" s="1"/>
  <c r="HC65" i="47"/>
  <c r="HD65" i="47" s="1"/>
  <c r="HC66" i="47"/>
  <c r="HD66" i="47" s="1"/>
  <c r="HC67" i="47"/>
  <c r="HD67" i="47" s="1"/>
  <c r="HC68" i="47"/>
  <c r="HD68" i="47" s="1"/>
  <c r="HC69" i="47"/>
  <c r="HD69" i="47" s="1"/>
  <c r="HC70" i="47"/>
  <c r="HD70" i="47" s="1"/>
  <c r="HC71" i="47"/>
  <c r="HD71" i="47" s="1"/>
  <c r="HC72" i="47"/>
  <c r="HD72" i="47" s="1"/>
  <c r="HC73" i="47"/>
  <c r="HD73" i="47" s="1"/>
  <c r="GY41" i="47"/>
  <c r="GY42" i="47"/>
  <c r="GY43" i="47"/>
  <c r="GY44" i="47"/>
  <c r="GY45" i="47"/>
  <c r="GY46" i="47"/>
  <c r="GY47" i="47"/>
  <c r="GY48" i="47"/>
  <c r="GY49" i="47"/>
  <c r="GY50" i="47"/>
  <c r="GY51" i="47"/>
  <c r="GY52" i="47"/>
  <c r="GY53" i="47"/>
  <c r="GY54" i="47"/>
  <c r="GY55" i="47"/>
  <c r="GY56" i="47"/>
  <c r="GY57" i="47"/>
  <c r="GY58" i="47"/>
  <c r="GY59" i="47"/>
  <c r="GY60" i="47"/>
  <c r="GY61" i="47"/>
  <c r="GY62" i="47"/>
  <c r="GY63" i="47"/>
  <c r="GY64" i="47"/>
  <c r="GY65" i="47"/>
  <c r="GZ65" i="47" s="1"/>
  <c r="GY66" i="47"/>
  <c r="GY67" i="47"/>
  <c r="GY68" i="47"/>
  <c r="GY69" i="47"/>
  <c r="GY70" i="47"/>
  <c r="GY71" i="47"/>
  <c r="GZ71" i="47" s="1"/>
  <c r="GY72" i="47"/>
  <c r="GY73" i="47"/>
  <c r="GZ73" i="47" s="1"/>
  <c r="GU41" i="47"/>
  <c r="GV41" i="47" s="1"/>
  <c r="GU42" i="47"/>
  <c r="GV42" i="47" s="1"/>
  <c r="GU43" i="47"/>
  <c r="GV43" i="47" s="1"/>
  <c r="GU44" i="47"/>
  <c r="GV44" i="47" s="1"/>
  <c r="GU45" i="47"/>
  <c r="GV45" i="47" s="1"/>
  <c r="GU46" i="47"/>
  <c r="GV46" i="47" s="1"/>
  <c r="GU47" i="47"/>
  <c r="GV47" i="47" s="1"/>
  <c r="GU48" i="47"/>
  <c r="GV48" i="47" s="1"/>
  <c r="GU49" i="47"/>
  <c r="GV49" i="47" s="1"/>
  <c r="GU50" i="47"/>
  <c r="GV50" i="47" s="1"/>
  <c r="GU51" i="47"/>
  <c r="GV51" i="47" s="1"/>
  <c r="GU52" i="47"/>
  <c r="GV52" i="47" s="1"/>
  <c r="GU53" i="47"/>
  <c r="GV53" i="47" s="1"/>
  <c r="GU54" i="47"/>
  <c r="GV54" i="47" s="1"/>
  <c r="GU55" i="47"/>
  <c r="GV55" i="47" s="1"/>
  <c r="GU56" i="47"/>
  <c r="GV56" i="47" s="1"/>
  <c r="GU57" i="47"/>
  <c r="GV57" i="47" s="1"/>
  <c r="GU58" i="47"/>
  <c r="GV58" i="47" s="1"/>
  <c r="GU59" i="47"/>
  <c r="GV59" i="47" s="1"/>
  <c r="GU60" i="47"/>
  <c r="GV60" i="47" s="1"/>
  <c r="GU61" i="47"/>
  <c r="GV61" i="47" s="1"/>
  <c r="GU62" i="47"/>
  <c r="GV62" i="47" s="1"/>
  <c r="GU63" i="47"/>
  <c r="GV63" i="47" s="1"/>
  <c r="GU64" i="47"/>
  <c r="GV64" i="47" s="1"/>
  <c r="GU65" i="47"/>
  <c r="GV65" i="47" s="1"/>
  <c r="GU66" i="47"/>
  <c r="GV66" i="47" s="1"/>
  <c r="GU67" i="47"/>
  <c r="GV67" i="47" s="1"/>
  <c r="GU68" i="47"/>
  <c r="GV68" i="47" s="1"/>
  <c r="GU69" i="47"/>
  <c r="GV69" i="47" s="1"/>
  <c r="GU70" i="47"/>
  <c r="GV70" i="47" s="1"/>
  <c r="GU71" i="47"/>
  <c r="GV71" i="47" s="1"/>
  <c r="GU72" i="47"/>
  <c r="GV72" i="47" s="1"/>
  <c r="GU73" i="47"/>
  <c r="GV73" i="47" s="1"/>
  <c r="GQ41" i="47"/>
  <c r="GR41" i="47" s="1"/>
  <c r="GQ42" i="47"/>
  <c r="GR42" i="47" s="1"/>
  <c r="GQ43" i="47"/>
  <c r="GR43" i="47" s="1"/>
  <c r="GQ44" i="47"/>
  <c r="GR44" i="47" s="1"/>
  <c r="GQ45" i="47"/>
  <c r="GR45" i="47" s="1"/>
  <c r="GQ46" i="47"/>
  <c r="GR46" i="47" s="1"/>
  <c r="GQ47" i="47"/>
  <c r="GR47" i="47" s="1"/>
  <c r="GQ48" i="47"/>
  <c r="GR48" i="47" s="1"/>
  <c r="GQ49" i="47"/>
  <c r="GR49" i="47" s="1"/>
  <c r="GQ50" i="47"/>
  <c r="GR50" i="47" s="1"/>
  <c r="GQ51" i="47"/>
  <c r="GR51" i="47" s="1"/>
  <c r="GQ52" i="47"/>
  <c r="GR52" i="47" s="1"/>
  <c r="GQ53" i="47"/>
  <c r="GR53" i="47" s="1"/>
  <c r="GQ54" i="47"/>
  <c r="GR54" i="47" s="1"/>
  <c r="GQ55" i="47"/>
  <c r="GR55" i="47" s="1"/>
  <c r="GQ56" i="47"/>
  <c r="GR56" i="47" s="1"/>
  <c r="GQ57" i="47"/>
  <c r="GR57" i="47" s="1"/>
  <c r="GQ58" i="47"/>
  <c r="GR58" i="47" s="1"/>
  <c r="GQ59" i="47"/>
  <c r="GR59" i="47" s="1"/>
  <c r="GQ60" i="47"/>
  <c r="GR60" i="47" s="1"/>
  <c r="GQ61" i="47"/>
  <c r="GR61" i="47" s="1"/>
  <c r="GQ62" i="47"/>
  <c r="GR62" i="47" s="1"/>
  <c r="GQ63" i="47"/>
  <c r="GR63" i="47" s="1"/>
  <c r="GQ64" i="47"/>
  <c r="GR64" i="47" s="1"/>
  <c r="GQ65" i="47"/>
  <c r="GR65" i="47" s="1"/>
  <c r="GQ66" i="47"/>
  <c r="GR66" i="47" s="1"/>
  <c r="GQ67" i="47"/>
  <c r="GR67" i="47" s="1"/>
  <c r="GQ68" i="47"/>
  <c r="GR68" i="47" s="1"/>
  <c r="GQ69" i="47"/>
  <c r="GR69" i="47" s="1"/>
  <c r="GQ70" i="47"/>
  <c r="GR70" i="47" s="1"/>
  <c r="GQ71" i="47"/>
  <c r="GR71" i="47" s="1"/>
  <c r="GQ72" i="47"/>
  <c r="GR72" i="47" s="1"/>
  <c r="GQ73" i="47"/>
  <c r="GR73" i="47" s="1"/>
  <c r="GM41" i="47"/>
  <c r="GN41" i="47" s="1"/>
  <c r="GK42" i="47"/>
  <c r="GK43" i="47" s="1"/>
  <c r="FZ41" i="47"/>
  <c r="GA41" i="47" s="1"/>
  <c r="FZ42" i="47"/>
  <c r="GA42" i="47" s="1"/>
  <c r="FZ43" i="47"/>
  <c r="GA43" i="47" s="1"/>
  <c r="FZ44" i="47"/>
  <c r="GA44" i="47" s="1"/>
  <c r="FZ45" i="47"/>
  <c r="GA45" i="47" s="1"/>
  <c r="FZ46" i="47"/>
  <c r="GA46" i="47" s="1"/>
  <c r="FZ47" i="47"/>
  <c r="GA47" i="47" s="1"/>
  <c r="FZ48" i="47"/>
  <c r="GA48" i="47" s="1"/>
  <c r="FZ49" i="47"/>
  <c r="GA49" i="47" s="1"/>
  <c r="FZ50" i="47"/>
  <c r="GA50" i="47" s="1"/>
  <c r="FZ51" i="47"/>
  <c r="GA51" i="47" s="1"/>
  <c r="FZ52" i="47"/>
  <c r="GA52" i="47" s="1"/>
  <c r="FZ53" i="47"/>
  <c r="GA53" i="47" s="1"/>
  <c r="FZ54" i="47"/>
  <c r="GA54" i="47" s="1"/>
  <c r="FZ55" i="47"/>
  <c r="GA55" i="47" s="1"/>
  <c r="FZ56" i="47"/>
  <c r="GA56" i="47" s="1"/>
  <c r="FZ57" i="47"/>
  <c r="GA57" i="47" s="1"/>
  <c r="FZ58" i="47"/>
  <c r="GA58" i="47" s="1"/>
  <c r="FZ59" i="47"/>
  <c r="GA59" i="47" s="1"/>
  <c r="FZ60" i="47"/>
  <c r="GA60" i="47" s="1"/>
  <c r="FZ61" i="47"/>
  <c r="GA61" i="47" s="1"/>
  <c r="FZ62" i="47"/>
  <c r="GA62" i="47" s="1"/>
  <c r="FZ63" i="47"/>
  <c r="GA63" i="47" s="1"/>
  <c r="FZ64" i="47"/>
  <c r="GA64" i="47" s="1"/>
  <c r="FZ65" i="47"/>
  <c r="GA65" i="47" s="1"/>
  <c r="FZ66" i="47"/>
  <c r="GA66" i="47" s="1"/>
  <c r="FZ67" i="47"/>
  <c r="GA67" i="47" s="1"/>
  <c r="FZ68" i="47"/>
  <c r="GA68" i="47" s="1"/>
  <c r="FZ69" i="47"/>
  <c r="GA69" i="47" s="1"/>
  <c r="FZ70" i="47"/>
  <c r="GA70" i="47" s="1"/>
  <c r="FZ71" i="47"/>
  <c r="GA71" i="47" s="1"/>
  <c r="FZ72" i="47"/>
  <c r="GA72" i="47" s="1"/>
  <c r="FZ73" i="47"/>
  <c r="GA73" i="47" s="1"/>
  <c r="FU41" i="47"/>
  <c r="FU44" i="47"/>
  <c r="FU45" i="47"/>
  <c r="FU46" i="47"/>
  <c r="FU47" i="47"/>
  <c r="FU48" i="47"/>
  <c r="FU49" i="47"/>
  <c r="FU50" i="47"/>
  <c r="FU51" i="47"/>
  <c r="FU52" i="47"/>
  <c r="FU53" i="47"/>
  <c r="FU54" i="47"/>
  <c r="FU55" i="47"/>
  <c r="FU56" i="47"/>
  <c r="FU57" i="47"/>
  <c r="FU58" i="47"/>
  <c r="FU59" i="47"/>
  <c r="FU60" i="47"/>
  <c r="FU61" i="47"/>
  <c r="FU62" i="47"/>
  <c r="FU63" i="47"/>
  <c r="FU64" i="47"/>
  <c r="FU67" i="47"/>
  <c r="FU68" i="47"/>
  <c r="FU69" i="47"/>
  <c r="FU72" i="47"/>
  <c r="FR41" i="47"/>
  <c r="FR42" i="47"/>
  <c r="FR43" i="47"/>
  <c r="FR44" i="47"/>
  <c r="FR45" i="47"/>
  <c r="FR46" i="47"/>
  <c r="FR47" i="47"/>
  <c r="FR48" i="47"/>
  <c r="FR49" i="47"/>
  <c r="FR50" i="47"/>
  <c r="FR51" i="47"/>
  <c r="FR52" i="47"/>
  <c r="FR53" i="47"/>
  <c r="FR54" i="47"/>
  <c r="FR55" i="47"/>
  <c r="FR56" i="47"/>
  <c r="FR57" i="47"/>
  <c r="FR58" i="47"/>
  <c r="FR59" i="47"/>
  <c r="FR60" i="47"/>
  <c r="FR61" i="47"/>
  <c r="FR62" i="47"/>
  <c r="FR63" i="47"/>
  <c r="FR64" i="47"/>
  <c r="FR65" i="47"/>
  <c r="FR66" i="47"/>
  <c r="FR67" i="47"/>
  <c r="FR68" i="47"/>
  <c r="FR69" i="47"/>
  <c r="FR70" i="47"/>
  <c r="FR71" i="47"/>
  <c r="FR72" i="47"/>
  <c r="FR73" i="47"/>
  <c r="FK41" i="47"/>
  <c r="FK42" i="47"/>
  <c r="FK43" i="47"/>
  <c r="FK44" i="47"/>
  <c r="FK45" i="47"/>
  <c r="FK46" i="47"/>
  <c r="FK47" i="47"/>
  <c r="FK48" i="47"/>
  <c r="FK49" i="47"/>
  <c r="FK50" i="47"/>
  <c r="FK51" i="47"/>
  <c r="FK52" i="47"/>
  <c r="FK53" i="47"/>
  <c r="FK54" i="47"/>
  <c r="FK55" i="47"/>
  <c r="FK56" i="47"/>
  <c r="FK57" i="47"/>
  <c r="FK58" i="47"/>
  <c r="FK59" i="47"/>
  <c r="FK60" i="47"/>
  <c r="FK61" i="47"/>
  <c r="FK62" i="47"/>
  <c r="FK63" i="47"/>
  <c r="FK64" i="47"/>
  <c r="FK65" i="47"/>
  <c r="FK66" i="47"/>
  <c r="FK67" i="47"/>
  <c r="FK68" i="47"/>
  <c r="FK69" i="47"/>
  <c r="FK70" i="47"/>
  <c r="FK71" i="47"/>
  <c r="FK72" i="47"/>
  <c r="FK73" i="47"/>
  <c r="FC41" i="47"/>
  <c r="FD41" i="47" s="1"/>
  <c r="FC42" i="47"/>
  <c r="FD42" i="47" s="1"/>
  <c r="FC43" i="47"/>
  <c r="FD43" i="47" s="1"/>
  <c r="FC44" i="47"/>
  <c r="FD44" i="47" s="1"/>
  <c r="FC45" i="47"/>
  <c r="FD45" i="47" s="1"/>
  <c r="FC46" i="47"/>
  <c r="FD46" i="47" s="1"/>
  <c r="FC47" i="47"/>
  <c r="FD47" i="47" s="1"/>
  <c r="FC48" i="47"/>
  <c r="FD48" i="47" s="1"/>
  <c r="FC49" i="47"/>
  <c r="FD49" i="47" s="1"/>
  <c r="FC50" i="47"/>
  <c r="FD50" i="47" s="1"/>
  <c r="FC51" i="47"/>
  <c r="FD51" i="47" s="1"/>
  <c r="FC52" i="47"/>
  <c r="FD52" i="47" s="1"/>
  <c r="FC53" i="47"/>
  <c r="FD53" i="47" s="1"/>
  <c r="FC54" i="47"/>
  <c r="FD54" i="47" s="1"/>
  <c r="FC55" i="47"/>
  <c r="FD55" i="47" s="1"/>
  <c r="FC56" i="47"/>
  <c r="FD56" i="47" s="1"/>
  <c r="FC57" i="47"/>
  <c r="FD57" i="47" s="1"/>
  <c r="FC58" i="47"/>
  <c r="FD58" i="47" s="1"/>
  <c r="FC59" i="47"/>
  <c r="FD59" i="47" s="1"/>
  <c r="FC60" i="47"/>
  <c r="FD60" i="47" s="1"/>
  <c r="FC61" i="47"/>
  <c r="FD61" i="47" s="1"/>
  <c r="FC62" i="47"/>
  <c r="FD62" i="47" s="1"/>
  <c r="FC63" i="47"/>
  <c r="FD63" i="47" s="1"/>
  <c r="FC64" i="47"/>
  <c r="FD64" i="47" s="1"/>
  <c r="FC65" i="47"/>
  <c r="FD65" i="47" s="1"/>
  <c r="FC66" i="47"/>
  <c r="FD66" i="47" s="1"/>
  <c r="FC67" i="47"/>
  <c r="FD67" i="47" s="1"/>
  <c r="FC68" i="47"/>
  <c r="FD68" i="47" s="1"/>
  <c r="FC69" i="47"/>
  <c r="FD69" i="47" s="1"/>
  <c r="FC70" i="47"/>
  <c r="FD70" i="47" s="1"/>
  <c r="FC71" i="47"/>
  <c r="FD71" i="47" s="1"/>
  <c r="FC72" i="47"/>
  <c r="FD72" i="47" s="1"/>
  <c r="FC73" i="47"/>
  <c r="FD73" i="47" s="1"/>
  <c r="EZ41" i="47"/>
  <c r="EZ42" i="47"/>
  <c r="EZ43" i="47"/>
  <c r="EZ44" i="47"/>
  <c r="EZ45" i="47"/>
  <c r="EZ46" i="47"/>
  <c r="EZ47" i="47"/>
  <c r="EZ48" i="47"/>
  <c r="EZ49" i="47"/>
  <c r="EZ50" i="47"/>
  <c r="EZ51" i="47"/>
  <c r="EZ52" i="47"/>
  <c r="EZ53" i="47"/>
  <c r="EZ54" i="47"/>
  <c r="EZ55" i="47"/>
  <c r="EZ56" i="47"/>
  <c r="EZ57" i="47"/>
  <c r="EZ58" i="47"/>
  <c r="EZ59" i="47"/>
  <c r="EZ60" i="47"/>
  <c r="EZ61" i="47"/>
  <c r="EZ62" i="47"/>
  <c r="EZ63" i="47"/>
  <c r="EZ64" i="47"/>
  <c r="EZ65" i="47"/>
  <c r="EZ66" i="47"/>
  <c r="EZ67" i="47"/>
  <c r="EZ68" i="47"/>
  <c r="EZ69" i="47"/>
  <c r="EZ70" i="47"/>
  <c r="EZ71" i="47"/>
  <c r="EZ72" i="47"/>
  <c r="EZ73" i="47"/>
  <c r="EO41" i="47"/>
  <c r="EO42" i="47"/>
  <c r="EO43" i="47"/>
  <c r="EO44" i="47"/>
  <c r="EO45" i="47"/>
  <c r="EO46" i="47"/>
  <c r="EO47" i="47"/>
  <c r="EO48" i="47"/>
  <c r="EO49" i="47"/>
  <c r="EO50" i="47"/>
  <c r="EO51" i="47"/>
  <c r="EO52" i="47"/>
  <c r="EO53" i="47"/>
  <c r="EO54" i="47"/>
  <c r="EO55" i="47"/>
  <c r="EO56" i="47"/>
  <c r="EO57" i="47"/>
  <c r="EO58" i="47"/>
  <c r="EO59" i="47"/>
  <c r="EO60" i="47"/>
  <c r="EO61" i="47"/>
  <c r="EO62" i="47"/>
  <c r="EO63" i="47"/>
  <c r="EO64" i="47"/>
  <c r="EO65" i="47"/>
  <c r="EO66" i="47"/>
  <c r="EO67" i="47"/>
  <c r="EO68" i="47"/>
  <c r="EO69" i="47"/>
  <c r="EO70" i="47"/>
  <c r="EO71" i="47"/>
  <c r="EO72" i="47"/>
  <c r="EO73" i="47"/>
  <c r="DJ41" i="47"/>
  <c r="DK41" i="47" s="1"/>
  <c r="DJ42" i="47"/>
  <c r="DK42" i="47" s="1"/>
  <c r="DJ43" i="47"/>
  <c r="DK43" i="47" s="1"/>
  <c r="DJ44" i="47"/>
  <c r="DK44" i="47" s="1"/>
  <c r="DJ45" i="47"/>
  <c r="DK45" i="47" s="1"/>
  <c r="DJ46" i="47"/>
  <c r="DK46" i="47" s="1"/>
  <c r="DJ47" i="47"/>
  <c r="DK47" i="47" s="1"/>
  <c r="DJ48" i="47"/>
  <c r="DK48" i="47" s="1"/>
  <c r="DJ49" i="47"/>
  <c r="DK49" i="47" s="1"/>
  <c r="DJ50" i="47"/>
  <c r="DK50" i="47" s="1"/>
  <c r="DJ51" i="47"/>
  <c r="DK51" i="47" s="1"/>
  <c r="DJ52" i="47"/>
  <c r="DK52" i="47" s="1"/>
  <c r="DJ53" i="47"/>
  <c r="DK53" i="47" s="1"/>
  <c r="DJ54" i="47"/>
  <c r="DK54" i="47" s="1"/>
  <c r="DJ55" i="47"/>
  <c r="DK55" i="47" s="1"/>
  <c r="DJ56" i="47"/>
  <c r="DK56" i="47" s="1"/>
  <c r="DJ57" i="47"/>
  <c r="DK57" i="47" s="1"/>
  <c r="DJ58" i="47"/>
  <c r="DK58" i="47" s="1"/>
  <c r="DJ59" i="47"/>
  <c r="DK59" i="47" s="1"/>
  <c r="DJ60" i="47"/>
  <c r="DK60" i="47" s="1"/>
  <c r="DJ61" i="47"/>
  <c r="DK61" i="47" s="1"/>
  <c r="DJ62" i="47"/>
  <c r="DK62" i="47" s="1"/>
  <c r="DJ63" i="47"/>
  <c r="DK63" i="47" s="1"/>
  <c r="DJ64" i="47"/>
  <c r="DK64" i="47" s="1"/>
  <c r="DJ65" i="47"/>
  <c r="DK65" i="47" s="1"/>
  <c r="DJ66" i="47"/>
  <c r="DK66" i="47" s="1"/>
  <c r="DJ67" i="47"/>
  <c r="DK67" i="47" s="1"/>
  <c r="DJ68" i="47"/>
  <c r="DK68" i="47" s="1"/>
  <c r="DJ69" i="47"/>
  <c r="DK69" i="47" s="1"/>
  <c r="DJ70" i="47"/>
  <c r="DK70" i="47" s="1"/>
  <c r="DJ71" i="47"/>
  <c r="DK71" i="47" s="1"/>
  <c r="DJ72" i="47"/>
  <c r="DK72" i="47" s="1"/>
  <c r="DJ73" i="47"/>
  <c r="DK73" i="47" s="1"/>
  <c r="DF41" i="47"/>
  <c r="DG41" i="47" s="1"/>
  <c r="DF42" i="47"/>
  <c r="DG42" i="47" s="1"/>
  <c r="DF43" i="47"/>
  <c r="DG43" i="47" s="1"/>
  <c r="DF44" i="47"/>
  <c r="DG44" i="47" s="1"/>
  <c r="DF45" i="47"/>
  <c r="DG45" i="47" s="1"/>
  <c r="DF46" i="47"/>
  <c r="DG46" i="47" s="1"/>
  <c r="DF47" i="47"/>
  <c r="DG47" i="47" s="1"/>
  <c r="DF48" i="47"/>
  <c r="DG48" i="47" s="1"/>
  <c r="DF49" i="47"/>
  <c r="DG49" i="47" s="1"/>
  <c r="DF50" i="47"/>
  <c r="DG50" i="47" s="1"/>
  <c r="DF51" i="47"/>
  <c r="DG51" i="47" s="1"/>
  <c r="DF52" i="47"/>
  <c r="DG52" i="47" s="1"/>
  <c r="DF53" i="47"/>
  <c r="DG53" i="47" s="1"/>
  <c r="DF54" i="47"/>
  <c r="DG54" i="47" s="1"/>
  <c r="DF55" i="47"/>
  <c r="DG55" i="47" s="1"/>
  <c r="DF56" i="47"/>
  <c r="DG56" i="47" s="1"/>
  <c r="DF57" i="47"/>
  <c r="DG57" i="47" s="1"/>
  <c r="DF58" i="47"/>
  <c r="DG58" i="47" s="1"/>
  <c r="DF59" i="47"/>
  <c r="DG59" i="47" s="1"/>
  <c r="DF60" i="47"/>
  <c r="DG60" i="47" s="1"/>
  <c r="DF61" i="47"/>
  <c r="DG61" i="47" s="1"/>
  <c r="DF62" i="47"/>
  <c r="DG62" i="47" s="1"/>
  <c r="DF63" i="47"/>
  <c r="DG63" i="47" s="1"/>
  <c r="DF64" i="47"/>
  <c r="DG64" i="47" s="1"/>
  <c r="DF65" i="47"/>
  <c r="DG65" i="47" s="1"/>
  <c r="DF66" i="47"/>
  <c r="DG66" i="47" s="1"/>
  <c r="DF67" i="47"/>
  <c r="DG67" i="47" s="1"/>
  <c r="DF68" i="47"/>
  <c r="DG68" i="47" s="1"/>
  <c r="DF69" i="47"/>
  <c r="DG69" i="47" s="1"/>
  <c r="DF70" i="47"/>
  <c r="DG70" i="47" s="1"/>
  <c r="DF71" i="47"/>
  <c r="DG71" i="47" s="1"/>
  <c r="DF72" i="47"/>
  <c r="DG72" i="47" s="1"/>
  <c r="DF73" i="47"/>
  <c r="DG73" i="47" s="1"/>
  <c r="DB41" i="47"/>
  <c r="DC41" i="47" s="1"/>
  <c r="DB42" i="47"/>
  <c r="DC42" i="47" s="1"/>
  <c r="DB43" i="47"/>
  <c r="DC43" i="47" s="1"/>
  <c r="DB44" i="47"/>
  <c r="DC44" i="47" s="1"/>
  <c r="DB45" i="47"/>
  <c r="DC45" i="47" s="1"/>
  <c r="DB46" i="47"/>
  <c r="DC46" i="47" s="1"/>
  <c r="DB47" i="47"/>
  <c r="DC47" i="47" s="1"/>
  <c r="DB48" i="47"/>
  <c r="DC48" i="47" s="1"/>
  <c r="DB49" i="47"/>
  <c r="DC49" i="47" s="1"/>
  <c r="DB50" i="47"/>
  <c r="DC50" i="47" s="1"/>
  <c r="DB51" i="47"/>
  <c r="DC51" i="47" s="1"/>
  <c r="DB52" i="47"/>
  <c r="DC52" i="47" s="1"/>
  <c r="DB53" i="47"/>
  <c r="DC53" i="47" s="1"/>
  <c r="DB54" i="47"/>
  <c r="DC54" i="47" s="1"/>
  <c r="DB55" i="47"/>
  <c r="DC55" i="47" s="1"/>
  <c r="DB56" i="47"/>
  <c r="DC56" i="47" s="1"/>
  <c r="DB57" i="47"/>
  <c r="DC57" i="47" s="1"/>
  <c r="DB58" i="47"/>
  <c r="DC58" i="47" s="1"/>
  <c r="DB59" i="47"/>
  <c r="DC59" i="47" s="1"/>
  <c r="DB60" i="47"/>
  <c r="DC60" i="47" s="1"/>
  <c r="DB61" i="47"/>
  <c r="DC61" i="47" s="1"/>
  <c r="DB62" i="47"/>
  <c r="DC62" i="47" s="1"/>
  <c r="DB63" i="47"/>
  <c r="DC63" i="47" s="1"/>
  <c r="DB64" i="47"/>
  <c r="DC64" i="47" s="1"/>
  <c r="DB65" i="47"/>
  <c r="DC65" i="47" s="1"/>
  <c r="DB66" i="47"/>
  <c r="DC66" i="47" s="1"/>
  <c r="DB67" i="47"/>
  <c r="DC67" i="47" s="1"/>
  <c r="DB68" i="47"/>
  <c r="DC68" i="47" s="1"/>
  <c r="DB69" i="47"/>
  <c r="DC69" i="47" s="1"/>
  <c r="DB70" i="47"/>
  <c r="DC70" i="47" s="1"/>
  <c r="DB71" i="47"/>
  <c r="DC71" i="47" s="1"/>
  <c r="DB72" i="47"/>
  <c r="DC72" i="47" s="1"/>
  <c r="DB73" i="47"/>
  <c r="DC73" i="47" s="1"/>
  <c r="CW41" i="47"/>
  <c r="CW42" i="47"/>
  <c r="CW43" i="47"/>
  <c r="CW44" i="47"/>
  <c r="CW45" i="47"/>
  <c r="CW46" i="47"/>
  <c r="CW47" i="47"/>
  <c r="CW48" i="47"/>
  <c r="CW49" i="47"/>
  <c r="CW50" i="47"/>
  <c r="CW51" i="47"/>
  <c r="CW52" i="47"/>
  <c r="CW53" i="47"/>
  <c r="CW54" i="47"/>
  <c r="CW55" i="47"/>
  <c r="CW56" i="47"/>
  <c r="CW57" i="47"/>
  <c r="CW58" i="47"/>
  <c r="CW59" i="47"/>
  <c r="CW60" i="47"/>
  <c r="CW61" i="47"/>
  <c r="CW62" i="47"/>
  <c r="CW63" i="47"/>
  <c r="CW64" i="47"/>
  <c r="CW65" i="47"/>
  <c r="CW66" i="47"/>
  <c r="CW67" i="47"/>
  <c r="CW68" i="47"/>
  <c r="CW69" i="47"/>
  <c r="CW70" i="47"/>
  <c r="CW71" i="47"/>
  <c r="CW72" i="47"/>
  <c r="CW73" i="47"/>
  <c r="CI41" i="47"/>
  <c r="CI42" i="47"/>
  <c r="CI43" i="47"/>
  <c r="CI44" i="47"/>
  <c r="CI45" i="47"/>
  <c r="CI46" i="47"/>
  <c r="CI47" i="47"/>
  <c r="CI48" i="47"/>
  <c r="CI49" i="47"/>
  <c r="CI50" i="47"/>
  <c r="CI51" i="47"/>
  <c r="CI52" i="47"/>
  <c r="CI53" i="47"/>
  <c r="CI54" i="47"/>
  <c r="CI55" i="47"/>
  <c r="CI56" i="47"/>
  <c r="CI57" i="47"/>
  <c r="CI58" i="47"/>
  <c r="CI59" i="47"/>
  <c r="CI60" i="47"/>
  <c r="CI61" i="47"/>
  <c r="CI62" i="47"/>
  <c r="CI63" i="47"/>
  <c r="CI64" i="47"/>
  <c r="CI65" i="47"/>
  <c r="CI66" i="47"/>
  <c r="CI67" i="47"/>
  <c r="CI68" i="47"/>
  <c r="CI69" i="47"/>
  <c r="CI70" i="47"/>
  <c r="CI71" i="47"/>
  <c r="CI72" i="47"/>
  <c r="CI73" i="47"/>
  <c r="BH41" i="47"/>
  <c r="BI41" i="47" s="1"/>
  <c r="BH42" i="47"/>
  <c r="BI42" i="47" s="1"/>
  <c r="BH43" i="47"/>
  <c r="BI43" i="47" s="1"/>
  <c r="BH44" i="47"/>
  <c r="BI44" i="47" s="1"/>
  <c r="BH45" i="47"/>
  <c r="BI45" i="47" s="1"/>
  <c r="BH46" i="47"/>
  <c r="BI46" i="47" s="1"/>
  <c r="BH47" i="47"/>
  <c r="BI47" i="47" s="1"/>
  <c r="BH48" i="47"/>
  <c r="BI48" i="47" s="1"/>
  <c r="BH49" i="47"/>
  <c r="BI49" i="47" s="1"/>
  <c r="BH50" i="47"/>
  <c r="BI50" i="47" s="1"/>
  <c r="BH51" i="47"/>
  <c r="BI51" i="47" s="1"/>
  <c r="BH52" i="47"/>
  <c r="BI52" i="47" s="1"/>
  <c r="BH53" i="47"/>
  <c r="BI53" i="47" s="1"/>
  <c r="BH54" i="47"/>
  <c r="BI54" i="47" s="1"/>
  <c r="BH55" i="47"/>
  <c r="BI55" i="47" s="1"/>
  <c r="BH56" i="47"/>
  <c r="BI56" i="47" s="1"/>
  <c r="BH57" i="47"/>
  <c r="BI57" i="47" s="1"/>
  <c r="BH58" i="47"/>
  <c r="BI58" i="47" s="1"/>
  <c r="BH59" i="47"/>
  <c r="BI59" i="47" s="1"/>
  <c r="BH60" i="47"/>
  <c r="BI60" i="47" s="1"/>
  <c r="BH61" i="47"/>
  <c r="BI61" i="47" s="1"/>
  <c r="BH62" i="47"/>
  <c r="BI62" i="47" s="1"/>
  <c r="BH63" i="47"/>
  <c r="BI63" i="47" s="1"/>
  <c r="BH64" i="47"/>
  <c r="BI64" i="47" s="1"/>
  <c r="BH65" i="47"/>
  <c r="BI65" i="47" s="1"/>
  <c r="BH66" i="47"/>
  <c r="BI66" i="47" s="1"/>
  <c r="BH67" i="47"/>
  <c r="BI67" i="47" s="1"/>
  <c r="BH68" i="47"/>
  <c r="BI68" i="47" s="1"/>
  <c r="BH69" i="47"/>
  <c r="BI69" i="47" s="1"/>
  <c r="BH70" i="47"/>
  <c r="BI70" i="47" s="1"/>
  <c r="BH71" i="47"/>
  <c r="BI71" i="47" s="1"/>
  <c r="BH72" i="47"/>
  <c r="BI72" i="47" s="1"/>
  <c r="BH73" i="47"/>
  <c r="BI73" i="47" s="1"/>
  <c r="CV73" i="47"/>
  <c r="CX73" i="47" s="1"/>
  <c r="EN73" i="47"/>
  <c r="EP73" i="47" s="1"/>
  <c r="EQ73" i="47" s="1"/>
  <c r="CV72" i="47"/>
  <c r="CX72" i="47" s="1"/>
  <c r="EN72" i="47"/>
  <c r="EP72" i="47" s="1"/>
  <c r="CV71" i="47"/>
  <c r="CX71" i="47" s="1"/>
  <c r="EN71" i="47"/>
  <c r="EP71" i="47" s="1"/>
  <c r="CV70" i="47"/>
  <c r="CX70" i="47" s="1"/>
  <c r="EN70" i="47"/>
  <c r="EP70" i="47" s="1"/>
  <c r="CV69" i="47"/>
  <c r="CX69" i="47" s="1"/>
  <c r="EN69" i="47"/>
  <c r="EP69" i="47" s="1"/>
  <c r="EQ69" i="47" s="1"/>
  <c r="CV68" i="47"/>
  <c r="CX68" i="47" s="1"/>
  <c r="EN68" i="47"/>
  <c r="EP68" i="47" s="1"/>
  <c r="CV67" i="47"/>
  <c r="CX67" i="47" s="1"/>
  <c r="EN67" i="47"/>
  <c r="EP67" i="47" s="1"/>
  <c r="CV66" i="47"/>
  <c r="CX66" i="47" s="1"/>
  <c r="EN66" i="47"/>
  <c r="EP66" i="47" s="1"/>
  <c r="CV65" i="47"/>
  <c r="CX65" i="47" s="1"/>
  <c r="EN65" i="47"/>
  <c r="EP65" i="47" s="1"/>
  <c r="EQ65" i="47" s="1"/>
  <c r="CV64" i="47"/>
  <c r="CX64" i="47" s="1"/>
  <c r="EN64" i="47"/>
  <c r="EP64" i="47" s="1"/>
  <c r="CV63" i="47"/>
  <c r="CX63" i="47" s="1"/>
  <c r="EN63" i="47"/>
  <c r="EP63" i="47" s="1"/>
  <c r="CV62" i="47"/>
  <c r="CX62" i="47" s="1"/>
  <c r="EN62" i="47"/>
  <c r="EP62" i="47" s="1"/>
  <c r="CV61" i="47"/>
  <c r="CX61" i="47" s="1"/>
  <c r="EN61" i="47"/>
  <c r="EP61" i="47" s="1"/>
  <c r="EQ61" i="47" s="1"/>
  <c r="CV60" i="47"/>
  <c r="CX60" i="47" s="1"/>
  <c r="EN60" i="47"/>
  <c r="EP60" i="47" s="1"/>
  <c r="CV59" i="47"/>
  <c r="CX59" i="47" s="1"/>
  <c r="EN59" i="47"/>
  <c r="EP59" i="47" s="1"/>
  <c r="CV58" i="47"/>
  <c r="CX58" i="47" s="1"/>
  <c r="EN58" i="47"/>
  <c r="EP58" i="47" s="1"/>
  <c r="CV57" i="47"/>
  <c r="CX57" i="47" s="1"/>
  <c r="EN57" i="47"/>
  <c r="EP57" i="47" s="1"/>
  <c r="CV56" i="47"/>
  <c r="CX56" i="47" s="1"/>
  <c r="EN56" i="47"/>
  <c r="EP56" i="47" s="1"/>
  <c r="CV55" i="47"/>
  <c r="CX55" i="47" s="1"/>
  <c r="EN55" i="47"/>
  <c r="EP55" i="47" s="1"/>
  <c r="CV54" i="47"/>
  <c r="CX54" i="47" s="1"/>
  <c r="EN54" i="47"/>
  <c r="EP54" i="47" s="1"/>
  <c r="CV53" i="47"/>
  <c r="CX53" i="47" s="1"/>
  <c r="EN53" i="47"/>
  <c r="EP53" i="47" s="1"/>
  <c r="EQ53" i="47" s="1"/>
  <c r="CV52" i="47"/>
  <c r="CX52" i="47" s="1"/>
  <c r="EN52" i="47"/>
  <c r="EP52" i="47" s="1"/>
  <c r="CV51" i="47"/>
  <c r="CX51" i="47" s="1"/>
  <c r="EN51" i="47"/>
  <c r="EP51" i="47" s="1"/>
  <c r="CV50" i="47"/>
  <c r="CX50" i="47" s="1"/>
  <c r="EN50" i="47"/>
  <c r="EP50" i="47" s="1"/>
  <c r="CV49" i="47"/>
  <c r="CX49" i="47" s="1"/>
  <c r="EN49" i="47"/>
  <c r="EP49" i="47" s="1"/>
  <c r="CV48" i="47"/>
  <c r="CX48" i="47" s="1"/>
  <c r="EN48" i="47"/>
  <c r="EP48" i="47" s="1"/>
  <c r="CV47" i="47"/>
  <c r="CX47" i="47" s="1"/>
  <c r="EN47" i="47"/>
  <c r="EP47" i="47" s="1"/>
  <c r="CV46" i="47"/>
  <c r="CX46" i="47" s="1"/>
  <c r="EN46" i="47"/>
  <c r="EP46" i="47" s="1"/>
  <c r="CV45" i="47"/>
  <c r="CX45" i="47" s="1"/>
  <c r="EN45" i="47"/>
  <c r="EP45" i="47" s="1"/>
  <c r="EQ45" i="47" s="1"/>
  <c r="CV44" i="47"/>
  <c r="CX44" i="47" s="1"/>
  <c r="EN44" i="47"/>
  <c r="EP44" i="47" s="1"/>
  <c r="CV43" i="47"/>
  <c r="CX43" i="47" s="1"/>
  <c r="EN43" i="47"/>
  <c r="EP43" i="47" s="1"/>
  <c r="CV42" i="47"/>
  <c r="CX42" i="47" s="1"/>
  <c r="EN42" i="47"/>
  <c r="EP42" i="47" s="1"/>
  <c r="CV41" i="47"/>
  <c r="CX41" i="47" s="1"/>
  <c r="EN41" i="47"/>
  <c r="EP41" i="47" s="1"/>
  <c r="CR73" i="47"/>
  <c r="CT73" i="47" s="1"/>
  <c r="CU73" i="47" s="1"/>
  <c r="DT73" i="47"/>
  <c r="DV73" i="47" s="1"/>
  <c r="DW73" i="47" s="1"/>
  <c r="EJ73" i="47"/>
  <c r="EL73" i="47" s="1"/>
  <c r="EM73" i="47" s="1"/>
  <c r="EV73" i="47"/>
  <c r="EX73" i="47" s="1"/>
  <c r="EY73" i="47" s="1"/>
  <c r="CR72" i="47"/>
  <c r="CT72" i="47" s="1"/>
  <c r="CU72" i="47" s="1"/>
  <c r="DT72" i="47"/>
  <c r="DV72" i="47" s="1"/>
  <c r="DW72" i="47" s="1"/>
  <c r="EJ72" i="47"/>
  <c r="EL72" i="47" s="1"/>
  <c r="EM72" i="47" s="1"/>
  <c r="EV72" i="47"/>
  <c r="EX72" i="47" s="1"/>
  <c r="EY72" i="47" s="1"/>
  <c r="CR71" i="47"/>
  <c r="CT71" i="47" s="1"/>
  <c r="CU71" i="47" s="1"/>
  <c r="DT71" i="47"/>
  <c r="DV71" i="47" s="1"/>
  <c r="DW71" i="47" s="1"/>
  <c r="EJ71" i="47"/>
  <c r="EL71" i="47" s="1"/>
  <c r="EM71" i="47" s="1"/>
  <c r="EV71" i="47"/>
  <c r="EX71" i="47" s="1"/>
  <c r="EY71" i="47" s="1"/>
  <c r="CR70" i="47"/>
  <c r="CT70" i="47" s="1"/>
  <c r="CU70" i="47" s="1"/>
  <c r="DT70" i="47"/>
  <c r="DV70" i="47" s="1"/>
  <c r="DW70" i="47" s="1"/>
  <c r="EJ70" i="47"/>
  <c r="EL70" i="47" s="1"/>
  <c r="EM70" i="47" s="1"/>
  <c r="EV70" i="47"/>
  <c r="EX70" i="47" s="1"/>
  <c r="EY70" i="47" s="1"/>
  <c r="CR69" i="47"/>
  <c r="CT69" i="47" s="1"/>
  <c r="CU69" i="47" s="1"/>
  <c r="DT69" i="47"/>
  <c r="DV69" i="47" s="1"/>
  <c r="DW69" i="47" s="1"/>
  <c r="EJ69" i="47"/>
  <c r="EL69" i="47" s="1"/>
  <c r="EM69" i="47" s="1"/>
  <c r="EV69" i="47"/>
  <c r="EX69" i="47" s="1"/>
  <c r="EY69" i="47" s="1"/>
  <c r="CR68" i="47"/>
  <c r="CT68" i="47" s="1"/>
  <c r="CU68" i="47" s="1"/>
  <c r="DT68" i="47"/>
  <c r="DV68" i="47" s="1"/>
  <c r="DW68" i="47" s="1"/>
  <c r="EJ68" i="47"/>
  <c r="EL68" i="47" s="1"/>
  <c r="EM68" i="47" s="1"/>
  <c r="EV68" i="47"/>
  <c r="EX68" i="47" s="1"/>
  <c r="EY68" i="47" s="1"/>
  <c r="CR67" i="47"/>
  <c r="CT67" i="47" s="1"/>
  <c r="CU67" i="47" s="1"/>
  <c r="DT67" i="47"/>
  <c r="DV67" i="47" s="1"/>
  <c r="DW67" i="47" s="1"/>
  <c r="EJ67" i="47"/>
  <c r="EL67" i="47" s="1"/>
  <c r="EM67" i="47" s="1"/>
  <c r="EV67" i="47"/>
  <c r="EX67" i="47" s="1"/>
  <c r="EY67" i="47" s="1"/>
  <c r="CR66" i="47"/>
  <c r="CT66" i="47" s="1"/>
  <c r="CU66" i="47" s="1"/>
  <c r="DT66" i="47"/>
  <c r="DV66" i="47" s="1"/>
  <c r="DW66" i="47" s="1"/>
  <c r="EJ66" i="47"/>
  <c r="EL66" i="47" s="1"/>
  <c r="EM66" i="47" s="1"/>
  <c r="EV66" i="47"/>
  <c r="EX66" i="47" s="1"/>
  <c r="EY66" i="47" s="1"/>
  <c r="CR65" i="47"/>
  <c r="CT65" i="47" s="1"/>
  <c r="CU65" i="47" s="1"/>
  <c r="DT65" i="47"/>
  <c r="DV65" i="47" s="1"/>
  <c r="DW65" i="47" s="1"/>
  <c r="EJ65" i="47"/>
  <c r="EL65" i="47" s="1"/>
  <c r="EM65" i="47" s="1"/>
  <c r="EV65" i="47"/>
  <c r="EX65" i="47" s="1"/>
  <c r="EY65" i="47" s="1"/>
  <c r="CR64" i="47"/>
  <c r="CT64" i="47" s="1"/>
  <c r="CU64" i="47" s="1"/>
  <c r="DT64" i="47"/>
  <c r="DV64" i="47" s="1"/>
  <c r="DW64" i="47" s="1"/>
  <c r="EJ64" i="47"/>
  <c r="EL64" i="47" s="1"/>
  <c r="EM64" i="47" s="1"/>
  <c r="EV64" i="47"/>
  <c r="EX64" i="47" s="1"/>
  <c r="EY64" i="47" s="1"/>
  <c r="CR63" i="47"/>
  <c r="CT63" i="47" s="1"/>
  <c r="CU63" i="47" s="1"/>
  <c r="DT63" i="47"/>
  <c r="DV63" i="47" s="1"/>
  <c r="DW63" i="47" s="1"/>
  <c r="EJ63" i="47"/>
  <c r="EL63" i="47" s="1"/>
  <c r="EM63" i="47" s="1"/>
  <c r="EV63" i="47"/>
  <c r="EX63" i="47" s="1"/>
  <c r="EY63" i="47" s="1"/>
  <c r="CR62" i="47"/>
  <c r="CT62" i="47" s="1"/>
  <c r="CU62" i="47" s="1"/>
  <c r="DT62" i="47"/>
  <c r="DV62" i="47" s="1"/>
  <c r="DW62" i="47" s="1"/>
  <c r="EJ62" i="47"/>
  <c r="EL62" i="47" s="1"/>
  <c r="EM62" i="47" s="1"/>
  <c r="EV62" i="47"/>
  <c r="EX62" i="47" s="1"/>
  <c r="EY62" i="47" s="1"/>
  <c r="CR61" i="47"/>
  <c r="CT61" i="47" s="1"/>
  <c r="CU61" i="47" s="1"/>
  <c r="DT61" i="47"/>
  <c r="DV61" i="47" s="1"/>
  <c r="DW61" i="47" s="1"/>
  <c r="EJ61" i="47"/>
  <c r="EL61" i="47" s="1"/>
  <c r="EM61" i="47" s="1"/>
  <c r="EV61" i="47"/>
  <c r="EX61" i="47" s="1"/>
  <c r="EY61" i="47" s="1"/>
  <c r="CR60" i="47"/>
  <c r="CT60" i="47" s="1"/>
  <c r="CU60" i="47" s="1"/>
  <c r="DT60" i="47"/>
  <c r="DV60" i="47" s="1"/>
  <c r="DW60" i="47" s="1"/>
  <c r="EJ60" i="47"/>
  <c r="EL60" i="47" s="1"/>
  <c r="EM60" i="47" s="1"/>
  <c r="EV60" i="47"/>
  <c r="EX60" i="47" s="1"/>
  <c r="EY60" i="47" s="1"/>
  <c r="CR59" i="47"/>
  <c r="CT59" i="47" s="1"/>
  <c r="CU59" i="47" s="1"/>
  <c r="DT59" i="47"/>
  <c r="DV59" i="47" s="1"/>
  <c r="DW59" i="47" s="1"/>
  <c r="EJ59" i="47"/>
  <c r="EL59" i="47" s="1"/>
  <c r="EM59" i="47" s="1"/>
  <c r="EV59" i="47"/>
  <c r="EX59" i="47" s="1"/>
  <c r="EY59" i="47" s="1"/>
  <c r="CR58" i="47"/>
  <c r="CT58" i="47" s="1"/>
  <c r="CU58" i="47" s="1"/>
  <c r="DT58" i="47"/>
  <c r="DV58" i="47" s="1"/>
  <c r="DW58" i="47" s="1"/>
  <c r="EJ58" i="47"/>
  <c r="EL58" i="47" s="1"/>
  <c r="EM58" i="47" s="1"/>
  <c r="EV58" i="47"/>
  <c r="EX58" i="47" s="1"/>
  <c r="EY58" i="47" s="1"/>
  <c r="CR57" i="47"/>
  <c r="CT57" i="47" s="1"/>
  <c r="CU57" i="47" s="1"/>
  <c r="DT57" i="47"/>
  <c r="DV57" i="47" s="1"/>
  <c r="DW57" i="47" s="1"/>
  <c r="EJ57" i="47"/>
  <c r="EL57" i="47" s="1"/>
  <c r="EM57" i="47" s="1"/>
  <c r="EV57" i="47"/>
  <c r="EX57" i="47" s="1"/>
  <c r="EY57" i="47" s="1"/>
  <c r="CR56" i="47"/>
  <c r="CT56" i="47" s="1"/>
  <c r="CU56" i="47" s="1"/>
  <c r="DT56" i="47"/>
  <c r="DV56" i="47" s="1"/>
  <c r="DW56" i="47" s="1"/>
  <c r="EJ56" i="47"/>
  <c r="EL56" i="47" s="1"/>
  <c r="EM56" i="47" s="1"/>
  <c r="EV56" i="47"/>
  <c r="EX56" i="47" s="1"/>
  <c r="EY56" i="47" s="1"/>
  <c r="CR55" i="47"/>
  <c r="CT55" i="47" s="1"/>
  <c r="CU55" i="47" s="1"/>
  <c r="DT55" i="47"/>
  <c r="DV55" i="47" s="1"/>
  <c r="DW55" i="47" s="1"/>
  <c r="EJ55" i="47"/>
  <c r="EL55" i="47" s="1"/>
  <c r="EM55" i="47" s="1"/>
  <c r="EV55" i="47"/>
  <c r="EX55" i="47" s="1"/>
  <c r="EY55" i="47" s="1"/>
  <c r="CR54" i="47"/>
  <c r="CT54" i="47" s="1"/>
  <c r="CU54" i="47" s="1"/>
  <c r="DT54" i="47"/>
  <c r="DV54" i="47" s="1"/>
  <c r="DW54" i="47" s="1"/>
  <c r="EJ54" i="47"/>
  <c r="EL54" i="47" s="1"/>
  <c r="EM54" i="47" s="1"/>
  <c r="EV54" i="47"/>
  <c r="EX54" i="47" s="1"/>
  <c r="EY54" i="47" s="1"/>
  <c r="CR53" i="47"/>
  <c r="CT53" i="47" s="1"/>
  <c r="CU53" i="47" s="1"/>
  <c r="DT53" i="47"/>
  <c r="DV53" i="47" s="1"/>
  <c r="DW53" i="47" s="1"/>
  <c r="EJ53" i="47"/>
  <c r="EL53" i="47" s="1"/>
  <c r="EM53" i="47" s="1"/>
  <c r="EV53" i="47"/>
  <c r="EX53" i="47" s="1"/>
  <c r="EY53" i="47" s="1"/>
  <c r="CR52" i="47"/>
  <c r="CT52" i="47" s="1"/>
  <c r="CU52" i="47" s="1"/>
  <c r="DT52" i="47"/>
  <c r="DV52" i="47" s="1"/>
  <c r="DW52" i="47" s="1"/>
  <c r="EJ52" i="47"/>
  <c r="EL52" i="47" s="1"/>
  <c r="EM52" i="47" s="1"/>
  <c r="EV52" i="47"/>
  <c r="EX52" i="47" s="1"/>
  <c r="EY52" i="47" s="1"/>
  <c r="CR51" i="47"/>
  <c r="CT51" i="47" s="1"/>
  <c r="CU51" i="47" s="1"/>
  <c r="DT51" i="47"/>
  <c r="DV51" i="47" s="1"/>
  <c r="DW51" i="47" s="1"/>
  <c r="EJ51" i="47"/>
  <c r="EL51" i="47" s="1"/>
  <c r="EM51" i="47" s="1"/>
  <c r="EV51" i="47"/>
  <c r="EX51" i="47" s="1"/>
  <c r="EY51" i="47" s="1"/>
  <c r="CR50" i="47"/>
  <c r="CT50" i="47" s="1"/>
  <c r="CU50" i="47" s="1"/>
  <c r="DT50" i="47"/>
  <c r="DV50" i="47" s="1"/>
  <c r="DW50" i="47" s="1"/>
  <c r="EJ50" i="47"/>
  <c r="EL50" i="47" s="1"/>
  <c r="EM50" i="47" s="1"/>
  <c r="EV50" i="47"/>
  <c r="EX50" i="47" s="1"/>
  <c r="EY50" i="47" s="1"/>
  <c r="CR49" i="47"/>
  <c r="CT49" i="47" s="1"/>
  <c r="CU49" i="47" s="1"/>
  <c r="DT49" i="47"/>
  <c r="DV49" i="47" s="1"/>
  <c r="DW49" i="47" s="1"/>
  <c r="EJ49" i="47"/>
  <c r="EL49" i="47" s="1"/>
  <c r="EM49" i="47" s="1"/>
  <c r="EV49" i="47"/>
  <c r="EX49" i="47" s="1"/>
  <c r="EY49" i="47" s="1"/>
  <c r="CR48" i="47"/>
  <c r="CT48" i="47" s="1"/>
  <c r="CU48" i="47" s="1"/>
  <c r="DT48" i="47"/>
  <c r="DV48" i="47" s="1"/>
  <c r="DW48" i="47" s="1"/>
  <c r="EJ48" i="47"/>
  <c r="EL48" i="47" s="1"/>
  <c r="EM48" i="47" s="1"/>
  <c r="EV48" i="47"/>
  <c r="EX48" i="47" s="1"/>
  <c r="EY48" i="47" s="1"/>
  <c r="CR47" i="47"/>
  <c r="CT47" i="47" s="1"/>
  <c r="CU47" i="47" s="1"/>
  <c r="DT47" i="47"/>
  <c r="DV47" i="47" s="1"/>
  <c r="DW47" i="47" s="1"/>
  <c r="EJ47" i="47"/>
  <c r="EL47" i="47" s="1"/>
  <c r="EM47" i="47" s="1"/>
  <c r="EV47" i="47"/>
  <c r="EX47" i="47" s="1"/>
  <c r="EY47" i="47" s="1"/>
  <c r="CR46" i="47"/>
  <c r="CT46" i="47" s="1"/>
  <c r="CU46" i="47" s="1"/>
  <c r="DT46" i="47"/>
  <c r="DV46" i="47" s="1"/>
  <c r="DW46" i="47" s="1"/>
  <c r="EJ46" i="47"/>
  <c r="EL46" i="47" s="1"/>
  <c r="EM46" i="47" s="1"/>
  <c r="EV46" i="47"/>
  <c r="EX46" i="47" s="1"/>
  <c r="EY46" i="47" s="1"/>
  <c r="CR45" i="47"/>
  <c r="CT45" i="47" s="1"/>
  <c r="CU45" i="47" s="1"/>
  <c r="DT45" i="47"/>
  <c r="DV45" i="47" s="1"/>
  <c r="DW45" i="47" s="1"/>
  <c r="EJ45" i="47"/>
  <c r="EL45" i="47" s="1"/>
  <c r="EM45" i="47" s="1"/>
  <c r="EV45" i="47"/>
  <c r="EX45" i="47" s="1"/>
  <c r="EY45" i="47" s="1"/>
  <c r="CR44" i="47"/>
  <c r="CT44" i="47" s="1"/>
  <c r="CU44" i="47" s="1"/>
  <c r="DT44" i="47"/>
  <c r="DV44" i="47" s="1"/>
  <c r="DW44" i="47" s="1"/>
  <c r="EJ44" i="47"/>
  <c r="EL44" i="47" s="1"/>
  <c r="EM44" i="47" s="1"/>
  <c r="EV44" i="47"/>
  <c r="EX44" i="47" s="1"/>
  <c r="EY44" i="47" s="1"/>
  <c r="CR43" i="47"/>
  <c r="CT43" i="47" s="1"/>
  <c r="CU43" i="47" s="1"/>
  <c r="DT43" i="47"/>
  <c r="DV43" i="47" s="1"/>
  <c r="DW43" i="47" s="1"/>
  <c r="EJ43" i="47"/>
  <c r="EL43" i="47" s="1"/>
  <c r="EM43" i="47" s="1"/>
  <c r="EV43" i="47"/>
  <c r="EX43" i="47" s="1"/>
  <c r="EY43" i="47" s="1"/>
  <c r="CR42" i="47"/>
  <c r="CT42" i="47" s="1"/>
  <c r="CU42" i="47" s="1"/>
  <c r="DT42" i="47"/>
  <c r="DV42" i="47" s="1"/>
  <c r="DW42" i="47" s="1"/>
  <c r="EJ42" i="47"/>
  <c r="EL42" i="47" s="1"/>
  <c r="EM42" i="47" s="1"/>
  <c r="EV42" i="47"/>
  <c r="EX42" i="47" s="1"/>
  <c r="EY42" i="47" s="1"/>
  <c r="CR41" i="47"/>
  <c r="CT41" i="47" s="1"/>
  <c r="CU41" i="47" s="1"/>
  <c r="DT41" i="47"/>
  <c r="DV41" i="47" s="1"/>
  <c r="DW41" i="47" s="1"/>
  <c r="EJ41" i="47"/>
  <c r="EL41" i="47" s="1"/>
  <c r="EM41" i="47" s="1"/>
  <c r="EV41" i="47"/>
  <c r="EX41" i="47" s="1"/>
  <c r="EY41" i="47" s="1"/>
  <c r="CN73" i="47"/>
  <c r="CP73" i="47" s="1"/>
  <c r="CQ73" i="47" s="1"/>
  <c r="DP73" i="47"/>
  <c r="DR73" i="47" s="1"/>
  <c r="DS73" i="47" s="1"/>
  <c r="EF73" i="47"/>
  <c r="EH73" i="47" s="1"/>
  <c r="EI73" i="47" s="1"/>
  <c r="ER73" i="47"/>
  <c r="ET73" i="47" s="1"/>
  <c r="EU73" i="47" s="1"/>
  <c r="GG73" i="47"/>
  <c r="CN72" i="47"/>
  <c r="CP72" i="47" s="1"/>
  <c r="CQ72" i="47" s="1"/>
  <c r="DP72" i="47"/>
  <c r="DR72" i="47" s="1"/>
  <c r="DS72" i="47" s="1"/>
  <c r="EF72" i="47"/>
  <c r="EH72" i="47" s="1"/>
  <c r="EI72" i="47" s="1"/>
  <c r="ER72" i="47"/>
  <c r="ET72" i="47" s="1"/>
  <c r="EU72" i="47" s="1"/>
  <c r="GG72" i="47"/>
  <c r="CN71" i="47"/>
  <c r="CP71" i="47" s="1"/>
  <c r="CQ71" i="47" s="1"/>
  <c r="DP71" i="47"/>
  <c r="DR71" i="47" s="1"/>
  <c r="DS71" i="47" s="1"/>
  <c r="EF71" i="47"/>
  <c r="EH71" i="47" s="1"/>
  <c r="EI71" i="47" s="1"/>
  <c r="ER71" i="47"/>
  <c r="ET71" i="47" s="1"/>
  <c r="EU71" i="47" s="1"/>
  <c r="GG71" i="47"/>
  <c r="CN70" i="47"/>
  <c r="CP70" i="47" s="1"/>
  <c r="CQ70" i="47" s="1"/>
  <c r="DP70" i="47"/>
  <c r="DR70" i="47" s="1"/>
  <c r="DS70" i="47" s="1"/>
  <c r="EF70" i="47"/>
  <c r="EH70" i="47" s="1"/>
  <c r="EI70" i="47" s="1"/>
  <c r="ER70" i="47"/>
  <c r="ET70" i="47" s="1"/>
  <c r="EU70" i="47" s="1"/>
  <c r="GG70" i="47"/>
  <c r="CN69" i="47"/>
  <c r="CP69" i="47" s="1"/>
  <c r="CQ69" i="47" s="1"/>
  <c r="DP69" i="47"/>
  <c r="DR69" i="47" s="1"/>
  <c r="DS69" i="47" s="1"/>
  <c r="EF69" i="47"/>
  <c r="EH69" i="47" s="1"/>
  <c r="EI69" i="47" s="1"/>
  <c r="ER69" i="47"/>
  <c r="ET69" i="47" s="1"/>
  <c r="EU69" i="47" s="1"/>
  <c r="GG69" i="47"/>
  <c r="CN68" i="47"/>
  <c r="CP68" i="47" s="1"/>
  <c r="CQ68" i="47" s="1"/>
  <c r="DP68" i="47"/>
  <c r="DR68" i="47" s="1"/>
  <c r="DS68" i="47" s="1"/>
  <c r="EF68" i="47"/>
  <c r="EH68" i="47" s="1"/>
  <c r="EI68" i="47" s="1"/>
  <c r="ER68" i="47"/>
  <c r="ET68" i="47" s="1"/>
  <c r="EU68" i="47" s="1"/>
  <c r="GG68" i="47"/>
  <c r="CN67" i="47"/>
  <c r="CP67" i="47" s="1"/>
  <c r="CQ67" i="47" s="1"/>
  <c r="DP67" i="47"/>
  <c r="DR67" i="47" s="1"/>
  <c r="DS67" i="47" s="1"/>
  <c r="EF67" i="47"/>
  <c r="EH67" i="47" s="1"/>
  <c r="EI67" i="47" s="1"/>
  <c r="ER67" i="47"/>
  <c r="ET67" i="47" s="1"/>
  <c r="EU67" i="47" s="1"/>
  <c r="GG67" i="47"/>
  <c r="CN66" i="47"/>
  <c r="CP66" i="47" s="1"/>
  <c r="CQ66" i="47" s="1"/>
  <c r="DP66" i="47"/>
  <c r="DR66" i="47" s="1"/>
  <c r="DS66" i="47" s="1"/>
  <c r="EF66" i="47"/>
  <c r="EH66" i="47" s="1"/>
  <c r="EI66" i="47" s="1"/>
  <c r="ER66" i="47"/>
  <c r="ET66" i="47" s="1"/>
  <c r="EU66" i="47" s="1"/>
  <c r="GG66" i="47"/>
  <c r="CN65" i="47"/>
  <c r="CP65" i="47" s="1"/>
  <c r="CQ65" i="47" s="1"/>
  <c r="DP65" i="47"/>
  <c r="DR65" i="47" s="1"/>
  <c r="DS65" i="47" s="1"/>
  <c r="EF65" i="47"/>
  <c r="EH65" i="47" s="1"/>
  <c r="EI65" i="47" s="1"/>
  <c r="ER65" i="47"/>
  <c r="ET65" i="47" s="1"/>
  <c r="EU65" i="47" s="1"/>
  <c r="GG65" i="47"/>
  <c r="CN64" i="47"/>
  <c r="CP64" i="47" s="1"/>
  <c r="CQ64" i="47" s="1"/>
  <c r="DP64" i="47"/>
  <c r="DR64" i="47" s="1"/>
  <c r="DS64" i="47" s="1"/>
  <c r="EF64" i="47"/>
  <c r="EH64" i="47" s="1"/>
  <c r="EI64" i="47" s="1"/>
  <c r="ER64" i="47"/>
  <c r="ET64" i="47" s="1"/>
  <c r="EU64" i="47" s="1"/>
  <c r="GG64" i="47"/>
  <c r="CN63" i="47"/>
  <c r="CP63" i="47" s="1"/>
  <c r="CQ63" i="47" s="1"/>
  <c r="DP63" i="47"/>
  <c r="DR63" i="47" s="1"/>
  <c r="DS63" i="47" s="1"/>
  <c r="EF63" i="47"/>
  <c r="EH63" i="47" s="1"/>
  <c r="EI63" i="47" s="1"/>
  <c r="ER63" i="47"/>
  <c r="ET63" i="47" s="1"/>
  <c r="EU63" i="47" s="1"/>
  <c r="GG63" i="47"/>
  <c r="CN62" i="47"/>
  <c r="CP62" i="47" s="1"/>
  <c r="CQ62" i="47" s="1"/>
  <c r="DP62" i="47"/>
  <c r="DR62" i="47" s="1"/>
  <c r="DS62" i="47" s="1"/>
  <c r="EF62" i="47"/>
  <c r="EH62" i="47" s="1"/>
  <c r="EI62" i="47" s="1"/>
  <c r="ER62" i="47"/>
  <c r="ET62" i="47" s="1"/>
  <c r="EU62" i="47" s="1"/>
  <c r="GG62" i="47"/>
  <c r="CN61" i="47"/>
  <c r="CP61" i="47" s="1"/>
  <c r="CQ61" i="47" s="1"/>
  <c r="DP61" i="47"/>
  <c r="DR61" i="47" s="1"/>
  <c r="DS61" i="47" s="1"/>
  <c r="EF61" i="47"/>
  <c r="EH61" i="47" s="1"/>
  <c r="EI61" i="47" s="1"/>
  <c r="ER61" i="47"/>
  <c r="ET61" i="47" s="1"/>
  <c r="EU61" i="47" s="1"/>
  <c r="GG61" i="47"/>
  <c r="CN60" i="47"/>
  <c r="CP60" i="47" s="1"/>
  <c r="CQ60" i="47" s="1"/>
  <c r="DP60" i="47"/>
  <c r="DR60" i="47" s="1"/>
  <c r="DS60" i="47" s="1"/>
  <c r="EF60" i="47"/>
  <c r="EH60" i="47" s="1"/>
  <c r="EI60" i="47" s="1"/>
  <c r="ER60" i="47"/>
  <c r="ET60" i="47" s="1"/>
  <c r="EU60" i="47" s="1"/>
  <c r="GG60" i="47"/>
  <c r="CN59" i="47"/>
  <c r="CP59" i="47" s="1"/>
  <c r="CQ59" i="47" s="1"/>
  <c r="DP59" i="47"/>
  <c r="DR59" i="47" s="1"/>
  <c r="DS59" i="47" s="1"/>
  <c r="EF59" i="47"/>
  <c r="EH59" i="47" s="1"/>
  <c r="EI59" i="47" s="1"/>
  <c r="ER59" i="47"/>
  <c r="ET59" i="47" s="1"/>
  <c r="EU59" i="47" s="1"/>
  <c r="GG59" i="47"/>
  <c r="CN58" i="47"/>
  <c r="CP58" i="47" s="1"/>
  <c r="CQ58" i="47" s="1"/>
  <c r="DP58" i="47"/>
  <c r="DR58" i="47" s="1"/>
  <c r="DS58" i="47" s="1"/>
  <c r="EF58" i="47"/>
  <c r="EH58" i="47" s="1"/>
  <c r="EI58" i="47" s="1"/>
  <c r="ER58" i="47"/>
  <c r="ET58" i="47" s="1"/>
  <c r="EU58" i="47" s="1"/>
  <c r="GG58" i="47"/>
  <c r="CN57" i="47"/>
  <c r="CP57" i="47" s="1"/>
  <c r="CQ57" i="47" s="1"/>
  <c r="DP57" i="47"/>
  <c r="DR57" i="47" s="1"/>
  <c r="DS57" i="47" s="1"/>
  <c r="EF57" i="47"/>
  <c r="EH57" i="47" s="1"/>
  <c r="EI57" i="47" s="1"/>
  <c r="ER57" i="47"/>
  <c r="ET57" i="47" s="1"/>
  <c r="EU57" i="47" s="1"/>
  <c r="GG57" i="47"/>
  <c r="CN56" i="47"/>
  <c r="CP56" i="47" s="1"/>
  <c r="CQ56" i="47" s="1"/>
  <c r="DP56" i="47"/>
  <c r="DR56" i="47" s="1"/>
  <c r="DS56" i="47" s="1"/>
  <c r="EF56" i="47"/>
  <c r="EH56" i="47" s="1"/>
  <c r="EI56" i="47" s="1"/>
  <c r="ER56" i="47"/>
  <c r="ET56" i="47" s="1"/>
  <c r="EU56" i="47" s="1"/>
  <c r="GG56" i="47"/>
  <c r="CN55" i="47"/>
  <c r="CP55" i="47" s="1"/>
  <c r="CQ55" i="47" s="1"/>
  <c r="DP55" i="47"/>
  <c r="DR55" i="47" s="1"/>
  <c r="DS55" i="47" s="1"/>
  <c r="EF55" i="47"/>
  <c r="EH55" i="47" s="1"/>
  <c r="EI55" i="47" s="1"/>
  <c r="ER55" i="47"/>
  <c r="ET55" i="47" s="1"/>
  <c r="EU55" i="47" s="1"/>
  <c r="GG55" i="47"/>
  <c r="CN54" i="47"/>
  <c r="CP54" i="47" s="1"/>
  <c r="CQ54" i="47" s="1"/>
  <c r="DP54" i="47"/>
  <c r="DR54" i="47" s="1"/>
  <c r="DS54" i="47" s="1"/>
  <c r="EF54" i="47"/>
  <c r="EH54" i="47" s="1"/>
  <c r="EI54" i="47" s="1"/>
  <c r="ER54" i="47"/>
  <c r="ET54" i="47" s="1"/>
  <c r="EU54" i="47" s="1"/>
  <c r="GG54" i="47"/>
  <c r="CN53" i="47"/>
  <c r="CP53" i="47" s="1"/>
  <c r="CQ53" i="47" s="1"/>
  <c r="DP53" i="47"/>
  <c r="DR53" i="47" s="1"/>
  <c r="DS53" i="47" s="1"/>
  <c r="EF53" i="47"/>
  <c r="EH53" i="47" s="1"/>
  <c r="EI53" i="47" s="1"/>
  <c r="ER53" i="47"/>
  <c r="ET53" i="47" s="1"/>
  <c r="EU53" i="47" s="1"/>
  <c r="GG53" i="47"/>
  <c r="CN52" i="47"/>
  <c r="CP52" i="47" s="1"/>
  <c r="CQ52" i="47" s="1"/>
  <c r="DP52" i="47"/>
  <c r="DR52" i="47" s="1"/>
  <c r="DS52" i="47" s="1"/>
  <c r="EF52" i="47"/>
  <c r="EH52" i="47" s="1"/>
  <c r="EI52" i="47" s="1"/>
  <c r="ER52" i="47"/>
  <c r="ET52" i="47" s="1"/>
  <c r="EU52" i="47" s="1"/>
  <c r="GG52" i="47"/>
  <c r="CN51" i="47"/>
  <c r="CP51" i="47" s="1"/>
  <c r="CQ51" i="47" s="1"/>
  <c r="DP51" i="47"/>
  <c r="DR51" i="47" s="1"/>
  <c r="DS51" i="47" s="1"/>
  <c r="EF51" i="47"/>
  <c r="EH51" i="47" s="1"/>
  <c r="EI51" i="47" s="1"/>
  <c r="ER51" i="47"/>
  <c r="ET51" i="47" s="1"/>
  <c r="EU51" i="47" s="1"/>
  <c r="GG51" i="47"/>
  <c r="CN50" i="47"/>
  <c r="CP50" i="47" s="1"/>
  <c r="CQ50" i="47" s="1"/>
  <c r="DP50" i="47"/>
  <c r="DR50" i="47" s="1"/>
  <c r="DS50" i="47" s="1"/>
  <c r="EF50" i="47"/>
  <c r="EH50" i="47" s="1"/>
  <c r="EI50" i="47" s="1"/>
  <c r="ER50" i="47"/>
  <c r="ET50" i="47" s="1"/>
  <c r="EU50" i="47" s="1"/>
  <c r="GG50" i="47"/>
  <c r="CN49" i="47"/>
  <c r="CP49" i="47" s="1"/>
  <c r="CQ49" i="47" s="1"/>
  <c r="DP49" i="47"/>
  <c r="DR49" i="47" s="1"/>
  <c r="DS49" i="47" s="1"/>
  <c r="EF49" i="47"/>
  <c r="EH49" i="47" s="1"/>
  <c r="EI49" i="47" s="1"/>
  <c r="ER49" i="47"/>
  <c r="ET49" i="47" s="1"/>
  <c r="EU49" i="47" s="1"/>
  <c r="GG49" i="47"/>
  <c r="CN48" i="47"/>
  <c r="CP48" i="47" s="1"/>
  <c r="CQ48" i="47" s="1"/>
  <c r="DP48" i="47"/>
  <c r="DR48" i="47" s="1"/>
  <c r="DS48" i="47" s="1"/>
  <c r="EF48" i="47"/>
  <c r="EH48" i="47" s="1"/>
  <c r="EI48" i="47" s="1"/>
  <c r="ER48" i="47"/>
  <c r="ET48" i="47" s="1"/>
  <c r="EU48" i="47" s="1"/>
  <c r="GG48" i="47"/>
  <c r="CN47" i="47"/>
  <c r="CP47" i="47" s="1"/>
  <c r="CQ47" i="47" s="1"/>
  <c r="DP47" i="47"/>
  <c r="DR47" i="47" s="1"/>
  <c r="DS47" i="47" s="1"/>
  <c r="EF47" i="47"/>
  <c r="EH47" i="47" s="1"/>
  <c r="EI47" i="47" s="1"/>
  <c r="ER47" i="47"/>
  <c r="ET47" i="47" s="1"/>
  <c r="EU47" i="47" s="1"/>
  <c r="GG47" i="47"/>
  <c r="CN46" i="47"/>
  <c r="CP46" i="47" s="1"/>
  <c r="CQ46" i="47" s="1"/>
  <c r="DP46" i="47"/>
  <c r="DR46" i="47" s="1"/>
  <c r="DS46" i="47" s="1"/>
  <c r="EF46" i="47"/>
  <c r="EH46" i="47" s="1"/>
  <c r="EI46" i="47" s="1"/>
  <c r="ER46" i="47"/>
  <c r="ET46" i="47" s="1"/>
  <c r="EU46" i="47" s="1"/>
  <c r="GG46" i="47"/>
  <c r="CN45" i="47"/>
  <c r="CP45" i="47" s="1"/>
  <c r="CQ45" i="47" s="1"/>
  <c r="DP45" i="47"/>
  <c r="DR45" i="47" s="1"/>
  <c r="DS45" i="47" s="1"/>
  <c r="EF45" i="47"/>
  <c r="EH45" i="47" s="1"/>
  <c r="EI45" i="47" s="1"/>
  <c r="ER45" i="47"/>
  <c r="ET45" i="47" s="1"/>
  <c r="EU45" i="47" s="1"/>
  <c r="GG45" i="47"/>
  <c r="CN44" i="47"/>
  <c r="CP44" i="47" s="1"/>
  <c r="CQ44" i="47" s="1"/>
  <c r="DP44" i="47"/>
  <c r="DR44" i="47" s="1"/>
  <c r="DS44" i="47" s="1"/>
  <c r="EF44" i="47"/>
  <c r="EH44" i="47" s="1"/>
  <c r="EI44" i="47" s="1"/>
  <c r="ER44" i="47"/>
  <c r="ET44" i="47" s="1"/>
  <c r="EU44" i="47" s="1"/>
  <c r="GG44" i="47"/>
  <c r="CN43" i="47"/>
  <c r="CP43" i="47" s="1"/>
  <c r="CQ43" i="47" s="1"/>
  <c r="DP43" i="47"/>
  <c r="DR43" i="47" s="1"/>
  <c r="DS43" i="47" s="1"/>
  <c r="EF43" i="47"/>
  <c r="EH43" i="47" s="1"/>
  <c r="EI43" i="47" s="1"/>
  <c r="ER43" i="47"/>
  <c r="ET43" i="47" s="1"/>
  <c r="EU43" i="47" s="1"/>
  <c r="GG43" i="47"/>
  <c r="CN42" i="47"/>
  <c r="CP42" i="47" s="1"/>
  <c r="CQ42" i="47" s="1"/>
  <c r="DP42" i="47"/>
  <c r="DR42" i="47" s="1"/>
  <c r="DS42" i="47" s="1"/>
  <c r="EF42" i="47"/>
  <c r="EH42" i="47" s="1"/>
  <c r="EI42" i="47" s="1"/>
  <c r="ER42" i="47"/>
  <c r="ET42" i="47" s="1"/>
  <c r="EU42" i="47" s="1"/>
  <c r="GG42" i="47"/>
  <c r="CN41" i="47"/>
  <c r="CP41" i="47" s="1"/>
  <c r="CQ41" i="47" s="1"/>
  <c r="DP41" i="47"/>
  <c r="DR41" i="47" s="1"/>
  <c r="DS41" i="47" s="1"/>
  <c r="EF41" i="47"/>
  <c r="EH41" i="47" s="1"/>
  <c r="EI41" i="47" s="1"/>
  <c r="ER41" i="47"/>
  <c r="ET41" i="47" s="1"/>
  <c r="EU41" i="47" s="1"/>
  <c r="GG41" i="47"/>
  <c r="AN73" i="47"/>
  <c r="AP73" i="47" s="1"/>
  <c r="AQ73" i="47" s="1"/>
  <c r="AN72" i="47"/>
  <c r="AP72" i="47" s="1"/>
  <c r="AQ72" i="47" s="1"/>
  <c r="AN71" i="47"/>
  <c r="AP71" i="47" s="1"/>
  <c r="AQ71" i="47" s="1"/>
  <c r="AN70" i="47"/>
  <c r="AP70" i="47" s="1"/>
  <c r="AQ70" i="47" s="1"/>
  <c r="AN69" i="47"/>
  <c r="AP69" i="47" s="1"/>
  <c r="AQ69" i="47" s="1"/>
  <c r="AN68" i="47"/>
  <c r="AP68" i="47" s="1"/>
  <c r="AQ68" i="47" s="1"/>
  <c r="AN67" i="47"/>
  <c r="AP67" i="47" s="1"/>
  <c r="AQ67" i="47" s="1"/>
  <c r="AN66" i="47"/>
  <c r="AP66" i="47" s="1"/>
  <c r="AQ66" i="47" s="1"/>
  <c r="AN65" i="47"/>
  <c r="AP65" i="47" s="1"/>
  <c r="AQ65" i="47" s="1"/>
  <c r="AN64" i="47"/>
  <c r="AP64" i="47" s="1"/>
  <c r="AQ64" i="47" s="1"/>
  <c r="AN63" i="47"/>
  <c r="AP63" i="47" s="1"/>
  <c r="AQ63" i="47" s="1"/>
  <c r="AN62" i="47"/>
  <c r="AP62" i="47" s="1"/>
  <c r="AQ62" i="47" s="1"/>
  <c r="AN61" i="47"/>
  <c r="AP61" i="47" s="1"/>
  <c r="AQ61" i="47" s="1"/>
  <c r="AN60" i="47"/>
  <c r="AP60" i="47" s="1"/>
  <c r="AQ60" i="47" s="1"/>
  <c r="AN59" i="47"/>
  <c r="AP59" i="47" s="1"/>
  <c r="AQ59" i="47" s="1"/>
  <c r="AN58" i="47"/>
  <c r="AP58" i="47" s="1"/>
  <c r="AQ58" i="47" s="1"/>
  <c r="AN57" i="47"/>
  <c r="AP57" i="47" s="1"/>
  <c r="AQ57" i="47" s="1"/>
  <c r="AN56" i="47"/>
  <c r="AP56" i="47" s="1"/>
  <c r="AQ56" i="47" s="1"/>
  <c r="AN55" i="47"/>
  <c r="AP55" i="47" s="1"/>
  <c r="AQ55" i="47" s="1"/>
  <c r="AN54" i="47"/>
  <c r="AP54" i="47" s="1"/>
  <c r="AQ54" i="47" s="1"/>
  <c r="AN53" i="47"/>
  <c r="AP53" i="47" s="1"/>
  <c r="AQ53" i="47" s="1"/>
  <c r="AN52" i="47"/>
  <c r="AP52" i="47" s="1"/>
  <c r="AQ52" i="47" s="1"/>
  <c r="AN51" i="47"/>
  <c r="AP51" i="47" s="1"/>
  <c r="AQ51" i="47" s="1"/>
  <c r="AN50" i="47"/>
  <c r="AP50" i="47" s="1"/>
  <c r="AQ50" i="47" s="1"/>
  <c r="AN49" i="47"/>
  <c r="AP49" i="47" s="1"/>
  <c r="AQ49" i="47" s="1"/>
  <c r="AN48" i="47"/>
  <c r="AP48" i="47" s="1"/>
  <c r="AQ48" i="47" s="1"/>
  <c r="AN47" i="47"/>
  <c r="AP47" i="47" s="1"/>
  <c r="AQ47" i="47" s="1"/>
  <c r="AN46" i="47"/>
  <c r="AP46" i="47" s="1"/>
  <c r="AQ46" i="47" s="1"/>
  <c r="AN45" i="47"/>
  <c r="AP45" i="47" s="1"/>
  <c r="AQ45" i="47" s="1"/>
  <c r="AN44" i="47"/>
  <c r="AP44" i="47" s="1"/>
  <c r="AQ44" i="47" s="1"/>
  <c r="AN43" i="47"/>
  <c r="AP43" i="47" s="1"/>
  <c r="AQ43" i="47" s="1"/>
  <c r="AN42" i="47"/>
  <c r="AP42" i="47" s="1"/>
  <c r="AQ42" i="47" s="1"/>
  <c r="AN41" i="47"/>
  <c r="AP41" i="47" s="1"/>
  <c r="AQ41" i="47" s="1"/>
  <c r="CJ73" i="47"/>
  <c r="CL73" i="47" s="1"/>
  <c r="CM73" i="47" s="1"/>
  <c r="DL73" i="47"/>
  <c r="DN73" i="47" s="1"/>
  <c r="DO73" i="47" s="1"/>
  <c r="EB73" i="47"/>
  <c r="ED73" i="47" s="1"/>
  <c r="EE73" i="47" s="1"/>
  <c r="CJ72" i="47"/>
  <c r="CL72" i="47" s="1"/>
  <c r="CM72" i="47" s="1"/>
  <c r="DL72" i="47"/>
  <c r="DN72" i="47" s="1"/>
  <c r="DO72" i="47" s="1"/>
  <c r="EB72" i="47"/>
  <c r="ED72" i="47" s="1"/>
  <c r="EE72" i="47" s="1"/>
  <c r="CJ71" i="47"/>
  <c r="CL71" i="47" s="1"/>
  <c r="CM71" i="47" s="1"/>
  <c r="DL71" i="47"/>
  <c r="DN71" i="47" s="1"/>
  <c r="DO71" i="47" s="1"/>
  <c r="EB71" i="47"/>
  <c r="ED71" i="47" s="1"/>
  <c r="EE71" i="47" s="1"/>
  <c r="CJ70" i="47"/>
  <c r="CL70" i="47" s="1"/>
  <c r="CM70" i="47" s="1"/>
  <c r="DL70" i="47"/>
  <c r="DN70" i="47" s="1"/>
  <c r="DO70" i="47" s="1"/>
  <c r="EB70" i="47"/>
  <c r="ED70" i="47" s="1"/>
  <c r="EE70" i="47" s="1"/>
  <c r="CJ69" i="47"/>
  <c r="CL69" i="47" s="1"/>
  <c r="CM69" i="47" s="1"/>
  <c r="DL69" i="47"/>
  <c r="DN69" i="47" s="1"/>
  <c r="DO69" i="47" s="1"/>
  <c r="EB69" i="47"/>
  <c r="ED69" i="47" s="1"/>
  <c r="EE69" i="47" s="1"/>
  <c r="CJ68" i="47"/>
  <c r="CL68" i="47" s="1"/>
  <c r="CM68" i="47" s="1"/>
  <c r="DL68" i="47"/>
  <c r="DN68" i="47" s="1"/>
  <c r="DO68" i="47" s="1"/>
  <c r="EB68" i="47"/>
  <c r="ED68" i="47" s="1"/>
  <c r="EE68" i="47" s="1"/>
  <c r="CJ67" i="47"/>
  <c r="CL67" i="47" s="1"/>
  <c r="CM67" i="47" s="1"/>
  <c r="DL67" i="47"/>
  <c r="DN67" i="47" s="1"/>
  <c r="DO67" i="47" s="1"/>
  <c r="EB67" i="47"/>
  <c r="ED67" i="47" s="1"/>
  <c r="EE67" i="47" s="1"/>
  <c r="CJ66" i="47"/>
  <c r="CL66" i="47" s="1"/>
  <c r="CM66" i="47" s="1"/>
  <c r="DL66" i="47"/>
  <c r="DN66" i="47" s="1"/>
  <c r="DO66" i="47" s="1"/>
  <c r="EB66" i="47"/>
  <c r="ED66" i="47" s="1"/>
  <c r="EE66" i="47" s="1"/>
  <c r="CJ65" i="47"/>
  <c r="CL65" i="47" s="1"/>
  <c r="CM65" i="47" s="1"/>
  <c r="DL65" i="47"/>
  <c r="DN65" i="47" s="1"/>
  <c r="DO65" i="47" s="1"/>
  <c r="EB65" i="47"/>
  <c r="ED65" i="47" s="1"/>
  <c r="EE65" i="47" s="1"/>
  <c r="CJ64" i="47"/>
  <c r="CL64" i="47" s="1"/>
  <c r="CM64" i="47" s="1"/>
  <c r="DL64" i="47"/>
  <c r="DN64" i="47" s="1"/>
  <c r="DO64" i="47" s="1"/>
  <c r="EB64" i="47"/>
  <c r="ED64" i="47" s="1"/>
  <c r="EE64" i="47" s="1"/>
  <c r="CJ63" i="47"/>
  <c r="CL63" i="47" s="1"/>
  <c r="CM63" i="47" s="1"/>
  <c r="DL63" i="47"/>
  <c r="DN63" i="47" s="1"/>
  <c r="DO63" i="47" s="1"/>
  <c r="EB63" i="47"/>
  <c r="ED63" i="47" s="1"/>
  <c r="EE63" i="47" s="1"/>
  <c r="CJ62" i="47"/>
  <c r="CL62" i="47" s="1"/>
  <c r="CM62" i="47" s="1"/>
  <c r="DL62" i="47"/>
  <c r="DN62" i="47" s="1"/>
  <c r="DO62" i="47" s="1"/>
  <c r="EB62" i="47"/>
  <c r="ED62" i="47" s="1"/>
  <c r="EE62" i="47" s="1"/>
  <c r="CJ61" i="47"/>
  <c r="CL61" i="47" s="1"/>
  <c r="CM61" i="47" s="1"/>
  <c r="DL61" i="47"/>
  <c r="DN61" i="47" s="1"/>
  <c r="DO61" i="47" s="1"/>
  <c r="EB61" i="47"/>
  <c r="ED61" i="47" s="1"/>
  <c r="EE61" i="47" s="1"/>
  <c r="CJ60" i="47"/>
  <c r="CL60" i="47" s="1"/>
  <c r="CM60" i="47" s="1"/>
  <c r="DL60" i="47"/>
  <c r="DN60" i="47" s="1"/>
  <c r="DO60" i="47" s="1"/>
  <c r="EB60" i="47"/>
  <c r="ED60" i="47" s="1"/>
  <c r="EE60" i="47" s="1"/>
  <c r="CJ59" i="47"/>
  <c r="CL59" i="47" s="1"/>
  <c r="CM59" i="47" s="1"/>
  <c r="DL59" i="47"/>
  <c r="DN59" i="47" s="1"/>
  <c r="DO59" i="47" s="1"/>
  <c r="EB59" i="47"/>
  <c r="ED59" i="47" s="1"/>
  <c r="EE59" i="47" s="1"/>
  <c r="CJ58" i="47"/>
  <c r="CL58" i="47" s="1"/>
  <c r="CM58" i="47" s="1"/>
  <c r="DL58" i="47"/>
  <c r="DN58" i="47" s="1"/>
  <c r="DO58" i="47" s="1"/>
  <c r="EB58" i="47"/>
  <c r="ED58" i="47" s="1"/>
  <c r="EE58" i="47" s="1"/>
  <c r="CJ57" i="47"/>
  <c r="CL57" i="47" s="1"/>
  <c r="CM57" i="47" s="1"/>
  <c r="DL57" i="47"/>
  <c r="DN57" i="47" s="1"/>
  <c r="DO57" i="47" s="1"/>
  <c r="EB57" i="47"/>
  <c r="ED57" i="47" s="1"/>
  <c r="EE57" i="47" s="1"/>
  <c r="CJ56" i="47"/>
  <c r="CL56" i="47" s="1"/>
  <c r="CM56" i="47" s="1"/>
  <c r="DL56" i="47"/>
  <c r="DN56" i="47" s="1"/>
  <c r="DO56" i="47" s="1"/>
  <c r="EB56" i="47"/>
  <c r="ED56" i="47" s="1"/>
  <c r="EE56" i="47" s="1"/>
  <c r="CJ55" i="47"/>
  <c r="CL55" i="47" s="1"/>
  <c r="CM55" i="47" s="1"/>
  <c r="DL55" i="47"/>
  <c r="DN55" i="47" s="1"/>
  <c r="DO55" i="47" s="1"/>
  <c r="EB55" i="47"/>
  <c r="ED55" i="47" s="1"/>
  <c r="EE55" i="47" s="1"/>
  <c r="CJ54" i="47"/>
  <c r="CL54" i="47" s="1"/>
  <c r="CM54" i="47" s="1"/>
  <c r="DL54" i="47"/>
  <c r="DN54" i="47" s="1"/>
  <c r="DO54" i="47" s="1"/>
  <c r="EB54" i="47"/>
  <c r="ED54" i="47" s="1"/>
  <c r="EE54" i="47" s="1"/>
  <c r="CJ53" i="47"/>
  <c r="CL53" i="47" s="1"/>
  <c r="CM53" i="47" s="1"/>
  <c r="DL53" i="47"/>
  <c r="DN53" i="47" s="1"/>
  <c r="DO53" i="47" s="1"/>
  <c r="EB53" i="47"/>
  <c r="ED53" i="47" s="1"/>
  <c r="EE53" i="47" s="1"/>
  <c r="CJ52" i="47"/>
  <c r="CL52" i="47" s="1"/>
  <c r="CM52" i="47" s="1"/>
  <c r="DL52" i="47"/>
  <c r="DN52" i="47" s="1"/>
  <c r="DO52" i="47" s="1"/>
  <c r="EB52" i="47"/>
  <c r="ED52" i="47" s="1"/>
  <c r="EE52" i="47" s="1"/>
  <c r="CJ51" i="47"/>
  <c r="CL51" i="47" s="1"/>
  <c r="CM51" i="47" s="1"/>
  <c r="DL51" i="47"/>
  <c r="DN51" i="47" s="1"/>
  <c r="DO51" i="47" s="1"/>
  <c r="EB51" i="47"/>
  <c r="ED51" i="47" s="1"/>
  <c r="EE51" i="47" s="1"/>
  <c r="CJ50" i="47"/>
  <c r="CL50" i="47" s="1"/>
  <c r="CM50" i="47" s="1"/>
  <c r="DL50" i="47"/>
  <c r="DN50" i="47" s="1"/>
  <c r="DO50" i="47" s="1"/>
  <c r="EB50" i="47"/>
  <c r="ED50" i="47" s="1"/>
  <c r="EE50" i="47" s="1"/>
  <c r="CJ49" i="47"/>
  <c r="CL49" i="47" s="1"/>
  <c r="CM49" i="47" s="1"/>
  <c r="DL49" i="47"/>
  <c r="DN49" i="47" s="1"/>
  <c r="DO49" i="47" s="1"/>
  <c r="EB49" i="47"/>
  <c r="ED49" i="47" s="1"/>
  <c r="EE49" i="47" s="1"/>
  <c r="CJ48" i="47"/>
  <c r="CL48" i="47" s="1"/>
  <c r="CM48" i="47" s="1"/>
  <c r="DL48" i="47"/>
  <c r="DN48" i="47" s="1"/>
  <c r="DO48" i="47" s="1"/>
  <c r="EB48" i="47"/>
  <c r="ED48" i="47" s="1"/>
  <c r="EE48" i="47" s="1"/>
  <c r="CJ47" i="47"/>
  <c r="CL47" i="47" s="1"/>
  <c r="CM47" i="47" s="1"/>
  <c r="DL47" i="47"/>
  <c r="DN47" i="47" s="1"/>
  <c r="DO47" i="47" s="1"/>
  <c r="EB47" i="47"/>
  <c r="ED47" i="47" s="1"/>
  <c r="EE47" i="47" s="1"/>
  <c r="CJ46" i="47"/>
  <c r="CL46" i="47" s="1"/>
  <c r="CM46" i="47" s="1"/>
  <c r="DL46" i="47"/>
  <c r="DN46" i="47" s="1"/>
  <c r="DO46" i="47" s="1"/>
  <c r="EB46" i="47"/>
  <c r="ED46" i="47" s="1"/>
  <c r="EE46" i="47" s="1"/>
  <c r="CJ45" i="47"/>
  <c r="CL45" i="47" s="1"/>
  <c r="CM45" i="47" s="1"/>
  <c r="DL45" i="47"/>
  <c r="DN45" i="47" s="1"/>
  <c r="DO45" i="47" s="1"/>
  <c r="EB45" i="47"/>
  <c r="ED45" i="47" s="1"/>
  <c r="EE45" i="47" s="1"/>
  <c r="CJ44" i="47"/>
  <c r="CL44" i="47" s="1"/>
  <c r="CM44" i="47" s="1"/>
  <c r="DL44" i="47"/>
  <c r="DN44" i="47" s="1"/>
  <c r="DO44" i="47" s="1"/>
  <c r="EB44" i="47"/>
  <c r="ED44" i="47" s="1"/>
  <c r="EE44" i="47" s="1"/>
  <c r="CJ43" i="47"/>
  <c r="CL43" i="47" s="1"/>
  <c r="CM43" i="47" s="1"/>
  <c r="DL43" i="47"/>
  <c r="DN43" i="47" s="1"/>
  <c r="DO43" i="47" s="1"/>
  <c r="EB43" i="47"/>
  <c r="ED43" i="47" s="1"/>
  <c r="EE43" i="47" s="1"/>
  <c r="CJ42" i="47"/>
  <c r="CL42" i="47" s="1"/>
  <c r="CM42" i="47" s="1"/>
  <c r="DL42" i="47"/>
  <c r="DN42" i="47" s="1"/>
  <c r="DO42" i="47" s="1"/>
  <c r="EB42" i="47"/>
  <c r="ED42" i="47" s="1"/>
  <c r="EE42" i="47" s="1"/>
  <c r="CJ41" i="47"/>
  <c r="CL41" i="47" s="1"/>
  <c r="CM41" i="47" s="1"/>
  <c r="DL41" i="47"/>
  <c r="DN41" i="47" s="1"/>
  <c r="DO41" i="47" s="1"/>
  <c r="EB41" i="47"/>
  <c r="ED41" i="47" s="1"/>
  <c r="EE41" i="47" s="1"/>
  <c r="AJ73" i="47"/>
  <c r="AL73" i="47" s="1"/>
  <c r="AM73" i="47" s="1"/>
  <c r="AJ72" i="47"/>
  <c r="AL72" i="47" s="1"/>
  <c r="AM72" i="47" s="1"/>
  <c r="AJ71" i="47"/>
  <c r="AL71" i="47" s="1"/>
  <c r="AM71" i="47" s="1"/>
  <c r="AJ70" i="47"/>
  <c r="AL70" i="47" s="1"/>
  <c r="AM70" i="47" s="1"/>
  <c r="AJ69" i="47"/>
  <c r="AL69" i="47" s="1"/>
  <c r="AM69" i="47" s="1"/>
  <c r="AJ68" i="47"/>
  <c r="AL68" i="47" s="1"/>
  <c r="AM68" i="47" s="1"/>
  <c r="AJ67" i="47"/>
  <c r="AL67" i="47" s="1"/>
  <c r="AM67" i="47" s="1"/>
  <c r="AJ66" i="47"/>
  <c r="AL66" i="47" s="1"/>
  <c r="AM66" i="47" s="1"/>
  <c r="AJ65" i="47"/>
  <c r="AL65" i="47" s="1"/>
  <c r="AM65" i="47" s="1"/>
  <c r="AJ64" i="47"/>
  <c r="AL64" i="47" s="1"/>
  <c r="AM64" i="47" s="1"/>
  <c r="AJ63" i="47"/>
  <c r="AL63" i="47" s="1"/>
  <c r="AM63" i="47" s="1"/>
  <c r="AJ62" i="47"/>
  <c r="AL62" i="47" s="1"/>
  <c r="AM62" i="47" s="1"/>
  <c r="AJ61" i="47"/>
  <c r="AL61" i="47" s="1"/>
  <c r="AM61" i="47" s="1"/>
  <c r="AJ60" i="47"/>
  <c r="AL60" i="47" s="1"/>
  <c r="AM60" i="47" s="1"/>
  <c r="AJ59" i="47"/>
  <c r="AL59" i="47" s="1"/>
  <c r="AM59" i="47" s="1"/>
  <c r="AJ58" i="47"/>
  <c r="AL58" i="47" s="1"/>
  <c r="AM58" i="47" s="1"/>
  <c r="AJ57" i="47"/>
  <c r="AL57" i="47" s="1"/>
  <c r="AM57" i="47" s="1"/>
  <c r="AJ56" i="47"/>
  <c r="AL56" i="47" s="1"/>
  <c r="AM56" i="47" s="1"/>
  <c r="AJ55" i="47"/>
  <c r="AL55" i="47" s="1"/>
  <c r="AM55" i="47" s="1"/>
  <c r="AJ54" i="47"/>
  <c r="AL54" i="47" s="1"/>
  <c r="AM54" i="47" s="1"/>
  <c r="AJ53" i="47"/>
  <c r="AL53" i="47" s="1"/>
  <c r="AM53" i="47" s="1"/>
  <c r="AJ52" i="47"/>
  <c r="AL52" i="47" s="1"/>
  <c r="AM52" i="47" s="1"/>
  <c r="AJ51" i="47"/>
  <c r="AL51" i="47" s="1"/>
  <c r="AM51" i="47" s="1"/>
  <c r="AJ50" i="47"/>
  <c r="AL50" i="47" s="1"/>
  <c r="AM50" i="47" s="1"/>
  <c r="AJ49" i="47"/>
  <c r="AL49" i="47" s="1"/>
  <c r="AM49" i="47" s="1"/>
  <c r="AJ48" i="47"/>
  <c r="AL48" i="47" s="1"/>
  <c r="AM48" i="47" s="1"/>
  <c r="AJ47" i="47"/>
  <c r="AL47" i="47" s="1"/>
  <c r="AM47" i="47" s="1"/>
  <c r="AJ46" i="47"/>
  <c r="AL46" i="47" s="1"/>
  <c r="AM46" i="47" s="1"/>
  <c r="AJ45" i="47"/>
  <c r="AL45" i="47" s="1"/>
  <c r="AM45" i="47" s="1"/>
  <c r="AJ44" i="47"/>
  <c r="AL44" i="47" s="1"/>
  <c r="AM44" i="47" s="1"/>
  <c r="AJ43" i="47"/>
  <c r="AL43" i="47" s="1"/>
  <c r="AM43" i="47" s="1"/>
  <c r="AJ42" i="47"/>
  <c r="AL42" i="47" s="1"/>
  <c r="AM42" i="47" s="1"/>
  <c r="AJ41" i="47"/>
  <c r="AL41" i="47" s="1"/>
  <c r="AM41" i="47" s="1"/>
  <c r="X73" i="47"/>
  <c r="Z73" i="47" s="1"/>
  <c r="AA73" i="47" s="1"/>
  <c r="AB73" i="47"/>
  <c r="AD73" i="47" s="1"/>
  <c r="AE73" i="47" s="1"/>
  <c r="AF73" i="47"/>
  <c r="AH73" i="47" s="1"/>
  <c r="AI73" i="47" s="1"/>
  <c r="X72" i="47"/>
  <c r="Z72" i="47" s="1"/>
  <c r="AA72" i="47" s="1"/>
  <c r="AB72" i="47"/>
  <c r="AD72" i="47" s="1"/>
  <c r="AE72" i="47" s="1"/>
  <c r="AF72" i="47"/>
  <c r="AH72" i="47" s="1"/>
  <c r="AI72" i="47" s="1"/>
  <c r="X71" i="47"/>
  <c r="Z71" i="47" s="1"/>
  <c r="AA71" i="47" s="1"/>
  <c r="AB71" i="47"/>
  <c r="AD71" i="47" s="1"/>
  <c r="AE71" i="47" s="1"/>
  <c r="AF71" i="47"/>
  <c r="AH71" i="47" s="1"/>
  <c r="AI71" i="47" s="1"/>
  <c r="X70" i="47"/>
  <c r="Z70" i="47" s="1"/>
  <c r="AA70" i="47" s="1"/>
  <c r="AB70" i="47"/>
  <c r="AD70" i="47" s="1"/>
  <c r="AE70" i="47" s="1"/>
  <c r="AF70" i="47"/>
  <c r="AH70" i="47" s="1"/>
  <c r="AI70" i="47" s="1"/>
  <c r="X69" i="47"/>
  <c r="Z69" i="47" s="1"/>
  <c r="AA69" i="47" s="1"/>
  <c r="AB69" i="47"/>
  <c r="AD69" i="47" s="1"/>
  <c r="AE69" i="47" s="1"/>
  <c r="AF69" i="47"/>
  <c r="AH69" i="47" s="1"/>
  <c r="AI69" i="47" s="1"/>
  <c r="X68" i="47"/>
  <c r="Z68" i="47" s="1"/>
  <c r="AA68" i="47" s="1"/>
  <c r="AB68" i="47"/>
  <c r="AD68" i="47" s="1"/>
  <c r="AE68" i="47" s="1"/>
  <c r="AF68" i="47"/>
  <c r="AH68" i="47" s="1"/>
  <c r="AI68" i="47" s="1"/>
  <c r="X67" i="47"/>
  <c r="Z67" i="47" s="1"/>
  <c r="AA67" i="47" s="1"/>
  <c r="AB67" i="47"/>
  <c r="AD67" i="47" s="1"/>
  <c r="AE67" i="47" s="1"/>
  <c r="AF67" i="47"/>
  <c r="AH67" i="47" s="1"/>
  <c r="AI67" i="47" s="1"/>
  <c r="X66" i="47"/>
  <c r="Z66" i="47" s="1"/>
  <c r="AA66" i="47" s="1"/>
  <c r="AB66" i="47"/>
  <c r="AD66" i="47" s="1"/>
  <c r="AE66" i="47" s="1"/>
  <c r="AF66" i="47"/>
  <c r="AH66" i="47" s="1"/>
  <c r="AI66" i="47" s="1"/>
  <c r="X65" i="47"/>
  <c r="Z65" i="47" s="1"/>
  <c r="AA65" i="47" s="1"/>
  <c r="AB65" i="47"/>
  <c r="AD65" i="47" s="1"/>
  <c r="AE65" i="47" s="1"/>
  <c r="AF65" i="47"/>
  <c r="AH65" i="47" s="1"/>
  <c r="AI65" i="47" s="1"/>
  <c r="X64" i="47"/>
  <c r="Z64" i="47" s="1"/>
  <c r="AA64" i="47" s="1"/>
  <c r="AB64" i="47"/>
  <c r="AD64" i="47" s="1"/>
  <c r="AE64" i="47" s="1"/>
  <c r="AF64" i="47"/>
  <c r="AH64" i="47" s="1"/>
  <c r="AI64" i="47" s="1"/>
  <c r="X63" i="47"/>
  <c r="Z63" i="47" s="1"/>
  <c r="AA63" i="47" s="1"/>
  <c r="AB63" i="47"/>
  <c r="AD63" i="47" s="1"/>
  <c r="AE63" i="47" s="1"/>
  <c r="AF63" i="47"/>
  <c r="AH63" i="47" s="1"/>
  <c r="AI63" i="47" s="1"/>
  <c r="X62" i="47"/>
  <c r="Z62" i="47" s="1"/>
  <c r="AA62" i="47" s="1"/>
  <c r="AB62" i="47"/>
  <c r="AD62" i="47" s="1"/>
  <c r="AE62" i="47" s="1"/>
  <c r="AF62" i="47"/>
  <c r="AH62" i="47" s="1"/>
  <c r="AI62" i="47" s="1"/>
  <c r="X61" i="47"/>
  <c r="Z61" i="47" s="1"/>
  <c r="AA61" i="47" s="1"/>
  <c r="AB61" i="47"/>
  <c r="AD61" i="47" s="1"/>
  <c r="AE61" i="47" s="1"/>
  <c r="AF61" i="47"/>
  <c r="AH61" i="47" s="1"/>
  <c r="AI61" i="47" s="1"/>
  <c r="X60" i="47"/>
  <c r="Z60" i="47" s="1"/>
  <c r="AA60" i="47" s="1"/>
  <c r="AB60" i="47"/>
  <c r="AD60" i="47" s="1"/>
  <c r="AE60" i="47" s="1"/>
  <c r="AF60" i="47"/>
  <c r="AH60" i="47" s="1"/>
  <c r="AI60" i="47" s="1"/>
  <c r="X59" i="47"/>
  <c r="Z59" i="47" s="1"/>
  <c r="AA59" i="47" s="1"/>
  <c r="AB59" i="47"/>
  <c r="AD59" i="47" s="1"/>
  <c r="AE59" i="47" s="1"/>
  <c r="AF59" i="47"/>
  <c r="AH59" i="47" s="1"/>
  <c r="AI59" i="47" s="1"/>
  <c r="X58" i="47"/>
  <c r="Z58" i="47" s="1"/>
  <c r="AA58" i="47" s="1"/>
  <c r="AB58" i="47"/>
  <c r="AD58" i="47" s="1"/>
  <c r="AE58" i="47" s="1"/>
  <c r="AF58" i="47"/>
  <c r="AH58" i="47" s="1"/>
  <c r="AI58" i="47" s="1"/>
  <c r="X57" i="47"/>
  <c r="Z57" i="47" s="1"/>
  <c r="AA57" i="47" s="1"/>
  <c r="AB57" i="47"/>
  <c r="AD57" i="47" s="1"/>
  <c r="AE57" i="47" s="1"/>
  <c r="AF57" i="47"/>
  <c r="AH57" i="47" s="1"/>
  <c r="AI57" i="47" s="1"/>
  <c r="X56" i="47"/>
  <c r="Z56" i="47" s="1"/>
  <c r="AA56" i="47" s="1"/>
  <c r="AB56" i="47"/>
  <c r="AD56" i="47" s="1"/>
  <c r="AE56" i="47" s="1"/>
  <c r="AF56" i="47"/>
  <c r="AH56" i="47" s="1"/>
  <c r="AI56" i="47" s="1"/>
  <c r="X55" i="47"/>
  <c r="Z55" i="47" s="1"/>
  <c r="AA55" i="47" s="1"/>
  <c r="AB55" i="47"/>
  <c r="AD55" i="47" s="1"/>
  <c r="AE55" i="47" s="1"/>
  <c r="AF55" i="47"/>
  <c r="AH55" i="47" s="1"/>
  <c r="AI55" i="47" s="1"/>
  <c r="X54" i="47"/>
  <c r="Z54" i="47" s="1"/>
  <c r="AA54" i="47" s="1"/>
  <c r="AB54" i="47"/>
  <c r="AD54" i="47" s="1"/>
  <c r="AE54" i="47" s="1"/>
  <c r="AF54" i="47"/>
  <c r="AH54" i="47" s="1"/>
  <c r="AI54" i="47" s="1"/>
  <c r="X53" i="47"/>
  <c r="Z53" i="47" s="1"/>
  <c r="AA53" i="47" s="1"/>
  <c r="AB53" i="47"/>
  <c r="AD53" i="47" s="1"/>
  <c r="AE53" i="47" s="1"/>
  <c r="AF53" i="47"/>
  <c r="AH53" i="47" s="1"/>
  <c r="AI53" i="47" s="1"/>
  <c r="X52" i="47"/>
  <c r="Z52" i="47" s="1"/>
  <c r="AA52" i="47" s="1"/>
  <c r="AB52" i="47"/>
  <c r="AD52" i="47" s="1"/>
  <c r="AE52" i="47" s="1"/>
  <c r="AF52" i="47"/>
  <c r="AH52" i="47" s="1"/>
  <c r="AI52" i="47" s="1"/>
  <c r="X51" i="47"/>
  <c r="Z51" i="47" s="1"/>
  <c r="AA51" i="47" s="1"/>
  <c r="AB51" i="47"/>
  <c r="AD51" i="47" s="1"/>
  <c r="AE51" i="47" s="1"/>
  <c r="AF51" i="47"/>
  <c r="AH51" i="47" s="1"/>
  <c r="AI51" i="47" s="1"/>
  <c r="X50" i="47"/>
  <c r="Z50" i="47" s="1"/>
  <c r="AA50" i="47" s="1"/>
  <c r="AB50" i="47"/>
  <c r="AD50" i="47" s="1"/>
  <c r="AE50" i="47" s="1"/>
  <c r="AF50" i="47"/>
  <c r="AH50" i="47" s="1"/>
  <c r="AI50" i="47" s="1"/>
  <c r="X49" i="47"/>
  <c r="Z49" i="47" s="1"/>
  <c r="AA49" i="47" s="1"/>
  <c r="AB49" i="47"/>
  <c r="AD49" i="47" s="1"/>
  <c r="AE49" i="47" s="1"/>
  <c r="AF49" i="47"/>
  <c r="AH49" i="47" s="1"/>
  <c r="AI49" i="47" s="1"/>
  <c r="X48" i="47"/>
  <c r="Z48" i="47" s="1"/>
  <c r="AA48" i="47" s="1"/>
  <c r="AB48" i="47"/>
  <c r="AD48" i="47" s="1"/>
  <c r="AE48" i="47" s="1"/>
  <c r="AF48" i="47"/>
  <c r="AH48" i="47" s="1"/>
  <c r="AI48" i="47" s="1"/>
  <c r="X47" i="47"/>
  <c r="Z47" i="47" s="1"/>
  <c r="AA47" i="47" s="1"/>
  <c r="AB47" i="47"/>
  <c r="AD47" i="47" s="1"/>
  <c r="AE47" i="47" s="1"/>
  <c r="AF47" i="47"/>
  <c r="AH47" i="47" s="1"/>
  <c r="AI47" i="47" s="1"/>
  <c r="X46" i="47"/>
  <c r="Z46" i="47" s="1"/>
  <c r="AA46" i="47" s="1"/>
  <c r="AB46" i="47"/>
  <c r="AD46" i="47" s="1"/>
  <c r="AE46" i="47" s="1"/>
  <c r="AF46" i="47"/>
  <c r="AH46" i="47" s="1"/>
  <c r="AI46" i="47" s="1"/>
  <c r="X45" i="47"/>
  <c r="Z45" i="47" s="1"/>
  <c r="AA45" i="47" s="1"/>
  <c r="AB45" i="47"/>
  <c r="AD45" i="47" s="1"/>
  <c r="AE45" i="47" s="1"/>
  <c r="AF45" i="47"/>
  <c r="AH45" i="47" s="1"/>
  <c r="AI45" i="47" s="1"/>
  <c r="X44" i="47"/>
  <c r="Z44" i="47" s="1"/>
  <c r="AA44" i="47" s="1"/>
  <c r="AB44" i="47"/>
  <c r="AD44" i="47" s="1"/>
  <c r="AE44" i="47" s="1"/>
  <c r="AF44" i="47"/>
  <c r="AH44" i="47" s="1"/>
  <c r="AI44" i="47" s="1"/>
  <c r="X43" i="47"/>
  <c r="Z43" i="47" s="1"/>
  <c r="AA43" i="47" s="1"/>
  <c r="AB43" i="47"/>
  <c r="AD43" i="47" s="1"/>
  <c r="AE43" i="47" s="1"/>
  <c r="AF43" i="47"/>
  <c r="AH43" i="47" s="1"/>
  <c r="AI43" i="47" s="1"/>
  <c r="X42" i="47"/>
  <c r="Z42" i="47" s="1"/>
  <c r="AA42" i="47" s="1"/>
  <c r="AB42" i="47"/>
  <c r="AD42" i="47" s="1"/>
  <c r="AE42" i="47" s="1"/>
  <c r="AF42" i="47"/>
  <c r="AH42" i="47" s="1"/>
  <c r="AI42" i="47" s="1"/>
  <c r="X41" i="47"/>
  <c r="Z41" i="47" s="1"/>
  <c r="AA41" i="47" s="1"/>
  <c r="AB41" i="47"/>
  <c r="AD41" i="47" s="1"/>
  <c r="AE41" i="47" s="1"/>
  <c r="AF41" i="47"/>
  <c r="AH41" i="47" s="1"/>
  <c r="AI41" i="47" s="1"/>
  <c r="GZ69" i="47" l="1"/>
  <c r="GZ61" i="47"/>
  <c r="GZ57" i="47"/>
  <c r="GZ53" i="47"/>
  <c r="CY43" i="47"/>
  <c r="CY47" i="47"/>
  <c r="CY49" i="47"/>
  <c r="CY53" i="47"/>
  <c r="CY57" i="47"/>
  <c r="CY61" i="47"/>
  <c r="CY65" i="47"/>
  <c r="CY69" i="47"/>
  <c r="CY73" i="47"/>
  <c r="HL70" i="47"/>
  <c r="HL66" i="47"/>
  <c r="HL62" i="47"/>
  <c r="HL58" i="47"/>
  <c r="EQ48" i="47"/>
  <c r="EQ52" i="47"/>
  <c r="EQ56" i="47"/>
  <c r="EQ64" i="47"/>
  <c r="EQ72" i="47"/>
  <c r="GX76" i="47"/>
  <c r="CY48" i="47"/>
  <c r="CY52" i="47"/>
  <c r="CY64" i="47"/>
  <c r="CY68" i="47"/>
  <c r="GZ67" i="47"/>
  <c r="GZ63" i="47"/>
  <c r="GZ55" i="47"/>
  <c r="GM42" i="47"/>
  <c r="GN42" i="47" s="1"/>
  <c r="HL73" i="47"/>
  <c r="HL69" i="47"/>
  <c r="HL65" i="47"/>
  <c r="HL61" i="47"/>
  <c r="HL57" i="47"/>
  <c r="HL54" i="47"/>
  <c r="HL53" i="47"/>
  <c r="HL50" i="47"/>
  <c r="HL49" i="47"/>
  <c r="HL46" i="47"/>
  <c r="HL45" i="47"/>
  <c r="DY78" i="47"/>
  <c r="DY80" i="47"/>
  <c r="DY82" i="47"/>
  <c r="DY84" i="47"/>
  <c r="DY76" i="47"/>
  <c r="DY77" i="47"/>
  <c r="DY79" i="47"/>
  <c r="DY81" i="47"/>
  <c r="DY83" i="47"/>
  <c r="DY85" i="47"/>
  <c r="DZ8" i="47"/>
  <c r="EA8" i="47" s="1"/>
  <c r="GZ51" i="47"/>
  <c r="GZ47" i="47"/>
  <c r="GZ43" i="47"/>
  <c r="GZ70" i="47"/>
  <c r="GZ66" i="47"/>
  <c r="GZ62" i="47"/>
  <c r="GZ58" i="47"/>
  <c r="GZ54" i="47"/>
  <c r="GZ50" i="47"/>
  <c r="GZ46" i="47"/>
  <c r="GZ42" i="47"/>
  <c r="GZ72" i="47"/>
  <c r="GZ68" i="47"/>
  <c r="GZ56" i="47"/>
  <c r="GZ49" i="47"/>
  <c r="GZ59" i="47"/>
  <c r="HL63" i="47"/>
  <c r="HL60" i="47"/>
  <c r="HL71" i="47"/>
  <c r="HL68" i="47"/>
  <c r="HL47" i="47"/>
  <c r="HL44" i="47"/>
  <c r="GZ52" i="47"/>
  <c r="GZ45" i="47"/>
  <c r="HL55" i="47"/>
  <c r="HL52" i="47"/>
  <c r="GZ64" i="47"/>
  <c r="GZ48" i="47"/>
  <c r="GZ41" i="47"/>
  <c r="GZ60" i="47"/>
  <c r="GZ44" i="47"/>
  <c r="HL72" i="47"/>
  <c r="HL67" i="47"/>
  <c r="HL64" i="47"/>
  <c r="HL59" i="47"/>
  <c r="HL56" i="47"/>
  <c r="HL51" i="47"/>
  <c r="HL48" i="47"/>
  <c r="GK44" i="47"/>
  <c r="GM43" i="47"/>
  <c r="GN43" i="47" s="1"/>
  <c r="CY72" i="47"/>
  <c r="CY60" i="47"/>
  <c r="CY56" i="47"/>
  <c r="CY44" i="47"/>
  <c r="CY71" i="47"/>
  <c r="CY62" i="47"/>
  <c r="CY55" i="47"/>
  <c r="CY46" i="47"/>
  <c r="CY67" i="47"/>
  <c r="CY58" i="47"/>
  <c r="CY51" i="47"/>
  <c r="CY42" i="47"/>
  <c r="CY70" i="47"/>
  <c r="CY63" i="47"/>
  <c r="CY54" i="47"/>
  <c r="CY45" i="47"/>
  <c r="EQ57" i="47"/>
  <c r="EQ49" i="47"/>
  <c r="EQ41" i="47"/>
  <c r="CY66" i="47"/>
  <c r="CY59" i="47"/>
  <c r="CY50" i="47"/>
  <c r="CY41" i="47"/>
  <c r="EQ68" i="47"/>
  <c r="EQ60" i="47"/>
  <c r="EQ44" i="47"/>
  <c r="EQ71" i="47"/>
  <c r="EQ66" i="47"/>
  <c r="EQ63" i="47"/>
  <c r="EQ58" i="47"/>
  <c r="EQ55" i="47"/>
  <c r="EQ50" i="47"/>
  <c r="EQ47" i="47"/>
  <c r="EQ42" i="47"/>
  <c r="EQ70" i="47"/>
  <c r="EQ67" i="47"/>
  <c r="EQ62" i="47"/>
  <c r="EQ59" i="47"/>
  <c r="EQ54" i="47"/>
  <c r="EQ51" i="47"/>
  <c r="EQ46" i="47"/>
  <c r="EQ43" i="47"/>
  <c r="GM44" i="47" l="1"/>
  <c r="GN44" i="47" s="1"/>
  <c r="GK45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L41" i="47"/>
  <c r="CA41" i="47" s="1" a="1"/>
  <c r="CA41" i="47" s="1"/>
  <c r="L42" i="47"/>
  <c r="L43" i="47"/>
  <c r="CA43" i="47" s="1" a="1"/>
  <c r="CA43" i="47" s="1"/>
  <c r="L44" i="47"/>
  <c r="L45" i="47"/>
  <c r="L46" i="47"/>
  <c r="L47" i="47"/>
  <c r="L48" i="47"/>
  <c r="L49" i="47"/>
  <c r="L50" i="47"/>
  <c r="L51" i="47"/>
  <c r="CA51" i="47" s="1" a="1"/>
  <c r="CA51" i="47" s="1"/>
  <c r="L52" i="47"/>
  <c r="L53" i="47"/>
  <c r="S53" i="47" s="1"/>
  <c r="L54" i="47"/>
  <c r="L55" i="47"/>
  <c r="L56" i="47"/>
  <c r="L57" i="47"/>
  <c r="L58" i="47"/>
  <c r="L59" i="47"/>
  <c r="CA59" i="47" s="1" a="1"/>
  <c r="CA59" i="47" s="1"/>
  <c r="L60" i="47"/>
  <c r="L61" i="47"/>
  <c r="L62" i="47"/>
  <c r="L63" i="47"/>
  <c r="L64" i="47"/>
  <c r="L65" i="47"/>
  <c r="L66" i="47"/>
  <c r="L67" i="47"/>
  <c r="CA67" i="47" s="1" a="1"/>
  <c r="CA67" i="47" s="1"/>
  <c r="L68" i="47"/>
  <c r="L69" i="47"/>
  <c r="CA69" i="47" s="1" a="1"/>
  <c r="CA69" i="47" s="1"/>
  <c r="L70" i="47"/>
  <c r="L71" i="47"/>
  <c r="L72" i="47"/>
  <c r="L73" i="47"/>
  <c r="J41" i="47"/>
  <c r="J42" i="47"/>
  <c r="FE42" i="47" s="1"/>
  <c r="J43" i="47"/>
  <c r="J44" i="47"/>
  <c r="J45" i="47"/>
  <c r="J46" i="47"/>
  <c r="J47" i="47"/>
  <c r="J48" i="47"/>
  <c r="J49" i="47"/>
  <c r="J50" i="47"/>
  <c r="FE50" i="47" s="1"/>
  <c r="J51" i="47"/>
  <c r="J52" i="47"/>
  <c r="J53" i="47"/>
  <c r="J54" i="47"/>
  <c r="J55" i="47"/>
  <c r="J56" i="47"/>
  <c r="J57" i="47"/>
  <c r="J58" i="47"/>
  <c r="FE58" i="47" s="1"/>
  <c r="J59" i="47"/>
  <c r="J60" i="47"/>
  <c r="J61" i="47"/>
  <c r="J62" i="47"/>
  <c r="J63" i="47"/>
  <c r="J64" i="47"/>
  <c r="J65" i="47"/>
  <c r="J66" i="47"/>
  <c r="FE66" i="47" s="1"/>
  <c r="J67" i="47"/>
  <c r="J68" i="47"/>
  <c r="J69" i="47"/>
  <c r="J70" i="47"/>
  <c r="J71" i="47"/>
  <c r="J72" i="47"/>
  <c r="J73" i="47"/>
  <c r="H41" i="47"/>
  <c r="H42" i="47"/>
  <c r="H43" i="47"/>
  <c r="H44" i="47"/>
  <c r="BU44" i="47" s="1" a="1"/>
  <c r="BU44" i="47" s="1"/>
  <c r="H45" i="47"/>
  <c r="H46" i="47"/>
  <c r="H47" i="47"/>
  <c r="H48" i="47"/>
  <c r="BU48" i="47" s="1" a="1"/>
  <c r="BU48" i="47" s="1"/>
  <c r="H49" i="47"/>
  <c r="H50" i="47"/>
  <c r="H51" i="47"/>
  <c r="H52" i="47"/>
  <c r="H53" i="47"/>
  <c r="H54" i="47"/>
  <c r="H55" i="47"/>
  <c r="H56" i="47"/>
  <c r="H57" i="47"/>
  <c r="H58" i="47"/>
  <c r="H59" i="47"/>
  <c r="H60" i="47"/>
  <c r="BU60" i="47" s="1" a="1"/>
  <c r="BU60" i="47" s="1"/>
  <c r="H61" i="47"/>
  <c r="H62" i="47"/>
  <c r="H63" i="47"/>
  <c r="BU63" i="47" s="1" a="1"/>
  <c r="BU63" i="47" s="1"/>
  <c r="H64" i="47"/>
  <c r="H65" i="47"/>
  <c r="H66" i="47"/>
  <c r="H67" i="47"/>
  <c r="H68" i="47"/>
  <c r="H69" i="47"/>
  <c r="H70" i="47"/>
  <c r="H71" i="47"/>
  <c r="H72" i="47"/>
  <c r="H73" i="47"/>
  <c r="EK9" i="46"/>
  <c r="EK10" i="46"/>
  <c r="EK11" i="46"/>
  <c r="EK8" i="46"/>
  <c r="JC9" i="35"/>
  <c r="JC10" i="35"/>
  <c r="JC11" i="35"/>
  <c r="JC12" i="35"/>
  <c r="JC13" i="35"/>
  <c r="JC14" i="35"/>
  <c r="JC15" i="35"/>
  <c r="JC16" i="35"/>
  <c r="JC17" i="35"/>
  <c r="JC18" i="35"/>
  <c r="JC19" i="35"/>
  <c r="JC20" i="35"/>
  <c r="JC21" i="35"/>
  <c r="JC22" i="35"/>
  <c r="JC23" i="35"/>
  <c r="JC24" i="35"/>
  <c r="JC25" i="35"/>
  <c r="JC26" i="35"/>
  <c r="JC27" i="35"/>
  <c r="JC28" i="35"/>
  <c r="JC29" i="35"/>
  <c r="JC30" i="35"/>
  <c r="JC31" i="35"/>
  <c r="JC32" i="35"/>
  <c r="JC33" i="35"/>
  <c r="JC34" i="35"/>
  <c r="JC35" i="35"/>
  <c r="JC36" i="35"/>
  <c r="JC37" i="35"/>
  <c r="JC38" i="35"/>
  <c r="JC39" i="35"/>
  <c r="JC40" i="35"/>
  <c r="JC8" i="35"/>
  <c r="II40" i="47"/>
  <c r="HO40" i="47"/>
  <c r="HP40" i="47" s="1"/>
  <c r="HK40" i="47"/>
  <c r="HJ40" i="47"/>
  <c r="HH40" i="47"/>
  <c r="HC40" i="47"/>
  <c r="HD40" i="47" s="1"/>
  <c r="GY40" i="47"/>
  <c r="GU40" i="47"/>
  <c r="GV40" i="47" s="1"/>
  <c r="GQ40" i="47"/>
  <c r="GR40" i="47" s="1"/>
  <c r="GG40" i="47"/>
  <c r="FZ40" i="47"/>
  <c r="GA40" i="47" s="1"/>
  <c r="FR40" i="47"/>
  <c r="FK40" i="47"/>
  <c r="FC40" i="47"/>
  <c r="FD40" i="47" s="1"/>
  <c r="EZ40" i="47"/>
  <c r="EV40" i="47"/>
  <c r="EX40" i="47" s="1"/>
  <c r="EY40" i="47" s="1"/>
  <c r="ER40" i="47"/>
  <c r="ET40" i="47" s="1"/>
  <c r="EU40" i="47" s="1"/>
  <c r="EO40" i="47"/>
  <c r="EN40" i="47"/>
  <c r="EP40" i="47" s="1"/>
  <c r="EJ40" i="47"/>
  <c r="EL40" i="47" s="1"/>
  <c r="EM40" i="47" s="1"/>
  <c r="EF40" i="47"/>
  <c r="EH40" i="47" s="1"/>
  <c r="EI40" i="47" s="1"/>
  <c r="EB40" i="47"/>
  <c r="ED40" i="47" s="1"/>
  <c r="EE40" i="47" s="1"/>
  <c r="DT40" i="47"/>
  <c r="DV40" i="47" s="1"/>
  <c r="DW40" i="47" s="1"/>
  <c r="DP40" i="47"/>
  <c r="DR40" i="47" s="1"/>
  <c r="DS40" i="47" s="1"/>
  <c r="DL40" i="47"/>
  <c r="DN40" i="47" s="1"/>
  <c r="DO40" i="47" s="1"/>
  <c r="DJ40" i="47"/>
  <c r="DF40" i="47"/>
  <c r="DG40" i="47" s="1"/>
  <c r="DB40" i="47"/>
  <c r="DC40" i="47" s="1"/>
  <c r="CW40" i="47"/>
  <c r="CV40" i="47"/>
  <c r="CX40" i="47" s="1"/>
  <c r="CR40" i="47"/>
  <c r="CT40" i="47" s="1"/>
  <c r="CU40" i="47" s="1"/>
  <c r="CN40" i="47"/>
  <c r="CP40" i="47" s="1"/>
  <c r="CQ40" i="47" s="1"/>
  <c r="CJ40" i="47"/>
  <c r="CL40" i="47" s="1"/>
  <c r="CM40" i="47" s="1"/>
  <c r="CI40" i="47"/>
  <c r="BH40" i="47"/>
  <c r="BI40" i="47" s="1"/>
  <c r="AN40" i="47"/>
  <c r="AP40" i="47" s="1"/>
  <c r="AQ40" i="47" s="1"/>
  <c r="AJ40" i="47"/>
  <c r="AL40" i="47" s="1"/>
  <c r="AM40" i="47" s="1"/>
  <c r="AF40" i="47"/>
  <c r="AH40" i="47" s="1"/>
  <c r="AI40" i="47" s="1"/>
  <c r="AB40" i="47"/>
  <c r="AD40" i="47" s="1"/>
  <c r="AE40" i="47" s="1"/>
  <c r="X40" i="47"/>
  <c r="Z40" i="47" s="1"/>
  <c r="AA40" i="47" s="1"/>
  <c r="N40" i="47"/>
  <c r="GC40" i="47" s="1" a="1"/>
  <c r="GC40" i="47" s="1"/>
  <c r="L40" i="47"/>
  <c r="S40" i="47" s="1"/>
  <c r="J40" i="47"/>
  <c r="H40" i="47"/>
  <c r="II39" i="47"/>
  <c r="HO39" i="47"/>
  <c r="HP39" i="47" s="1"/>
  <c r="HK39" i="47"/>
  <c r="HJ39" i="47"/>
  <c r="HH39" i="47"/>
  <c r="HC39" i="47"/>
  <c r="HD39" i="47" s="1"/>
  <c r="GY39" i="47"/>
  <c r="GU39" i="47"/>
  <c r="GV39" i="47" s="1"/>
  <c r="GQ39" i="47"/>
  <c r="GR39" i="47" s="1"/>
  <c r="GG39" i="47"/>
  <c r="FZ39" i="47"/>
  <c r="GA39" i="47" s="1"/>
  <c r="FU39" i="47"/>
  <c r="FR39" i="47"/>
  <c r="FK39" i="47"/>
  <c r="FC39" i="47"/>
  <c r="FD39" i="47" s="1"/>
  <c r="EZ39" i="47"/>
  <c r="EV39" i="47"/>
  <c r="EX39" i="47" s="1"/>
  <c r="EY39" i="47" s="1"/>
  <c r="ER39" i="47"/>
  <c r="ET39" i="47" s="1"/>
  <c r="EU39" i="47" s="1"/>
  <c r="EO39" i="47"/>
  <c r="EN39" i="47"/>
  <c r="EP39" i="47" s="1"/>
  <c r="EJ39" i="47"/>
  <c r="EL39" i="47" s="1"/>
  <c r="EM39" i="47" s="1"/>
  <c r="EF39" i="47"/>
  <c r="EH39" i="47" s="1"/>
  <c r="EI39" i="47" s="1"/>
  <c r="EB39" i="47"/>
  <c r="ED39" i="47" s="1"/>
  <c r="EE39" i="47" s="1"/>
  <c r="DT39" i="47"/>
  <c r="DV39" i="47" s="1"/>
  <c r="DW39" i="47" s="1"/>
  <c r="DP39" i="47"/>
  <c r="DR39" i="47" s="1"/>
  <c r="DS39" i="47" s="1"/>
  <c r="DL39" i="47"/>
  <c r="DN39" i="47" s="1"/>
  <c r="DO39" i="47" s="1"/>
  <c r="DJ39" i="47"/>
  <c r="DF39" i="47"/>
  <c r="DG39" i="47" s="1"/>
  <c r="DB39" i="47"/>
  <c r="DC39" i="47" s="1"/>
  <c r="CW39" i="47"/>
  <c r="CV39" i="47"/>
  <c r="CX39" i="47" s="1"/>
  <c r="CR39" i="47"/>
  <c r="CT39" i="47" s="1"/>
  <c r="CU39" i="47" s="1"/>
  <c r="CN39" i="47"/>
  <c r="CP39" i="47" s="1"/>
  <c r="CQ39" i="47" s="1"/>
  <c r="CJ39" i="47"/>
  <c r="CL39" i="47" s="1"/>
  <c r="CM39" i="47" s="1"/>
  <c r="CI39" i="47"/>
  <c r="BH39" i="47"/>
  <c r="BI39" i="47" s="1"/>
  <c r="AN39" i="47"/>
  <c r="AP39" i="47" s="1"/>
  <c r="AQ39" i="47" s="1"/>
  <c r="AJ39" i="47"/>
  <c r="AL39" i="47" s="1"/>
  <c r="AM39" i="47" s="1"/>
  <c r="AF39" i="47"/>
  <c r="AH39" i="47" s="1"/>
  <c r="AI39" i="47" s="1"/>
  <c r="AB39" i="47"/>
  <c r="AD39" i="47" s="1"/>
  <c r="AE39" i="47" s="1"/>
  <c r="X39" i="47"/>
  <c r="Z39" i="47" s="1"/>
  <c r="AA39" i="47" s="1"/>
  <c r="N39" i="47"/>
  <c r="GC39" i="47" s="1" a="1"/>
  <c r="GC39" i="47" s="1"/>
  <c r="L39" i="47"/>
  <c r="S39" i="47" s="1"/>
  <c r="BO39" i="47" s="1" a="1"/>
  <c r="BO39" i="47" s="1"/>
  <c r="J39" i="47"/>
  <c r="H39" i="47"/>
  <c r="II38" i="47"/>
  <c r="HO38" i="47"/>
  <c r="HP38" i="47" s="1"/>
  <c r="HK38" i="47"/>
  <c r="HJ38" i="47"/>
  <c r="HH38" i="47"/>
  <c r="HC38" i="47"/>
  <c r="HD38" i="47" s="1"/>
  <c r="GY38" i="47"/>
  <c r="GU38" i="47"/>
  <c r="GV38" i="47" s="1"/>
  <c r="GQ38" i="47"/>
  <c r="GR38" i="47" s="1"/>
  <c r="GG38" i="47"/>
  <c r="FZ38" i="47"/>
  <c r="GA38" i="47" s="1"/>
  <c r="FU38" i="47"/>
  <c r="FR38" i="47"/>
  <c r="FK38" i="47"/>
  <c r="FC38" i="47"/>
  <c r="FD38" i="47" s="1"/>
  <c r="EZ38" i="47"/>
  <c r="EV38" i="47"/>
  <c r="EX38" i="47" s="1"/>
  <c r="EY38" i="47" s="1"/>
  <c r="ER38" i="47"/>
  <c r="ET38" i="47" s="1"/>
  <c r="EU38" i="47" s="1"/>
  <c r="EO38" i="47"/>
  <c r="EN38" i="47"/>
  <c r="EP38" i="47" s="1"/>
  <c r="EJ38" i="47"/>
  <c r="EL38" i="47" s="1"/>
  <c r="EM38" i="47" s="1"/>
  <c r="EF38" i="47"/>
  <c r="EH38" i="47" s="1"/>
  <c r="EI38" i="47" s="1"/>
  <c r="EB38" i="47"/>
  <c r="ED38" i="47" s="1"/>
  <c r="EE38" i="47" s="1"/>
  <c r="DT38" i="47"/>
  <c r="DV38" i="47" s="1"/>
  <c r="DW38" i="47" s="1"/>
  <c r="DP38" i="47"/>
  <c r="DR38" i="47" s="1"/>
  <c r="DS38" i="47" s="1"/>
  <c r="DL38" i="47"/>
  <c r="DN38" i="47" s="1"/>
  <c r="DO38" i="47" s="1"/>
  <c r="DJ38" i="47"/>
  <c r="DF38" i="47"/>
  <c r="DG38" i="47" s="1"/>
  <c r="DB38" i="47"/>
  <c r="DC38" i="47" s="1"/>
  <c r="CW38" i="47"/>
  <c r="CV38" i="47"/>
  <c r="CX38" i="47" s="1"/>
  <c r="CR38" i="47"/>
  <c r="CT38" i="47" s="1"/>
  <c r="CU38" i="47" s="1"/>
  <c r="CN38" i="47"/>
  <c r="CP38" i="47" s="1"/>
  <c r="CQ38" i="47" s="1"/>
  <c r="CJ38" i="47"/>
  <c r="CL38" i="47" s="1"/>
  <c r="CM38" i="47" s="1"/>
  <c r="CI38" i="47"/>
  <c r="BH38" i="47"/>
  <c r="BI38" i="47" s="1"/>
  <c r="AN38" i="47"/>
  <c r="AP38" i="47" s="1"/>
  <c r="AQ38" i="47" s="1"/>
  <c r="AJ38" i="47"/>
  <c r="AL38" i="47" s="1"/>
  <c r="AM38" i="47" s="1"/>
  <c r="AF38" i="47"/>
  <c r="AH38" i="47" s="1"/>
  <c r="AI38" i="47" s="1"/>
  <c r="AB38" i="47"/>
  <c r="AD38" i="47" s="1"/>
  <c r="AE38" i="47" s="1"/>
  <c r="X38" i="47"/>
  <c r="Z38" i="47" s="1"/>
  <c r="AA38" i="47" s="1"/>
  <c r="N38" i="47"/>
  <c r="GC38" i="47" s="1" a="1"/>
  <c r="GC38" i="47" s="1"/>
  <c r="L38" i="47"/>
  <c r="S38" i="47" s="1"/>
  <c r="J38" i="47"/>
  <c r="H38" i="47"/>
  <c r="R38" i="47" s="1"/>
  <c r="II37" i="47"/>
  <c r="HO37" i="47"/>
  <c r="HP37" i="47" s="1"/>
  <c r="HK37" i="47"/>
  <c r="HJ37" i="47"/>
  <c r="HH37" i="47"/>
  <c r="HC37" i="47"/>
  <c r="HD37" i="47" s="1"/>
  <c r="GY37" i="47"/>
  <c r="GU37" i="47"/>
  <c r="GV37" i="47" s="1"/>
  <c r="GQ37" i="47"/>
  <c r="GR37" i="47" s="1"/>
  <c r="GG37" i="47"/>
  <c r="FZ37" i="47"/>
  <c r="GA37" i="47" s="1"/>
  <c r="FU37" i="47"/>
  <c r="FR37" i="47"/>
  <c r="FK37" i="47"/>
  <c r="FC37" i="47"/>
  <c r="FD37" i="47" s="1"/>
  <c r="EZ37" i="47"/>
  <c r="EV37" i="47"/>
  <c r="EX37" i="47" s="1"/>
  <c r="EY37" i="47" s="1"/>
  <c r="ER37" i="47"/>
  <c r="ET37" i="47" s="1"/>
  <c r="EU37" i="47" s="1"/>
  <c r="EO37" i="47"/>
  <c r="EN37" i="47"/>
  <c r="EP37" i="47" s="1"/>
  <c r="EJ37" i="47"/>
  <c r="EL37" i="47" s="1"/>
  <c r="EM37" i="47" s="1"/>
  <c r="EF37" i="47"/>
  <c r="EH37" i="47" s="1"/>
  <c r="EI37" i="47" s="1"/>
  <c r="EB37" i="47"/>
  <c r="ED37" i="47" s="1"/>
  <c r="EE37" i="47" s="1"/>
  <c r="DT37" i="47"/>
  <c r="DV37" i="47" s="1"/>
  <c r="DW37" i="47" s="1"/>
  <c r="DP37" i="47"/>
  <c r="DR37" i="47" s="1"/>
  <c r="DS37" i="47" s="1"/>
  <c r="DL37" i="47"/>
  <c r="DN37" i="47" s="1"/>
  <c r="DO37" i="47" s="1"/>
  <c r="DJ37" i="47"/>
  <c r="DF37" i="47"/>
  <c r="DG37" i="47" s="1"/>
  <c r="DB37" i="47"/>
  <c r="DC37" i="47" s="1"/>
  <c r="CW37" i="47"/>
  <c r="CV37" i="47"/>
  <c r="CX37" i="47" s="1"/>
  <c r="CR37" i="47"/>
  <c r="CT37" i="47" s="1"/>
  <c r="CU37" i="47" s="1"/>
  <c r="CN37" i="47"/>
  <c r="CP37" i="47" s="1"/>
  <c r="CQ37" i="47" s="1"/>
  <c r="CJ37" i="47"/>
  <c r="CL37" i="47" s="1"/>
  <c r="CM37" i="47" s="1"/>
  <c r="CI37" i="47"/>
  <c r="BH37" i="47"/>
  <c r="BI37" i="47" s="1"/>
  <c r="AN37" i="47"/>
  <c r="AP37" i="47" s="1"/>
  <c r="AQ37" i="47" s="1"/>
  <c r="AJ37" i="47"/>
  <c r="AL37" i="47" s="1"/>
  <c r="AM37" i="47" s="1"/>
  <c r="AF37" i="47"/>
  <c r="AH37" i="47" s="1"/>
  <c r="AI37" i="47" s="1"/>
  <c r="AB37" i="47"/>
  <c r="AD37" i="47" s="1"/>
  <c r="AE37" i="47" s="1"/>
  <c r="X37" i="47"/>
  <c r="Z37" i="47" s="1"/>
  <c r="AA37" i="47" s="1"/>
  <c r="N37" i="47"/>
  <c r="L37" i="47"/>
  <c r="CA37" i="47" s="1" a="1"/>
  <c r="CA37" i="47" s="1"/>
  <c r="J37" i="47"/>
  <c r="H37" i="47"/>
  <c r="II36" i="47"/>
  <c r="HO36" i="47"/>
  <c r="HP36" i="47" s="1"/>
  <c r="HK36" i="47"/>
  <c r="HJ36" i="47"/>
  <c r="HH36" i="47"/>
  <c r="HC36" i="47"/>
  <c r="HD36" i="47" s="1"/>
  <c r="GY36" i="47"/>
  <c r="GU36" i="47"/>
  <c r="GV36" i="47" s="1"/>
  <c r="GQ36" i="47"/>
  <c r="GR36" i="47" s="1"/>
  <c r="GG36" i="47"/>
  <c r="FZ36" i="47"/>
  <c r="GA36" i="47" s="1"/>
  <c r="FU36" i="47"/>
  <c r="FR36" i="47"/>
  <c r="FK36" i="47"/>
  <c r="FC36" i="47"/>
  <c r="FD36" i="47" s="1"/>
  <c r="EZ36" i="47"/>
  <c r="EV36" i="47"/>
  <c r="EX36" i="47" s="1"/>
  <c r="EY36" i="47" s="1"/>
  <c r="ER36" i="47"/>
  <c r="ET36" i="47" s="1"/>
  <c r="EU36" i="47" s="1"/>
  <c r="EO36" i="47"/>
  <c r="EN36" i="47"/>
  <c r="EP36" i="47" s="1"/>
  <c r="EJ36" i="47"/>
  <c r="EL36" i="47" s="1"/>
  <c r="EM36" i="47" s="1"/>
  <c r="EF36" i="47"/>
  <c r="EH36" i="47" s="1"/>
  <c r="EI36" i="47" s="1"/>
  <c r="EB36" i="47"/>
  <c r="ED36" i="47" s="1"/>
  <c r="EE36" i="47" s="1"/>
  <c r="DT36" i="47"/>
  <c r="DV36" i="47" s="1"/>
  <c r="DW36" i="47" s="1"/>
  <c r="DP36" i="47"/>
  <c r="DR36" i="47" s="1"/>
  <c r="DS36" i="47" s="1"/>
  <c r="DL36" i="47"/>
  <c r="DN36" i="47" s="1"/>
  <c r="DO36" i="47" s="1"/>
  <c r="DJ36" i="47"/>
  <c r="DF36" i="47"/>
  <c r="DG36" i="47" s="1"/>
  <c r="DB36" i="47"/>
  <c r="DC36" i="47" s="1"/>
  <c r="CW36" i="47"/>
  <c r="CV36" i="47"/>
  <c r="CX36" i="47" s="1"/>
  <c r="CR36" i="47"/>
  <c r="CT36" i="47" s="1"/>
  <c r="CU36" i="47" s="1"/>
  <c r="CN36" i="47"/>
  <c r="CP36" i="47" s="1"/>
  <c r="CQ36" i="47" s="1"/>
  <c r="CJ36" i="47"/>
  <c r="CL36" i="47" s="1"/>
  <c r="CM36" i="47" s="1"/>
  <c r="CI36" i="47"/>
  <c r="BH36" i="47"/>
  <c r="BI36" i="47" s="1"/>
  <c r="AN36" i="47"/>
  <c r="AP36" i="47" s="1"/>
  <c r="AQ36" i="47" s="1"/>
  <c r="AJ36" i="47"/>
  <c r="AL36" i="47" s="1"/>
  <c r="AM36" i="47" s="1"/>
  <c r="AF36" i="47"/>
  <c r="AH36" i="47" s="1"/>
  <c r="AI36" i="47" s="1"/>
  <c r="AB36" i="47"/>
  <c r="AD36" i="47" s="1"/>
  <c r="AE36" i="47" s="1"/>
  <c r="X36" i="47"/>
  <c r="Z36" i="47" s="1"/>
  <c r="AA36" i="47" s="1"/>
  <c r="N36" i="47"/>
  <c r="L36" i="47"/>
  <c r="J36" i="47"/>
  <c r="H36" i="47"/>
  <c r="II35" i="47"/>
  <c r="HO35" i="47"/>
  <c r="HP35" i="47" s="1"/>
  <c r="HK35" i="47"/>
  <c r="HJ35" i="47"/>
  <c r="HH35" i="47"/>
  <c r="HC35" i="47"/>
  <c r="HD35" i="47" s="1"/>
  <c r="GY35" i="47"/>
  <c r="GU35" i="47"/>
  <c r="GV35" i="47" s="1"/>
  <c r="GQ35" i="47"/>
  <c r="GR35" i="47" s="1"/>
  <c r="GG35" i="47"/>
  <c r="FZ35" i="47"/>
  <c r="GA35" i="47" s="1"/>
  <c r="FU35" i="47"/>
  <c r="FR35" i="47"/>
  <c r="FK35" i="47"/>
  <c r="FC35" i="47"/>
  <c r="FD35" i="47" s="1"/>
  <c r="EZ35" i="47"/>
  <c r="EV35" i="47"/>
  <c r="EX35" i="47" s="1"/>
  <c r="EY35" i="47" s="1"/>
  <c r="ER35" i="47"/>
  <c r="ET35" i="47" s="1"/>
  <c r="EU35" i="47" s="1"/>
  <c r="EO35" i="47"/>
  <c r="EN35" i="47"/>
  <c r="EP35" i="47" s="1"/>
  <c r="EJ35" i="47"/>
  <c r="EL35" i="47" s="1"/>
  <c r="EM35" i="47" s="1"/>
  <c r="EF35" i="47"/>
  <c r="EH35" i="47" s="1"/>
  <c r="EI35" i="47" s="1"/>
  <c r="EB35" i="47"/>
  <c r="ED35" i="47" s="1"/>
  <c r="EE35" i="47" s="1"/>
  <c r="DT35" i="47"/>
  <c r="DV35" i="47" s="1"/>
  <c r="DW35" i="47" s="1"/>
  <c r="DP35" i="47"/>
  <c r="DR35" i="47" s="1"/>
  <c r="DS35" i="47" s="1"/>
  <c r="DL35" i="47"/>
  <c r="DN35" i="47" s="1"/>
  <c r="DO35" i="47" s="1"/>
  <c r="DJ35" i="47"/>
  <c r="DF35" i="47"/>
  <c r="DG35" i="47" s="1"/>
  <c r="DB35" i="47"/>
  <c r="DC35" i="47" s="1"/>
  <c r="CW35" i="47"/>
  <c r="CV35" i="47"/>
  <c r="CX35" i="47" s="1"/>
  <c r="CR35" i="47"/>
  <c r="CT35" i="47" s="1"/>
  <c r="CU35" i="47" s="1"/>
  <c r="CN35" i="47"/>
  <c r="CP35" i="47" s="1"/>
  <c r="CQ35" i="47" s="1"/>
  <c r="CJ35" i="47"/>
  <c r="CL35" i="47" s="1"/>
  <c r="CM35" i="47" s="1"/>
  <c r="CI35" i="47"/>
  <c r="BH35" i="47"/>
  <c r="BI35" i="47" s="1"/>
  <c r="AN35" i="47"/>
  <c r="AP35" i="47" s="1"/>
  <c r="AQ35" i="47" s="1"/>
  <c r="AJ35" i="47"/>
  <c r="AL35" i="47" s="1"/>
  <c r="AM35" i="47" s="1"/>
  <c r="AF35" i="47"/>
  <c r="AH35" i="47" s="1"/>
  <c r="AI35" i="47" s="1"/>
  <c r="AB35" i="47"/>
  <c r="AD35" i="47" s="1"/>
  <c r="AE35" i="47" s="1"/>
  <c r="X35" i="47"/>
  <c r="Z35" i="47" s="1"/>
  <c r="AA35" i="47" s="1"/>
  <c r="N35" i="47"/>
  <c r="GC35" i="47" s="1" a="1"/>
  <c r="GC35" i="47" s="1"/>
  <c r="L35" i="47"/>
  <c r="J35" i="47"/>
  <c r="H35" i="47"/>
  <c r="II34" i="47"/>
  <c r="HO34" i="47"/>
  <c r="HP34" i="47" s="1"/>
  <c r="HK34" i="47"/>
  <c r="HJ34" i="47"/>
  <c r="HH34" i="47"/>
  <c r="HC34" i="47"/>
  <c r="HD34" i="47" s="1"/>
  <c r="GY34" i="47"/>
  <c r="GU34" i="47"/>
  <c r="GV34" i="47" s="1"/>
  <c r="GQ34" i="47"/>
  <c r="GR34" i="47" s="1"/>
  <c r="GG34" i="47"/>
  <c r="FZ34" i="47"/>
  <c r="GA34" i="47" s="1"/>
  <c r="FU34" i="47"/>
  <c r="FR34" i="47"/>
  <c r="FK34" i="47"/>
  <c r="FC34" i="47"/>
  <c r="FD34" i="47" s="1"/>
  <c r="EZ34" i="47"/>
  <c r="EV34" i="47"/>
  <c r="EX34" i="47" s="1"/>
  <c r="EY34" i="47" s="1"/>
  <c r="ER34" i="47"/>
  <c r="ET34" i="47" s="1"/>
  <c r="EU34" i="47" s="1"/>
  <c r="EO34" i="47"/>
  <c r="EN34" i="47"/>
  <c r="EP34" i="47" s="1"/>
  <c r="EJ34" i="47"/>
  <c r="EL34" i="47" s="1"/>
  <c r="EM34" i="47" s="1"/>
  <c r="EF34" i="47"/>
  <c r="EH34" i="47" s="1"/>
  <c r="EI34" i="47" s="1"/>
  <c r="EB34" i="47"/>
  <c r="ED34" i="47" s="1"/>
  <c r="EE34" i="47" s="1"/>
  <c r="DT34" i="47"/>
  <c r="DV34" i="47" s="1"/>
  <c r="DW34" i="47" s="1"/>
  <c r="DP34" i="47"/>
  <c r="DR34" i="47" s="1"/>
  <c r="DS34" i="47" s="1"/>
  <c r="DL34" i="47"/>
  <c r="DN34" i="47" s="1"/>
  <c r="DO34" i="47" s="1"/>
  <c r="DJ34" i="47"/>
  <c r="DF34" i="47"/>
  <c r="DG34" i="47" s="1"/>
  <c r="DB34" i="47"/>
  <c r="DC34" i="47" s="1"/>
  <c r="CW34" i="47"/>
  <c r="CV34" i="47"/>
  <c r="CX34" i="47" s="1"/>
  <c r="CR34" i="47"/>
  <c r="CT34" i="47" s="1"/>
  <c r="CU34" i="47" s="1"/>
  <c r="CN34" i="47"/>
  <c r="CP34" i="47" s="1"/>
  <c r="CQ34" i="47" s="1"/>
  <c r="CJ34" i="47"/>
  <c r="CL34" i="47" s="1"/>
  <c r="CM34" i="47" s="1"/>
  <c r="CI34" i="47"/>
  <c r="BH34" i="47"/>
  <c r="BI34" i="47" s="1"/>
  <c r="AN34" i="47"/>
  <c r="AP34" i="47" s="1"/>
  <c r="AQ34" i="47" s="1"/>
  <c r="AJ34" i="47"/>
  <c r="AL34" i="47" s="1"/>
  <c r="AM34" i="47" s="1"/>
  <c r="AF34" i="47"/>
  <c r="AH34" i="47" s="1"/>
  <c r="AI34" i="47" s="1"/>
  <c r="AB34" i="47"/>
  <c r="AD34" i="47" s="1"/>
  <c r="AE34" i="47" s="1"/>
  <c r="X34" i="47"/>
  <c r="Z34" i="47" s="1"/>
  <c r="AA34" i="47" s="1"/>
  <c r="N34" i="47"/>
  <c r="L34" i="47"/>
  <c r="J34" i="47"/>
  <c r="H34" i="47"/>
  <c r="II33" i="47"/>
  <c r="HO33" i="47"/>
  <c r="HP33" i="47" s="1"/>
  <c r="HK33" i="47"/>
  <c r="HJ33" i="47"/>
  <c r="HH33" i="47"/>
  <c r="HC33" i="47"/>
  <c r="HD33" i="47" s="1"/>
  <c r="GY33" i="47"/>
  <c r="GU33" i="47"/>
  <c r="GV33" i="47" s="1"/>
  <c r="GQ33" i="47"/>
  <c r="GR33" i="47" s="1"/>
  <c r="GG33" i="47"/>
  <c r="FZ33" i="47"/>
  <c r="GA33" i="47" s="1"/>
  <c r="FU33" i="47"/>
  <c r="FR33" i="47"/>
  <c r="FK33" i="47"/>
  <c r="FC33" i="47"/>
  <c r="FD33" i="47" s="1"/>
  <c r="EZ33" i="47"/>
  <c r="EV33" i="47"/>
  <c r="EX33" i="47" s="1"/>
  <c r="EY33" i="47" s="1"/>
  <c r="ER33" i="47"/>
  <c r="ET33" i="47" s="1"/>
  <c r="EU33" i="47" s="1"/>
  <c r="EO33" i="47"/>
  <c r="EN33" i="47"/>
  <c r="EP33" i="47" s="1"/>
  <c r="EJ33" i="47"/>
  <c r="EL33" i="47" s="1"/>
  <c r="EM33" i="47" s="1"/>
  <c r="EF33" i="47"/>
  <c r="EH33" i="47" s="1"/>
  <c r="EI33" i="47" s="1"/>
  <c r="EB33" i="47"/>
  <c r="ED33" i="47" s="1"/>
  <c r="EE33" i="47" s="1"/>
  <c r="DT33" i="47"/>
  <c r="DV33" i="47" s="1"/>
  <c r="DW33" i="47" s="1"/>
  <c r="DP33" i="47"/>
  <c r="DR33" i="47" s="1"/>
  <c r="DS33" i="47" s="1"/>
  <c r="DL33" i="47"/>
  <c r="DN33" i="47" s="1"/>
  <c r="DO33" i="47" s="1"/>
  <c r="DJ33" i="47"/>
  <c r="DF33" i="47"/>
  <c r="DG33" i="47" s="1"/>
  <c r="DB33" i="47"/>
  <c r="DC33" i="47" s="1"/>
  <c r="CW33" i="47"/>
  <c r="CV33" i="47"/>
  <c r="CX33" i="47" s="1"/>
  <c r="CR33" i="47"/>
  <c r="CT33" i="47" s="1"/>
  <c r="CU33" i="47" s="1"/>
  <c r="CN33" i="47"/>
  <c r="CP33" i="47" s="1"/>
  <c r="CQ33" i="47" s="1"/>
  <c r="CJ33" i="47"/>
  <c r="CL33" i="47" s="1"/>
  <c r="CM33" i="47" s="1"/>
  <c r="CI33" i="47"/>
  <c r="BH33" i="47"/>
  <c r="BI33" i="47" s="1"/>
  <c r="AN33" i="47"/>
  <c r="AP33" i="47" s="1"/>
  <c r="AQ33" i="47" s="1"/>
  <c r="AJ33" i="47"/>
  <c r="AL33" i="47" s="1"/>
  <c r="AM33" i="47" s="1"/>
  <c r="AF33" i="47"/>
  <c r="AH33" i="47" s="1"/>
  <c r="AI33" i="47" s="1"/>
  <c r="AB33" i="47"/>
  <c r="AD33" i="47" s="1"/>
  <c r="AE33" i="47" s="1"/>
  <c r="X33" i="47"/>
  <c r="Z33" i="47" s="1"/>
  <c r="AA33" i="47" s="1"/>
  <c r="N33" i="47"/>
  <c r="L33" i="47"/>
  <c r="S33" i="47" s="1"/>
  <c r="J33" i="47"/>
  <c r="H33" i="47"/>
  <c r="R33" i="47" s="1"/>
  <c r="AV33" i="47" s="1" a="1"/>
  <c r="AV33" i="47" s="1"/>
  <c r="II32" i="47"/>
  <c r="HO32" i="47"/>
  <c r="HP32" i="47" s="1"/>
  <c r="HK32" i="47"/>
  <c r="HJ32" i="47"/>
  <c r="HH32" i="47"/>
  <c r="HC32" i="47"/>
  <c r="HD32" i="47" s="1"/>
  <c r="GY32" i="47"/>
  <c r="GU32" i="47"/>
  <c r="GV32" i="47" s="1"/>
  <c r="GQ32" i="47"/>
  <c r="GR32" i="47" s="1"/>
  <c r="GG32" i="47"/>
  <c r="FZ32" i="47"/>
  <c r="GA32" i="47" s="1"/>
  <c r="FU32" i="47"/>
  <c r="FR32" i="47"/>
  <c r="FK32" i="47"/>
  <c r="FC32" i="47"/>
  <c r="FD32" i="47" s="1"/>
  <c r="EZ32" i="47"/>
  <c r="EV32" i="47"/>
  <c r="EX32" i="47" s="1"/>
  <c r="EY32" i="47" s="1"/>
  <c r="ER32" i="47"/>
  <c r="ET32" i="47" s="1"/>
  <c r="EU32" i="47" s="1"/>
  <c r="EO32" i="47"/>
  <c r="EN32" i="47"/>
  <c r="EP32" i="47" s="1"/>
  <c r="EJ32" i="47"/>
  <c r="EL32" i="47" s="1"/>
  <c r="EM32" i="47" s="1"/>
  <c r="EF32" i="47"/>
  <c r="EH32" i="47" s="1"/>
  <c r="EI32" i="47" s="1"/>
  <c r="EB32" i="47"/>
  <c r="ED32" i="47" s="1"/>
  <c r="EE32" i="47" s="1"/>
  <c r="DT32" i="47"/>
  <c r="DV32" i="47" s="1"/>
  <c r="DW32" i="47" s="1"/>
  <c r="DP32" i="47"/>
  <c r="DR32" i="47" s="1"/>
  <c r="DS32" i="47" s="1"/>
  <c r="DL32" i="47"/>
  <c r="DN32" i="47" s="1"/>
  <c r="DO32" i="47" s="1"/>
  <c r="DJ32" i="47"/>
  <c r="DF32" i="47"/>
  <c r="DG32" i="47" s="1"/>
  <c r="DB32" i="47"/>
  <c r="DC32" i="47" s="1"/>
  <c r="CW32" i="47"/>
  <c r="CV32" i="47"/>
  <c r="CX32" i="47" s="1"/>
  <c r="CR32" i="47"/>
  <c r="CT32" i="47" s="1"/>
  <c r="CU32" i="47" s="1"/>
  <c r="CN32" i="47"/>
  <c r="CP32" i="47" s="1"/>
  <c r="CQ32" i="47" s="1"/>
  <c r="CJ32" i="47"/>
  <c r="CL32" i="47" s="1"/>
  <c r="CM32" i="47" s="1"/>
  <c r="CI32" i="47"/>
  <c r="BH32" i="47"/>
  <c r="BI32" i="47" s="1"/>
  <c r="AN32" i="47"/>
  <c r="AP32" i="47" s="1"/>
  <c r="AQ32" i="47" s="1"/>
  <c r="AJ32" i="47"/>
  <c r="AL32" i="47" s="1"/>
  <c r="AM32" i="47" s="1"/>
  <c r="AF32" i="47"/>
  <c r="AH32" i="47" s="1"/>
  <c r="AI32" i="47" s="1"/>
  <c r="AB32" i="47"/>
  <c r="AD32" i="47" s="1"/>
  <c r="AE32" i="47" s="1"/>
  <c r="X32" i="47"/>
  <c r="Z32" i="47" s="1"/>
  <c r="AA32" i="47" s="1"/>
  <c r="N32" i="47"/>
  <c r="L32" i="47"/>
  <c r="S32" i="47" s="1"/>
  <c r="BJ32" i="47" s="1" a="1"/>
  <c r="BJ32" i="47" s="1"/>
  <c r="J32" i="47"/>
  <c r="H32" i="47"/>
  <c r="II31" i="47"/>
  <c r="HO31" i="47"/>
  <c r="HP31" i="47" s="1"/>
  <c r="HK31" i="47"/>
  <c r="HJ31" i="47"/>
  <c r="HH31" i="47"/>
  <c r="HC31" i="47"/>
  <c r="HD31" i="47" s="1"/>
  <c r="GY31" i="47"/>
  <c r="GU31" i="47"/>
  <c r="GV31" i="47" s="1"/>
  <c r="GQ31" i="47"/>
  <c r="GR31" i="47" s="1"/>
  <c r="GG31" i="47"/>
  <c r="FZ31" i="47"/>
  <c r="GA31" i="47" s="1"/>
  <c r="FR31" i="47"/>
  <c r="FK31" i="47"/>
  <c r="FC31" i="47"/>
  <c r="FD31" i="47" s="1"/>
  <c r="EZ31" i="47"/>
  <c r="EV31" i="47"/>
  <c r="EX31" i="47" s="1"/>
  <c r="EY31" i="47" s="1"/>
  <c r="ER31" i="47"/>
  <c r="ET31" i="47" s="1"/>
  <c r="EU31" i="47" s="1"/>
  <c r="EO31" i="47"/>
  <c r="EN31" i="47"/>
  <c r="EP31" i="47" s="1"/>
  <c r="EJ31" i="47"/>
  <c r="EL31" i="47" s="1"/>
  <c r="EM31" i="47" s="1"/>
  <c r="EF31" i="47"/>
  <c r="EH31" i="47" s="1"/>
  <c r="EI31" i="47" s="1"/>
  <c r="EB31" i="47"/>
  <c r="ED31" i="47" s="1"/>
  <c r="EE31" i="47" s="1"/>
  <c r="DT31" i="47"/>
  <c r="DV31" i="47" s="1"/>
  <c r="DW31" i="47" s="1"/>
  <c r="DP31" i="47"/>
  <c r="DR31" i="47" s="1"/>
  <c r="DS31" i="47" s="1"/>
  <c r="DL31" i="47"/>
  <c r="DN31" i="47" s="1"/>
  <c r="DO31" i="47" s="1"/>
  <c r="DJ31" i="47"/>
  <c r="DF31" i="47"/>
  <c r="DG31" i="47" s="1"/>
  <c r="DB31" i="47"/>
  <c r="DC31" i="47" s="1"/>
  <c r="CW31" i="47"/>
  <c r="CV31" i="47"/>
  <c r="CX31" i="47" s="1"/>
  <c r="CR31" i="47"/>
  <c r="CT31" i="47" s="1"/>
  <c r="CU31" i="47" s="1"/>
  <c r="CN31" i="47"/>
  <c r="CP31" i="47" s="1"/>
  <c r="CQ31" i="47" s="1"/>
  <c r="CJ31" i="47"/>
  <c r="CL31" i="47" s="1"/>
  <c r="CM31" i="47" s="1"/>
  <c r="CI31" i="47"/>
  <c r="BH31" i="47"/>
  <c r="BI31" i="47" s="1"/>
  <c r="AN31" i="47"/>
  <c r="AP31" i="47" s="1"/>
  <c r="AQ31" i="47" s="1"/>
  <c r="AJ31" i="47"/>
  <c r="AL31" i="47" s="1"/>
  <c r="AM31" i="47" s="1"/>
  <c r="AF31" i="47"/>
  <c r="AH31" i="47" s="1"/>
  <c r="AI31" i="47" s="1"/>
  <c r="AB31" i="47"/>
  <c r="AD31" i="47" s="1"/>
  <c r="AE31" i="47" s="1"/>
  <c r="X31" i="47"/>
  <c r="Z31" i="47" s="1"/>
  <c r="AA31" i="47" s="1"/>
  <c r="N31" i="47"/>
  <c r="GC31" i="47" s="1" a="1"/>
  <c r="GC31" i="47" s="1"/>
  <c r="L31" i="47"/>
  <c r="S31" i="47" s="1"/>
  <c r="J31" i="47"/>
  <c r="H31" i="47"/>
  <c r="R31" i="47" s="1"/>
  <c r="AV31" i="47" s="1" a="1"/>
  <c r="AV31" i="47" s="1"/>
  <c r="II30" i="47"/>
  <c r="HO30" i="47"/>
  <c r="HP30" i="47" s="1"/>
  <c r="HK30" i="47"/>
  <c r="HJ30" i="47"/>
  <c r="HH30" i="47"/>
  <c r="HC30" i="47"/>
  <c r="HD30" i="47" s="1"/>
  <c r="GY30" i="47"/>
  <c r="GU30" i="47"/>
  <c r="GV30" i="47" s="1"/>
  <c r="GQ30" i="47"/>
  <c r="GR30" i="47" s="1"/>
  <c r="GG30" i="47"/>
  <c r="FZ30" i="47"/>
  <c r="GA30" i="47" s="1"/>
  <c r="FU30" i="47"/>
  <c r="FR30" i="47"/>
  <c r="FK30" i="47"/>
  <c r="FC30" i="47"/>
  <c r="FD30" i="47" s="1"/>
  <c r="EZ30" i="47"/>
  <c r="EV30" i="47"/>
  <c r="EX30" i="47" s="1"/>
  <c r="EY30" i="47" s="1"/>
  <c r="ER30" i="47"/>
  <c r="ET30" i="47" s="1"/>
  <c r="EU30" i="47" s="1"/>
  <c r="EO30" i="47"/>
  <c r="EN30" i="47"/>
  <c r="EP30" i="47" s="1"/>
  <c r="EJ30" i="47"/>
  <c r="EL30" i="47" s="1"/>
  <c r="EM30" i="47" s="1"/>
  <c r="EF30" i="47"/>
  <c r="EH30" i="47" s="1"/>
  <c r="EI30" i="47" s="1"/>
  <c r="EB30" i="47"/>
  <c r="ED30" i="47" s="1"/>
  <c r="EE30" i="47" s="1"/>
  <c r="DT30" i="47"/>
  <c r="DV30" i="47" s="1"/>
  <c r="DW30" i="47" s="1"/>
  <c r="DP30" i="47"/>
  <c r="DR30" i="47" s="1"/>
  <c r="DS30" i="47" s="1"/>
  <c r="DL30" i="47"/>
  <c r="DN30" i="47" s="1"/>
  <c r="DO30" i="47" s="1"/>
  <c r="DJ30" i="47"/>
  <c r="DF30" i="47"/>
  <c r="DG30" i="47" s="1"/>
  <c r="DB30" i="47"/>
  <c r="DC30" i="47" s="1"/>
  <c r="CW30" i="47"/>
  <c r="CV30" i="47"/>
  <c r="CX30" i="47" s="1"/>
  <c r="CR30" i="47"/>
  <c r="CT30" i="47" s="1"/>
  <c r="CU30" i="47" s="1"/>
  <c r="CN30" i="47"/>
  <c r="CP30" i="47" s="1"/>
  <c r="CQ30" i="47" s="1"/>
  <c r="CJ30" i="47"/>
  <c r="CL30" i="47" s="1"/>
  <c r="CM30" i="47" s="1"/>
  <c r="CI30" i="47"/>
  <c r="BH30" i="47"/>
  <c r="BI30" i="47" s="1"/>
  <c r="AN30" i="47"/>
  <c r="AP30" i="47" s="1"/>
  <c r="AQ30" i="47" s="1"/>
  <c r="AJ30" i="47"/>
  <c r="AL30" i="47" s="1"/>
  <c r="AM30" i="47" s="1"/>
  <c r="AF30" i="47"/>
  <c r="AH30" i="47" s="1"/>
  <c r="AI30" i="47" s="1"/>
  <c r="AB30" i="47"/>
  <c r="AD30" i="47" s="1"/>
  <c r="AE30" i="47" s="1"/>
  <c r="X30" i="47"/>
  <c r="Z30" i="47" s="1"/>
  <c r="AA30" i="47" s="1"/>
  <c r="N30" i="47"/>
  <c r="GC30" i="47" s="1" a="1"/>
  <c r="GC30" i="47" s="1"/>
  <c r="L30" i="47"/>
  <c r="S30" i="47" s="1"/>
  <c r="BO30" i="47" s="1" a="1"/>
  <c r="BO30" i="47" s="1"/>
  <c r="Z30" i="55" s="1"/>
  <c r="J30" i="47"/>
  <c r="H30" i="47"/>
  <c r="II29" i="47"/>
  <c r="HO29" i="47"/>
  <c r="HP29" i="47" s="1"/>
  <c r="HK29" i="47"/>
  <c r="HJ29" i="47"/>
  <c r="HH29" i="47"/>
  <c r="HC29" i="47"/>
  <c r="HD29" i="47" s="1"/>
  <c r="GY29" i="47"/>
  <c r="GU29" i="47"/>
  <c r="GV29" i="47" s="1"/>
  <c r="GQ29" i="47"/>
  <c r="GR29" i="47" s="1"/>
  <c r="GG29" i="47"/>
  <c r="FZ29" i="47"/>
  <c r="GA29" i="47" s="1"/>
  <c r="FR29" i="47"/>
  <c r="FK29" i="47"/>
  <c r="FC29" i="47"/>
  <c r="FD29" i="47" s="1"/>
  <c r="EZ29" i="47"/>
  <c r="EV29" i="47"/>
  <c r="EX29" i="47" s="1"/>
  <c r="EY29" i="47" s="1"/>
  <c r="ER29" i="47"/>
  <c r="ET29" i="47" s="1"/>
  <c r="EU29" i="47" s="1"/>
  <c r="EO29" i="47"/>
  <c r="EN29" i="47"/>
  <c r="EP29" i="47" s="1"/>
  <c r="EJ29" i="47"/>
  <c r="EL29" i="47" s="1"/>
  <c r="EM29" i="47" s="1"/>
  <c r="EF29" i="47"/>
  <c r="EH29" i="47" s="1"/>
  <c r="EI29" i="47" s="1"/>
  <c r="EB29" i="47"/>
  <c r="ED29" i="47" s="1"/>
  <c r="EE29" i="47" s="1"/>
  <c r="DT29" i="47"/>
  <c r="DV29" i="47" s="1"/>
  <c r="DW29" i="47" s="1"/>
  <c r="DP29" i="47"/>
  <c r="DR29" i="47" s="1"/>
  <c r="DS29" i="47" s="1"/>
  <c r="DL29" i="47"/>
  <c r="DN29" i="47" s="1"/>
  <c r="DO29" i="47" s="1"/>
  <c r="DJ29" i="47"/>
  <c r="DF29" i="47"/>
  <c r="DG29" i="47" s="1"/>
  <c r="DB29" i="47"/>
  <c r="DC29" i="47" s="1"/>
  <c r="CW29" i="47"/>
  <c r="CV29" i="47"/>
  <c r="CX29" i="47" s="1"/>
  <c r="CR29" i="47"/>
  <c r="CT29" i="47" s="1"/>
  <c r="CU29" i="47" s="1"/>
  <c r="CN29" i="47"/>
  <c r="CP29" i="47" s="1"/>
  <c r="CQ29" i="47" s="1"/>
  <c r="CJ29" i="47"/>
  <c r="CL29" i="47" s="1"/>
  <c r="CM29" i="47" s="1"/>
  <c r="CI29" i="47"/>
  <c r="BH29" i="47"/>
  <c r="BI29" i="47" s="1"/>
  <c r="AN29" i="47"/>
  <c r="AP29" i="47" s="1"/>
  <c r="AQ29" i="47" s="1"/>
  <c r="AJ29" i="47"/>
  <c r="AL29" i="47" s="1"/>
  <c r="AM29" i="47" s="1"/>
  <c r="AF29" i="47"/>
  <c r="AH29" i="47" s="1"/>
  <c r="AI29" i="47" s="1"/>
  <c r="AB29" i="47"/>
  <c r="AD29" i="47" s="1"/>
  <c r="AE29" i="47" s="1"/>
  <c r="X29" i="47"/>
  <c r="Z29" i="47" s="1"/>
  <c r="AA29" i="47" s="1"/>
  <c r="N29" i="47"/>
  <c r="GC29" i="47" s="1" a="1"/>
  <c r="GC29" i="47" s="1"/>
  <c r="L29" i="47"/>
  <c r="CA29" i="47" s="1" a="1"/>
  <c r="CA29" i="47" s="1"/>
  <c r="CD29" i="47" s="1"/>
  <c r="CE29" i="47" s="1"/>
  <c r="J29" i="47"/>
  <c r="H29" i="47"/>
  <c r="R29" i="47" s="1"/>
  <c r="BD29" i="47" s="1"/>
  <c r="BE29" i="47" s="1"/>
  <c r="II28" i="47"/>
  <c r="HO28" i="47"/>
  <c r="HP28" i="47" s="1"/>
  <c r="HK28" i="47"/>
  <c r="HJ28" i="47"/>
  <c r="HH28" i="47"/>
  <c r="HC28" i="47"/>
  <c r="HD28" i="47" s="1"/>
  <c r="GY28" i="47"/>
  <c r="GU28" i="47"/>
  <c r="GV28" i="47" s="1"/>
  <c r="GQ28" i="47"/>
  <c r="GR28" i="47" s="1"/>
  <c r="GG28" i="47"/>
  <c r="FZ28" i="47"/>
  <c r="GA28" i="47" s="1"/>
  <c r="FU28" i="47"/>
  <c r="FR28" i="47"/>
  <c r="FK28" i="47"/>
  <c r="FC28" i="47"/>
  <c r="FD28" i="47" s="1"/>
  <c r="EZ28" i="47"/>
  <c r="EV28" i="47"/>
  <c r="EX28" i="47" s="1"/>
  <c r="EY28" i="47" s="1"/>
  <c r="ER28" i="47"/>
  <c r="ET28" i="47" s="1"/>
  <c r="EU28" i="47" s="1"/>
  <c r="EO28" i="47"/>
  <c r="EN28" i="47"/>
  <c r="EP28" i="47" s="1"/>
  <c r="EJ28" i="47"/>
  <c r="EL28" i="47" s="1"/>
  <c r="EM28" i="47" s="1"/>
  <c r="EF28" i="47"/>
  <c r="EH28" i="47" s="1"/>
  <c r="EI28" i="47" s="1"/>
  <c r="EB28" i="47"/>
  <c r="ED28" i="47" s="1"/>
  <c r="EE28" i="47" s="1"/>
  <c r="DT28" i="47"/>
  <c r="DV28" i="47" s="1"/>
  <c r="DW28" i="47" s="1"/>
  <c r="DP28" i="47"/>
  <c r="DR28" i="47" s="1"/>
  <c r="DS28" i="47" s="1"/>
  <c r="DL28" i="47"/>
  <c r="DN28" i="47" s="1"/>
  <c r="DO28" i="47" s="1"/>
  <c r="DJ28" i="47"/>
  <c r="DF28" i="47"/>
  <c r="DG28" i="47" s="1"/>
  <c r="DB28" i="47"/>
  <c r="DC28" i="47" s="1"/>
  <c r="CW28" i="47"/>
  <c r="CV28" i="47"/>
  <c r="CX28" i="47" s="1"/>
  <c r="CR28" i="47"/>
  <c r="CT28" i="47" s="1"/>
  <c r="CU28" i="47" s="1"/>
  <c r="CN28" i="47"/>
  <c r="CP28" i="47" s="1"/>
  <c r="CQ28" i="47" s="1"/>
  <c r="CJ28" i="47"/>
  <c r="CL28" i="47" s="1"/>
  <c r="CM28" i="47" s="1"/>
  <c r="CI28" i="47"/>
  <c r="BH28" i="47"/>
  <c r="BI28" i="47" s="1"/>
  <c r="AN28" i="47"/>
  <c r="AP28" i="47" s="1"/>
  <c r="AQ28" i="47" s="1"/>
  <c r="AJ28" i="47"/>
  <c r="AL28" i="47" s="1"/>
  <c r="AM28" i="47" s="1"/>
  <c r="AF28" i="47"/>
  <c r="AH28" i="47" s="1"/>
  <c r="AI28" i="47" s="1"/>
  <c r="AB28" i="47"/>
  <c r="AD28" i="47" s="1"/>
  <c r="AE28" i="47" s="1"/>
  <c r="X28" i="47"/>
  <c r="Z28" i="47" s="1"/>
  <c r="AA28" i="47" s="1"/>
  <c r="N28" i="47"/>
  <c r="GC28" i="47" s="1" a="1"/>
  <c r="GC28" i="47" s="1"/>
  <c r="L28" i="47"/>
  <c r="J28" i="47"/>
  <c r="H28" i="47"/>
  <c r="R28" i="47" s="1"/>
  <c r="II27" i="47"/>
  <c r="HO27" i="47"/>
  <c r="HP27" i="47" s="1"/>
  <c r="HK27" i="47"/>
  <c r="HJ27" i="47"/>
  <c r="HH27" i="47"/>
  <c r="HC27" i="47"/>
  <c r="HD27" i="47" s="1"/>
  <c r="GY27" i="47"/>
  <c r="GU27" i="47"/>
  <c r="GV27" i="47" s="1"/>
  <c r="GQ27" i="47"/>
  <c r="GR27" i="47" s="1"/>
  <c r="GG27" i="47"/>
  <c r="FZ27" i="47"/>
  <c r="GA27" i="47" s="1"/>
  <c r="FU27" i="47"/>
  <c r="FR27" i="47"/>
  <c r="FK27" i="47"/>
  <c r="FC27" i="47"/>
  <c r="FD27" i="47" s="1"/>
  <c r="EZ27" i="47"/>
  <c r="EV27" i="47"/>
  <c r="EX27" i="47" s="1"/>
  <c r="EY27" i="47" s="1"/>
  <c r="ER27" i="47"/>
  <c r="ET27" i="47" s="1"/>
  <c r="EU27" i="47" s="1"/>
  <c r="EO27" i="47"/>
  <c r="EN27" i="47"/>
  <c r="EP27" i="47" s="1"/>
  <c r="EJ27" i="47"/>
  <c r="EL27" i="47" s="1"/>
  <c r="EM27" i="47" s="1"/>
  <c r="EF27" i="47"/>
  <c r="EH27" i="47" s="1"/>
  <c r="EI27" i="47" s="1"/>
  <c r="EB27" i="47"/>
  <c r="ED27" i="47" s="1"/>
  <c r="EE27" i="47" s="1"/>
  <c r="DT27" i="47"/>
  <c r="DV27" i="47" s="1"/>
  <c r="DW27" i="47" s="1"/>
  <c r="DP27" i="47"/>
  <c r="DR27" i="47" s="1"/>
  <c r="DS27" i="47" s="1"/>
  <c r="DL27" i="47"/>
  <c r="DN27" i="47" s="1"/>
  <c r="DO27" i="47" s="1"/>
  <c r="DJ27" i="47"/>
  <c r="DF27" i="47"/>
  <c r="DG27" i="47" s="1"/>
  <c r="DB27" i="47"/>
  <c r="DC27" i="47" s="1"/>
  <c r="CW27" i="47"/>
  <c r="CV27" i="47"/>
  <c r="CX27" i="47" s="1"/>
  <c r="CR27" i="47"/>
  <c r="CT27" i="47" s="1"/>
  <c r="CU27" i="47" s="1"/>
  <c r="CN27" i="47"/>
  <c r="CP27" i="47" s="1"/>
  <c r="CQ27" i="47" s="1"/>
  <c r="CJ27" i="47"/>
  <c r="CL27" i="47" s="1"/>
  <c r="CM27" i="47" s="1"/>
  <c r="CI27" i="47"/>
  <c r="BH27" i="47"/>
  <c r="BI27" i="47" s="1"/>
  <c r="AN27" i="47"/>
  <c r="AP27" i="47" s="1"/>
  <c r="AQ27" i="47" s="1"/>
  <c r="AJ27" i="47"/>
  <c r="AL27" i="47" s="1"/>
  <c r="AM27" i="47" s="1"/>
  <c r="AF27" i="47"/>
  <c r="AH27" i="47" s="1"/>
  <c r="AI27" i="47" s="1"/>
  <c r="AB27" i="47"/>
  <c r="AD27" i="47" s="1"/>
  <c r="AE27" i="47" s="1"/>
  <c r="X27" i="47"/>
  <c r="Z27" i="47" s="1"/>
  <c r="AA27" i="47" s="1"/>
  <c r="N27" i="47"/>
  <c r="L27" i="47"/>
  <c r="J27" i="47"/>
  <c r="H27" i="47"/>
  <c r="R27" i="47" s="1"/>
  <c r="II26" i="47"/>
  <c r="HO26" i="47"/>
  <c r="HP26" i="47" s="1"/>
  <c r="HK26" i="47"/>
  <c r="HJ26" i="47"/>
  <c r="HH26" i="47"/>
  <c r="HC26" i="47"/>
  <c r="HD26" i="47" s="1"/>
  <c r="GY26" i="47"/>
  <c r="GU26" i="47"/>
  <c r="GV26" i="47" s="1"/>
  <c r="GQ26" i="47"/>
  <c r="GR26" i="47" s="1"/>
  <c r="GG26" i="47"/>
  <c r="FZ26" i="47"/>
  <c r="GA26" i="47" s="1"/>
  <c r="FR26" i="47"/>
  <c r="FK26" i="47"/>
  <c r="FC26" i="47"/>
  <c r="FD26" i="47" s="1"/>
  <c r="EZ26" i="47"/>
  <c r="EV26" i="47"/>
  <c r="EX26" i="47" s="1"/>
  <c r="EY26" i="47" s="1"/>
  <c r="ER26" i="47"/>
  <c r="ET26" i="47" s="1"/>
  <c r="EU26" i="47" s="1"/>
  <c r="EO26" i="47"/>
  <c r="EN26" i="47"/>
  <c r="EP26" i="47" s="1"/>
  <c r="EJ26" i="47"/>
  <c r="EL26" i="47" s="1"/>
  <c r="EM26" i="47" s="1"/>
  <c r="EF26" i="47"/>
  <c r="EH26" i="47" s="1"/>
  <c r="EI26" i="47" s="1"/>
  <c r="EB26" i="47"/>
  <c r="ED26" i="47" s="1"/>
  <c r="EE26" i="47" s="1"/>
  <c r="DT26" i="47"/>
  <c r="DV26" i="47" s="1"/>
  <c r="DW26" i="47" s="1"/>
  <c r="DP26" i="47"/>
  <c r="DR26" i="47" s="1"/>
  <c r="DS26" i="47" s="1"/>
  <c r="DL26" i="47"/>
  <c r="DN26" i="47" s="1"/>
  <c r="DO26" i="47" s="1"/>
  <c r="DJ26" i="47"/>
  <c r="DF26" i="47"/>
  <c r="DG26" i="47" s="1"/>
  <c r="DB26" i="47"/>
  <c r="DC26" i="47" s="1"/>
  <c r="CW26" i="47"/>
  <c r="CV26" i="47"/>
  <c r="CX26" i="47" s="1"/>
  <c r="CR26" i="47"/>
  <c r="CT26" i="47" s="1"/>
  <c r="CU26" i="47" s="1"/>
  <c r="CN26" i="47"/>
  <c r="CP26" i="47" s="1"/>
  <c r="CQ26" i="47" s="1"/>
  <c r="CJ26" i="47"/>
  <c r="CL26" i="47" s="1"/>
  <c r="CM26" i="47" s="1"/>
  <c r="CI26" i="47"/>
  <c r="BH26" i="47"/>
  <c r="BI26" i="47" s="1"/>
  <c r="AN26" i="47"/>
  <c r="AP26" i="47" s="1"/>
  <c r="AQ26" i="47" s="1"/>
  <c r="AJ26" i="47"/>
  <c r="AL26" i="47" s="1"/>
  <c r="AM26" i="47" s="1"/>
  <c r="AF26" i="47"/>
  <c r="AH26" i="47" s="1"/>
  <c r="AI26" i="47" s="1"/>
  <c r="AB26" i="47"/>
  <c r="AD26" i="47" s="1"/>
  <c r="AE26" i="47" s="1"/>
  <c r="X26" i="47"/>
  <c r="Z26" i="47" s="1"/>
  <c r="AA26" i="47" s="1"/>
  <c r="N26" i="47"/>
  <c r="L26" i="47"/>
  <c r="J26" i="47"/>
  <c r="H26" i="47"/>
  <c r="II25" i="47"/>
  <c r="HO25" i="47"/>
  <c r="HP25" i="47" s="1"/>
  <c r="HK25" i="47"/>
  <c r="HJ25" i="47"/>
  <c r="HH25" i="47"/>
  <c r="HC25" i="47"/>
  <c r="HD25" i="47" s="1"/>
  <c r="GY25" i="47"/>
  <c r="GU25" i="47"/>
  <c r="GV25" i="47" s="1"/>
  <c r="GQ25" i="47"/>
  <c r="GR25" i="47" s="1"/>
  <c r="GG25" i="47"/>
  <c r="FZ25" i="47"/>
  <c r="GA25" i="47" s="1"/>
  <c r="FU25" i="47"/>
  <c r="FR25" i="47"/>
  <c r="FK25" i="47"/>
  <c r="FC25" i="47"/>
  <c r="FD25" i="47" s="1"/>
  <c r="EZ25" i="47"/>
  <c r="EV25" i="47"/>
  <c r="EX25" i="47" s="1"/>
  <c r="EY25" i="47" s="1"/>
  <c r="ER25" i="47"/>
  <c r="ET25" i="47" s="1"/>
  <c r="EU25" i="47" s="1"/>
  <c r="EO25" i="47"/>
  <c r="EN25" i="47"/>
  <c r="EP25" i="47" s="1"/>
  <c r="EJ25" i="47"/>
  <c r="EL25" i="47" s="1"/>
  <c r="EM25" i="47" s="1"/>
  <c r="EF25" i="47"/>
  <c r="EH25" i="47" s="1"/>
  <c r="EI25" i="47" s="1"/>
  <c r="EB25" i="47"/>
  <c r="ED25" i="47" s="1"/>
  <c r="EE25" i="47" s="1"/>
  <c r="DT25" i="47"/>
  <c r="DV25" i="47" s="1"/>
  <c r="DW25" i="47" s="1"/>
  <c r="DP25" i="47"/>
  <c r="DR25" i="47" s="1"/>
  <c r="DS25" i="47" s="1"/>
  <c r="DL25" i="47"/>
  <c r="DN25" i="47" s="1"/>
  <c r="DO25" i="47" s="1"/>
  <c r="DJ25" i="47"/>
  <c r="DF25" i="47"/>
  <c r="DG25" i="47" s="1"/>
  <c r="DB25" i="47"/>
  <c r="DC25" i="47" s="1"/>
  <c r="CW25" i="47"/>
  <c r="CV25" i="47"/>
  <c r="CX25" i="47" s="1"/>
  <c r="CR25" i="47"/>
  <c r="CT25" i="47" s="1"/>
  <c r="CU25" i="47" s="1"/>
  <c r="CN25" i="47"/>
  <c r="CP25" i="47" s="1"/>
  <c r="CQ25" i="47" s="1"/>
  <c r="CJ25" i="47"/>
  <c r="CL25" i="47" s="1"/>
  <c r="CM25" i="47" s="1"/>
  <c r="CI25" i="47"/>
  <c r="BH25" i="47"/>
  <c r="BI25" i="47" s="1"/>
  <c r="AN25" i="47"/>
  <c r="AP25" i="47" s="1"/>
  <c r="AQ25" i="47" s="1"/>
  <c r="AJ25" i="47"/>
  <c r="AL25" i="47" s="1"/>
  <c r="AM25" i="47" s="1"/>
  <c r="AF25" i="47"/>
  <c r="AH25" i="47" s="1"/>
  <c r="AI25" i="47" s="1"/>
  <c r="AB25" i="47"/>
  <c r="AD25" i="47" s="1"/>
  <c r="AE25" i="47" s="1"/>
  <c r="X25" i="47"/>
  <c r="Z25" i="47" s="1"/>
  <c r="AA25" i="47" s="1"/>
  <c r="N25" i="47"/>
  <c r="L25" i="47"/>
  <c r="CA25" i="47" s="1" a="1"/>
  <c r="CA25" i="47" s="1"/>
  <c r="J25" i="47"/>
  <c r="H25" i="47"/>
  <c r="R25" i="47" s="1"/>
  <c r="II24" i="47"/>
  <c r="HO24" i="47"/>
  <c r="HP24" i="47" s="1"/>
  <c r="HK24" i="47"/>
  <c r="HJ24" i="47"/>
  <c r="HH24" i="47"/>
  <c r="HC24" i="47"/>
  <c r="HD24" i="47" s="1"/>
  <c r="GY24" i="47"/>
  <c r="GU24" i="47"/>
  <c r="GV24" i="47" s="1"/>
  <c r="GQ24" i="47"/>
  <c r="GR24" i="47" s="1"/>
  <c r="GG24" i="47"/>
  <c r="FZ24" i="47"/>
  <c r="GA24" i="47" s="1"/>
  <c r="FU24" i="47"/>
  <c r="FR24" i="47"/>
  <c r="FK24" i="47"/>
  <c r="FC24" i="47"/>
  <c r="FD24" i="47" s="1"/>
  <c r="EZ24" i="47"/>
  <c r="EV24" i="47"/>
  <c r="EX24" i="47" s="1"/>
  <c r="EY24" i="47" s="1"/>
  <c r="ER24" i="47"/>
  <c r="ET24" i="47" s="1"/>
  <c r="EU24" i="47" s="1"/>
  <c r="EO24" i="47"/>
  <c r="EN24" i="47"/>
  <c r="EP24" i="47" s="1"/>
  <c r="EJ24" i="47"/>
  <c r="EL24" i="47" s="1"/>
  <c r="EM24" i="47" s="1"/>
  <c r="EF24" i="47"/>
  <c r="EH24" i="47" s="1"/>
  <c r="EI24" i="47" s="1"/>
  <c r="EB24" i="47"/>
  <c r="ED24" i="47" s="1"/>
  <c r="EE24" i="47" s="1"/>
  <c r="DT24" i="47"/>
  <c r="DV24" i="47" s="1"/>
  <c r="DW24" i="47" s="1"/>
  <c r="DP24" i="47"/>
  <c r="DR24" i="47" s="1"/>
  <c r="DS24" i="47" s="1"/>
  <c r="DL24" i="47"/>
  <c r="DN24" i="47" s="1"/>
  <c r="DO24" i="47" s="1"/>
  <c r="DJ24" i="47"/>
  <c r="DF24" i="47"/>
  <c r="DG24" i="47" s="1"/>
  <c r="DB24" i="47"/>
  <c r="DC24" i="47" s="1"/>
  <c r="CW24" i="47"/>
  <c r="CV24" i="47"/>
  <c r="CX24" i="47" s="1"/>
  <c r="CR24" i="47"/>
  <c r="CT24" i="47" s="1"/>
  <c r="CU24" i="47" s="1"/>
  <c r="CN24" i="47"/>
  <c r="CP24" i="47" s="1"/>
  <c r="CQ24" i="47" s="1"/>
  <c r="CJ24" i="47"/>
  <c r="CL24" i="47" s="1"/>
  <c r="CM24" i="47" s="1"/>
  <c r="CI24" i="47"/>
  <c r="BH24" i="47"/>
  <c r="BI24" i="47" s="1"/>
  <c r="AN24" i="47"/>
  <c r="AP24" i="47" s="1"/>
  <c r="AQ24" i="47" s="1"/>
  <c r="AJ24" i="47"/>
  <c r="AL24" i="47" s="1"/>
  <c r="AM24" i="47" s="1"/>
  <c r="AF24" i="47"/>
  <c r="AH24" i="47" s="1"/>
  <c r="AI24" i="47" s="1"/>
  <c r="AB24" i="47"/>
  <c r="AD24" i="47" s="1"/>
  <c r="AE24" i="47" s="1"/>
  <c r="X24" i="47"/>
  <c r="Z24" i="47" s="1"/>
  <c r="AA24" i="47" s="1"/>
  <c r="N24" i="47"/>
  <c r="P24" i="47" s="1"/>
  <c r="FL24" i="47" s="1"/>
  <c r="L24" i="47"/>
  <c r="CA24" i="47" s="1" a="1"/>
  <c r="CA24" i="47" s="1"/>
  <c r="J24" i="47"/>
  <c r="H24" i="47"/>
  <c r="II23" i="47"/>
  <c r="HO23" i="47"/>
  <c r="HP23" i="47" s="1"/>
  <c r="HK23" i="47"/>
  <c r="HJ23" i="47"/>
  <c r="HH23" i="47"/>
  <c r="HC23" i="47"/>
  <c r="HD23" i="47" s="1"/>
  <c r="GY23" i="47"/>
  <c r="GU23" i="47"/>
  <c r="GV23" i="47" s="1"/>
  <c r="GQ23" i="47"/>
  <c r="GR23" i="47" s="1"/>
  <c r="GG23" i="47"/>
  <c r="FZ23" i="47"/>
  <c r="GA23" i="47" s="1"/>
  <c r="FR23" i="47"/>
  <c r="FK23" i="47"/>
  <c r="FC23" i="47"/>
  <c r="FD23" i="47" s="1"/>
  <c r="EZ23" i="47"/>
  <c r="EV23" i="47"/>
  <c r="EX23" i="47" s="1"/>
  <c r="EY23" i="47" s="1"/>
  <c r="ER23" i="47"/>
  <c r="ET23" i="47" s="1"/>
  <c r="EU23" i="47" s="1"/>
  <c r="EO23" i="47"/>
  <c r="EN23" i="47"/>
  <c r="EP23" i="47" s="1"/>
  <c r="EJ23" i="47"/>
  <c r="EL23" i="47" s="1"/>
  <c r="EM23" i="47" s="1"/>
  <c r="EF23" i="47"/>
  <c r="EH23" i="47" s="1"/>
  <c r="EI23" i="47" s="1"/>
  <c r="EB23" i="47"/>
  <c r="ED23" i="47" s="1"/>
  <c r="EE23" i="47" s="1"/>
  <c r="DT23" i="47"/>
  <c r="DV23" i="47" s="1"/>
  <c r="DW23" i="47" s="1"/>
  <c r="DP23" i="47"/>
  <c r="DR23" i="47" s="1"/>
  <c r="DS23" i="47" s="1"/>
  <c r="DL23" i="47"/>
  <c r="DN23" i="47" s="1"/>
  <c r="DO23" i="47" s="1"/>
  <c r="DJ23" i="47"/>
  <c r="DF23" i="47"/>
  <c r="DG23" i="47" s="1"/>
  <c r="DB23" i="47"/>
  <c r="DC23" i="47" s="1"/>
  <c r="CW23" i="47"/>
  <c r="CV23" i="47"/>
  <c r="CX23" i="47" s="1"/>
  <c r="CR23" i="47"/>
  <c r="CT23" i="47" s="1"/>
  <c r="CU23" i="47" s="1"/>
  <c r="CN23" i="47"/>
  <c r="CP23" i="47" s="1"/>
  <c r="CQ23" i="47" s="1"/>
  <c r="CJ23" i="47"/>
  <c r="CL23" i="47" s="1"/>
  <c r="CM23" i="47" s="1"/>
  <c r="CI23" i="47"/>
  <c r="BH23" i="47"/>
  <c r="BI23" i="47" s="1"/>
  <c r="AN23" i="47"/>
  <c r="AP23" i="47" s="1"/>
  <c r="AQ23" i="47" s="1"/>
  <c r="AJ23" i="47"/>
  <c r="AL23" i="47" s="1"/>
  <c r="AM23" i="47" s="1"/>
  <c r="AF23" i="47"/>
  <c r="AH23" i="47" s="1"/>
  <c r="AI23" i="47" s="1"/>
  <c r="AB23" i="47"/>
  <c r="AD23" i="47" s="1"/>
  <c r="AE23" i="47" s="1"/>
  <c r="X23" i="47"/>
  <c r="Z23" i="47" s="1"/>
  <c r="AA23" i="47" s="1"/>
  <c r="N23" i="47"/>
  <c r="GC23" i="47" s="1" a="1"/>
  <c r="GC23" i="47" s="1"/>
  <c r="L23" i="47"/>
  <c r="J23" i="47"/>
  <c r="H23" i="47"/>
  <c r="II22" i="47"/>
  <c r="HO22" i="47"/>
  <c r="HP22" i="47" s="1"/>
  <c r="HK22" i="47"/>
  <c r="HJ22" i="47"/>
  <c r="HH22" i="47"/>
  <c r="HC22" i="47"/>
  <c r="HD22" i="47" s="1"/>
  <c r="GY22" i="47"/>
  <c r="GU22" i="47"/>
  <c r="GV22" i="47" s="1"/>
  <c r="GQ22" i="47"/>
  <c r="GR22" i="47" s="1"/>
  <c r="GG22" i="47"/>
  <c r="FZ22" i="47"/>
  <c r="GA22" i="47" s="1"/>
  <c r="FU22" i="47"/>
  <c r="FR22" i="47"/>
  <c r="FK22" i="47"/>
  <c r="FC22" i="47"/>
  <c r="FD22" i="47" s="1"/>
  <c r="EZ22" i="47"/>
  <c r="EV22" i="47"/>
  <c r="EX22" i="47" s="1"/>
  <c r="EY22" i="47" s="1"/>
  <c r="ER22" i="47"/>
  <c r="ET22" i="47" s="1"/>
  <c r="EU22" i="47" s="1"/>
  <c r="EO22" i="47"/>
  <c r="EN22" i="47"/>
  <c r="EP22" i="47" s="1"/>
  <c r="EJ22" i="47"/>
  <c r="EL22" i="47" s="1"/>
  <c r="EM22" i="47" s="1"/>
  <c r="EF22" i="47"/>
  <c r="EH22" i="47" s="1"/>
  <c r="EI22" i="47" s="1"/>
  <c r="EB22" i="47"/>
  <c r="ED22" i="47" s="1"/>
  <c r="EE22" i="47" s="1"/>
  <c r="DT22" i="47"/>
  <c r="DV22" i="47" s="1"/>
  <c r="DW22" i="47" s="1"/>
  <c r="DP22" i="47"/>
  <c r="DR22" i="47" s="1"/>
  <c r="DS22" i="47" s="1"/>
  <c r="DL22" i="47"/>
  <c r="DN22" i="47" s="1"/>
  <c r="DO22" i="47" s="1"/>
  <c r="DJ22" i="47"/>
  <c r="DF22" i="47"/>
  <c r="DG22" i="47" s="1"/>
  <c r="DB22" i="47"/>
  <c r="DC22" i="47" s="1"/>
  <c r="CW22" i="47"/>
  <c r="CV22" i="47"/>
  <c r="CX22" i="47" s="1"/>
  <c r="CR22" i="47"/>
  <c r="CT22" i="47" s="1"/>
  <c r="CU22" i="47" s="1"/>
  <c r="CN22" i="47"/>
  <c r="CP22" i="47" s="1"/>
  <c r="CQ22" i="47" s="1"/>
  <c r="CJ22" i="47"/>
  <c r="CL22" i="47" s="1"/>
  <c r="CM22" i="47" s="1"/>
  <c r="CI22" i="47"/>
  <c r="BH22" i="47"/>
  <c r="BI22" i="47" s="1"/>
  <c r="AN22" i="47"/>
  <c r="AP22" i="47" s="1"/>
  <c r="AQ22" i="47" s="1"/>
  <c r="AJ22" i="47"/>
  <c r="AL22" i="47" s="1"/>
  <c r="AM22" i="47" s="1"/>
  <c r="AF22" i="47"/>
  <c r="AH22" i="47" s="1"/>
  <c r="AI22" i="47" s="1"/>
  <c r="AB22" i="47"/>
  <c r="AD22" i="47" s="1"/>
  <c r="AE22" i="47" s="1"/>
  <c r="X22" i="47"/>
  <c r="Z22" i="47" s="1"/>
  <c r="AA22" i="47" s="1"/>
  <c r="N22" i="47"/>
  <c r="L22" i="47"/>
  <c r="J22" i="47"/>
  <c r="H22" i="47"/>
  <c r="II21" i="47"/>
  <c r="HO21" i="47"/>
  <c r="HP21" i="47" s="1"/>
  <c r="HK21" i="47"/>
  <c r="HJ21" i="47"/>
  <c r="HH21" i="47"/>
  <c r="HC21" i="47"/>
  <c r="HD21" i="47" s="1"/>
  <c r="GY21" i="47"/>
  <c r="GU21" i="47"/>
  <c r="GV21" i="47" s="1"/>
  <c r="GQ21" i="47"/>
  <c r="GR21" i="47" s="1"/>
  <c r="GG21" i="47"/>
  <c r="FZ21" i="47"/>
  <c r="GA21" i="47" s="1"/>
  <c r="FU21" i="47"/>
  <c r="FR21" i="47"/>
  <c r="FK21" i="47"/>
  <c r="FC21" i="47"/>
  <c r="FD21" i="47" s="1"/>
  <c r="EZ21" i="47"/>
  <c r="EV21" i="47"/>
  <c r="EX21" i="47" s="1"/>
  <c r="EY21" i="47" s="1"/>
  <c r="ER21" i="47"/>
  <c r="ET21" i="47" s="1"/>
  <c r="EU21" i="47" s="1"/>
  <c r="EO21" i="47"/>
  <c r="EN21" i="47"/>
  <c r="EP21" i="47" s="1"/>
  <c r="EJ21" i="47"/>
  <c r="EL21" i="47" s="1"/>
  <c r="EM21" i="47" s="1"/>
  <c r="EF21" i="47"/>
  <c r="EH21" i="47" s="1"/>
  <c r="EI21" i="47" s="1"/>
  <c r="EB21" i="47"/>
  <c r="ED21" i="47" s="1"/>
  <c r="EE21" i="47" s="1"/>
  <c r="DT21" i="47"/>
  <c r="DV21" i="47" s="1"/>
  <c r="DW21" i="47" s="1"/>
  <c r="DP21" i="47"/>
  <c r="DR21" i="47" s="1"/>
  <c r="DS21" i="47" s="1"/>
  <c r="DL21" i="47"/>
  <c r="DN21" i="47" s="1"/>
  <c r="DO21" i="47" s="1"/>
  <c r="DJ21" i="47"/>
  <c r="DF21" i="47"/>
  <c r="DG21" i="47" s="1"/>
  <c r="DB21" i="47"/>
  <c r="DC21" i="47" s="1"/>
  <c r="CW21" i="47"/>
  <c r="CV21" i="47"/>
  <c r="CX21" i="47" s="1"/>
  <c r="CR21" i="47"/>
  <c r="CT21" i="47" s="1"/>
  <c r="CU21" i="47" s="1"/>
  <c r="CN21" i="47"/>
  <c r="CP21" i="47" s="1"/>
  <c r="CQ21" i="47" s="1"/>
  <c r="CJ21" i="47"/>
  <c r="CL21" i="47" s="1"/>
  <c r="CM21" i="47" s="1"/>
  <c r="CI21" i="47"/>
  <c r="BH21" i="47"/>
  <c r="BI21" i="47" s="1"/>
  <c r="AN21" i="47"/>
  <c r="AP21" i="47" s="1"/>
  <c r="AQ21" i="47" s="1"/>
  <c r="AJ21" i="47"/>
  <c r="AL21" i="47" s="1"/>
  <c r="AM21" i="47" s="1"/>
  <c r="AF21" i="47"/>
  <c r="AH21" i="47" s="1"/>
  <c r="AI21" i="47" s="1"/>
  <c r="AB21" i="47"/>
  <c r="AD21" i="47" s="1"/>
  <c r="AE21" i="47" s="1"/>
  <c r="X21" i="47"/>
  <c r="Z21" i="47" s="1"/>
  <c r="AA21" i="47" s="1"/>
  <c r="N21" i="47"/>
  <c r="P21" i="47" s="1"/>
  <c r="FL21" i="47" s="1"/>
  <c r="L21" i="47"/>
  <c r="J21" i="47"/>
  <c r="H21" i="47"/>
  <c r="II20" i="47"/>
  <c r="HO20" i="47"/>
  <c r="HP20" i="47" s="1"/>
  <c r="HK20" i="47"/>
  <c r="HJ20" i="47"/>
  <c r="HH20" i="47"/>
  <c r="HC20" i="47"/>
  <c r="HD20" i="47" s="1"/>
  <c r="GY20" i="47"/>
  <c r="GU20" i="47"/>
  <c r="GV20" i="47" s="1"/>
  <c r="GQ20" i="47"/>
  <c r="GR20" i="47" s="1"/>
  <c r="GG20" i="47"/>
  <c r="FZ20" i="47"/>
  <c r="GA20" i="47" s="1"/>
  <c r="FU20" i="47"/>
  <c r="FR20" i="47"/>
  <c r="FK20" i="47"/>
  <c r="FC20" i="47"/>
  <c r="FD20" i="47" s="1"/>
  <c r="EZ20" i="47"/>
  <c r="EV20" i="47"/>
  <c r="EX20" i="47" s="1"/>
  <c r="EY20" i="47" s="1"/>
  <c r="ER20" i="47"/>
  <c r="ET20" i="47" s="1"/>
  <c r="EU20" i="47" s="1"/>
  <c r="EO20" i="47"/>
  <c r="EN20" i="47"/>
  <c r="EP20" i="47" s="1"/>
  <c r="EJ20" i="47"/>
  <c r="EL20" i="47" s="1"/>
  <c r="EM20" i="47" s="1"/>
  <c r="EF20" i="47"/>
  <c r="EH20" i="47" s="1"/>
  <c r="EI20" i="47" s="1"/>
  <c r="EB20" i="47"/>
  <c r="ED20" i="47" s="1"/>
  <c r="EE20" i="47" s="1"/>
  <c r="DT20" i="47"/>
  <c r="DV20" i="47" s="1"/>
  <c r="DW20" i="47" s="1"/>
  <c r="DP20" i="47"/>
  <c r="DR20" i="47" s="1"/>
  <c r="DS20" i="47" s="1"/>
  <c r="DL20" i="47"/>
  <c r="DN20" i="47" s="1"/>
  <c r="DO20" i="47" s="1"/>
  <c r="DJ20" i="47"/>
  <c r="DF20" i="47"/>
  <c r="DG20" i="47" s="1"/>
  <c r="DB20" i="47"/>
  <c r="DC20" i="47" s="1"/>
  <c r="CW20" i="47"/>
  <c r="CV20" i="47"/>
  <c r="CX20" i="47" s="1"/>
  <c r="CR20" i="47"/>
  <c r="CT20" i="47" s="1"/>
  <c r="CU20" i="47" s="1"/>
  <c r="CN20" i="47"/>
  <c r="CP20" i="47" s="1"/>
  <c r="CQ20" i="47" s="1"/>
  <c r="CJ20" i="47"/>
  <c r="CL20" i="47" s="1"/>
  <c r="CM20" i="47" s="1"/>
  <c r="CI20" i="47"/>
  <c r="BH20" i="47"/>
  <c r="BI20" i="47" s="1"/>
  <c r="AN20" i="47"/>
  <c r="AP20" i="47" s="1"/>
  <c r="AQ20" i="47" s="1"/>
  <c r="AJ20" i="47"/>
  <c r="AL20" i="47" s="1"/>
  <c r="AM20" i="47" s="1"/>
  <c r="AF20" i="47"/>
  <c r="AH20" i="47" s="1"/>
  <c r="AI20" i="47" s="1"/>
  <c r="AB20" i="47"/>
  <c r="AD20" i="47" s="1"/>
  <c r="AE20" i="47" s="1"/>
  <c r="X20" i="47"/>
  <c r="Z20" i="47" s="1"/>
  <c r="AA20" i="47" s="1"/>
  <c r="N20" i="47"/>
  <c r="GC20" i="47" s="1" a="1"/>
  <c r="GC20" i="47" s="1"/>
  <c r="L20" i="47"/>
  <c r="J20" i="47"/>
  <c r="H20" i="47"/>
  <c r="II19" i="47"/>
  <c r="HO19" i="47"/>
  <c r="HP19" i="47" s="1"/>
  <c r="HK19" i="47"/>
  <c r="HJ19" i="47"/>
  <c r="HH19" i="47"/>
  <c r="HC19" i="47"/>
  <c r="HD19" i="47" s="1"/>
  <c r="GY19" i="47"/>
  <c r="GU19" i="47"/>
  <c r="GV19" i="47" s="1"/>
  <c r="GQ19" i="47"/>
  <c r="GR19" i="47" s="1"/>
  <c r="GG19" i="47"/>
  <c r="FZ19" i="47"/>
  <c r="GA19" i="47" s="1"/>
  <c r="FU19" i="47"/>
  <c r="FR19" i="47"/>
  <c r="FK19" i="47"/>
  <c r="FC19" i="47"/>
  <c r="FD19" i="47" s="1"/>
  <c r="EZ19" i="47"/>
  <c r="EV19" i="47"/>
  <c r="EX19" i="47" s="1"/>
  <c r="EY19" i="47" s="1"/>
  <c r="ER19" i="47"/>
  <c r="ET19" i="47" s="1"/>
  <c r="EU19" i="47" s="1"/>
  <c r="EO19" i="47"/>
  <c r="EN19" i="47"/>
  <c r="EP19" i="47" s="1"/>
  <c r="EJ19" i="47"/>
  <c r="EL19" i="47" s="1"/>
  <c r="EM19" i="47" s="1"/>
  <c r="EF19" i="47"/>
  <c r="EH19" i="47" s="1"/>
  <c r="EI19" i="47" s="1"/>
  <c r="EB19" i="47"/>
  <c r="ED19" i="47" s="1"/>
  <c r="EE19" i="47" s="1"/>
  <c r="DT19" i="47"/>
  <c r="DV19" i="47" s="1"/>
  <c r="DW19" i="47" s="1"/>
  <c r="DP19" i="47"/>
  <c r="DR19" i="47" s="1"/>
  <c r="DS19" i="47" s="1"/>
  <c r="DL19" i="47"/>
  <c r="DN19" i="47" s="1"/>
  <c r="DO19" i="47" s="1"/>
  <c r="DJ19" i="47"/>
  <c r="DF19" i="47"/>
  <c r="DG19" i="47" s="1"/>
  <c r="DB19" i="47"/>
  <c r="DC19" i="47" s="1"/>
  <c r="CW19" i="47"/>
  <c r="CV19" i="47"/>
  <c r="CX19" i="47" s="1"/>
  <c r="CR19" i="47"/>
  <c r="CT19" i="47" s="1"/>
  <c r="CU19" i="47" s="1"/>
  <c r="CN19" i="47"/>
  <c r="CP19" i="47" s="1"/>
  <c r="CQ19" i="47" s="1"/>
  <c r="CJ19" i="47"/>
  <c r="CL19" i="47" s="1"/>
  <c r="CM19" i="47" s="1"/>
  <c r="CI19" i="47"/>
  <c r="BH19" i="47"/>
  <c r="BI19" i="47" s="1"/>
  <c r="AN19" i="47"/>
  <c r="AP19" i="47" s="1"/>
  <c r="AQ19" i="47" s="1"/>
  <c r="AJ19" i="47"/>
  <c r="AL19" i="47" s="1"/>
  <c r="AM19" i="47" s="1"/>
  <c r="AF19" i="47"/>
  <c r="AH19" i="47" s="1"/>
  <c r="AI19" i="47" s="1"/>
  <c r="AB19" i="47"/>
  <c r="AD19" i="47" s="1"/>
  <c r="AE19" i="47" s="1"/>
  <c r="X19" i="47"/>
  <c r="Z19" i="47" s="1"/>
  <c r="AA19" i="47" s="1"/>
  <c r="N19" i="47"/>
  <c r="GC19" i="47" s="1" a="1"/>
  <c r="GC19" i="47" s="1"/>
  <c r="L19" i="47"/>
  <c r="CA19" i="47" s="1" a="1"/>
  <c r="CA19" i="47" s="1"/>
  <c r="CD19" i="47" s="1"/>
  <c r="CE19" i="47" s="1"/>
  <c r="J19" i="47"/>
  <c r="H19" i="47"/>
  <c r="II18" i="47"/>
  <c r="HO18" i="47"/>
  <c r="HP18" i="47" s="1"/>
  <c r="HK18" i="47"/>
  <c r="HJ18" i="47"/>
  <c r="HH18" i="47"/>
  <c r="HC18" i="47"/>
  <c r="HD18" i="47" s="1"/>
  <c r="GY18" i="47"/>
  <c r="GU18" i="47"/>
  <c r="GV18" i="47" s="1"/>
  <c r="GQ18" i="47"/>
  <c r="GR18" i="47" s="1"/>
  <c r="GG18" i="47"/>
  <c r="FZ18" i="47"/>
  <c r="GA18" i="47" s="1"/>
  <c r="FR18" i="47"/>
  <c r="FK18" i="47"/>
  <c r="FC18" i="47"/>
  <c r="FD18" i="47" s="1"/>
  <c r="EZ18" i="47"/>
  <c r="EV18" i="47"/>
  <c r="EX18" i="47" s="1"/>
  <c r="EY18" i="47" s="1"/>
  <c r="ER18" i="47"/>
  <c r="ET18" i="47" s="1"/>
  <c r="EU18" i="47" s="1"/>
  <c r="EO18" i="47"/>
  <c r="EN18" i="47"/>
  <c r="EP18" i="47" s="1"/>
  <c r="EJ18" i="47"/>
  <c r="EL18" i="47" s="1"/>
  <c r="EM18" i="47" s="1"/>
  <c r="EF18" i="47"/>
  <c r="EH18" i="47" s="1"/>
  <c r="EI18" i="47" s="1"/>
  <c r="EB18" i="47"/>
  <c r="ED18" i="47" s="1"/>
  <c r="EE18" i="47" s="1"/>
  <c r="DT18" i="47"/>
  <c r="DV18" i="47" s="1"/>
  <c r="DW18" i="47" s="1"/>
  <c r="DP18" i="47"/>
  <c r="DR18" i="47" s="1"/>
  <c r="DS18" i="47" s="1"/>
  <c r="DL18" i="47"/>
  <c r="DN18" i="47" s="1"/>
  <c r="DO18" i="47" s="1"/>
  <c r="DJ18" i="47"/>
  <c r="DF18" i="47"/>
  <c r="DG18" i="47" s="1"/>
  <c r="DB18" i="47"/>
  <c r="DC18" i="47" s="1"/>
  <c r="CW18" i="47"/>
  <c r="CV18" i="47"/>
  <c r="CX18" i="47" s="1"/>
  <c r="CR18" i="47"/>
  <c r="CT18" i="47" s="1"/>
  <c r="CU18" i="47" s="1"/>
  <c r="CN18" i="47"/>
  <c r="CP18" i="47" s="1"/>
  <c r="CQ18" i="47" s="1"/>
  <c r="CJ18" i="47"/>
  <c r="CL18" i="47" s="1"/>
  <c r="CM18" i="47" s="1"/>
  <c r="CI18" i="47"/>
  <c r="BH18" i="47"/>
  <c r="BI18" i="47" s="1"/>
  <c r="AN18" i="47"/>
  <c r="AP18" i="47" s="1"/>
  <c r="AQ18" i="47" s="1"/>
  <c r="AJ18" i="47"/>
  <c r="AL18" i="47" s="1"/>
  <c r="AM18" i="47" s="1"/>
  <c r="AF18" i="47"/>
  <c r="AH18" i="47" s="1"/>
  <c r="AI18" i="47" s="1"/>
  <c r="AB18" i="47"/>
  <c r="AD18" i="47" s="1"/>
  <c r="AE18" i="47" s="1"/>
  <c r="X18" i="47"/>
  <c r="Z18" i="47" s="1"/>
  <c r="AA18" i="47" s="1"/>
  <c r="N18" i="47"/>
  <c r="L18" i="47"/>
  <c r="S18" i="47" s="1"/>
  <c r="BO18" i="47" s="1" a="1"/>
  <c r="BO18" i="47" s="1"/>
  <c r="J18" i="47"/>
  <c r="H18" i="47"/>
  <c r="R18" i="47" s="1"/>
  <c r="BD18" i="47" s="1"/>
  <c r="BE18" i="47" s="1"/>
  <c r="II17" i="47"/>
  <c r="HO17" i="47"/>
  <c r="HP17" i="47" s="1"/>
  <c r="HK17" i="47"/>
  <c r="HJ17" i="47"/>
  <c r="HH17" i="47"/>
  <c r="HC17" i="47"/>
  <c r="HD17" i="47" s="1"/>
  <c r="GY17" i="47"/>
  <c r="GU17" i="47"/>
  <c r="GV17" i="47" s="1"/>
  <c r="GQ17" i="47"/>
  <c r="GR17" i="47" s="1"/>
  <c r="GG17" i="47"/>
  <c r="FZ17" i="47"/>
  <c r="GA17" i="47" s="1"/>
  <c r="FU17" i="47"/>
  <c r="FR17" i="47"/>
  <c r="FK17" i="47"/>
  <c r="FC17" i="47"/>
  <c r="FD17" i="47" s="1"/>
  <c r="EZ17" i="47"/>
  <c r="EV17" i="47"/>
  <c r="EX17" i="47" s="1"/>
  <c r="EY17" i="47" s="1"/>
  <c r="ER17" i="47"/>
  <c r="ET17" i="47" s="1"/>
  <c r="EU17" i="47" s="1"/>
  <c r="EO17" i="47"/>
  <c r="EN17" i="47"/>
  <c r="EP17" i="47" s="1"/>
  <c r="EJ17" i="47"/>
  <c r="EL17" i="47" s="1"/>
  <c r="EM17" i="47" s="1"/>
  <c r="EF17" i="47"/>
  <c r="EH17" i="47" s="1"/>
  <c r="EI17" i="47" s="1"/>
  <c r="EB17" i="47"/>
  <c r="ED17" i="47" s="1"/>
  <c r="EE17" i="47" s="1"/>
  <c r="DT17" i="47"/>
  <c r="DV17" i="47" s="1"/>
  <c r="DW17" i="47" s="1"/>
  <c r="DP17" i="47"/>
  <c r="DR17" i="47" s="1"/>
  <c r="DS17" i="47" s="1"/>
  <c r="DL17" i="47"/>
  <c r="DN17" i="47" s="1"/>
  <c r="DO17" i="47" s="1"/>
  <c r="DJ17" i="47"/>
  <c r="DF17" i="47"/>
  <c r="DG17" i="47" s="1"/>
  <c r="DB17" i="47"/>
  <c r="DC17" i="47" s="1"/>
  <c r="CW17" i="47"/>
  <c r="CV17" i="47"/>
  <c r="CX17" i="47" s="1"/>
  <c r="CR17" i="47"/>
  <c r="CT17" i="47" s="1"/>
  <c r="CU17" i="47" s="1"/>
  <c r="CN17" i="47"/>
  <c r="CP17" i="47" s="1"/>
  <c r="CQ17" i="47" s="1"/>
  <c r="CJ17" i="47"/>
  <c r="CL17" i="47" s="1"/>
  <c r="CM17" i="47" s="1"/>
  <c r="CI17" i="47"/>
  <c r="BH17" i="47"/>
  <c r="BI17" i="47" s="1"/>
  <c r="AN17" i="47"/>
  <c r="AP17" i="47" s="1"/>
  <c r="AQ17" i="47" s="1"/>
  <c r="AJ17" i="47"/>
  <c r="AL17" i="47" s="1"/>
  <c r="AM17" i="47" s="1"/>
  <c r="AF17" i="47"/>
  <c r="AH17" i="47" s="1"/>
  <c r="AI17" i="47" s="1"/>
  <c r="AB17" i="47"/>
  <c r="AD17" i="47" s="1"/>
  <c r="AE17" i="47" s="1"/>
  <c r="X17" i="47"/>
  <c r="Z17" i="47" s="1"/>
  <c r="AA17" i="47" s="1"/>
  <c r="N17" i="47"/>
  <c r="GC17" i="47" s="1" a="1"/>
  <c r="GC17" i="47" s="1"/>
  <c r="L17" i="47"/>
  <c r="S17" i="47" s="1"/>
  <c r="BO17" i="47" s="1" a="1"/>
  <c r="BO17" i="47" s="1"/>
  <c r="J17" i="47"/>
  <c r="H17" i="47"/>
  <c r="R17" i="47" s="1"/>
  <c r="II16" i="47"/>
  <c r="HO16" i="47"/>
  <c r="HP16" i="47" s="1"/>
  <c r="HK16" i="47"/>
  <c r="HJ16" i="47"/>
  <c r="HH16" i="47"/>
  <c r="HC16" i="47"/>
  <c r="HD16" i="47" s="1"/>
  <c r="GY16" i="47"/>
  <c r="GU16" i="47"/>
  <c r="GV16" i="47" s="1"/>
  <c r="GQ16" i="47"/>
  <c r="GR16" i="47" s="1"/>
  <c r="GG16" i="47"/>
  <c r="FZ16" i="47"/>
  <c r="GA16" i="47" s="1"/>
  <c r="FU16" i="47"/>
  <c r="FR16" i="47"/>
  <c r="FK16" i="47"/>
  <c r="FC16" i="47"/>
  <c r="FD16" i="47" s="1"/>
  <c r="EZ16" i="47"/>
  <c r="EV16" i="47"/>
  <c r="EX16" i="47" s="1"/>
  <c r="EY16" i="47" s="1"/>
  <c r="ER16" i="47"/>
  <c r="ET16" i="47" s="1"/>
  <c r="EU16" i="47" s="1"/>
  <c r="EO16" i="47"/>
  <c r="EN16" i="47"/>
  <c r="EP16" i="47" s="1"/>
  <c r="EJ16" i="47"/>
  <c r="EL16" i="47" s="1"/>
  <c r="EM16" i="47" s="1"/>
  <c r="EF16" i="47"/>
  <c r="EH16" i="47" s="1"/>
  <c r="EI16" i="47" s="1"/>
  <c r="EB16" i="47"/>
  <c r="ED16" i="47" s="1"/>
  <c r="EE16" i="47" s="1"/>
  <c r="DT16" i="47"/>
  <c r="DV16" i="47" s="1"/>
  <c r="DW16" i="47" s="1"/>
  <c r="DP16" i="47"/>
  <c r="DR16" i="47" s="1"/>
  <c r="DS16" i="47" s="1"/>
  <c r="DL16" i="47"/>
  <c r="DN16" i="47" s="1"/>
  <c r="DO16" i="47" s="1"/>
  <c r="DJ16" i="47"/>
  <c r="DF16" i="47"/>
  <c r="DG16" i="47" s="1"/>
  <c r="DB16" i="47"/>
  <c r="DC16" i="47" s="1"/>
  <c r="CW16" i="47"/>
  <c r="CV16" i="47"/>
  <c r="CX16" i="47" s="1"/>
  <c r="CR16" i="47"/>
  <c r="CT16" i="47" s="1"/>
  <c r="CU16" i="47" s="1"/>
  <c r="CN16" i="47"/>
  <c r="CP16" i="47" s="1"/>
  <c r="CQ16" i="47" s="1"/>
  <c r="CJ16" i="47"/>
  <c r="CL16" i="47" s="1"/>
  <c r="CM16" i="47" s="1"/>
  <c r="CI16" i="47"/>
  <c r="BH16" i="47"/>
  <c r="BI16" i="47" s="1"/>
  <c r="AN16" i="47"/>
  <c r="AP16" i="47" s="1"/>
  <c r="AQ16" i="47" s="1"/>
  <c r="AJ16" i="47"/>
  <c r="AL16" i="47" s="1"/>
  <c r="AM16" i="47" s="1"/>
  <c r="AF16" i="47"/>
  <c r="AH16" i="47" s="1"/>
  <c r="AI16" i="47" s="1"/>
  <c r="AB16" i="47"/>
  <c r="AD16" i="47" s="1"/>
  <c r="AE16" i="47" s="1"/>
  <c r="X16" i="47"/>
  <c r="Z16" i="47" s="1"/>
  <c r="AA16" i="47" s="1"/>
  <c r="N16" i="47"/>
  <c r="P16" i="47" s="1"/>
  <c r="FL16" i="47" s="1"/>
  <c r="L16" i="47"/>
  <c r="S16" i="47" s="1"/>
  <c r="BO16" i="47" s="1" a="1"/>
  <c r="BO16" i="47" s="1"/>
  <c r="J16" i="47"/>
  <c r="H16" i="47"/>
  <c r="R16" i="47" s="1"/>
  <c r="II15" i="47"/>
  <c r="HO15" i="47"/>
  <c r="HP15" i="47" s="1"/>
  <c r="HK15" i="47"/>
  <c r="HJ15" i="47"/>
  <c r="HH15" i="47"/>
  <c r="HC15" i="47"/>
  <c r="HD15" i="47" s="1"/>
  <c r="GY15" i="47"/>
  <c r="GU15" i="47"/>
  <c r="GV15" i="47" s="1"/>
  <c r="GQ15" i="47"/>
  <c r="GR15" i="47" s="1"/>
  <c r="GG15" i="47"/>
  <c r="FZ15" i="47"/>
  <c r="GA15" i="47" s="1"/>
  <c r="FU15" i="47"/>
  <c r="FR15" i="47"/>
  <c r="FK15" i="47"/>
  <c r="FC15" i="47"/>
  <c r="FD15" i="47" s="1"/>
  <c r="EZ15" i="47"/>
  <c r="EV15" i="47"/>
  <c r="EX15" i="47" s="1"/>
  <c r="EY15" i="47" s="1"/>
  <c r="ER15" i="47"/>
  <c r="ET15" i="47" s="1"/>
  <c r="EU15" i="47" s="1"/>
  <c r="EO15" i="47"/>
  <c r="EN15" i="47"/>
  <c r="EP15" i="47" s="1"/>
  <c r="EJ15" i="47"/>
  <c r="EL15" i="47" s="1"/>
  <c r="EM15" i="47" s="1"/>
  <c r="EF15" i="47"/>
  <c r="EH15" i="47" s="1"/>
  <c r="EI15" i="47" s="1"/>
  <c r="EB15" i="47"/>
  <c r="ED15" i="47" s="1"/>
  <c r="EE15" i="47" s="1"/>
  <c r="DT15" i="47"/>
  <c r="DV15" i="47" s="1"/>
  <c r="DW15" i="47" s="1"/>
  <c r="DP15" i="47"/>
  <c r="DR15" i="47" s="1"/>
  <c r="DS15" i="47" s="1"/>
  <c r="DL15" i="47"/>
  <c r="DN15" i="47" s="1"/>
  <c r="DO15" i="47" s="1"/>
  <c r="DJ15" i="47"/>
  <c r="DF15" i="47"/>
  <c r="DG15" i="47" s="1"/>
  <c r="DB15" i="47"/>
  <c r="DC15" i="47" s="1"/>
  <c r="CW15" i="47"/>
  <c r="CV15" i="47"/>
  <c r="CX15" i="47" s="1"/>
  <c r="CR15" i="47"/>
  <c r="CT15" i="47" s="1"/>
  <c r="CU15" i="47" s="1"/>
  <c r="CN15" i="47"/>
  <c r="CP15" i="47" s="1"/>
  <c r="CQ15" i="47" s="1"/>
  <c r="CJ15" i="47"/>
  <c r="CL15" i="47" s="1"/>
  <c r="CM15" i="47" s="1"/>
  <c r="CI15" i="47"/>
  <c r="BH15" i="47"/>
  <c r="BI15" i="47" s="1"/>
  <c r="AN15" i="47"/>
  <c r="AP15" i="47" s="1"/>
  <c r="AQ15" i="47" s="1"/>
  <c r="AJ15" i="47"/>
  <c r="AL15" i="47" s="1"/>
  <c r="AM15" i="47" s="1"/>
  <c r="AF15" i="47"/>
  <c r="AH15" i="47" s="1"/>
  <c r="AI15" i="47" s="1"/>
  <c r="AB15" i="47"/>
  <c r="AD15" i="47" s="1"/>
  <c r="AE15" i="47" s="1"/>
  <c r="X15" i="47"/>
  <c r="Z15" i="47" s="1"/>
  <c r="AA15" i="47" s="1"/>
  <c r="N15" i="47"/>
  <c r="GC15" i="47" s="1" a="1"/>
  <c r="GC15" i="47" s="1"/>
  <c r="L15" i="47"/>
  <c r="S15" i="47" s="1"/>
  <c r="BO15" i="47" s="1" a="1"/>
  <c r="BO15" i="47" s="1"/>
  <c r="J15" i="47"/>
  <c r="H15" i="47"/>
  <c r="R15" i="47" s="1"/>
  <c r="II14" i="47"/>
  <c r="HO14" i="47"/>
  <c r="HP14" i="47" s="1"/>
  <c r="HK14" i="47"/>
  <c r="HJ14" i="47"/>
  <c r="HH14" i="47"/>
  <c r="HC14" i="47"/>
  <c r="HD14" i="47" s="1"/>
  <c r="GY14" i="47"/>
  <c r="GU14" i="47"/>
  <c r="GV14" i="47" s="1"/>
  <c r="GQ14" i="47"/>
  <c r="GR14" i="47" s="1"/>
  <c r="GG14" i="47"/>
  <c r="FZ14" i="47"/>
  <c r="GA14" i="47" s="1"/>
  <c r="FU14" i="47"/>
  <c r="FR14" i="47"/>
  <c r="FK14" i="47"/>
  <c r="FC14" i="47"/>
  <c r="FD14" i="47" s="1"/>
  <c r="EZ14" i="47"/>
  <c r="EV14" i="47"/>
  <c r="EX14" i="47" s="1"/>
  <c r="EY14" i="47" s="1"/>
  <c r="ER14" i="47"/>
  <c r="ET14" i="47" s="1"/>
  <c r="EU14" i="47" s="1"/>
  <c r="EO14" i="47"/>
  <c r="EN14" i="47"/>
  <c r="EP14" i="47" s="1"/>
  <c r="EJ14" i="47"/>
  <c r="EL14" i="47" s="1"/>
  <c r="EM14" i="47" s="1"/>
  <c r="EF14" i="47"/>
  <c r="EH14" i="47" s="1"/>
  <c r="EI14" i="47" s="1"/>
  <c r="EB14" i="47"/>
  <c r="ED14" i="47" s="1"/>
  <c r="EE14" i="47" s="1"/>
  <c r="DT14" i="47"/>
  <c r="DV14" i="47" s="1"/>
  <c r="DW14" i="47" s="1"/>
  <c r="DP14" i="47"/>
  <c r="DR14" i="47" s="1"/>
  <c r="DS14" i="47" s="1"/>
  <c r="DL14" i="47"/>
  <c r="DN14" i="47" s="1"/>
  <c r="DO14" i="47" s="1"/>
  <c r="DJ14" i="47"/>
  <c r="DF14" i="47"/>
  <c r="DG14" i="47" s="1"/>
  <c r="DB14" i="47"/>
  <c r="DC14" i="47" s="1"/>
  <c r="CW14" i="47"/>
  <c r="CV14" i="47"/>
  <c r="CX14" i="47" s="1"/>
  <c r="CR14" i="47"/>
  <c r="CT14" i="47" s="1"/>
  <c r="CU14" i="47" s="1"/>
  <c r="CN14" i="47"/>
  <c r="CP14" i="47" s="1"/>
  <c r="CQ14" i="47" s="1"/>
  <c r="CJ14" i="47"/>
  <c r="CL14" i="47" s="1"/>
  <c r="CM14" i="47" s="1"/>
  <c r="CI14" i="47"/>
  <c r="BH14" i="47"/>
  <c r="BI14" i="47" s="1"/>
  <c r="AN14" i="47"/>
  <c r="AP14" i="47" s="1"/>
  <c r="AQ14" i="47" s="1"/>
  <c r="AJ14" i="47"/>
  <c r="AL14" i="47" s="1"/>
  <c r="AM14" i="47" s="1"/>
  <c r="AF14" i="47"/>
  <c r="AH14" i="47" s="1"/>
  <c r="AI14" i="47" s="1"/>
  <c r="AB14" i="47"/>
  <c r="AD14" i="47" s="1"/>
  <c r="AE14" i="47" s="1"/>
  <c r="X14" i="47"/>
  <c r="Z14" i="47" s="1"/>
  <c r="AA14" i="47" s="1"/>
  <c r="N14" i="47"/>
  <c r="P14" i="47" s="1"/>
  <c r="FL14" i="47" s="1"/>
  <c r="L14" i="47"/>
  <c r="S14" i="47" s="1"/>
  <c r="BO14" i="47" s="1" a="1"/>
  <c r="BO14" i="47" s="1"/>
  <c r="J14" i="47"/>
  <c r="H14" i="47"/>
  <c r="R14" i="47" s="1"/>
  <c r="BD14" i="47" s="1"/>
  <c r="BE14" i="47" s="1"/>
  <c r="II13" i="47"/>
  <c r="HO13" i="47"/>
  <c r="HP13" i="47" s="1"/>
  <c r="HK13" i="47"/>
  <c r="HJ13" i="47"/>
  <c r="HH13" i="47"/>
  <c r="HC13" i="47"/>
  <c r="HD13" i="47" s="1"/>
  <c r="GY13" i="47"/>
  <c r="GU13" i="47"/>
  <c r="GV13" i="47" s="1"/>
  <c r="GQ13" i="47"/>
  <c r="GR13" i="47" s="1"/>
  <c r="GG13" i="47"/>
  <c r="FZ13" i="47"/>
  <c r="GA13" i="47" s="1"/>
  <c r="FR13" i="47"/>
  <c r="FK13" i="47"/>
  <c r="FC13" i="47"/>
  <c r="FD13" i="47" s="1"/>
  <c r="EZ13" i="47"/>
  <c r="EV13" i="47"/>
  <c r="EX13" i="47" s="1"/>
  <c r="EY13" i="47" s="1"/>
  <c r="ER13" i="47"/>
  <c r="ET13" i="47" s="1"/>
  <c r="EU13" i="47" s="1"/>
  <c r="EO13" i="47"/>
  <c r="EN13" i="47"/>
  <c r="EP13" i="47" s="1"/>
  <c r="EJ13" i="47"/>
  <c r="EL13" i="47" s="1"/>
  <c r="EM13" i="47" s="1"/>
  <c r="EF13" i="47"/>
  <c r="EH13" i="47" s="1"/>
  <c r="EI13" i="47" s="1"/>
  <c r="EB13" i="47"/>
  <c r="ED13" i="47" s="1"/>
  <c r="EE13" i="47" s="1"/>
  <c r="DT13" i="47"/>
  <c r="DV13" i="47" s="1"/>
  <c r="DW13" i="47" s="1"/>
  <c r="DP13" i="47"/>
  <c r="DR13" i="47" s="1"/>
  <c r="DS13" i="47" s="1"/>
  <c r="DL13" i="47"/>
  <c r="DN13" i="47" s="1"/>
  <c r="DO13" i="47" s="1"/>
  <c r="DJ13" i="47"/>
  <c r="DF13" i="47"/>
  <c r="DG13" i="47" s="1"/>
  <c r="DB13" i="47"/>
  <c r="DC13" i="47" s="1"/>
  <c r="CW13" i="47"/>
  <c r="CV13" i="47"/>
  <c r="CX13" i="47" s="1"/>
  <c r="CR13" i="47"/>
  <c r="CT13" i="47" s="1"/>
  <c r="CU13" i="47" s="1"/>
  <c r="CN13" i="47"/>
  <c r="CP13" i="47" s="1"/>
  <c r="CQ13" i="47" s="1"/>
  <c r="CJ13" i="47"/>
  <c r="CL13" i="47" s="1"/>
  <c r="CM13" i="47" s="1"/>
  <c r="CI13" i="47"/>
  <c r="BH13" i="47"/>
  <c r="BI13" i="47" s="1"/>
  <c r="AN13" i="47"/>
  <c r="AP13" i="47" s="1"/>
  <c r="AQ13" i="47" s="1"/>
  <c r="AJ13" i="47"/>
  <c r="AL13" i="47" s="1"/>
  <c r="AM13" i="47" s="1"/>
  <c r="AF13" i="47"/>
  <c r="AH13" i="47" s="1"/>
  <c r="AI13" i="47" s="1"/>
  <c r="AB13" i="47"/>
  <c r="AD13" i="47" s="1"/>
  <c r="AE13" i="47" s="1"/>
  <c r="X13" i="47"/>
  <c r="Z13" i="47" s="1"/>
  <c r="AA13" i="47" s="1"/>
  <c r="N13" i="47"/>
  <c r="GC13" i="47" s="1" a="1"/>
  <c r="GC13" i="47" s="1"/>
  <c r="L13" i="47"/>
  <c r="S13" i="47" s="1"/>
  <c r="BO13" i="47" s="1" a="1"/>
  <c r="BO13" i="47" s="1"/>
  <c r="J13" i="47"/>
  <c r="H13" i="47"/>
  <c r="R13" i="47" s="1"/>
  <c r="BD13" i="47" s="1"/>
  <c r="BE13" i="47" s="1"/>
  <c r="II12" i="47"/>
  <c r="HO12" i="47"/>
  <c r="HP12" i="47" s="1"/>
  <c r="HK12" i="47"/>
  <c r="HJ12" i="47"/>
  <c r="HH12" i="47"/>
  <c r="HC12" i="47"/>
  <c r="HD12" i="47" s="1"/>
  <c r="GY12" i="47"/>
  <c r="GU12" i="47"/>
  <c r="GV12" i="47" s="1"/>
  <c r="GQ12" i="47"/>
  <c r="GR12" i="47" s="1"/>
  <c r="GG12" i="47"/>
  <c r="FZ12" i="47"/>
  <c r="GA12" i="47" s="1"/>
  <c r="FR12" i="47"/>
  <c r="FK12" i="47"/>
  <c r="FC12" i="47"/>
  <c r="FD12" i="47" s="1"/>
  <c r="EZ12" i="47"/>
  <c r="EV12" i="47"/>
  <c r="EX12" i="47" s="1"/>
  <c r="EY12" i="47" s="1"/>
  <c r="ER12" i="47"/>
  <c r="ET12" i="47" s="1"/>
  <c r="EU12" i="47" s="1"/>
  <c r="EO12" i="47"/>
  <c r="EN12" i="47"/>
  <c r="EP12" i="47" s="1"/>
  <c r="EJ12" i="47"/>
  <c r="EL12" i="47" s="1"/>
  <c r="EM12" i="47" s="1"/>
  <c r="EF12" i="47"/>
  <c r="EH12" i="47" s="1"/>
  <c r="EI12" i="47" s="1"/>
  <c r="EB12" i="47"/>
  <c r="ED12" i="47" s="1"/>
  <c r="EE12" i="47" s="1"/>
  <c r="DT12" i="47"/>
  <c r="DV12" i="47" s="1"/>
  <c r="DW12" i="47" s="1"/>
  <c r="DP12" i="47"/>
  <c r="DR12" i="47" s="1"/>
  <c r="DS12" i="47" s="1"/>
  <c r="DL12" i="47"/>
  <c r="DN12" i="47" s="1"/>
  <c r="DO12" i="47" s="1"/>
  <c r="DJ12" i="47"/>
  <c r="DF12" i="47"/>
  <c r="DG12" i="47" s="1"/>
  <c r="DB12" i="47"/>
  <c r="DC12" i="47" s="1"/>
  <c r="CW12" i="47"/>
  <c r="CV12" i="47"/>
  <c r="CX12" i="47" s="1"/>
  <c r="CR12" i="47"/>
  <c r="CT12" i="47" s="1"/>
  <c r="CU12" i="47" s="1"/>
  <c r="CN12" i="47"/>
  <c r="CP12" i="47" s="1"/>
  <c r="CQ12" i="47" s="1"/>
  <c r="CJ12" i="47"/>
  <c r="CL12" i="47" s="1"/>
  <c r="CM12" i="47" s="1"/>
  <c r="CI12" i="47"/>
  <c r="BH12" i="47"/>
  <c r="BI12" i="47" s="1"/>
  <c r="AN12" i="47"/>
  <c r="AP12" i="47" s="1"/>
  <c r="AQ12" i="47" s="1"/>
  <c r="AJ12" i="47"/>
  <c r="AL12" i="47" s="1"/>
  <c r="AM12" i="47" s="1"/>
  <c r="AF12" i="47"/>
  <c r="AH12" i="47" s="1"/>
  <c r="AI12" i="47" s="1"/>
  <c r="AB12" i="47"/>
  <c r="AD12" i="47" s="1"/>
  <c r="AE12" i="47" s="1"/>
  <c r="X12" i="47"/>
  <c r="Z12" i="47" s="1"/>
  <c r="AA12" i="47" s="1"/>
  <c r="N12" i="47"/>
  <c r="P12" i="47" s="1"/>
  <c r="FL12" i="47" s="1"/>
  <c r="L12" i="47"/>
  <c r="S12" i="47" s="1"/>
  <c r="BO12" i="47" s="1" a="1"/>
  <c r="BO12" i="47" s="1"/>
  <c r="J12" i="47"/>
  <c r="H12" i="47"/>
  <c r="R12" i="47" s="1"/>
  <c r="BD12" i="47" s="1"/>
  <c r="BE12" i="47" s="1"/>
  <c r="II11" i="47"/>
  <c r="HO11" i="47"/>
  <c r="HP11" i="47" s="1"/>
  <c r="HK11" i="47"/>
  <c r="HJ11" i="47"/>
  <c r="HH11" i="47"/>
  <c r="HC11" i="47"/>
  <c r="HD11" i="47" s="1"/>
  <c r="GY11" i="47"/>
  <c r="GU11" i="47"/>
  <c r="GV11" i="47" s="1"/>
  <c r="GQ11" i="47"/>
  <c r="GR11" i="47" s="1"/>
  <c r="GG11" i="47"/>
  <c r="FZ11" i="47"/>
  <c r="GA11" i="47" s="1"/>
  <c r="FU11" i="47"/>
  <c r="FR11" i="47"/>
  <c r="FK11" i="47"/>
  <c r="FC11" i="47"/>
  <c r="FD11" i="47" s="1"/>
  <c r="EZ11" i="47"/>
  <c r="EV11" i="47"/>
  <c r="EX11" i="47" s="1"/>
  <c r="EY11" i="47" s="1"/>
  <c r="ER11" i="47"/>
  <c r="ET11" i="47" s="1"/>
  <c r="EU11" i="47" s="1"/>
  <c r="EO11" i="47"/>
  <c r="EN11" i="47"/>
  <c r="EP11" i="47" s="1"/>
  <c r="EJ11" i="47"/>
  <c r="EL11" i="47" s="1"/>
  <c r="EM11" i="47" s="1"/>
  <c r="EF11" i="47"/>
  <c r="EH11" i="47" s="1"/>
  <c r="EI11" i="47" s="1"/>
  <c r="EB11" i="47"/>
  <c r="ED11" i="47" s="1"/>
  <c r="EE11" i="47" s="1"/>
  <c r="DT11" i="47"/>
  <c r="DV11" i="47" s="1"/>
  <c r="DW11" i="47" s="1"/>
  <c r="DP11" i="47"/>
  <c r="DR11" i="47" s="1"/>
  <c r="DS11" i="47" s="1"/>
  <c r="DL11" i="47"/>
  <c r="DN11" i="47" s="1"/>
  <c r="DO11" i="47" s="1"/>
  <c r="DJ11" i="47"/>
  <c r="DF11" i="47"/>
  <c r="DG11" i="47" s="1"/>
  <c r="DB11" i="47"/>
  <c r="DC11" i="47" s="1"/>
  <c r="CW11" i="47"/>
  <c r="CV11" i="47"/>
  <c r="CX11" i="47" s="1"/>
  <c r="CR11" i="47"/>
  <c r="CT11" i="47" s="1"/>
  <c r="CU11" i="47" s="1"/>
  <c r="CN11" i="47"/>
  <c r="CP11" i="47" s="1"/>
  <c r="CQ11" i="47" s="1"/>
  <c r="CJ11" i="47"/>
  <c r="CL11" i="47" s="1"/>
  <c r="CM11" i="47" s="1"/>
  <c r="CI11" i="47"/>
  <c r="BH11" i="47"/>
  <c r="BI11" i="47" s="1"/>
  <c r="AN11" i="47"/>
  <c r="AP11" i="47" s="1"/>
  <c r="AQ11" i="47" s="1"/>
  <c r="AJ11" i="47"/>
  <c r="AL11" i="47" s="1"/>
  <c r="AM11" i="47" s="1"/>
  <c r="AF11" i="47"/>
  <c r="AH11" i="47" s="1"/>
  <c r="AI11" i="47" s="1"/>
  <c r="AB11" i="47"/>
  <c r="AD11" i="47" s="1"/>
  <c r="AE11" i="47" s="1"/>
  <c r="X11" i="47"/>
  <c r="Z11" i="47" s="1"/>
  <c r="AA11" i="47" s="1"/>
  <c r="N11" i="47"/>
  <c r="P11" i="47" s="1"/>
  <c r="FL11" i="47" s="1"/>
  <c r="L11" i="47"/>
  <c r="CA11" i="47" s="1" a="1"/>
  <c r="CA11" i="47" s="1"/>
  <c r="J11" i="47"/>
  <c r="H11" i="47"/>
  <c r="R11" i="47" s="1"/>
  <c r="AV11" i="47" s="1" a="1"/>
  <c r="AV11" i="47" s="1"/>
  <c r="II10" i="47"/>
  <c r="HO10" i="47"/>
  <c r="HP10" i="47" s="1"/>
  <c r="HK10" i="47"/>
  <c r="HL10" i="47" s="1"/>
  <c r="HH10" i="47"/>
  <c r="HC10" i="47"/>
  <c r="HD10" i="47" s="1"/>
  <c r="GY10" i="47"/>
  <c r="GU10" i="47"/>
  <c r="GV10" i="47" s="1"/>
  <c r="GQ10" i="47"/>
  <c r="GR10" i="47" s="1"/>
  <c r="GG10" i="47"/>
  <c r="FZ10" i="47"/>
  <c r="GA10" i="47" s="1"/>
  <c r="FR10" i="47"/>
  <c r="FK10" i="47"/>
  <c r="FC10" i="47"/>
  <c r="FD10" i="47" s="1"/>
  <c r="EZ10" i="47"/>
  <c r="EV10" i="47"/>
  <c r="EX10" i="47" s="1"/>
  <c r="EY10" i="47" s="1"/>
  <c r="ER10" i="47"/>
  <c r="ET10" i="47" s="1"/>
  <c r="EU10" i="47" s="1"/>
  <c r="EO10" i="47"/>
  <c r="EN10" i="47"/>
  <c r="EP10" i="47" s="1"/>
  <c r="EJ10" i="47"/>
  <c r="EL10" i="47" s="1"/>
  <c r="EM10" i="47" s="1"/>
  <c r="EF10" i="47"/>
  <c r="EH10" i="47" s="1"/>
  <c r="EI10" i="47" s="1"/>
  <c r="EB10" i="47"/>
  <c r="ED10" i="47" s="1"/>
  <c r="EE10" i="47" s="1"/>
  <c r="DT10" i="47"/>
  <c r="DV10" i="47" s="1"/>
  <c r="DW10" i="47" s="1"/>
  <c r="DP10" i="47"/>
  <c r="DR10" i="47" s="1"/>
  <c r="DS10" i="47" s="1"/>
  <c r="DL10" i="47"/>
  <c r="DN10" i="47" s="1"/>
  <c r="DO10" i="47" s="1"/>
  <c r="DJ10" i="47"/>
  <c r="DF10" i="47"/>
  <c r="DG10" i="47" s="1"/>
  <c r="DB10" i="47"/>
  <c r="DC10" i="47" s="1"/>
  <c r="CW10" i="47"/>
  <c r="CV10" i="47"/>
  <c r="CX10" i="47" s="1"/>
  <c r="CR10" i="47"/>
  <c r="CT10" i="47" s="1"/>
  <c r="CU10" i="47" s="1"/>
  <c r="CN10" i="47"/>
  <c r="CP10" i="47" s="1"/>
  <c r="CQ10" i="47" s="1"/>
  <c r="CJ10" i="47"/>
  <c r="CL10" i="47" s="1"/>
  <c r="CM10" i="47" s="1"/>
  <c r="CI10" i="47"/>
  <c r="BH10" i="47"/>
  <c r="BI10" i="47" s="1"/>
  <c r="AN10" i="47"/>
  <c r="AP10" i="47" s="1"/>
  <c r="AQ10" i="47" s="1"/>
  <c r="AJ10" i="47"/>
  <c r="AL10" i="47" s="1"/>
  <c r="AM10" i="47" s="1"/>
  <c r="AF10" i="47"/>
  <c r="AH10" i="47" s="1"/>
  <c r="AI10" i="47" s="1"/>
  <c r="AB10" i="47"/>
  <c r="AD10" i="47" s="1"/>
  <c r="AE10" i="47" s="1"/>
  <c r="X10" i="47"/>
  <c r="Z10" i="47" s="1"/>
  <c r="AA10" i="47" s="1"/>
  <c r="N10" i="47"/>
  <c r="GC10" i="47" s="1" a="1"/>
  <c r="GC10" i="47" s="1"/>
  <c r="L10" i="47"/>
  <c r="S10" i="47" s="1"/>
  <c r="J10" i="47"/>
  <c r="H10" i="47"/>
  <c r="II9" i="47"/>
  <c r="HO9" i="47"/>
  <c r="HP9" i="47" s="1"/>
  <c r="HK9" i="47"/>
  <c r="HL9" i="47" s="1"/>
  <c r="HH9" i="47"/>
  <c r="HC9" i="47"/>
  <c r="HD9" i="47" s="1"/>
  <c r="GY9" i="47"/>
  <c r="GU9" i="47"/>
  <c r="GV9" i="47" s="1"/>
  <c r="GQ9" i="47"/>
  <c r="GR9" i="47" s="1"/>
  <c r="GK9" i="47"/>
  <c r="GG9" i="47"/>
  <c r="FZ9" i="47"/>
  <c r="GA9" i="47" s="1"/>
  <c r="FU9" i="47"/>
  <c r="FR9" i="47"/>
  <c r="FK9" i="47"/>
  <c r="FC9" i="47"/>
  <c r="FD9" i="47" s="1"/>
  <c r="EZ9" i="47"/>
  <c r="EV9" i="47"/>
  <c r="EX9" i="47" s="1"/>
  <c r="EY9" i="47" s="1"/>
  <c r="ER9" i="47"/>
  <c r="ET9" i="47" s="1"/>
  <c r="EU9" i="47" s="1"/>
  <c r="EO9" i="47"/>
  <c r="EN9" i="47"/>
  <c r="EP9" i="47" s="1"/>
  <c r="EJ9" i="47"/>
  <c r="EL9" i="47" s="1"/>
  <c r="EM9" i="47" s="1"/>
  <c r="EF9" i="47"/>
  <c r="EH9" i="47" s="1"/>
  <c r="EI9" i="47" s="1"/>
  <c r="EB9" i="47"/>
  <c r="ED9" i="47" s="1"/>
  <c r="EE9" i="47" s="1"/>
  <c r="DT9" i="47"/>
  <c r="DV9" i="47" s="1"/>
  <c r="DW9" i="47" s="1"/>
  <c r="DP9" i="47"/>
  <c r="DR9" i="47" s="1"/>
  <c r="DS9" i="47" s="1"/>
  <c r="DL9" i="47"/>
  <c r="DN9" i="47" s="1"/>
  <c r="DO9" i="47" s="1"/>
  <c r="DJ9" i="47"/>
  <c r="DF9" i="47"/>
  <c r="DG9" i="47" s="1"/>
  <c r="DB9" i="47"/>
  <c r="DC9" i="47" s="1"/>
  <c r="CW9" i="47"/>
  <c r="CV9" i="47"/>
  <c r="CX9" i="47" s="1"/>
  <c r="CR9" i="47"/>
  <c r="CT9" i="47" s="1"/>
  <c r="CU9" i="47" s="1"/>
  <c r="CN9" i="47"/>
  <c r="CP9" i="47" s="1"/>
  <c r="CQ9" i="47" s="1"/>
  <c r="CJ9" i="47"/>
  <c r="CL9" i="47" s="1"/>
  <c r="CM9" i="47" s="1"/>
  <c r="CI9" i="47"/>
  <c r="BH9" i="47"/>
  <c r="BI9" i="47" s="1"/>
  <c r="AR9" i="47"/>
  <c r="AN9" i="47"/>
  <c r="AP9" i="47" s="1"/>
  <c r="AQ9" i="47" s="1"/>
  <c r="AJ9" i="47"/>
  <c r="AL9" i="47" s="1"/>
  <c r="AM9" i="47" s="1"/>
  <c r="AF9" i="47"/>
  <c r="AH9" i="47" s="1"/>
  <c r="AI9" i="47" s="1"/>
  <c r="AB9" i="47"/>
  <c r="AD9" i="47" s="1"/>
  <c r="AE9" i="47" s="1"/>
  <c r="X9" i="47"/>
  <c r="Z9" i="47" s="1"/>
  <c r="AA9" i="47" s="1"/>
  <c r="N9" i="47"/>
  <c r="L9" i="47"/>
  <c r="S9" i="47" s="1"/>
  <c r="J9" i="47"/>
  <c r="H9" i="47"/>
  <c r="R9" i="47" s="1"/>
  <c r="II8" i="47"/>
  <c r="HO8" i="47"/>
  <c r="HP8" i="47" s="1"/>
  <c r="HK8" i="47"/>
  <c r="HL8" i="47" s="1"/>
  <c r="HH8" i="47"/>
  <c r="HC8" i="47"/>
  <c r="HD8" i="47" s="1"/>
  <c r="GY8" i="47"/>
  <c r="GU8" i="47"/>
  <c r="GV8" i="47" s="1"/>
  <c r="GQ8" i="47"/>
  <c r="GR8" i="47" s="1"/>
  <c r="GM8" i="47"/>
  <c r="GN8" i="47" s="1"/>
  <c r="GG8" i="47"/>
  <c r="FZ8" i="47"/>
  <c r="GA8" i="47" s="1"/>
  <c r="FU8" i="47"/>
  <c r="FR8" i="47"/>
  <c r="FK8" i="47"/>
  <c r="FC8" i="47"/>
  <c r="FD8" i="47" s="1"/>
  <c r="EZ8" i="47"/>
  <c r="EV8" i="47"/>
  <c r="ER8" i="47"/>
  <c r="EO8" i="47"/>
  <c r="EN8" i="47"/>
  <c r="EP8" i="47" s="1"/>
  <c r="EJ8" i="47"/>
  <c r="EF8" i="47"/>
  <c r="EB8" i="47"/>
  <c r="DT8" i="47"/>
  <c r="DP8" i="47"/>
  <c r="DL8" i="47"/>
  <c r="DJ8" i="47"/>
  <c r="DF8" i="47"/>
  <c r="DG8" i="47" s="1"/>
  <c r="DB8" i="47"/>
  <c r="DC8" i="47" s="1"/>
  <c r="CW8" i="47"/>
  <c r="CV8" i="47"/>
  <c r="CX8" i="47" s="1"/>
  <c r="CR8" i="47"/>
  <c r="CN8" i="47"/>
  <c r="CJ8" i="47"/>
  <c r="CI8" i="47"/>
  <c r="BH8" i="47"/>
  <c r="BI8" i="47" s="1"/>
  <c r="AT8" i="47"/>
  <c r="AU8" i="47" s="1"/>
  <c r="AN8" i="47"/>
  <c r="AJ8" i="47"/>
  <c r="AL8" i="47" s="1"/>
  <c r="AM8" i="47" s="1"/>
  <c r="AF8" i="47"/>
  <c r="AH8" i="47" s="1"/>
  <c r="AI8" i="47" s="1"/>
  <c r="AB8" i="47"/>
  <c r="X8" i="47"/>
  <c r="N8" i="47"/>
  <c r="L8" i="47"/>
  <c r="S8" i="47" s="1"/>
  <c r="BO8" i="47" s="1" a="1"/>
  <c r="BO8" i="47" s="1"/>
  <c r="Z8" i="55" s="1"/>
  <c r="J8" i="47"/>
  <c r="H8" i="47"/>
  <c r="BU8" i="47" s="1" a="1"/>
  <c r="BU8" i="47" s="1"/>
  <c r="BP17" i="47" l="1"/>
  <c r="AA17" i="55" s="1"/>
  <c r="Z17" i="55"/>
  <c r="BP12" i="47"/>
  <c r="AA12" i="55" s="1"/>
  <c r="Z12" i="55"/>
  <c r="BP13" i="47"/>
  <c r="AA13" i="55" s="1"/>
  <c r="Z13" i="55"/>
  <c r="BP14" i="47"/>
  <c r="AA14" i="55" s="1"/>
  <c r="Z14" i="55"/>
  <c r="BP18" i="47"/>
  <c r="AA18" i="55" s="1"/>
  <c r="Z18" i="55"/>
  <c r="BP39" i="47"/>
  <c r="AA39" i="55" s="1"/>
  <c r="Z39" i="55"/>
  <c r="BP16" i="47"/>
  <c r="AA16" i="55" s="1"/>
  <c r="Z16" i="55"/>
  <c r="BP15" i="47"/>
  <c r="AA15" i="55" s="1"/>
  <c r="Z15" i="55"/>
  <c r="GB17" i="47"/>
  <c r="AL92" i="55"/>
  <c r="GB10" i="47"/>
  <c r="AL85" i="55"/>
  <c r="GB13" i="47"/>
  <c r="AL88" i="55"/>
  <c r="GB29" i="47"/>
  <c r="AL104" i="55"/>
  <c r="GB15" i="47"/>
  <c r="AL90" i="55"/>
  <c r="GB20" i="47"/>
  <c r="AL95" i="55"/>
  <c r="GB40" i="47"/>
  <c r="AL115" i="55"/>
  <c r="GB28" i="47"/>
  <c r="AL103" i="55"/>
  <c r="GB19" i="47"/>
  <c r="AL94" i="55"/>
  <c r="GB23" i="47"/>
  <c r="AL98" i="55"/>
  <c r="GB30" i="47"/>
  <c r="AL105" i="55"/>
  <c r="GB35" i="47"/>
  <c r="AL110" i="55"/>
  <c r="GB31" i="47"/>
  <c r="AL106" i="55"/>
  <c r="GB38" i="47"/>
  <c r="AL113" i="55"/>
  <c r="GB39" i="47"/>
  <c r="AL114" i="55"/>
  <c r="F55" i="47"/>
  <c r="EO79" i="47"/>
  <c r="EO82" i="47"/>
  <c r="CW81" i="47"/>
  <c r="F65" i="47"/>
  <c r="EO80" i="47"/>
  <c r="FU80" i="47"/>
  <c r="CW79" i="47"/>
  <c r="FU78" i="47"/>
  <c r="AS70" i="15" s="1"/>
  <c r="L95" i="48" s="1"/>
  <c r="EO81" i="47"/>
  <c r="HJ76" i="47"/>
  <c r="CW80" i="47"/>
  <c r="FU79" i="47"/>
  <c r="CT8" i="47"/>
  <c r="CU8" i="47" s="1"/>
  <c r="CS77" i="47"/>
  <c r="CS79" i="47"/>
  <c r="CS81" i="47"/>
  <c r="CS83" i="47"/>
  <c r="CS85" i="47"/>
  <c r="CS78" i="47"/>
  <c r="CS80" i="47"/>
  <c r="CS82" i="47"/>
  <c r="CS84" i="47"/>
  <c r="CS76" i="47"/>
  <c r="DN8" i="47"/>
  <c r="DO8" i="47" s="1"/>
  <c r="DM77" i="47"/>
  <c r="DM79" i="47"/>
  <c r="DM81" i="47"/>
  <c r="DM83" i="47"/>
  <c r="DM85" i="47"/>
  <c r="DM78" i="47"/>
  <c r="DM80" i="47"/>
  <c r="DM82" i="47"/>
  <c r="DM84" i="47"/>
  <c r="DM76" i="47"/>
  <c r="DV8" i="47"/>
  <c r="DW8" i="47" s="1"/>
  <c r="DU77" i="47"/>
  <c r="DU79" i="47"/>
  <c r="DU81" i="47"/>
  <c r="DU83" i="47"/>
  <c r="DU85" i="47"/>
  <c r="DU78" i="47"/>
  <c r="DU80" i="47"/>
  <c r="DU82" i="47"/>
  <c r="DU84" i="47"/>
  <c r="DU76" i="47"/>
  <c r="EH8" i="47"/>
  <c r="EI8" i="47" s="1"/>
  <c r="EG78" i="47"/>
  <c r="EG80" i="47"/>
  <c r="EG82" i="47"/>
  <c r="EG84" i="47"/>
  <c r="EG76" i="47"/>
  <c r="EG77" i="47"/>
  <c r="EG79" i="47"/>
  <c r="EG81" i="47"/>
  <c r="EG83" i="47"/>
  <c r="EG85" i="47"/>
  <c r="AD8" i="47"/>
  <c r="AE8" i="47" s="1"/>
  <c r="AC78" i="47"/>
  <c r="AC80" i="47"/>
  <c r="AC82" i="47"/>
  <c r="AC81" i="47"/>
  <c r="AC77" i="47"/>
  <c r="AC79" i="47"/>
  <c r="AC76" i="47"/>
  <c r="CP8" i="47"/>
  <c r="CQ8" i="47" s="1"/>
  <c r="CO77" i="47"/>
  <c r="CO79" i="47"/>
  <c r="CO81" i="47"/>
  <c r="CO83" i="47"/>
  <c r="CO85" i="47"/>
  <c r="CO78" i="47"/>
  <c r="CO80" i="47"/>
  <c r="CO82" i="47"/>
  <c r="CO84" i="47"/>
  <c r="CO76" i="47"/>
  <c r="DR8" i="47"/>
  <c r="DS8" i="47" s="1"/>
  <c r="DQ77" i="47"/>
  <c r="DQ79" i="47"/>
  <c r="DQ81" i="47"/>
  <c r="DQ83" i="47"/>
  <c r="DQ85" i="47"/>
  <c r="DQ78" i="47"/>
  <c r="DQ80" i="47"/>
  <c r="DQ82" i="47"/>
  <c r="DQ84" i="47"/>
  <c r="DQ76" i="47"/>
  <c r="ED8" i="47"/>
  <c r="EE8" i="47" s="1"/>
  <c r="EC78" i="47"/>
  <c r="EC80" i="47"/>
  <c r="EC82" i="47"/>
  <c r="EC84" i="47"/>
  <c r="EC76" i="47"/>
  <c r="EC77" i="47"/>
  <c r="EC79" i="47"/>
  <c r="EC81" i="47"/>
  <c r="EC83" i="47"/>
  <c r="EC85" i="47"/>
  <c r="EL8" i="47"/>
  <c r="EM8" i="47" s="1"/>
  <c r="EK78" i="47"/>
  <c r="EK80" i="47"/>
  <c r="EK82" i="47"/>
  <c r="EK84" i="47"/>
  <c r="EK76" i="47"/>
  <c r="EK77" i="47"/>
  <c r="EK79" i="47"/>
  <c r="EK81" i="47"/>
  <c r="EK83" i="47"/>
  <c r="EK85" i="47"/>
  <c r="EX8" i="47"/>
  <c r="EY8" i="47" s="1"/>
  <c r="EW78" i="47"/>
  <c r="EW80" i="47"/>
  <c r="EW82" i="47"/>
  <c r="EW84" i="47"/>
  <c r="EW76" i="47"/>
  <c r="EW77" i="47"/>
  <c r="EW79" i="47"/>
  <c r="EW81" i="47"/>
  <c r="EW83" i="47"/>
  <c r="EW85" i="47"/>
  <c r="CW82" i="47"/>
  <c r="Z8" i="47"/>
  <c r="AA8" i="47" s="1"/>
  <c r="Y78" i="47"/>
  <c r="Y80" i="47"/>
  <c r="Y82" i="47"/>
  <c r="Y77" i="47"/>
  <c r="Y81" i="47"/>
  <c r="Y79" i="47"/>
  <c r="Y76" i="47"/>
  <c r="AP8" i="47"/>
  <c r="AQ8" i="47" s="1"/>
  <c r="AO78" i="47"/>
  <c r="AO80" i="47"/>
  <c r="AO82" i="47"/>
  <c r="AO84" i="47"/>
  <c r="AO76" i="47"/>
  <c r="AO77" i="47"/>
  <c r="AO79" i="47"/>
  <c r="AO81" i="47"/>
  <c r="AO83" i="47"/>
  <c r="AO85" i="47"/>
  <c r="CL8" i="47"/>
  <c r="CM8" i="47" s="1"/>
  <c r="CK77" i="47"/>
  <c r="CK79" i="47"/>
  <c r="CK81" i="47"/>
  <c r="CK83" i="47"/>
  <c r="CK85" i="47"/>
  <c r="CK78" i="47"/>
  <c r="CK80" i="47"/>
  <c r="CK82" i="47"/>
  <c r="CK84" i="47"/>
  <c r="CK76" i="47"/>
  <c r="ET8" i="47"/>
  <c r="EU8" i="47" s="1"/>
  <c r="ES78" i="47"/>
  <c r="ES80" i="47"/>
  <c r="ES82" i="47"/>
  <c r="ES84" i="47"/>
  <c r="ES76" i="47"/>
  <c r="ES77" i="47"/>
  <c r="ES79" i="47"/>
  <c r="ES81" i="47"/>
  <c r="ES83" i="47"/>
  <c r="ES85" i="47"/>
  <c r="GH77" i="47"/>
  <c r="GH79" i="47"/>
  <c r="GH81" i="47"/>
  <c r="GH83" i="47"/>
  <c r="GH76" i="47"/>
  <c r="GH78" i="47"/>
  <c r="GH80" i="47"/>
  <c r="GH82" i="47"/>
  <c r="GH84" i="47"/>
  <c r="U50" i="47"/>
  <c r="V50" i="47" s="1"/>
  <c r="FS50" i="47" s="1" a="1"/>
  <c r="FS50" i="47" s="1"/>
  <c r="BP8" i="47"/>
  <c r="AA8" i="55" s="1"/>
  <c r="U70" i="47"/>
  <c r="V70" i="47" s="1"/>
  <c r="FS70" i="47" s="1" a="1"/>
  <c r="FS70" i="47" s="1"/>
  <c r="FE70" i="47"/>
  <c r="U62" i="47"/>
  <c r="V62" i="47" s="1"/>
  <c r="FS62" i="47" s="1" a="1"/>
  <c r="FS62" i="47" s="1"/>
  <c r="FE62" i="47"/>
  <c r="U46" i="47"/>
  <c r="V46" i="47" s="1"/>
  <c r="FS46" i="47" s="1" a="1"/>
  <c r="FS46" i="47" s="1"/>
  <c r="FE46" i="47"/>
  <c r="P68" i="47"/>
  <c r="FL68" i="47" s="1"/>
  <c r="GC68" i="47" a="1"/>
  <c r="GC68" i="47" s="1"/>
  <c r="P60" i="47"/>
  <c r="FL60" i="47" s="1"/>
  <c r="GC60" i="47" a="1"/>
  <c r="GC60" i="47" s="1"/>
  <c r="P52" i="47"/>
  <c r="FL52" i="47" s="1"/>
  <c r="GC52" i="47" a="1"/>
  <c r="GC52" i="47" s="1"/>
  <c r="P48" i="47"/>
  <c r="FL48" i="47" s="1"/>
  <c r="GC48" i="47" a="1"/>
  <c r="GC48" i="47" s="1"/>
  <c r="U42" i="47"/>
  <c r="V42" i="47" s="1"/>
  <c r="FS42" i="47" s="1" a="1"/>
  <c r="FS42" i="47" s="1"/>
  <c r="U9" i="47"/>
  <c r="V9" i="47" s="1"/>
  <c r="FS9" i="47" s="1" a="1"/>
  <c r="FS9" i="47" s="1"/>
  <c r="FE9" i="47"/>
  <c r="U73" i="47"/>
  <c r="V73" i="47" s="1"/>
  <c r="FS73" i="47" s="1" a="1"/>
  <c r="FS73" i="47" s="1"/>
  <c r="FE73" i="47"/>
  <c r="U69" i="47"/>
  <c r="V69" i="47" s="1"/>
  <c r="FS69" i="47" s="1" a="1"/>
  <c r="FS69" i="47" s="1"/>
  <c r="FE69" i="47"/>
  <c r="U65" i="47"/>
  <c r="V65" i="47" s="1"/>
  <c r="FS65" i="47" s="1" a="1"/>
  <c r="FS65" i="47" s="1"/>
  <c r="FE65" i="47"/>
  <c r="U61" i="47"/>
  <c r="V61" i="47" s="1"/>
  <c r="FS61" i="47" s="1" a="1"/>
  <c r="FS61" i="47" s="1"/>
  <c r="FE61" i="47"/>
  <c r="U57" i="47"/>
  <c r="V57" i="47" s="1"/>
  <c r="FS57" i="47" s="1" a="1"/>
  <c r="FS57" i="47" s="1"/>
  <c r="FE57" i="47"/>
  <c r="U53" i="47"/>
  <c r="V53" i="47" s="1"/>
  <c r="FS53" i="47" s="1" a="1"/>
  <c r="FS53" i="47" s="1"/>
  <c r="FE53" i="47"/>
  <c r="U49" i="47"/>
  <c r="V49" i="47" s="1"/>
  <c r="FS49" i="47" s="1" a="1"/>
  <c r="FS49" i="47" s="1"/>
  <c r="FE49" i="47"/>
  <c r="U45" i="47"/>
  <c r="V45" i="47" s="1"/>
  <c r="FS45" i="47" s="1" a="1"/>
  <c r="FS45" i="47" s="1"/>
  <c r="FE45" i="47"/>
  <c r="U41" i="47"/>
  <c r="V41" i="47" s="1"/>
  <c r="FS41" i="47" s="1" a="1"/>
  <c r="FS41" i="47" s="1"/>
  <c r="FE41" i="47"/>
  <c r="P71" i="47"/>
  <c r="FL71" i="47" s="1"/>
  <c r="GC71" i="47" a="1"/>
  <c r="GC71" i="47" s="1"/>
  <c r="P67" i="47"/>
  <c r="FL67" i="47" s="1"/>
  <c r="GC67" i="47" a="1"/>
  <c r="GC67" i="47" s="1"/>
  <c r="P63" i="47"/>
  <c r="FL63" i="47" s="1"/>
  <c r="GC63" i="47" a="1"/>
  <c r="GC63" i="47" s="1"/>
  <c r="P59" i="47"/>
  <c r="FL59" i="47" s="1"/>
  <c r="GC59" i="47" a="1"/>
  <c r="GC59" i="47" s="1"/>
  <c r="P55" i="47"/>
  <c r="FL55" i="47" s="1"/>
  <c r="GC55" i="47" a="1"/>
  <c r="GC55" i="47" s="1"/>
  <c r="P51" i="47"/>
  <c r="FL51" i="47" s="1"/>
  <c r="GC51" i="47" a="1"/>
  <c r="GC51" i="47" s="1"/>
  <c r="P47" i="47"/>
  <c r="FL47" i="47" s="1"/>
  <c r="GC47" i="47" a="1"/>
  <c r="GC47" i="47" s="1"/>
  <c r="P43" i="47"/>
  <c r="FL43" i="47" s="1"/>
  <c r="GC43" i="47" a="1"/>
  <c r="GC43" i="47" s="1"/>
  <c r="U66" i="47"/>
  <c r="V66" i="47" s="1"/>
  <c r="FS66" i="47" s="1" a="1"/>
  <c r="FS66" i="47" s="1"/>
  <c r="U10" i="47"/>
  <c r="V10" i="47" s="1"/>
  <c r="FS10" i="47" s="1" a="1"/>
  <c r="FS10" i="47" s="1"/>
  <c r="FE10" i="47"/>
  <c r="U71" i="47"/>
  <c r="V71" i="47" s="1"/>
  <c r="FS71" i="47" s="1" a="1"/>
  <c r="FS71" i="47" s="1"/>
  <c r="FE71" i="47"/>
  <c r="U67" i="47"/>
  <c r="V67" i="47" s="1"/>
  <c r="FS67" i="47" s="1" a="1"/>
  <c r="FS67" i="47" s="1"/>
  <c r="FE67" i="47"/>
  <c r="U63" i="47"/>
  <c r="V63" i="47" s="1"/>
  <c r="FS63" i="47" s="1" a="1"/>
  <c r="FS63" i="47" s="1"/>
  <c r="FE63" i="47"/>
  <c r="U59" i="47"/>
  <c r="V59" i="47" s="1"/>
  <c r="FS59" i="47" s="1" a="1"/>
  <c r="FS59" i="47" s="1"/>
  <c r="FE59" i="47"/>
  <c r="U55" i="47"/>
  <c r="V55" i="47" s="1"/>
  <c r="FS55" i="47" s="1" a="1"/>
  <c r="FS55" i="47" s="1"/>
  <c r="FE55" i="47"/>
  <c r="U51" i="47"/>
  <c r="V51" i="47" s="1"/>
  <c r="FS51" i="47" s="1" a="1"/>
  <c r="FS51" i="47" s="1"/>
  <c r="FE51" i="47"/>
  <c r="U47" i="47"/>
  <c r="V47" i="47" s="1"/>
  <c r="FS47" i="47" s="1" a="1"/>
  <c r="FS47" i="47" s="1"/>
  <c r="FE47" i="47"/>
  <c r="U43" i="47"/>
  <c r="V43" i="47" s="1"/>
  <c r="FS43" i="47" s="1" a="1"/>
  <c r="FS43" i="47" s="1"/>
  <c r="FE43" i="47"/>
  <c r="P73" i="47"/>
  <c r="FL73" i="47" s="1"/>
  <c r="GC73" i="47" a="1"/>
  <c r="GC73" i="47" s="1"/>
  <c r="P69" i="47"/>
  <c r="FL69" i="47" s="1"/>
  <c r="GC69" i="47" a="1"/>
  <c r="GC69" i="47" s="1"/>
  <c r="P65" i="47"/>
  <c r="FL65" i="47" s="1"/>
  <c r="GC65" i="47" a="1"/>
  <c r="GC65" i="47" s="1"/>
  <c r="P61" i="47"/>
  <c r="FL61" i="47" s="1"/>
  <c r="GC61" i="47" a="1"/>
  <c r="GC61" i="47" s="1"/>
  <c r="P57" i="47"/>
  <c r="FL57" i="47" s="1"/>
  <c r="GC57" i="47" a="1"/>
  <c r="GC57" i="47" s="1"/>
  <c r="P53" i="47"/>
  <c r="FL53" i="47" s="1"/>
  <c r="GC53" i="47" a="1"/>
  <c r="GC53" i="47" s="1"/>
  <c r="P49" i="47"/>
  <c r="FL49" i="47" s="1"/>
  <c r="GC49" i="47" a="1"/>
  <c r="GC49" i="47" s="1"/>
  <c r="P45" i="47"/>
  <c r="FL45" i="47" s="1"/>
  <c r="GC45" i="47" a="1"/>
  <c r="GC45" i="47" s="1"/>
  <c r="P41" i="47"/>
  <c r="FL41" i="47" s="1"/>
  <c r="GC41" i="47" a="1"/>
  <c r="GC41" i="47" s="1"/>
  <c r="U8" i="47"/>
  <c r="V8" i="47" s="1"/>
  <c r="FS8" i="47" s="1" a="1"/>
  <c r="FS8" i="47" s="1"/>
  <c r="FE8" i="47"/>
  <c r="U54" i="47"/>
  <c r="V54" i="47" s="1"/>
  <c r="FS54" i="47" s="1" a="1"/>
  <c r="FS54" i="47" s="1"/>
  <c r="FE54" i="47"/>
  <c r="P72" i="47"/>
  <c r="FL72" i="47" s="1"/>
  <c r="GC72" i="47" a="1"/>
  <c r="GC72" i="47" s="1"/>
  <c r="P64" i="47"/>
  <c r="FL64" i="47" s="1"/>
  <c r="GC64" i="47" a="1"/>
  <c r="GC64" i="47" s="1"/>
  <c r="P56" i="47"/>
  <c r="FL56" i="47" s="1"/>
  <c r="GC56" i="47" a="1"/>
  <c r="GC56" i="47" s="1"/>
  <c r="P44" i="47"/>
  <c r="FL44" i="47" s="1"/>
  <c r="GC44" i="47" a="1"/>
  <c r="GC44" i="47" s="1"/>
  <c r="U11" i="47"/>
  <c r="V11" i="47" s="1"/>
  <c r="FS11" i="47" s="1" a="1"/>
  <c r="FS11" i="47" s="1"/>
  <c r="FE11" i="47"/>
  <c r="U12" i="47"/>
  <c r="V12" i="47" s="1"/>
  <c r="FS12" i="47" s="1" a="1"/>
  <c r="FS12" i="47" s="1"/>
  <c r="FE12" i="47"/>
  <c r="U13" i="47"/>
  <c r="V13" i="47" s="1"/>
  <c r="FS13" i="47" s="1" a="1"/>
  <c r="FS13" i="47" s="1"/>
  <c r="FE13" i="47"/>
  <c r="U14" i="47"/>
  <c r="V14" i="47" s="1"/>
  <c r="FS14" i="47" s="1" a="1"/>
  <c r="FS14" i="47" s="1"/>
  <c r="FE14" i="47"/>
  <c r="U15" i="47"/>
  <c r="V15" i="47" s="1"/>
  <c r="FS15" i="47" s="1" a="1"/>
  <c r="FS15" i="47" s="1"/>
  <c r="FE15" i="47"/>
  <c r="U16" i="47"/>
  <c r="V16" i="47" s="1"/>
  <c r="FS16" i="47" s="1" a="1"/>
  <c r="FS16" i="47" s="1"/>
  <c r="FE16" i="47"/>
  <c r="U17" i="47"/>
  <c r="V17" i="47" s="1"/>
  <c r="FS17" i="47" s="1" a="1"/>
  <c r="FS17" i="47" s="1"/>
  <c r="FE17" i="47"/>
  <c r="U18" i="47"/>
  <c r="V18" i="47" s="1"/>
  <c r="FS18" i="47" s="1" a="1"/>
  <c r="FS18" i="47" s="1"/>
  <c r="FE18" i="47"/>
  <c r="U19" i="47"/>
  <c r="V19" i="47" s="1"/>
  <c r="FS19" i="47" s="1" a="1"/>
  <c r="FS19" i="47" s="1"/>
  <c r="FE19" i="47"/>
  <c r="U20" i="47"/>
  <c r="V20" i="47" s="1"/>
  <c r="FS20" i="47" s="1" a="1"/>
  <c r="FS20" i="47" s="1"/>
  <c r="FE20" i="47"/>
  <c r="U21" i="47"/>
  <c r="V21" i="47" s="1"/>
  <c r="FS21" i="47" s="1" a="1"/>
  <c r="FS21" i="47" s="1"/>
  <c r="FE21" i="47"/>
  <c r="U22" i="47"/>
  <c r="V22" i="47" s="1"/>
  <c r="FS22" i="47" s="1" a="1"/>
  <c r="FS22" i="47" s="1"/>
  <c r="FE22" i="47"/>
  <c r="U23" i="47"/>
  <c r="V23" i="47" s="1"/>
  <c r="FS23" i="47" s="1" a="1"/>
  <c r="FS23" i="47" s="1"/>
  <c r="FE23" i="47"/>
  <c r="U24" i="47"/>
  <c r="V24" i="47" s="1"/>
  <c r="FS24" i="47" s="1" a="1"/>
  <c r="FS24" i="47" s="1"/>
  <c r="FE24" i="47"/>
  <c r="U25" i="47"/>
  <c r="V25" i="47" s="1"/>
  <c r="FS25" i="47" s="1" a="1"/>
  <c r="FS25" i="47" s="1"/>
  <c r="FE25" i="47"/>
  <c r="U26" i="47"/>
  <c r="V26" i="47" s="1"/>
  <c r="FS26" i="47" s="1" a="1"/>
  <c r="FS26" i="47" s="1"/>
  <c r="FE26" i="47"/>
  <c r="U27" i="47"/>
  <c r="V27" i="47" s="1"/>
  <c r="FS27" i="47" s="1" a="1"/>
  <c r="FS27" i="47" s="1"/>
  <c r="FE27" i="47"/>
  <c r="U28" i="47"/>
  <c r="V28" i="47" s="1"/>
  <c r="FS28" i="47" s="1" a="1"/>
  <c r="FS28" i="47" s="1"/>
  <c r="FE28" i="47"/>
  <c r="U29" i="47"/>
  <c r="V29" i="47" s="1"/>
  <c r="FS29" i="47" s="1" a="1"/>
  <c r="FS29" i="47" s="1"/>
  <c r="FE29" i="47"/>
  <c r="U30" i="47"/>
  <c r="V30" i="47" s="1"/>
  <c r="FS30" i="47" s="1" a="1"/>
  <c r="FS30" i="47" s="1"/>
  <c r="FE30" i="47"/>
  <c r="U31" i="47"/>
  <c r="V31" i="47" s="1"/>
  <c r="FS31" i="47" s="1" a="1"/>
  <c r="FS31" i="47" s="1"/>
  <c r="FE31" i="47"/>
  <c r="U32" i="47"/>
  <c r="V32" i="47" s="1"/>
  <c r="FS32" i="47" s="1" a="1"/>
  <c r="FS32" i="47" s="1"/>
  <c r="FE32" i="47"/>
  <c r="U33" i="47"/>
  <c r="V33" i="47" s="1"/>
  <c r="FS33" i="47" s="1" a="1"/>
  <c r="FS33" i="47" s="1"/>
  <c r="FE33" i="47"/>
  <c r="U34" i="47"/>
  <c r="V34" i="47" s="1"/>
  <c r="FS34" i="47" s="1" a="1"/>
  <c r="FS34" i="47" s="1"/>
  <c r="FE34" i="47"/>
  <c r="U35" i="47"/>
  <c r="V35" i="47" s="1"/>
  <c r="FS35" i="47" s="1" a="1"/>
  <c r="FS35" i="47" s="1"/>
  <c r="FE35" i="47"/>
  <c r="U36" i="47"/>
  <c r="V36" i="47" s="1"/>
  <c r="FS36" i="47" s="1" a="1"/>
  <c r="FS36" i="47" s="1"/>
  <c r="FE36" i="47"/>
  <c r="U37" i="47"/>
  <c r="V37" i="47" s="1"/>
  <c r="FS37" i="47" s="1" a="1"/>
  <c r="FS37" i="47" s="1"/>
  <c r="FE37" i="47"/>
  <c r="U38" i="47"/>
  <c r="V38" i="47" s="1"/>
  <c r="FS38" i="47" s="1" a="1"/>
  <c r="FS38" i="47" s="1"/>
  <c r="FE38" i="47"/>
  <c r="U39" i="47"/>
  <c r="V39" i="47" s="1"/>
  <c r="FS39" i="47" s="1" a="1"/>
  <c r="FS39" i="47" s="1"/>
  <c r="FE39" i="47"/>
  <c r="U40" i="47"/>
  <c r="V40" i="47" s="1"/>
  <c r="FS40" i="47" s="1" a="1"/>
  <c r="FS40" i="47" s="1"/>
  <c r="FE40" i="47"/>
  <c r="U72" i="47"/>
  <c r="V72" i="47" s="1"/>
  <c r="FS72" i="47" s="1" a="1"/>
  <c r="FS72" i="47" s="1"/>
  <c r="FE72" i="47"/>
  <c r="U68" i="47"/>
  <c r="V68" i="47" s="1"/>
  <c r="FS68" i="47" s="1" a="1"/>
  <c r="FS68" i="47" s="1"/>
  <c r="FE68" i="47"/>
  <c r="U64" i="47"/>
  <c r="V64" i="47" s="1"/>
  <c r="FS64" i="47" s="1" a="1"/>
  <c r="FS64" i="47" s="1"/>
  <c r="FE64" i="47"/>
  <c r="U60" i="47"/>
  <c r="V60" i="47" s="1"/>
  <c r="FS60" i="47" s="1" a="1"/>
  <c r="FS60" i="47" s="1"/>
  <c r="FE60" i="47"/>
  <c r="U56" i="47"/>
  <c r="V56" i="47" s="1"/>
  <c r="FS56" i="47" s="1" a="1"/>
  <c r="FS56" i="47" s="1"/>
  <c r="FE56" i="47"/>
  <c r="U52" i="47"/>
  <c r="V52" i="47" s="1"/>
  <c r="FS52" i="47" s="1" a="1"/>
  <c r="FS52" i="47" s="1"/>
  <c r="FE52" i="47"/>
  <c r="U48" i="47"/>
  <c r="V48" i="47" s="1"/>
  <c r="FS48" i="47" s="1" a="1"/>
  <c r="FS48" i="47" s="1"/>
  <c r="FE48" i="47"/>
  <c r="U44" i="47"/>
  <c r="V44" i="47" s="1"/>
  <c r="FS44" i="47" s="1" a="1"/>
  <c r="FS44" i="47" s="1"/>
  <c r="FE44" i="47"/>
  <c r="P70" i="47"/>
  <c r="FL70" i="47" s="1"/>
  <c r="GC70" i="47" a="1"/>
  <c r="GC70" i="47" s="1"/>
  <c r="P66" i="47"/>
  <c r="FL66" i="47" s="1"/>
  <c r="GC66" i="47" a="1"/>
  <c r="GC66" i="47" s="1"/>
  <c r="P62" i="47"/>
  <c r="FL62" i="47" s="1"/>
  <c r="GC62" i="47" a="1"/>
  <c r="GC62" i="47" s="1"/>
  <c r="P58" i="47"/>
  <c r="FL58" i="47" s="1"/>
  <c r="GC58" i="47" a="1"/>
  <c r="GC58" i="47" s="1"/>
  <c r="P54" i="47"/>
  <c r="FL54" i="47" s="1"/>
  <c r="GC54" i="47" a="1"/>
  <c r="GC54" i="47" s="1"/>
  <c r="P50" i="47"/>
  <c r="FL50" i="47" s="1"/>
  <c r="GC50" i="47" a="1"/>
  <c r="GC50" i="47" s="1"/>
  <c r="P46" i="47"/>
  <c r="FL46" i="47" s="1"/>
  <c r="GC46" i="47" a="1"/>
  <c r="GC46" i="47" s="1"/>
  <c r="P42" i="47"/>
  <c r="FL42" i="47" s="1"/>
  <c r="GC42" i="47" a="1"/>
  <c r="GC42" i="47" s="1"/>
  <c r="U58" i="47"/>
  <c r="V58" i="47" s="1"/>
  <c r="FS58" i="47" s="1" a="1"/>
  <c r="FS58" i="47" s="1"/>
  <c r="GZ35" i="47"/>
  <c r="GM45" i="47"/>
  <c r="GN45" i="47" s="1"/>
  <c r="GK46" i="47"/>
  <c r="BY72" i="47"/>
  <c r="BT60" i="47"/>
  <c r="BX60" i="47"/>
  <c r="BY60" i="47" s="1"/>
  <c r="BT48" i="47"/>
  <c r="BX48" i="47"/>
  <c r="BY48" i="47" s="1"/>
  <c r="S70" i="47"/>
  <c r="CA70" i="47" a="1"/>
  <c r="CA70" i="47" s="1"/>
  <c r="S58" i="47"/>
  <c r="CA58" i="47" a="1"/>
  <c r="CA58" i="47" s="1"/>
  <c r="S50" i="47"/>
  <c r="CA50" i="47" a="1"/>
  <c r="CA50" i="47" s="1"/>
  <c r="S46" i="47"/>
  <c r="CA46" i="47" a="1"/>
  <c r="CA46" i="47" s="1"/>
  <c r="R52" i="47"/>
  <c r="R73" i="47"/>
  <c r="BU73" i="47" a="1"/>
  <c r="BU73" i="47" s="1"/>
  <c r="R69" i="47"/>
  <c r="BU69" i="47" a="1"/>
  <c r="BU69" i="47" s="1"/>
  <c r="R65" i="47"/>
  <c r="R61" i="47"/>
  <c r="BU61" i="47" a="1"/>
  <c r="BU61" i="47" s="1"/>
  <c r="R57" i="47"/>
  <c r="R53" i="47"/>
  <c r="R49" i="47"/>
  <c r="R45" i="47"/>
  <c r="R41" i="47"/>
  <c r="S71" i="47"/>
  <c r="CA71" i="47" a="1"/>
  <c r="CA71" i="47" s="1"/>
  <c r="CD67" i="47"/>
  <c r="CE67" i="47" s="1"/>
  <c r="BZ67" i="47"/>
  <c r="S63" i="47"/>
  <c r="CA63" i="47" a="1"/>
  <c r="CA63" i="47" s="1"/>
  <c r="CD59" i="47"/>
  <c r="CE59" i="47" s="1"/>
  <c r="BZ59" i="47"/>
  <c r="S55" i="47"/>
  <c r="CA55" i="47" a="1"/>
  <c r="CA55" i="47" s="1"/>
  <c r="BZ51" i="47"/>
  <c r="CD51" i="47"/>
  <c r="CE51" i="47" s="1"/>
  <c r="S47" i="47"/>
  <c r="CA47" i="47" a="1"/>
  <c r="CA47" i="47" s="1"/>
  <c r="CD43" i="47"/>
  <c r="CE43" i="47" s="1"/>
  <c r="BZ43" i="47"/>
  <c r="R72" i="47"/>
  <c r="R56" i="47"/>
  <c r="S69" i="47"/>
  <c r="BY68" i="47"/>
  <c r="BY56" i="47"/>
  <c r="BT44" i="47"/>
  <c r="BX44" i="47"/>
  <c r="BY44" i="47" s="1"/>
  <c r="S66" i="47"/>
  <c r="CA66" i="47" a="1"/>
  <c r="CA66" i="47" s="1"/>
  <c r="S62" i="47"/>
  <c r="CA62" i="47" a="1"/>
  <c r="CA62" i="47" s="1"/>
  <c r="S54" i="47"/>
  <c r="CA54" i="47" a="1"/>
  <c r="CA54" i="47" s="1"/>
  <c r="S42" i="47"/>
  <c r="CA42" i="47" a="1"/>
  <c r="CA42" i="47" s="1"/>
  <c r="R68" i="47"/>
  <c r="BO53" i="47" a="1"/>
  <c r="BO53" i="47" s="1"/>
  <c r="Z53" i="55" s="1"/>
  <c r="BJ53" i="47" a="1"/>
  <c r="BJ53" i="47" s="1"/>
  <c r="BY71" i="47"/>
  <c r="R67" i="47"/>
  <c r="BX63" i="47"/>
  <c r="BY63" i="47" s="1"/>
  <c r="BT63" i="47"/>
  <c r="R59" i="47"/>
  <c r="R55" i="47"/>
  <c r="R51" i="47"/>
  <c r="BU51" i="47" a="1"/>
  <c r="BU51" i="47" s="1"/>
  <c r="BY47" i="47"/>
  <c r="R43" i="47"/>
  <c r="F73" i="47"/>
  <c r="CA73" i="47" a="1"/>
  <c r="CA73" i="47" s="1"/>
  <c r="BZ69" i="47"/>
  <c r="CD69" i="47"/>
  <c r="CE69" i="47" s="1"/>
  <c r="S65" i="47"/>
  <c r="CA65" i="47" a="1"/>
  <c r="CA65" i="47" s="1"/>
  <c r="F61" i="47"/>
  <c r="CA61" i="47" a="1"/>
  <c r="CA61" i="47" s="1"/>
  <c r="S57" i="47"/>
  <c r="CA57" i="47" a="1"/>
  <c r="CA57" i="47" s="1"/>
  <c r="F53" i="47"/>
  <c r="CA53" i="47" a="1"/>
  <c r="CA53" i="47" s="1"/>
  <c r="F49" i="47"/>
  <c r="CA49" i="47" a="1"/>
  <c r="CA49" i="47" s="1"/>
  <c r="S45" i="47"/>
  <c r="CA45" i="47" a="1"/>
  <c r="CA45" i="47" s="1"/>
  <c r="BZ41" i="47"/>
  <c r="CD41" i="47"/>
  <c r="CE41" i="47" s="1"/>
  <c r="R64" i="47"/>
  <c r="R48" i="47"/>
  <c r="BY64" i="47"/>
  <c r="BY52" i="47"/>
  <c r="F45" i="47"/>
  <c r="F70" i="47"/>
  <c r="F66" i="47"/>
  <c r="F62" i="47"/>
  <c r="F58" i="47"/>
  <c r="F54" i="47"/>
  <c r="BU54" i="47" a="1"/>
  <c r="BU54" i="47" s="1"/>
  <c r="BT54" i="47" s="1"/>
  <c r="F50" i="47"/>
  <c r="F46" i="47"/>
  <c r="BU46" i="47" a="1"/>
  <c r="BU46" i="47" s="1"/>
  <c r="F42" i="47"/>
  <c r="S72" i="47"/>
  <c r="CA72" i="47" a="1"/>
  <c r="CA72" i="47" s="1"/>
  <c r="S68" i="47"/>
  <c r="CA68" i="47" a="1"/>
  <c r="CA68" i="47" s="1"/>
  <c r="S64" i="47"/>
  <c r="CA64" i="47" a="1"/>
  <c r="CA64" i="47" s="1"/>
  <c r="S60" i="47"/>
  <c r="CA60" i="47" a="1"/>
  <c r="CA60" i="47" s="1"/>
  <c r="S56" i="47"/>
  <c r="CA56" i="47" a="1"/>
  <c r="CA56" i="47" s="1"/>
  <c r="S52" i="47"/>
  <c r="CA52" i="47" a="1"/>
  <c r="CA52" i="47" s="1"/>
  <c r="S48" i="47"/>
  <c r="CA48" i="47" a="1"/>
  <c r="CA48" i="47" s="1"/>
  <c r="S44" i="47"/>
  <c r="CA44" i="47" a="1"/>
  <c r="CA44" i="47" s="1"/>
  <c r="R60" i="47"/>
  <c r="R44" i="47"/>
  <c r="R71" i="47"/>
  <c r="F71" i="47"/>
  <c r="R63" i="47"/>
  <c r="F63" i="47"/>
  <c r="F47" i="47"/>
  <c r="R47" i="47"/>
  <c r="F41" i="47"/>
  <c r="S41" i="47"/>
  <c r="S49" i="47"/>
  <c r="S61" i="47"/>
  <c r="S73" i="47"/>
  <c r="F67" i="47"/>
  <c r="F59" i="47"/>
  <c r="F51" i="47"/>
  <c r="F43" i="47"/>
  <c r="R70" i="47"/>
  <c r="R66" i="47"/>
  <c r="R62" i="47"/>
  <c r="R58" i="47"/>
  <c r="R54" i="47"/>
  <c r="R50" i="47"/>
  <c r="R46" i="47"/>
  <c r="R42" i="47"/>
  <c r="S67" i="47"/>
  <c r="S59" i="47"/>
  <c r="S51" i="47"/>
  <c r="S43" i="47"/>
  <c r="EQ10" i="47"/>
  <c r="F69" i="47"/>
  <c r="F57" i="47"/>
  <c r="F72" i="47"/>
  <c r="F68" i="47"/>
  <c r="F64" i="47"/>
  <c r="F60" i="47"/>
  <c r="F56" i="47"/>
  <c r="F52" i="47"/>
  <c r="F48" i="47"/>
  <c r="F44" i="47"/>
  <c r="CY33" i="47"/>
  <c r="DK10" i="47"/>
  <c r="DK37" i="47"/>
  <c r="GZ25" i="47"/>
  <c r="HL25" i="47"/>
  <c r="CY12" i="47"/>
  <c r="DK22" i="47"/>
  <c r="DK24" i="47"/>
  <c r="DK18" i="47"/>
  <c r="CY18" i="47"/>
  <c r="GZ37" i="47"/>
  <c r="GZ14" i="47"/>
  <c r="HL28" i="47"/>
  <c r="EQ29" i="47"/>
  <c r="EQ14" i="47"/>
  <c r="HL20" i="47"/>
  <c r="HL24" i="47"/>
  <c r="EQ30" i="47"/>
  <c r="DK29" i="47"/>
  <c r="GC21" i="47" a="1"/>
  <c r="GC21" i="47" s="1"/>
  <c r="S29" i="47"/>
  <c r="BO29" i="47" s="1" a="1"/>
  <c r="BO29" i="47" s="1"/>
  <c r="DK33" i="47"/>
  <c r="GZ33" i="47"/>
  <c r="EQ9" i="47"/>
  <c r="GZ9" i="47"/>
  <c r="DK11" i="47"/>
  <c r="CY15" i="47"/>
  <c r="HL18" i="47"/>
  <c r="P20" i="47"/>
  <c r="FL20" i="47" s="1"/>
  <c r="GZ23" i="47"/>
  <c r="F24" i="47"/>
  <c r="CY24" i="47"/>
  <c r="DK40" i="47"/>
  <c r="DK17" i="47"/>
  <c r="GZ18" i="47"/>
  <c r="EQ22" i="47"/>
  <c r="CY29" i="47"/>
  <c r="CY37" i="47"/>
  <c r="HL37" i="47"/>
  <c r="BJ16" i="47" a="1"/>
  <c r="BJ16" i="47" s="1"/>
  <c r="BK16" i="47" s="1"/>
  <c r="CY11" i="47"/>
  <c r="EQ19" i="47"/>
  <c r="GZ11" i="47"/>
  <c r="BR15" i="47"/>
  <c r="BS15" i="47" s="1"/>
  <c r="DK15" i="47"/>
  <c r="HL17" i="47"/>
  <c r="CY20" i="47"/>
  <c r="CY25" i="47"/>
  <c r="GZ36" i="47"/>
  <c r="EQ40" i="47"/>
  <c r="CA34" i="47" a="1"/>
  <c r="CA34" i="47" s="1"/>
  <c r="BZ34" i="47" s="1"/>
  <c r="S34" i="47"/>
  <c r="BJ34" i="47" s="1" a="1"/>
  <c r="BJ34" i="47" s="1"/>
  <c r="BK34" i="47" s="1"/>
  <c r="DK12" i="47"/>
  <c r="HL34" i="47"/>
  <c r="DK9" i="47"/>
  <c r="CA35" i="47" a="1"/>
  <c r="CA35" i="47" s="1"/>
  <c r="CD35" i="47" s="1"/>
  <c r="CE35" i="47" s="1"/>
  <c r="S35" i="47"/>
  <c r="BJ35" i="47" s="1" a="1"/>
  <c r="BJ35" i="47" s="1"/>
  <c r="BK35" i="47" s="1"/>
  <c r="CY9" i="47"/>
  <c r="R19" i="47"/>
  <c r="BD19" i="47" s="1"/>
  <c r="BE19" i="47" s="1"/>
  <c r="F19" i="47"/>
  <c r="R32" i="47"/>
  <c r="AV32" i="47" s="1" a="1"/>
  <c r="AV32" i="47" s="1"/>
  <c r="BY32" i="47"/>
  <c r="GZ12" i="47"/>
  <c r="CY13" i="47"/>
  <c r="GZ13" i="47"/>
  <c r="CY14" i="47"/>
  <c r="GZ19" i="47"/>
  <c r="EQ20" i="47"/>
  <c r="HL23" i="47"/>
  <c r="DK28" i="47"/>
  <c r="HL33" i="47"/>
  <c r="F35" i="47"/>
  <c r="HL35" i="47"/>
  <c r="HL12" i="47"/>
  <c r="HL13" i="47"/>
  <c r="GZ15" i="47"/>
  <c r="HL27" i="47"/>
  <c r="GZ29" i="47"/>
  <c r="HL31" i="47"/>
  <c r="GZ34" i="47"/>
  <c r="DK35" i="47"/>
  <c r="GZ39" i="47"/>
  <c r="HL40" i="47"/>
  <c r="R34" i="47"/>
  <c r="AV34" i="47" s="1" a="1"/>
  <c r="AV34" i="47" s="1"/>
  <c r="AY34" i="47" s="1"/>
  <c r="AZ34" i="47" s="1"/>
  <c r="BU34" i="47" a="1"/>
  <c r="BU34" i="47" s="1"/>
  <c r="CA8" i="47" a="1"/>
  <c r="CA8" i="47" s="1"/>
  <c r="P15" i="47"/>
  <c r="FL15" i="47" s="1"/>
  <c r="GC18" i="47" a="1"/>
  <c r="GC18" i="47" s="1"/>
  <c r="P18" i="47"/>
  <c r="FL18" i="47" s="1"/>
  <c r="S36" i="47"/>
  <c r="BJ36" i="47" s="1" a="1"/>
  <c r="BJ36" i="47" s="1"/>
  <c r="CA36" i="47" a="1"/>
  <c r="CA36" i="47" s="1"/>
  <c r="BZ36" i="47" s="1"/>
  <c r="R37" i="47"/>
  <c r="AV37" i="47" s="1" a="1"/>
  <c r="AV37" i="47" s="1"/>
  <c r="AW37" i="47" s="1"/>
  <c r="F37" i="47"/>
  <c r="BU37" i="47" a="1"/>
  <c r="BU37" i="47" s="1"/>
  <c r="BX37" i="47" s="1"/>
  <c r="BY37" i="47" s="1"/>
  <c r="R26" i="47"/>
  <c r="AV26" i="47" s="1" a="1"/>
  <c r="AV26" i="47" s="1"/>
  <c r="GK10" i="47"/>
  <c r="GK11" i="47" s="1"/>
  <c r="GK12" i="47" s="1"/>
  <c r="GK13" i="47" s="1"/>
  <c r="GK14" i="47" s="1"/>
  <c r="GK15" i="47" s="1"/>
  <c r="GK16" i="47" s="1"/>
  <c r="GK17" i="47" s="1"/>
  <c r="GK18" i="47" s="1"/>
  <c r="GK19" i="47" s="1"/>
  <c r="GK20" i="47" s="1"/>
  <c r="GM20" i="47" s="1"/>
  <c r="GN20" i="47" s="1"/>
  <c r="GM9" i="47"/>
  <c r="GN9" i="47" s="1"/>
  <c r="AT9" i="47"/>
  <c r="AU9" i="47" s="1"/>
  <c r="AR10" i="47"/>
  <c r="HL16" i="47"/>
  <c r="CY22" i="47"/>
  <c r="EQ25" i="47"/>
  <c r="EQ31" i="47"/>
  <c r="F36" i="47"/>
  <c r="EQ36" i="47"/>
  <c r="CA10" i="47" a="1"/>
  <c r="CA10" i="47" s="1"/>
  <c r="BZ10" i="47" s="1"/>
  <c r="GZ10" i="47"/>
  <c r="BJ12" i="47" a="1"/>
  <c r="BJ12" i="47" s="1"/>
  <c r="BK12" i="47" s="1"/>
  <c r="HL15" i="47"/>
  <c r="BR16" i="47"/>
  <c r="BS16" i="47" s="1"/>
  <c r="HL19" i="47"/>
  <c r="DK20" i="47"/>
  <c r="CY21" i="47"/>
  <c r="GZ22" i="47"/>
  <c r="HL22" i="47"/>
  <c r="DK23" i="47"/>
  <c r="GZ26" i="47"/>
  <c r="EQ37" i="47"/>
  <c r="EQ39" i="47"/>
  <c r="BO40" i="47" a="1"/>
  <c r="BO40" i="47" s="1"/>
  <c r="CA40" i="47" a="1"/>
  <c r="CA40" i="47" s="1"/>
  <c r="F40" i="47"/>
  <c r="CY8" i="47"/>
  <c r="DK8" i="47"/>
  <c r="HL11" i="47"/>
  <c r="BR12" i="47"/>
  <c r="BS12" i="47" s="1"/>
  <c r="HL14" i="47"/>
  <c r="BJ15" i="47" a="1"/>
  <c r="BJ15" i="47" s="1"/>
  <c r="BK15" i="47" s="1"/>
  <c r="GZ16" i="47"/>
  <c r="CY17" i="47"/>
  <c r="GZ17" i="47"/>
  <c r="DK19" i="47"/>
  <c r="HL21" i="47"/>
  <c r="F23" i="47"/>
  <c r="CY23" i="47"/>
  <c r="EQ23" i="47"/>
  <c r="CY26" i="47"/>
  <c r="HL26" i="47"/>
  <c r="GZ31" i="47"/>
  <c r="CY32" i="47"/>
  <c r="GZ32" i="47"/>
  <c r="EQ34" i="47"/>
  <c r="DK27" i="47"/>
  <c r="EQ28" i="47"/>
  <c r="F30" i="47"/>
  <c r="DK32" i="47"/>
  <c r="HL32" i="47"/>
  <c r="EQ33" i="47"/>
  <c r="CY34" i="47"/>
  <c r="EQ35" i="47"/>
  <c r="CY36" i="47"/>
  <c r="HL36" i="47"/>
  <c r="CY38" i="47"/>
  <c r="DK38" i="47"/>
  <c r="GZ30" i="47"/>
  <c r="CY31" i="47"/>
  <c r="DK31" i="47"/>
  <c r="EQ32" i="47"/>
  <c r="BY33" i="47"/>
  <c r="DK34" i="47"/>
  <c r="CY35" i="47"/>
  <c r="DK36" i="47"/>
  <c r="GZ38" i="47"/>
  <c r="HL39" i="47"/>
  <c r="EQ13" i="47"/>
  <c r="CY19" i="47"/>
  <c r="GZ8" i="47"/>
  <c r="EQ12" i="47"/>
  <c r="DK14" i="47"/>
  <c r="EQ15" i="47"/>
  <c r="EQ17" i="47"/>
  <c r="EQ18" i="47"/>
  <c r="EQ21" i="47"/>
  <c r="GZ24" i="47"/>
  <c r="CY27" i="47"/>
  <c r="DK30" i="47"/>
  <c r="DK39" i="47"/>
  <c r="CY40" i="47"/>
  <c r="DK16" i="47"/>
  <c r="GZ21" i="47"/>
  <c r="DK13" i="47"/>
  <c r="CY16" i="47"/>
  <c r="EQ16" i="47"/>
  <c r="GZ20" i="47"/>
  <c r="DK21" i="47"/>
  <c r="EQ24" i="47"/>
  <c r="GZ27" i="47"/>
  <c r="CY28" i="47"/>
  <c r="GZ28" i="47"/>
  <c r="CY30" i="47"/>
  <c r="EQ38" i="47"/>
  <c r="GZ40" i="47"/>
  <c r="BJ33" i="47" a="1"/>
  <c r="BJ33" i="47" s="1"/>
  <c r="BK33" i="47" s="1"/>
  <c r="BO33" i="47" a="1"/>
  <c r="BO33" i="47" s="1"/>
  <c r="BY36" i="47"/>
  <c r="GC16" i="47" a="1"/>
  <c r="GC16" i="47" s="1"/>
  <c r="R35" i="47"/>
  <c r="AV35" i="47" s="1" a="1"/>
  <c r="AV35" i="47" s="1"/>
  <c r="CA9" i="47" a="1"/>
  <c r="CA9" i="47" s="1"/>
  <c r="BZ9" i="47" s="1"/>
  <c r="F33" i="47"/>
  <c r="F9" i="47"/>
  <c r="F11" i="47"/>
  <c r="BY11" i="47"/>
  <c r="P13" i="47"/>
  <c r="FL13" i="47" s="1"/>
  <c r="BR13" i="47"/>
  <c r="BS13" i="47" s="1"/>
  <c r="BJ14" i="47" a="1"/>
  <c r="BJ14" i="47" s="1"/>
  <c r="BK14" i="47" s="1"/>
  <c r="GC14" i="47" a="1"/>
  <c r="GC14" i="47" s="1"/>
  <c r="P17" i="47"/>
  <c r="FL17" i="47" s="1"/>
  <c r="BR17" i="47"/>
  <c r="BS17" i="47" s="1"/>
  <c r="BJ18" i="47" a="1"/>
  <c r="BJ18" i="47" s="1"/>
  <c r="BK18" i="47" s="1"/>
  <c r="BU19" i="47" a="1"/>
  <c r="BU19" i="47" s="1"/>
  <c r="F25" i="47"/>
  <c r="BY26" i="47"/>
  <c r="BU27" i="47" a="1"/>
  <c r="BU27" i="47" s="1"/>
  <c r="BX27" i="47" s="1"/>
  <c r="BY27" i="47" s="1"/>
  <c r="CA30" i="47" a="1"/>
  <c r="CA30" i="47" s="1"/>
  <c r="BZ30" i="47" s="1"/>
  <c r="P31" i="47"/>
  <c r="FL31" i="47" s="1"/>
  <c r="CA32" i="47" a="1"/>
  <c r="CA32" i="47" s="1"/>
  <c r="BZ32" i="47" s="1"/>
  <c r="CA33" i="47" a="1"/>
  <c r="CA33" i="47" s="1"/>
  <c r="CD33" i="47" s="1"/>
  <c r="CE33" i="47" s="1"/>
  <c r="F34" i="47"/>
  <c r="S37" i="47"/>
  <c r="BJ37" i="47" s="1" a="1"/>
  <c r="BJ37" i="47" s="1"/>
  <c r="BK37" i="47" s="1"/>
  <c r="P38" i="47"/>
  <c r="FL38" i="47" s="1"/>
  <c r="P39" i="47"/>
  <c r="FL39" i="47" s="1"/>
  <c r="CA39" i="47" a="1"/>
  <c r="CA39" i="47" s="1"/>
  <c r="GC12" i="47" a="1"/>
  <c r="GC12" i="47" s="1"/>
  <c r="GC24" i="47" a="1"/>
  <c r="GC24" i="47" s="1"/>
  <c r="BU35" i="47" a="1"/>
  <c r="BU35" i="47" s="1"/>
  <c r="CA38" i="47" a="1"/>
  <c r="CA38" i="47" s="1"/>
  <c r="P10" i="47"/>
  <c r="FL10" i="47" s="1"/>
  <c r="BJ13" i="47" a="1"/>
  <c r="BJ13" i="47" s="1"/>
  <c r="BK13" i="47" s="1"/>
  <c r="BJ17" i="47" a="1"/>
  <c r="BJ17" i="47" s="1"/>
  <c r="BK17" i="47" s="1"/>
  <c r="BY29" i="47"/>
  <c r="F32" i="47"/>
  <c r="R36" i="47"/>
  <c r="AV36" i="47" s="1" a="1"/>
  <c r="AV36" i="47" s="1"/>
  <c r="AW36" i="47" s="1"/>
  <c r="P40" i="47"/>
  <c r="FL40" i="47" s="1"/>
  <c r="F8" i="47"/>
  <c r="BY9" i="47"/>
  <c r="GC11" i="47" a="1"/>
  <c r="GC11" i="47" s="1"/>
  <c r="BR14" i="47"/>
  <c r="BS14" i="47" s="1"/>
  <c r="BR18" i="47"/>
  <c r="BS18" i="47" s="1"/>
  <c r="BZ19" i="47"/>
  <c r="S25" i="47"/>
  <c r="BO25" i="47" s="1" a="1"/>
  <c r="BO25" i="47" s="1"/>
  <c r="Z25" i="55" s="1"/>
  <c r="CA31" i="47" a="1"/>
  <c r="CA31" i="47" s="1"/>
  <c r="CD31" i="47" s="1"/>
  <c r="CE31" i="47" s="1"/>
  <c r="BX8" i="47"/>
  <c r="BY8" i="47" s="1"/>
  <c r="BT8" i="47"/>
  <c r="AV9" i="47" a="1"/>
  <c r="AV9" i="47" s="1"/>
  <c r="GC8" i="47" a="1"/>
  <c r="GC8" i="47" s="1"/>
  <c r="P8" i="47"/>
  <c r="FL8" i="47" s="1"/>
  <c r="EQ8" i="47"/>
  <c r="BJ9" i="47" a="1"/>
  <c r="BJ9" i="47" s="1"/>
  <c r="BO9" i="47" a="1"/>
  <c r="BO9" i="47" s="1"/>
  <c r="Z9" i="55" s="1"/>
  <c r="BO10" i="47" a="1"/>
  <c r="BO10" i="47" s="1"/>
  <c r="Z10" i="55" s="1"/>
  <c r="BJ10" i="47" a="1"/>
  <c r="BJ10" i="47" s="1"/>
  <c r="EQ11" i="47"/>
  <c r="BY10" i="47"/>
  <c r="BJ8" i="47" a="1"/>
  <c r="BJ8" i="47" s="1"/>
  <c r="BR8" i="47"/>
  <c r="BS8" i="47" s="1"/>
  <c r="P9" i="47"/>
  <c r="FL9" i="47" s="1"/>
  <c r="GC9" i="47" a="1"/>
  <c r="GC9" i="47" s="1"/>
  <c r="CY10" i="47"/>
  <c r="AW11" i="47"/>
  <c r="AY11" i="47"/>
  <c r="AZ11" i="47" s="1"/>
  <c r="BZ11" i="47"/>
  <c r="CD11" i="47"/>
  <c r="CE11" i="47" s="1"/>
  <c r="CA22" i="47" a="1"/>
  <c r="CA22" i="47" s="1"/>
  <c r="S22" i="47"/>
  <c r="AV25" i="47" a="1"/>
  <c r="AV25" i="47" s="1"/>
  <c r="R10" i="47"/>
  <c r="AV14" i="47" a="1"/>
  <c r="AV14" i="47" s="1"/>
  <c r="AV15" i="47" a="1"/>
  <c r="AV15" i="47" s="1"/>
  <c r="BD15" i="47"/>
  <c r="BE15" i="47" s="1"/>
  <c r="AV16" i="47" a="1"/>
  <c r="AV16" i="47" s="1"/>
  <c r="BD16" i="47"/>
  <c r="BE16" i="47" s="1"/>
  <c r="AV17" i="47" a="1"/>
  <c r="AV17" i="47" s="1"/>
  <c r="BD17" i="47"/>
  <c r="BE17" i="47" s="1"/>
  <c r="BU17" i="47" a="1"/>
  <c r="BU17" i="47" s="1"/>
  <c r="AV18" i="47" a="1"/>
  <c r="AV18" i="47" s="1"/>
  <c r="BU18" i="47" a="1"/>
  <c r="BU18" i="47" s="1"/>
  <c r="R20" i="47"/>
  <c r="BU20" i="47" a="1"/>
  <c r="BU20" i="47" s="1"/>
  <c r="F20" i="47"/>
  <c r="F22" i="47"/>
  <c r="GC22" i="47" a="1"/>
  <c r="GC22" i="47" s="1"/>
  <c r="P22" i="47"/>
  <c r="FL22" i="47" s="1"/>
  <c r="BZ24" i="47"/>
  <c r="CD24" i="47"/>
  <c r="CE24" i="47" s="1"/>
  <c r="BR30" i="47"/>
  <c r="BS30" i="47" s="1"/>
  <c r="BP30" i="47"/>
  <c r="AA30" i="55" s="1"/>
  <c r="AY33" i="47"/>
  <c r="AZ33" i="47" s="1"/>
  <c r="AW33" i="47"/>
  <c r="AV13" i="47" a="1"/>
  <c r="AV13" i="47" s="1"/>
  <c r="BU15" i="47" a="1"/>
  <c r="BU15" i="47" s="1"/>
  <c r="R8" i="47"/>
  <c r="CA21" i="47" a="1"/>
  <c r="CA21" i="47" s="1"/>
  <c r="S21" i="47"/>
  <c r="F21" i="47"/>
  <c r="CA28" i="47" a="1"/>
  <c r="CA28" i="47" s="1"/>
  <c r="F28" i="47"/>
  <c r="S28" i="47"/>
  <c r="AW31" i="47"/>
  <c r="AY31" i="47"/>
  <c r="AZ31" i="47" s="1"/>
  <c r="S11" i="47"/>
  <c r="AV12" i="47" a="1"/>
  <c r="AV12" i="47" s="1"/>
  <c r="ID2" i="47"/>
  <c r="F10" i="47"/>
  <c r="F12" i="47"/>
  <c r="F13" i="47"/>
  <c r="F14" i="47"/>
  <c r="F15" i="47"/>
  <c r="F16" i="47"/>
  <c r="F17" i="47"/>
  <c r="F18" i="47"/>
  <c r="P19" i="47"/>
  <c r="FL19" i="47" s="1"/>
  <c r="R23" i="47"/>
  <c r="P23" i="47"/>
  <c r="FL23" i="47" s="1"/>
  <c r="CA12" i="47" a="1"/>
  <c r="CA12" i="47" s="1"/>
  <c r="CA13" i="47" a="1"/>
  <c r="CA13" i="47" s="1"/>
  <c r="CA14" i="47" a="1"/>
  <c r="CA14" i="47" s="1"/>
  <c r="CA15" i="47" a="1"/>
  <c r="CA15" i="47" s="1"/>
  <c r="CA16" i="47" a="1"/>
  <c r="CA16" i="47" s="1"/>
  <c r="CA17" i="47" a="1"/>
  <c r="CA17" i="47" s="1"/>
  <c r="CA18" i="47" a="1"/>
  <c r="CA18" i="47" s="1"/>
  <c r="CA20" i="47" a="1"/>
  <c r="CA20" i="47" s="1"/>
  <c r="S20" i="47"/>
  <c r="R22" i="47"/>
  <c r="BZ25" i="47"/>
  <c r="CD25" i="47"/>
  <c r="CE25" i="47" s="1"/>
  <c r="CA26" i="47" a="1"/>
  <c r="CA26" i="47" s="1"/>
  <c r="S26" i="47"/>
  <c r="S19" i="47"/>
  <c r="R21" i="47"/>
  <c r="CA23" i="47" a="1"/>
  <c r="CA23" i="47" s="1"/>
  <c r="S23" i="47"/>
  <c r="R24" i="47"/>
  <c r="BU24" i="47" a="1"/>
  <c r="BU24" i="47" s="1"/>
  <c r="GC25" i="47" a="1"/>
  <c r="GC25" i="47" s="1"/>
  <c r="P25" i="47"/>
  <c r="FL25" i="47" s="1"/>
  <c r="F26" i="47"/>
  <c r="GC26" i="47" a="1"/>
  <c r="GC26" i="47" s="1"/>
  <c r="P26" i="47"/>
  <c r="FL26" i="47" s="1"/>
  <c r="CA27" i="47" a="1"/>
  <c r="CA27" i="47" s="1"/>
  <c r="S27" i="47"/>
  <c r="F27" i="47"/>
  <c r="S24" i="47"/>
  <c r="DK25" i="47"/>
  <c r="EQ26" i="47"/>
  <c r="GC27" i="47" a="1"/>
  <c r="GC27" i="47" s="1"/>
  <c r="P27" i="47"/>
  <c r="FL27" i="47" s="1"/>
  <c r="AV28" i="47" a="1"/>
  <c r="AV28" i="47" s="1"/>
  <c r="DK26" i="47"/>
  <c r="AV27" i="47" a="1"/>
  <c r="AV27" i="47" s="1"/>
  <c r="EQ27" i="47"/>
  <c r="BZ29" i="47"/>
  <c r="BK32" i="47"/>
  <c r="BM32" i="47"/>
  <c r="BN32" i="47" s="1"/>
  <c r="BO32" i="47" a="1"/>
  <c r="BO32" i="47" s="1"/>
  <c r="Z32" i="55" s="1"/>
  <c r="P28" i="47"/>
  <c r="FL28" i="47" s="1"/>
  <c r="F29" i="47"/>
  <c r="BU30" i="47" a="1"/>
  <c r="BU30" i="47" s="1"/>
  <c r="R30" i="47"/>
  <c r="P30" i="47"/>
  <c r="FL30" i="47" s="1"/>
  <c r="BJ31" i="47" a="1"/>
  <c r="BJ31" i="47" s="1"/>
  <c r="BO31" i="47" a="1"/>
  <c r="BO31" i="47" s="1"/>
  <c r="Z31" i="55" s="1"/>
  <c r="GC36" i="47" a="1"/>
  <c r="GC36" i="47" s="1"/>
  <c r="P36" i="47"/>
  <c r="FL36" i="47" s="1"/>
  <c r="P29" i="47"/>
  <c r="FL29" i="47" s="1"/>
  <c r="AV29" i="47" a="1"/>
  <c r="AV29" i="47" s="1"/>
  <c r="HL29" i="47"/>
  <c r="HL30" i="47"/>
  <c r="BU31" i="47" a="1"/>
  <c r="BU31" i="47" s="1"/>
  <c r="F31" i="47"/>
  <c r="GC32" i="47" a="1"/>
  <c r="GC32" i="47" s="1"/>
  <c r="P32" i="47"/>
  <c r="FL32" i="47" s="1"/>
  <c r="GC34" i="47" a="1"/>
  <c r="GC34" i="47" s="1"/>
  <c r="P34" i="47"/>
  <c r="FL34" i="47" s="1"/>
  <c r="BJ30" i="47" a="1"/>
  <c r="BJ30" i="47" s="1"/>
  <c r="GC33" i="47" a="1"/>
  <c r="GC33" i="47" s="1"/>
  <c r="P33" i="47"/>
  <c r="FL33" i="47" s="1"/>
  <c r="BO38" i="47" a="1"/>
  <c r="BO38" i="47" s="1"/>
  <c r="Z38" i="55" s="1"/>
  <c r="BJ38" i="47" a="1"/>
  <c r="BJ38" i="47" s="1"/>
  <c r="GC37" i="47" a="1"/>
  <c r="GC37" i="47" s="1"/>
  <c r="P37" i="47"/>
  <c r="FL37" i="47" s="1"/>
  <c r="BZ37" i="47"/>
  <c r="CD37" i="47"/>
  <c r="CE37" i="47" s="1"/>
  <c r="F39" i="47"/>
  <c r="R39" i="47"/>
  <c r="AV38" i="47" a="1"/>
  <c r="AV38" i="47" s="1"/>
  <c r="BR39" i="47"/>
  <c r="BS39" i="47" s="1"/>
  <c r="CY39" i="47"/>
  <c r="BY40" i="47"/>
  <c r="P35" i="47"/>
  <c r="FL35" i="47" s="1"/>
  <c r="F38" i="47"/>
  <c r="BJ39" i="47" a="1"/>
  <c r="BJ39" i="47" s="1"/>
  <c r="HL38" i="47"/>
  <c r="R40" i="47"/>
  <c r="BR33" i="47" l="1"/>
  <c r="BS33" i="47" s="1"/>
  <c r="Z33" i="55"/>
  <c r="BP29" i="47"/>
  <c r="AA29" i="55" s="1"/>
  <c r="Z29" i="55"/>
  <c r="BR40" i="47"/>
  <c r="BS40" i="47" s="1"/>
  <c r="Z40" i="55"/>
  <c r="GB27" i="47"/>
  <c r="AL102" i="55"/>
  <c r="GB22" i="47"/>
  <c r="AL97" i="55"/>
  <c r="GB9" i="47"/>
  <c r="AL84" i="55"/>
  <c r="FT58" i="47"/>
  <c r="AF133" i="55"/>
  <c r="FT48" i="47"/>
  <c r="AF123" i="55"/>
  <c r="FT64" i="47"/>
  <c r="AF139" i="55"/>
  <c r="FT72" i="47"/>
  <c r="AF147" i="55"/>
  <c r="FT37" i="47"/>
  <c r="AF112" i="55"/>
  <c r="FT35" i="47"/>
  <c r="AF110" i="55"/>
  <c r="FT31" i="47"/>
  <c r="AF106" i="55"/>
  <c r="FT29" i="47"/>
  <c r="AF104" i="55"/>
  <c r="FT25" i="47"/>
  <c r="AF100" i="55"/>
  <c r="FT21" i="47"/>
  <c r="AF96" i="55"/>
  <c r="FT19" i="47"/>
  <c r="AF94" i="55"/>
  <c r="FT15" i="47"/>
  <c r="AF90" i="55"/>
  <c r="FT13" i="47"/>
  <c r="AF88" i="55"/>
  <c r="FT8" i="47"/>
  <c r="AF83" i="55"/>
  <c r="FT43" i="47"/>
  <c r="AF118" i="55"/>
  <c r="FT59" i="47"/>
  <c r="AF134" i="55"/>
  <c r="FT67" i="47"/>
  <c r="AF142" i="55"/>
  <c r="GB47" i="47"/>
  <c r="AL122" i="55"/>
  <c r="GB55" i="47"/>
  <c r="AL130" i="55"/>
  <c r="GB71" i="47"/>
  <c r="AL146" i="55"/>
  <c r="FT70" i="47"/>
  <c r="AF145" i="55"/>
  <c r="GB34" i="47"/>
  <c r="AL109" i="55"/>
  <c r="GB11" i="47"/>
  <c r="AL86" i="55"/>
  <c r="GB24" i="47"/>
  <c r="AL99" i="55"/>
  <c r="GB18" i="47"/>
  <c r="AL93" i="55"/>
  <c r="GB21" i="47"/>
  <c r="AL96" i="55"/>
  <c r="GB42" i="47"/>
  <c r="AL117" i="55"/>
  <c r="GB50" i="47"/>
  <c r="AL125" i="55"/>
  <c r="GB66" i="47"/>
  <c r="AL141" i="55"/>
  <c r="GB44" i="47"/>
  <c r="AL119" i="55"/>
  <c r="GB41" i="47"/>
  <c r="AL116" i="55"/>
  <c r="GB49" i="47"/>
  <c r="AL124" i="55"/>
  <c r="GB65" i="47"/>
  <c r="AL140" i="55"/>
  <c r="GB73" i="47"/>
  <c r="AL148" i="55"/>
  <c r="FT45" i="47"/>
  <c r="AF120" i="55"/>
  <c r="FT53" i="47"/>
  <c r="AF128" i="55"/>
  <c r="FT69" i="47"/>
  <c r="AF144" i="55"/>
  <c r="FT9" i="47"/>
  <c r="AF84" i="55"/>
  <c r="GB68" i="47"/>
  <c r="AL143" i="55"/>
  <c r="GE38" i="47"/>
  <c r="GF38" i="47" s="1"/>
  <c r="AK113" i="55"/>
  <c r="GE23" i="47"/>
  <c r="GF23" i="47" s="1"/>
  <c r="AK98" i="55"/>
  <c r="GE28" i="47"/>
  <c r="GF28" i="47" s="1"/>
  <c r="AK103" i="55"/>
  <c r="GE20" i="47"/>
  <c r="GF20" i="47" s="1"/>
  <c r="AK95" i="55"/>
  <c r="GE29" i="47"/>
  <c r="GF29" i="47" s="1"/>
  <c r="AK104" i="55"/>
  <c r="GE10" i="47"/>
  <c r="GF10" i="47" s="1"/>
  <c r="AK85" i="55"/>
  <c r="GB37" i="47"/>
  <c r="AL112" i="55"/>
  <c r="GB33" i="47"/>
  <c r="AL108" i="55"/>
  <c r="GB12" i="47"/>
  <c r="AL87" i="55"/>
  <c r="FT44" i="47"/>
  <c r="AF119" i="55"/>
  <c r="FT52" i="47"/>
  <c r="AF127" i="55"/>
  <c r="FT60" i="47"/>
  <c r="AF135" i="55"/>
  <c r="FT68" i="47"/>
  <c r="AF143" i="55"/>
  <c r="FT40" i="47"/>
  <c r="AF115" i="55"/>
  <c r="FT38" i="47"/>
  <c r="AF113" i="55"/>
  <c r="FT36" i="47"/>
  <c r="AF111" i="55"/>
  <c r="FT34" i="47"/>
  <c r="AF109" i="55"/>
  <c r="FT32" i="47"/>
  <c r="AF107" i="55"/>
  <c r="FT30" i="47"/>
  <c r="AF105" i="55"/>
  <c r="FT28" i="47"/>
  <c r="AF103" i="55"/>
  <c r="FT26" i="47"/>
  <c r="AF101" i="55"/>
  <c r="FT24" i="47"/>
  <c r="AF99" i="55"/>
  <c r="FT22" i="47"/>
  <c r="AF97" i="55"/>
  <c r="FT20" i="47"/>
  <c r="AF95" i="55"/>
  <c r="FT18" i="47"/>
  <c r="AF93" i="55"/>
  <c r="FT16" i="47"/>
  <c r="AF91" i="55"/>
  <c r="FT14" i="47"/>
  <c r="AF89" i="55"/>
  <c r="FT12" i="47"/>
  <c r="AF87" i="55"/>
  <c r="FT54" i="47"/>
  <c r="AF129" i="55"/>
  <c r="FT47" i="47"/>
  <c r="AF122" i="55"/>
  <c r="FT55" i="47"/>
  <c r="AF130" i="55"/>
  <c r="FT63" i="47"/>
  <c r="AF138" i="55"/>
  <c r="FT71" i="47"/>
  <c r="AF146" i="55"/>
  <c r="GB43" i="47"/>
  <c r="AL118" i="55"/>
  <c r="GB51" i="47"/>
  <c r="AL126" i="55"/>
  <c r="GB59" i="47"/>
  <c r="AL134" i="55"/>
  <c r="GB67" i="47"/>
  <c r="AL142" i="55"/>
  <c r="FT42" i="47"/>
  <c r="AF117" i="55"/>
  <c r="FT62" i="47"/>
  <c r="AF137" i="55"/>
  <c r="FT50" i="47"/>
  <c r="AF125" i="55"/>
  <c r="GB26" i="47"/>
  <c r="AL101" i="55"/>
  <c r="GB8" i="47"/>
  <c r="AK83" i="55" s="1"/>
  <c r="AL83" i="55"/>
  <c r="FT56" i="47"/>
  <c r="AF131" i="55"/>
  <c r="FT39" i="47"/>
  <c r="AF114" i="55"/>
  <c r="FT33" i="47"/>
  <c r="AF108" i="55"/>
  <c r="FT27" i="47"/>
  <c r="AF102" i="55"/>
  <c r="FT23" i="47"/>
  <c r="AF98" i="55"/>
  <c r="FT17" i="47"/>
  <c r="AF92" i="55"/>
  <c r="FT11" i="47"/>
  <c r="AF86" i="55"/>
  <c r="FT51" i="47"/>
  <c r="AF126" i="55"/>
  <c r="FT10" i="47"/>
  <c r="AF85" i="55"/>
  <c r="GB63" i="47"/>
  <c r="AL138" i="55"/>
  <c r="FT46" i="47"/>
  <c r="AF121" i="55"/>
  <c r="GB16" i="47"/>
  <c r="AL91" i="55"/>
  <c r="GB58" i="47"/>
  <c r="AL133" i="55"/>
  <c r="GB64" i="47"/>
  <c r="AL139" i="55"/>
  <c r="GB57" i="47"/>
  <c r="AL132" i="55"/>
  <c r="FT66" i="47"/>
  <c r="AF141" i="55"/>
  <c r="FT61" i="47"/>
  <c r="AF136" i="55"/>
  <c r="GB52" i="47"/>
  <c r="AL127" i="55"/>
  <c r="GE35" i="47"/>
  <c r="GF35" i="47" s="1"/>
  <c r="AK110" i="55"/>
  <c r="GB32" i="47"/>
  <c r="AL107" i="55"/>
  <c r="GB36" i="47"/>
  <c r="AL111" i="55"/>
  <c r="GB25" i="47"/>
  <c r="AL100" i="55"/>
  <c r="GB14" i="47"/>
  <c r="AL89" i="55"/>
  <c r="GB46" i="47"/>
  <c r="AL121" i="55"/>
  <c r="GB54" i="47"/>
  <c r="AL129" i="55"/>
  <c r="GB62" i="47"/>
  <c r="AL137" i="55"/>
  <c r="GB70" i="47"/>
  <c r="AL145" i="55"/>
  <c r="GB56" i="47"/>
  <c r="AL131" i="55"/>
  <c r="GB72" i="47"/>
  <c r="AL147" i="55"/>
  <c r="GB45" i="47"/>
  <c r="AL120" i="55"/>
  <c r="GB53" i="47"/>
  <c r="AL128" i="55"/>
  <c r="GB61" i="47"/>
  <c r="AL136" i="55"/>
  <c r="GB69" i="47"/>
  <c r="AL144" i="55"/>
  <c r="FT41" i="47"/>
  <c r="AF116" i="55"/>
  <c r="FT49" i="47"/>
  <c r="AF124" i="55"/>
  <c r="FT57" i="47"/>
  <c r="AF132" i="55"/>
  <c r="FT65" i="47"/>
  <c r="AF140" i="55"/>
  <c r="FT73" i="47"/>
  <c r="AF148" i="55"/>
  <c r="GB48" i="47"/>
  <c r="AL123" i="55"/>
  <c r="GB60" i="47"/>
  <c r="AL135" i="55"/>
  <c r="GE39" i="47"/>
  <c r="GF39" i="47" s="1"/>
  <c r="AK114" i="55"/>
  <c r="GE31" i="47"/>
  <c r="GF31" i="47" s="1"/>
  <c r="AK106" i="55"/>
  <c r="GE30" i="47"/>
  <c r="GF30" i="47" s="1"/>
  <c r="AK105" i="55"/>
  <c r="GE19" i="47"/>
  <c r="GF19" i="47" s="1"/>
  <c r="AK94" i="55"/>
  <c r="GE40" i="47"/>
  <c r="GF40" i="47" s="1"/>
  <c r="AK115" i="55"/>
  <c r="GE15" i="47"/>
  <c r="GF15" i="47" s="1"/>
  <c r="AK90" i="55"/>
  <c r="GE13" i="47"/>
  <c r="GF13" i="47" s="1"/>
  <c r="AK88" i="55"/>
  <c r="GE17" i="47"/>
  <c r="GF17" i="47" s="1"/>
  <c r="AK92" i="55"/>
  <c r="GC77" i="47"/>
  <c r="GC79" i="47"/>
  <c r="GC81" i="47"/>
  <c r="GC83" i="47"/>
  <c r="GC78" i="47"/>
  <c r="GC80" i="47"/>
  <c r="GC82" i="47"/>
  <c r="GC76" i="47"/>
  <c r="BU82" i="47"/>
  <c r="BU79" i="47"/>
  <c r="BZ8" i="47"/>
  <c r="CA79" i="47"/>
  <c r="CA83" i="47"/>
  <c r="CA80" i="47"/>
  <c r="CA76" i="47"/>
  <c r="CA82" i="47"/>
  <c r="CA77" i="47"/>
  <c r="CA81" i="47"/>
  <c r="CA78" i="47"/>
  <c r="BU80" i="47"/>
  <c r="BU81" i="47"/>
  <c r="BU78" i="47"/>
  <c r="BU77" i="47"/>
  <c r="BU83" i="47"/>
  <c r="BU76" i="47"/>
  <c r="BM35" i="47"/>
  <c r="BN35" i="47" s="1"/>
  <c r="GK47" i="47"/>
  <c r="GM46" i="47"/>
  <c r="GN46" i="47" s="1"/>
  <c r="BO51" i="47" a="1"/>
  <c r="BO51" i="47" s="1"/>
  <c r="Z51" i="55" s="1"/>
  <c r="BJ51" i="47" a="1"/>
  <c r="BJ51" i="47" s="1"/>
  <c r="AV46" i="47" a="1"/>
  <c r="AV46" i="47" s="1"/>
  <c r="AV62" i="47" a="1"/>
  <c r="AV62" i="47" s="1"/>
  <c r="BO61" i="47" a="1"/>
  <c r="BO61" i="47" s="1"/>
  <c r="Z61" i="55" s="1"/>
  <c r="BJ61" i="47" a="1"/>
  <c r="BJ61" i="47" s="1"/>
  <c r="AV47" i="47" a="1"/>
  <c r="AV47" i="47" s="1"/>
  <c r="AV44" i="47" a="1"/>
  <c r="AV44" i="47" s="1"/>
  <c r="CD64" i="47"/>
  <c r="CE64" i="47" s="1"/>
  <c r="BZ64" i="47"/>
  <c r="BX54" i="47"/>
  <c r="BY54" i="47" s="1"/>
  <c r="AV51" i="47" a="1"/>
  <c r="AV51" i="47" s="1"/>
  <c r="AV67" i="47" a="1"/>
  <c r="AV67" i="47" s="1"/>
  <c r="CD66" i="47"/>
  <c r="CE66" i="47" s="1"/>
  <c r="BZ66" i="47"/>
  <c r="BO69" i="47" a="1"/>
  <c r="BO69" i="47" s="1"/>
  <c r="Z69" i="55" s="1"/>
  <c r="BJ69" i="47" a="1"/>
  <c r="BJ69" i="47" s="1"/>
  <c r="CD70" i="47"/>
  <c r="CE70" i="47" s="1"/>
  <c r="BZ70" i="47"/>
  <c r="BO59" i="47" a="1"/>
  <c r="BO59" i="47" s="1"/>
  <c r="Z59" i="55" s="1"/>
  <c r="BJ59" i="47" a="1"/>
  <c r="BJ59" i="47" s="1"/>
  <c r="AV50" i="47" a="1"/>
  <c r="AV50" i="47" s="1"/>
  <c r="AV66" i="47" a="1"/>
  <c r="AV66" i="47" s="1"/>
  <c r="BO49" i="47" a="1"/>
  <c r="BO49" i="47" s="1"/>
  <c r="Z49" i="55" s="1"/>
  <c r="BJ49" i="47" a="1"/>
  <c r="BJ49" i="47" s="1"/>
  <c r="AV71" i="47" a="1"/>
  <c r="AV71" i="47" s="1"/>
  <c r="AV60" i="47" a="1"/>
  <c r="AV60" i="47" s="1"/>
  <c r="BJ48" i="47" a="1"/>
  <c r="BJ48" i="47" s="1"/>
  <c r="BO48" i="47" a="1"/>
  <c r="BO48" i="47" s="1"/>
  <c r="Z48" i="55" s="1"/>
  <c r="BO56" i="47" a="1"/>
  <c r="BO56" i="47" s="1"/>
  <c r="Z56" i="55" s="1"/>
  <c r="BJ56" i="47" a="1"/>
  <c r="BJ56" i="47" s="1"/>
  <c r="BO64" i="47" a="1"/>
  <c r="BO64" i="47" s="1"/>
  <c r="Z64" i="55" s="1"/>
  <c r="BJ64" i="47" a="1"/>
  <c r="BJ64" i="47" s="1"/>
  <c r="BO72" i="47" a="1"/>
  <c r="BO72" i="47" s="1"/>
  <c r="Z72" i="55" s="1"/>
  <c r="BJ72" i="47" a="1"/>
  <c r="BJ72" i="47" s="1"/>
  <c r="BZ49" i="47"/>
  <c r="CD49" i="47"/>
  <c r="CE49" i="47" s="1"/>
  <c r="BZ57" i="47"/>
  <c r="CD57" i="47"/>
  <c r="CE57" i="47" s="1"/>
  <c r="BZ65" i="47"/>
  <c r="CD65" i="47"/>
  <c r="CE65" i="47" s="1"/>
  <c r="BZ73" i="47"/>
  <c r="CD73" i="47"/>
  <c r="CE73" i="47" s="1"/>
  <c r="BY55" i="47"/>
  <c r="AV68" i="47" a="1"/>
  <c r="AV68" i="47" s="1"/>
  <c r="BO54" i="47" a="1"/>
  <c r="BO54" i="47" s="1"/>
  <c r="Z54" i="55" s="1"/>
  <c r="BJ54" i="47" a="1"/>
  <c r="BJ54" i="47" s="1"/>
  <c r="BO66" i="47" a="1"/>
  <c r="BO66" i="47" s="1"/>
  <c r="Z66" i="55" s="1"/>
  <c r="BJ66" i="47" a="1"/>
  <c r="BJ66" i="47" s="1"/>
  <c r="AV56" i="47" a="1"/>
  <c r="AV56" i="47" s="1"/>
  <c r="BZ47" i="47"/>
  <c r="CD47" i="47"/>
  <c r="CE47" i="47" s="1"/>
  <c r="BZ55" i="47"/>
  <c r="CD55" i="47"/>
  <c r="CE55" i="47" s="1"/>
  <c r="BZ63" i="47"/>
  <c r="CD63" i="47"/>
  <c r="CE63" i="47" s="1"/>
  <c r="CD71" i="47"/>
  <c r="CE71" i="47" s="1"/>
  <c r="BZ71" i="47"/>
  <c r="BY45" i="47"/>
  <c r="BY53" i="47"/>
  <c r="BT61" i="47"/>
  <c r="BX61" i="47"/>
  <c r="BY61" i="47" s="1"/>
  <c r="BT69" i="47"/>
  <c r="BX69" i="47"/>
  <c r="BY69" i="47" s="1"/>
  <c r="AV52" i="47" a="1"/>
  <c r="AV52" i="47" s="1"/>
  <c r="BO50" i="47" a="1"/>
  <c r="BO50" i="47" s="1"/>
  <c r="Z50" i="55" s="1"/>
  <c r="BJ50" i="47" a="1"/>
  <c r="BJ50" i="47" s="1"/>
  <c r="BO70" i="47" a="1"/>
  <c r="BO70" i="47" s="1"/>
  <c r="Z70" i="55" s="1"/>
  <c r="BJ70" i="47" a="1"/>
  <c r="BJ70" i="47" s="1"/>
  <c r="CD56" i="47"/>
  <c r="CE56" i="47" s="1"/>
  <c r="BZ56" i="47"/>
  <c r="BT46" i="47"/>
  <c r="BX46" i="47"/>
  <c r="BY46" i="47" s="1"/>
  <c r="BY70" i="47"/>
  <c r="BJ45" i="47" a="1"/>
  <c r="BJ45" i="47" s="1"/>
  <c r="BO45" i="47" a="1"/>
  <c r="BO45" i="47" s="1"/>
  <c r="Z45" i="55" s="1"/>
  <c r="AV43" i="47" a="1"/>
  <c r="AV43" i="47" s="1"/>
  <c r="AV59" i="47" a="1"/>
  <c r="AV59" i="47" s="1"/>
  <c r="CD54" i="47"/>
  <c r="CE54" i="47" s="1"/>
  <c r="BZ54" i="47"/>
  <c r="AV41" i="47" a="1"/>
  <c r="AV41" i="47" s="1"/>
  <c r="AV49" i="47" a="1"/>
  <c r="AV49" i="47" s="1"/>
  <c r="AV57" i="47" a="1"/>
  <c r="AV57" i="47" s="1"/>
  <c r="AV65" i="47" a="1"/>
  <c r="AV65" i="47" s="1"/>
  <c r="AV73" i="47" a="1"/>
  <c r="AV73" i="47" s="1"/>
  <c r="BO67" i="47" a="1"/>
  <c r="BO67" i="47" s="1"/>
  <c r="Z67" i="55" s="1"/>
  <c r="BJ67" i="47" a="1"/>
  <c r="BJ67" i="47" s="1"/>
  <c r="AV54" i="47" a="1"/>
  <c r="AV54" i="47" s="1"/>
  <c r="AV70" i="47" a="1"/>
  <c r="AV70" i="47" s="1"/>
  <c r="BO41" i="47" a="1"/>
  <c r="BO41" i="47" s="1"/>
  <c r="Z41" i="55" s="1"/>
  <c r="BJ41" i="47" a="1"/>
  <c r="BJ41" i="47" s="1"/>
  <c r="CD44" i="47"/>
  <c r="CE44" i="47" s="1"/>
  <c r="BZ44" i="47"/>
  <c r="CD52" i="47"/>
  <c r="CE52" i="47" s="1"/>
  <c r="BZ52" i="47"/>
  <c r="BZ60" i="47"/>
  <c r="CD60" i="47"/>
  <c r="CE60" i="47" s="1"/>
  <c r="CD68" i="47"/>
  <c r="CE68" i="47" s="1"/>
  <c r="BZ68" i="47"/>
  <c r="BY42" i="47"/>
  <c r="BY50" i="47"/>
  <c r="BY58" i="47"/>
  <c r="BY66" i="47"/>
  <c r="BJ57" i="47" a="1"/>
  <c r="BJ57" i="47" s="1"/>
  <c r="BO57" i="47" a="1"/>
  <c r="BO57" i="47" s="1"/>
  <c r="Z57" i="55" s="1"/>
  <c r="BO65" i="47" a="1"/>
  <c r="BO65" i="47" s="1"/>
  <c r="Z65" i="55" s="1"/>
  <c r="BJ65" i="47" a="1"/>
  <c r="BJ65" i="47" s="1"/>
  <c r="AV55" i="47" a="1"/>
  <c r="AV55" i="47" s="1"/>
  <c r="CD42" i="47"/>
  <c r="CE42" i="47" s="1"/>
  <c r="BZ42" i="47"/>
  <c r="CD62" i="47"/>
  <c r="CE62" i="47" s="1"/>
  <c r="BZ62" i="47"/>
  <c r="AV72" i="47" a="1"/>
  <c r="AV72" i="47" s="1"/>
  <c r="BO47" i="47" a="1"/>
  <c r="BO47" i="47" s="1"/>
  <c r="Z47" i="55" s="1"/>
  <c r="BJ47" i="47" a="1"/>
  <c r="BJ47" i="47" s="1"/>
  <c r="BJ55" i="47" a="1"/>
  <c r="BJ55" i="47" s="1"/>
  <c r="BO55" i="47" a="1"/>
  <c r="BO55" i="47" s="1"/>
  <c r="Z55" i="55" s="1"/>
  <c r="BJ63" i="47" a="1"/>
  <c r="BJ63" i="47" s="1"/>
  <c r="BO63" i="47" a="1"/>
  <c r="BO63" i="47" s="1"/>
  <c r="Z63" i="55" s="1"/>
  <c r="BJ71" i="47" a="1"/>
  <c r="BJ71" i="47" s="1"/>
  <c r="BO71" i="47" a="1"/>
  <c r="BO71" i="47" s="1"/>
  <c r="Z71" i="55" s="1"/>
  <c r="AV45" i="47" a="1"/>
  <c r="AV45" i="47" s="1"/>
  <c r="AV53" i="47" a="1"/>
  <c r="AV53" i="47" s="1"/>
  <c r="AV61" i="47" a="1"/>
  <c r="AV61" i="47" s="1"/>
  <c r="AV69" i="47" a="1"/>
  <c r="AV69" i="47" s="1"/>
  <c r="CD46" i="47"/>
  <c r="CE46" i="47" s="1"/>
  <c r="BZ46" i="47"/>
  <c r="CD58" i="47"/>
  <c r="CE58" i="47" s="1"/>
  <c r="BZ58" i="47"/>
  <c r="CD48" i="47"/>
  <c r="CE48" i="47" s="1"/>
  <c r="BZ48" i="47"/>
  <c r="CD72" i="47"/>
  <c r="CE72" i="47" s="1"/>
  <c r="BZ72" i="47"/>
  <c r="BY62" i="47"/>
  <c r="AV64" i="47" a="1"/>
  <c r="AV64" i="47" s="1"/>
  <c r="BR53" i="47"/>
  <c r="BS53" i="47" s="1"/>
  <c r="BP53" i="47"/>
  <c r="AA53" i="55" s="1"/>
  <c r="CD50" i="47"/>
  <c r="CE50" i="47" s="1"/>
  <c r="BZ50" i="47"/>
  <c r="BO43" i="47" a="1"/>
  <c r="BO43" i="47" s="1"/>
  <c r="Z43" i="55" s="1"/>
  <c r="BJ43" i="47" a="1"/>
  <c r="BJ43" i="47" s="1"/>
  <c r="AV42" i="47" a="1"/>
  <c r="AV42" i="47" s="1"/>
  <c r="AV58" i="47" a="1"/>
  <c r="AV58" i="47" s="1"/>
  <c r="BO73" i="47" a="1"/>
  <c r="BO73" i="47" s="1"/>
  <c r="Z73" i="55" s="1"/>
  <c r="BJ73" i="47" a="1"/>
  <c r="BJ73" i="47" s="1"/>
  <c r="AV63" i="47" a="1"/>
  <c r="AV63" i="47" s="1"/>
  <c r="BO44" i="47" a="1"/>
  <c r="BO44" i="47" s="1"/>
  <c r="Z44" i="55" s="1"/>
  <c r="BJ44" i="47" a="1"/>
  <c r="BJ44" i="47" s="1"/>
  <c r="BO52" i="47" a="1"/>
  <c r="BO52" i="47" s="1"/>
  <c r="Z52" i="55" s="1"/>
  <c r="BJ52" i="47" a="1"/>
  <c r="BJ52" i="47" s="1"/>
  <c r="BO60" i="47" a="1"/>
  <c r="BO60" i="47" s="1"/>
  <c r="Z60" i="55" s="1"/>
  <c r="BJ60" i="47" a="1"/>
  <c r="BJ60" i="47" s="1"/>
  <c r="BO68" i="47" a="1"/>
  <c r="BO68" i="47" s="1"/>
  <c r="Z68" i="55" s="1"/>
  <c r="BJ68" i="47" a="1"/>
  <c r="BJ68" i="47" s="1"/>
  <c r="AV48" i="47" a="1"/>
  <c r="AV48" i="47" s="1"/>
  <c r="BZ45" i="47"/>
  <c r="CD45" i="47"/>
  <c r="CE45" i="47" s="1"/>
  <c r="BZ53" i="47"/>
  <c r="CD53" i="47"/>
  <c r="CE53" i="47" s="1"/>
  <c r="BZ61" i="47"/>
  <c r="CD61" i="47"/>
  <c r="CE61" i="47" s="1"/>
  <c r="BY43" i="47"/>
  <c r="BX51" i="47"/>
  <c r="BY51" i="47" s="1"/>
  <c r="BT51" i="47"/>
  <c r="BY59" i="47"/>
  <c r="BY67" i="47"/>
  <c r="BK53" i="47"/>
  <c r="BM53" i="47"/>
  <c r="BN53" i="47" s="1"/>
  <c r="BJ42" i="47" a="1"/>
  <c r="BJ42" i="47" s="1"/>
  <c r="BO42" i="47" a="1"/>
  <c r="BO42" i="47" s="1"/>
  <c r="Z42" i="55" s="1"/>
  <c r="BO62" i="47" a="1"/>
  <c r="BO62" i="47" s="1"/>
  <c r="Z62" i="55" s="1"/>
  <c r="BJ62" i="47" a="1"/>
  <c r="BJ62" i="47" s="1"/>
  <c r="BY41" i="47"/>
  <c r="BY49" i="47"/>
  <c r="BY57" i="47"/>
  <c r="BY65" i="47"/>
  <c r="BT73" i="47"/>
  <c r="BX73" i="47"/>
  <c r="BY73" i="47" s="1"/>
  <c r="BO46" i="47" a="1"/>
  <c r="BO46" i="47" s="1"/>
  <c r="Z46" i="55" s="1"/>
  <c r="BJ46" i="47" a="1"/>
  <c r="BJ46" i="47" s="1"/>
  <c r="BJ58" i="47" a="1"/>
  <c r="BJ58" i="47" s="1"/>
  <c r="BO58" i="47" a="1"/>
  <c r="BO58" i="47" s="1"/>
  <c r="Z58" i="55" s="1"/>
  <c r="BR29" i="47"/>
  <c r="BS29" i="47" s="1"/>
  <c r="BP33" i="47"/>
  <c r="AA33" i="55" s="1"/>
  <c r="GM19" i="47"/>
  <c r="GN19" i="47" s="1"/>
  <c r="GM16" i="47"/>
  <c r="GN16" i="47" s="1"/>
  <c r="GM15" i="47"/>
  <c r="GN15" i="47" s="1"/>
  <c r="GK21" i="47"/>
  <c r="GM21" i="47" s="1"/>
  <c r="GN21" i="47" s="1"/>
  <c r="AW34" i="47"/>
  <c r="AY36" i="47"/>
  <c r="AZ36" i="47" s="1"/>
  <c r="AY37" i="47"/>
  <c r="AZ37" i="47" s="1"/>
  <c r="BM37" i="47"/>
  <c r="BN37" i="47" s="1"/>
  <c r="BO34" i="47" a="1"/>
  <c r="BO34" i="47" s="1"/>
  <c r="Z34" i="55" s="1"/>
  <c r="BM34" i="47"/>
  <c r="BN34" i="47" s="1"/>
  <c r="BD37" i="47"/>
  <c r="BE37" i="47" s="1"/>
  <c r="BO37" i="47" a="1"/>
  <c r="BO37" i="47" s="1"/>
  <c r="CD34" i="47"/>
  <c r="CE34" i="47" s="1"/>
  <c r="BJ29" i="47" a="1"/>
  <c r="BJ29" i="47" s="1"/>
  <c r="BK29" i="47" s="1"/>
  <c r="BO35" i="47" a="1"/>
  <c r="BO35" i="47" s="1"/>
  <c r="CD30" i="47"/>
  <c r="CE30" i="47" s="1"/>
  <c r="BD26" i="47"/>
  <c r="BE26" i="47" s="1"/>
  <c r="BM13" i="47"/>
  <c r="BN13" i="47" s="1"/>
  <c r="CD10" i="47"/>
  <c r="CE10" i="47" s="1"/>
  <c r="BZ31" i="47"/>
  <c r="AV19" i="47" a="1"/>
  <c r="AV19" i="47" s="1"/>
  <c r="AY19" i="47" s="1"/>
  <c r="AZ19" i="47" s="1"/>
  <c r="GM14" i="47"/>
  <c r="GN14" i="47" s="1"/>
  <c r="GM18" i="47"/>
  <c r="GN18" i="47" s="1"/>
  <c r="GM13" i="47"/>
  <c r="GN13" i="47" s="1"/>
  <c r="BM16" i="47"/>
  <c r="BN16" i="47" s="1"/>
  <c r="BZ35" i="47"/>
  <c r="GM10" i="47"/>
  <c r="GN10" i="47" s="1"/>
  <c r="GM11" i="47"/>
  <c r="GN11" i="47" s="1"/>
  <c r="BM12" i="47"/>
  <c r="BN12" i="47" s="1"/>
  <c r="GM17" i="47"/>
  <c r="GN17" i="47" s="1"/>
  <c r="GM12" i="47"/>
  <c r="GN12" i="47" s="1"/>
  <c r="CD8" i="47"/>
  <c r="CE8" i="47" s="1"/>
  <c r="BJ40" i="47" a="1"/>
  <c r="BJ40" i="47" s="1"/>
  <c r="BO36" i="47" a="1"/>
  <c r="BO36" i="47" s="1"/>
  <c r="BT37" i="47"/>
  <c r="BT27" i="47"/>
  <c r="BJ25" i="47" a="1"/>
  <c r="BJ25" i="47" s="1"/>
  <c r="BM25" i="47" s="1"/>
  <c r="BN25" i="47" s="1"/>
  <c r="BM36" i="47"/>
  <c r="BN36" i="47" s="1"/>
  <c r="BK36" i="47"/>
  <c r="CD40" i="47"/>
  <c r="CE40" i="47" s="1"/>
  <c r="BZ40" i="47"/>
  <c r="CD36" i="47"/>
  <c r="CE36" i="47" s="1"/>
  <c r="BY38" i="47"/>
  <c r="BP40" i="47"/>
  <c r="AA40" i="55" s="1"/>
  <c r="BM18" i="47"/>
  <c r="BN18" i="47" s="1"/>
  <c r="BX34" i="47"/>
  <c r="BY34" i="47" s="1"/>
  <c r="BT34" i="47"/>
  <c r="BY28" i="47"/>
  <c r="BM33" i="47"/>
  <c r="BN33" i="47" s="1"/>
  <c r="CD32" i="47"/>
  <c r="CE32" i="47" s="1"/>
  <c r="BM15" i="47"/>
  <c r="BN15" i="47" s="1"/>
  <c r="AT10" i="47"/>
  <c r="AU10" i="47" s="1"/>
  <c r="AR11" i="47"/>
  <c r="BY25" i="47"/>
  <c r="BT35" i="47"/>
  <c r="BX35" i="47"/>
  <c r="BY35" i="47" s="1"/>
  <c r="AY35" i="47"/>
  <c r="AZ35" i="47" s="1"/>
  <c r="AW35" i="47"/>
  <c r="BZ33" i="47"/>
  <c r="BM14" i="47"/>
  <c r="BN14" i="47" s="1"/>
  <c r="CD39" i="47"/>
  <c r="CE39" i="47" s="1"/>
  <c r="BZ39" i="47"/>
  <c r="BM17" i="47"/>
  <c r="BN17" i="47" s="1"/>
  <c r="CD9" i="47"/>
  <c r="CE9" i="47" s="1"/>
  <c r="CD38" i="47"/>
  <c r="CE38" i="47" s="1"/>
  <c r="BZ38" i="47"/>
  <c r="BX19" i="47"/>
  <c r="BY19" i="47" s="1"/>
  <c r="BT19" i="47"/>
  <c r="BR38" i="47"/>
  <c r="BS38" i="47" s="1"/>
  <c r="BP38" i="47"/>
  <c r="AA38" i="55" s="1"/>
  <c r="BX30" i="47"/>
  <c r="BY30" i="47" s="1"/>
  <c r="BT30" i="47"/>
  <c r="BO27" i="47" a="1"/>
  <c r="BO27" i="47" s="1"/>
  <c r="Z27" i="55" s="1"/>
  <c r="BJ27" i="47" a="1"/>
  <c r="BJ27" i="47" s="1"/>
  <c r="BX24" i="47"/>
  <c r="BY24" i="47" s="1"/>
  <c r="BT24" i="47"/>
  <c r="AV22" i="47" a="1"/>
  <c r="AV22" i="47" s="1"/>
  <c r="CD13" i="47"/>
  <c r="CE13" i="47" s="1"/>
  <c r="BZ13" i="47"/>
  <c r="AV23" i="47" a="1"/>
  <c r="AV23" i="47" s="1"/>
  <c r="BY12" i="47"/>
  <c r="BR25" i="47"/>
  <c r="BS25" i="47" s="1"/>
  <c r="BP25" i="47"/>
  <c r="AA25" i="55" s="1"/>
  <c r="BT20" i="47"/>
  <c r="BX20" i="47"/>
  <c r="BY20" i="47" s="1"/>
  <c r="AW15" i="47"/>
  <c r="AY15" i="47"/>
  <c r="AZ15" i="47" s="1"/>
  <c r="BR9" i="47"/>
  <c r="BS9" i="47" s="1"/>
  <c r="BP9" i="47"/>
  <c r="AA9" i="55" s="1"/>
  <c r="BX31" i="47"/>
  <c r="BY31" i="47" s="1"/>
  <c r="BT31" i="47"/>
  <c r="BK31" i="47"/>
  <c r="BM31" i="47"/>
  <c r="BN31" i="47" s="1"/>
  <c r="BZ27" i="47"/>
  <c r="CD27" i="47"/>
  <c r="CE27" i="47" s="1"/>
  <c r="AV24" i="47" a="1"/>
  <c r="AV24" i="47" s="1"/>
  <c r="BZ16" i="47"/>
  <c r="CD16" i="47"/>
  <c r="CE16" i="47" s="1"/>
  <c r="BY13" i="47"/>
  <c r="AV20" i="47" a="1"/>
  <c r="AV20" i="47" s="1"/>
  <c r="AW17" i="47"/>
  <c r="AY17" i="47"/>
  <c r="AZ17" i="47" s="1"/>
  <c r="AW14" i="47"/>
  <c r="AY14" i="47"/>
  <c r="AZ14" i="47" s="1"/>
  <c r="BK9" i="47"/>
  <c r="BM9" i="47"/>
  <c r="BN9" i="47" s="1"/>
  <c r="BD9" i="47"/>
  <c r="BE9" i="47" s="1"/>
  <c r="BD38" i="47"/>
  <c r="BE38" i="47" s="1"/>
  <c r="BY39" i="47"/>
  <c r="BD33" i="47"/>
  <c r="BE33" i="47" s="1"/>
  <c r="AY27" i="47"/>
  <c r="AZ27" i="47" s="1"/>
  <c r="AW27" i="47"/>
  <c r="BD28" i="47"/>
  <c r="BE28" i="47" s="1"/>
  <c r="BO23" i="47" a="1"/>
  <c r="BO23" i="47" s="1"/>
  <c r="Z23" i="55" s="1"/>
  <c r="BJ23" i="47" a="1"/>
  <c r="BJ23" i="47" s="1"/>
  <c r="AV21" i="47" a="1"/>
  <c r="AV21" i="47" s="1"/>
  <c r="BO26" i="47" a="1"/>
  <c r="BO26" i="47" s="1"/>
  <c r="Z26" i="55" s="1"/>
  <c r="BJ26" i="47" a="1"/>
  <c r="BJ26" i="47" s="1"/>
  <c r="BZ20" i="47"/>
  <c r="CD20" i="47"/>
  <c r="CE20" i="47" s="1"/>
  <c r="BZ15" i="47"/>
  <c r="CD15" i="47"/>
  <c r="CE15" i="47" s="1"/>
  <c r="BY14" i="47"/>
  <c r="AW12" i="47"/>
  <c r="AY12" i="47"/>
  <c r="AZ12" i="47" s="1"/>
  <c r="BD11" i="47"/>
  <c r="BE11" i="47" s="1"/>
  <c r="BO28" i="47" a="1"/>
  <c r="BO28" i="47" s="1"/>
  <c r="Z28" i="55" s="1"/>
  <c r="BJ28" i="47" a="1"/>
  <c r="BJ28" i="47" s="1"/>
  <c r="AW13" i="47"/>
  <c r="AY13" i="47"/>
  <c r="AZ13" i="47" s="1"/>
  <c r="BX17" i="47"/>
  <c r="BY17" i="47" s="1"/>
  <c r="BT17" i="47"/>
  <c r="BY16" i="47"/>
  <c r="BZ22" i="47"/>
  <c r="CD22" i="47"/>
  <c r="CE22" i="47" s="1"/>
  <c r="BM10" i="47"/>
  <c r="BN10" i="47" s="1"/>
  <c r="BK10" i="47"/>
  <c r="BK30" i="47"/>
  <c r="BM30" i="47"/>
  <c r="BN30" i="47" s="1"/>
  <c r="BP31" i="47"/>
  <c r="AA31" i="55" s="1"/>
  <c r="BR31" i="47"/>
  <c r="BS31" i="47" s="1"/>
  <c r="CD17" i="47"/>
  <c r="CE17" i="47" s="1"/>
  <c r="BZ17" i="47"/>
  <c r="BZ28" i="47"/>
  <c r="CD28" i="47"/>
  <c r="CE28" i="47" s="1"/>
  <c r="BO21" i="47" a="1"/>
  <c r="BO21" i="47" s="1"/>
  <c r="Z21" i="55" s="1"/>
  <c r="BJ21" i="47" a="1"/>
  <c r="BJ21" i="47" s="1"/>
  <c r="AV8" i="47" a="1"/>
  <c r="AV8" i="47" s="1"/>
  <c r="BD25" i="47"/>
  <c r="BE25" i="47" s="1"/>
  <c r="AW9" i="47"/>
  <c r="AY9" i="47"/>
  <c r="AZ9" i="47" s="1"/>
  <c r="BK39" i="47"/>
  <c r="BM39" i="47"/>
  <c r="BN39" i="47" s="1"/>
  <c r="AW38" i="47"/>
  <c r="AY38" i="47"/>
  <c r="AZ38" i="47" s="1"/>
  <c r="AV39" i="47" a="1"/>
  <c r="AV39" i="47" s="1"/>
  <c r="AY29" i="47"/>
  <c r="AZ29" i="47" s="1"/>
  <c r="AW29" i="47"/>
  <c r="AY28" i="47"/>
  <c r="AZ28" i="47" s="1"/>
  <c r="AW28" i="47"/>
  <c r="BY21" i="47"/>
  <c r="BO20" i="47" a="1"/>
  <c r="BO20" i="47" s="1"/>
  <c r="Z20" i="55" s="1"/>
  <c r="BJ20" i="47" a="1"/>
  <c r="BJ20" i="47" s="1"/>
  <c r="CD12" i="47"/>
  <c r="CE12" i="47" s="1"/>
  <c r="BZ12" i="47"/>
  <c r="BZ21" i="47"/>
  <c r="CD21" i="47"/>
  <c r="CE21" i="47" s="1"/>
  <c r="AW18" i="47"/>
  <c r="AY18" i="47"/>
  <c r="AZ18" i="47" s="1"/>
  <c r="AW16" i="47"/>
  <c r="AY16" i="47"/>
  <c r="AZ16" i="47" s="1"/>
  <c r="BO22" i="47" a="1"/>
  <c r="BO22" i="47" s="1"/>
  <c r="Z22" i="55" s="1"/>
  <c r="BJ22" i="47" a="1"/>
  <c r="BJ22" i="47" s="1"/>
  <c r="BM8" i="47"/>
  <c r="BN8" i="47" s="1"/>
  <c r="BK8" i="47"/>
  <c r="AV40" i="47" a="1"/>
  <c r="AV40" i="47" s="1"/>
  <c r="BK38" i="47"/>
  <c r="BM38" i="47"/>
  <c r="BN38" i="47" s="1"/>
  <c r="AY32" i="47"/>
  <c r="AZ32" i="47" s="1"/>
  <c r="AW32" i="47"/>
  <c r="BD31" i="47"/>
  <c r="BE31" i="47" s="1"/>
  <c r="AV30" i="47" a="1"/>
  <c r="AV30" i="47" s="1"/>
  <c r="BR32" i="47"/>
  <c r="BS32" i="47" s="1"/>
  <c r="BP32" i="47"/>
  <c r="AA32" i="55" s="1"/>
  <c r="BD27" i="47"/>
  <c r="BE27" i="47" s="1"/>
  <c r="AY26" i="47"/>
  <c r="AZ26" i="47" s="1"/>
  <c r="AW26" i="47"/>
  <c r="BO24" i="47" a="1"/>
  <c r="BO24" i="47" s="1"/>
  <c r="Z24" i="55" s="1"/>
  <c r="BJ24" i="47" a="1"/>
  <c r="BJ24" i="47" s="1"/>
  <c r="BZ23" i="47"/>
  <c r="CD23" i="47"/>
  <c r="CE23" i="47" s="1"/>
  <c r="BO19" i="47" a="1"/>
  <c r="BO19" i="47" s="1"/>
  <c r="Z19" i="55" s="1"/>
  <c r="BJ19" i="47" a="1"/>
  <c r="BJ19" i="47" s="1"/>
  <c r="BZ26" i="47"/>
  <c r="CD26" i="47"/>
  <c r="CE26" i="47" s="1"/>
  <c r="BY22" i="47"/>
  <c r="BZ18" i="47"/>
  <c r="CD18" i="47"/>
  <c r="CE18" i="47" s="1"/>
  <c r="BZ14" i="47"/>
  <c r="CD14" i="47"/>
  <c r="CE14" i="47" s="1"/>
  <c r="BY23" i="47"/>
  <c r="BJ11" i="47" a="1"/>
  <c r="BJ11" i="47" s="1"/>
  <c r="BO11" i="47" a="1"/>
  <c r="BO11" i="47" s="1"/>
  <c r="Z11" i="55" s="1"/>
  <c r="BX15" i="47"/>
  <c r="BY15" i="47" s="1"/>
  <c r="BT15" i="47"/>
  <c r="BX18" i="47"/>
  <c r="BY18" i="47" s="1"/>
  <c r="BT18" i="47"/>
  <c r="AV10" i="47" a="1"/>
  <c r="AV10" i="47" s="1"/>
  <c r="AW25" i="47"/>
  <c r="AY25" i="47"/>
  <c r="AZ25" i="47" s="1"/>
  <c r="BP10" i="47"/>
  <c r="AA10" i="55" s="1"/>
  <c r="BR10" i="47"/>
  <c r="BS10" i="47" s="1"/>
  <c r="BR36" i="47" l="1"/>
  <c r="BS36" i="47" s="1"/>
  <c r="Z36" i="55"/>
  <c r="BR37" i="47"/>
  <c r="BS37" i="47" s="1"/>
  <c r="Z37" i="55"/>
  <c r="BP35" i="47"/>
  <c r="AA35" i="55" s="1"/>
  <c r="Z35" i="55"/>
  <c r="GE60" i="47"/>
  <c r="GF60" i="47" s="1"/>
  <c r="AK135" i="55"/>
  <c r="FV73" i="47"/>
  <c r="FW73" i="47" s="1"/>
  <c r="AG148" i="55"/>
  <c r="FV57" i="47"/>
  <c r="FW57" i="47" s="1"/>
  <c r="AG132" i="55"/>
  <c r="FV41" i="47"/>
  <c r="FW41" i="47" s="1"/>
  <c r="AG116" i="55"/>
  <c r="GE61" i="47"/>
  <c r="GF61" i="47" s="1"/>
  <c r="AK136" i="55"/>
  <c r="GE45" i="47"/>
  <c r="GF45" i="47" s="1"/>
  <c r="AK120" i="55"/>
  <c r="GE56" i="47"/>
  <c r="GF56" i="47" s="1"/>
  <c r="AK131" i="55"/>
  <c r="GE62" i="47"/>
  <c r="GF62" i="47" s="1"/>
  <c r="AK137" i="55"/>
  <c r="GE46" i="47"/>
  <c r="GF46" i="47" s="1"/>
  <c r="AK121" i="55"/>
  <c r="GE25" i="47"/>
  <c r="GF25" i="47" s="1"/>
  <c r="AK100" i="55"/>
  <c r="GE32" i="47"/>
  <c r="GF32" i="47" s="1"/>
  <c r="AK107" i="55"/>
  <c r="GE52" i="47"/>
  <c r="GF52" i="47" s="1"/>
  <c r="AK127" i="55"/>
  <c r="FV66" i="47"/>
  <c r="FW66" i="47" s="1"/>
  <c r="AG141" i="55"/>
  <c r="GE64" i="47"/>
  <c r="GF64" i="47" s="1"/>
  <c r="AK139" i="55"/>
  <c r="GE16" i="47"/>
  <c r="GF16" i="47" s="1"/>
  <c r="AK91" i="55"/>
  <c r="GE63" i="47"/>
  <c r="GF63" i="47" s="1"/>
  <c r="AK138" i="55"/>
  <c r="FV51" i="47"/>
  <c r="FW51" i="47" s="1"/>
  <c r="AG126" i="55"/>
  <c r="FV17" i="47"/>
  <c r="FW17" i="47" s="1"/>
  <c r="AG92" i="55"/>
  <c r="FV27" i="47"/>
  <c r="FW27" i="47" s="1"/>
  <c r="AG102" i="55"/>
  <c r="FV39" i="47"/>
  <c r="FW39" i="47" s="1"/>
  <c r="AG114" i="55"/>
  <c r="FV50" i="47"/>
  <c r="FW50" i="47" s="1"/>
  <c r="AG125" i="55"/>
  <c r="FV42" i="47"/>
  <c r="FW42" i="47" s="1"/>
  <c r="AG117" i="55"/>
  <c r="GE59" i="47"/>
  <c r="GF59" i="47" s="1"/>
  <c r="AK134" i="55"/>
  <c r="GE43" i="47"/>
  <c r="GF43" i="47" s="1"/>
  <c r="AK118" i="55"/>
  <c r="FV63" i="47"/>
  <c r="FW63" i="47" s="1"/>
  <c r="AG138" i="55"/>
  <c r="FV47" i="47"/>
  <c r="FW47" i="47" s="1"/>
  <c r="AG122" i="55"/>
  <c r="FV12" i="47"/>
  <c r="FW12" i="47" s="1"/>
  <c r="AG87" i="55"/>
  <c r="FV16" i="47"/>
  <c r="FW16" i="47" s="1"/>
  <c r="AG91" i="55"/>
  <c r="FV20" i="47"/>
  <c r="FW20" i="47" s="1"/>
  <c r="AG95" i="55"/>
  <c r="FV24" i="47"/>
  <c r="FW24" i="47" s="1"/>
  <c r="AG99" i="55"/>
  <c r="FV28" i="47"/>
  <c r="FW28" i="47" s="1"/>
  <c r="AG103" i="55"/>
  <c r="FV32" i="47"/>
  <c r="FW32" i="47" s="1"/>
  <c r="AG107" i="55"/>
  <c r="FV36" i="47"/>
  <c r="FW36" i="47" s="1"/>
  <c r="AG111" i="55"/>
  <c r="FV40" i="47"/>
  <c r="FW40" i="47" s="1"/>
  <c r="AG115" i="55"/>
  <c r="FV60" i="47"/>
  <c r="FW60" i="47" s="1"/>
  <c r="AG135" i="55"/>
  <c r="FV44" i="47"/>
  <c r="FW44" i="47" s="1"/>
  <c r="AG119" i="55"/>
  <c r="GE33" i="47"/>
  <c r="GF33" i="47" s="1"/>
  <c r="AK108" i="55"/>
  <c r="GE68" i="47"/>
  <c r="GF68" i="47" s="1"/>
  <c r="AK143" i="55"/>
  <c r="FV69" i="47"/>
  <c r="FW69" i="47" s="1"/>
  <c r="AG144" i="55"/>
  <c r="FV45" i="47"/>
  <c r="FW45" i="47" s="1"/>
  <c r="AG120" i="55"/>
  <c r="GE65" i="47"/>
  <c r="GF65" i="47" s="1"/>
  <c r="AK140" i="55"/>
  <c r="GE41" i="47"/>
  <c r="GF41" i="47" s="1"/>
  <c r="AK116" i="55"/>
  <c r="GE66" i="47"/>
  <c r="GF66" i="47" s="1"/>
  <c r="AK141" i="55"/>
  <c r="GE42" i="47"/>
  <c r="GF42" i="47" s="1"/>
  <c r="AK117" i="55"/>
  <c r="GE18" i="47"/>
  <c r="GF18" i="47" s="1"/>
  <c r="AK93" i="55"/>
  <c r="GE11" i="47"/>
  <c r="GF11" i="47" s="1"/>
  <c r="AK86" i="55"/>
  <c r="FV70" i="47"/>
  <c r="FW70" i="47" s="1"/>
  <c r="AG145" i="55"/>
  <c r="GE55" i="47"/>
  <c r="GF55" i="47" s="1"/>
  <c r="AK130" i="55"/>
  <c r="FV67" i="47"/>
  <c r="FW67" i="47" s="1"/>
  <c r="AG142" i="55"/>
  <c r="FV43" i="47"/>
  <c r="FW43" i="47" s="1"/>
  <c r="AG118" i="55"/>
  <c r="FV13" i="47"/>
  <c r="FW13" i="47" s="1"/>
  <c r="AG88" i="55"/>
  <c r="FV19" i="47"/>
  <c r="FW19" i="47" s="1"/>
  <c r="AG94" i="55"/>
  <c r="FV25" i="47"/>
  <c r="FW25" i="47" s="1"/>
  <c r="AG100" i="55"/>
  <c r="FV31" i="47"/>
  <c r="FW31" i="47" s="1"/>
  <c r="AG106" i="55"/>
  <c r="FV37" i="47"/>
  <c r="FW37" i="47" s="1"/>
  <c r="AG112" i="55"/>
  <c r="FV64" i="47"/>
  <c r="FW64" i="47" s="1"/>
  <c r="AG139" i="55"/>
  <c r="FV58" i="47"/>
  <c r="FW58" i="47" s="1"/>
  <c r="AG133" i="55"/>
  <c r="GE22" i="47"/>
  <c r="GF22" i="47" s="1"/>
  <c r="AK97" i="55"/>
  <c r="GE8" i="47"/>
  <c r="GF8" i="47" s="1"/>
  <c r="GE48" i="47"/>
  <c r="GF48" i="47" s="1"/>
  <c r="AK123" i="55"/>
  <c r="FV65" i="47"/>
  <c r="FW65" i="47" s="1"/>
  <c r="AG140" i="55"/>
  <c r="FV49" i="47"/>
  <c r="FW49" i="47" s="1"/>
  <c r="AG124" i="55"/>
  <c r="GE69" i="47"/>
  <c r="GF69" i="47" s="1"/>
  <c r="AK144" i="55"/>
  <c r="GE53" i="47"/>
  <c r="GF53" i="47" s="1"/>
  <c r="AK128" i="55"/>
  <c r="GE72" i="47"/>
  <c r="GF72" i="47" s="1"/>
  <c r="AK147" i="55"/>
  <c r="GE70" i="47"/>
  <c r="GF70" i="47" s="1"/>
  <c r="AK145" i="55"/>
  <c r="GE54" i="47"/>
  <c r="GF54" i="47" s="1"/>
  <c r="AK129" i="55"/>
  <c r="GE14" i="47"/>
  <c r="GF14" i="47" s="1"/>
  <c r="AK89" i="55"/>
  <c r="GE36" i="47"/>
  <c r="GF36" i="47" s="1"/>
  <c r="AK111" i="55"/>
  <c r="FV61" i="47"/>
  <c r="FW61" i="47" s="1"/>
  <c r="AG136" i="55"/>
  <c r="GE57" i="47"/>
  <c r="GF57" i="47" s="1"/>
  <c r="AK132" i="55"/>
  <c r="GE58" i="47"/>
  <c r="GF58" i="47" s="1"/>
  <c r="AK133" i="55"/>
  <c r="FV46" i="47"/>
  <c r="FW46" i="47" s="1"/>
  <c r="AG121" i="55"/>
  <c r="FV10" i="47"/>
  <c r="FW10" i="47" s="1"/>
  <c r="AG85" i="55"/>
  <c r="FV11" i="47"/>
  <c r="FW11" i="47" s="1"/>
  <c r="AG86" i="55"/>
  <c r="FV23" i="47"/>
  <c r="FW23" i="47" s="1"/>
  <c r="AG98" i="55"/>
  <c r="FV33" i="47"/>
  <c r="FW33" i="47" s="1"/>
  <c r="AG108" i="55"/>
  <c r="FV56" i="47"/>
  <c r="FW56" i="47" s="1"/>
  <c r="AG131" i="55"/>
  <c r="GE26" i="47"/>
  <c r="GF26" i="47" s="1"/>
  <c r="AK101" i="55"/>
  <c r="FV62" i="47"/>
  <c r="FW62" i="47" s="1"/>
  <c r="AG137" i="55"/>
  <c r="GE67" i="47"/>
  <c r="GF67" i="47" s="1"/>
  <c r="AK142" i="55"/>
  <c r="GE51" i="47"/>
  <c r="GF51" i="47" s="1"/>
  <c r="AK126" i="55"/>
  <c r="FV71" i="47"/>
  <c r="FW71" i="47" s="1"/>
  <c r="AG146" i="55"/>
  <c r="FV55" i="47"/>
  <c r="FW55" i="47" s="1"/>
  <c r="AG130" i="55"/>
  <c r="FV54" i="47"/>
  <c r="FW54" i="47" s="1"/>
  <c r="AG129" i="55"/>
  <c r="FV14" i="47"/>
  <c r="FW14" i="47" s="1"/>
  <c r="AG89" i="55"/>
  <c r="FV18" i="47"/>
  <c r="FW18" i="47" s="1"/>
  <c r="AG93" i="55"/>
  <c r="FV22" i="47"/>
  <c r="FW22" i="47" s="1"/>
  <c r="AG97" i="55"/>
  <c r="FV26" i="47"/>
  <c r="FW26" i="47" s="1"/>
  <c r="AG101" i="55"/>
  <c r="FV30" i="47"/>
  <c r="FW30" i="47" s="1"/>
  <c r="AG105" i="55"/>
  <c r="FV34" i="47"/>
  <c r="FW34" i="47" s="1"/>
  <c r="AG109" i="55"/>
  <c r="FV38" i="47"/>
  <c r="FW38" i="47" s="1"/>
  <c r="AG113" i="55"/>
  <c r="FV68" i="47"/>
  <c r="FW68" i="47" s="1"/>
  <c r="AG143" i="55"/>
  <c r="FV52" i="47"/>
  <c r="FW52" i="47" s="1"/>
  <c r="AG127" i="55"/>
  <c r="GE12" i="47"/>
  <c r="GF12" i="47" s="1"/>
  <c r="AK87" i="55"/>
  <c r="GE37" i="47"/>
  <c r="GF37" i="47" s="1"/>
  <c r="AK112" i="55"/>
  <c r="FV9" i="47"/>
  <c r="FW9" i="47" s="1"/>
  <c r="AG84" i="55"/>
  <c r="FV53" i="47"/>
  <c r="FW53" i="47" s="1"/>
  <c r="AG128" i="55"/>
  <c r="GE73" i="47"/>
  <c r="GF73" i="47" s="1"/>
  <c r="AK148" i="55"/>
  <c r="GE49" i="47"/>
  <c r="GF49" i="47" s="1"/>
  <c r="AK124" i="55"/>
  <c r="GE44" i="47"/>
  <c r="GF44" i="47" s="1"/>
  <c r="AK119" i="55"/>
  <c r="GE50" i="47"/>
  <c r="GF50" i="47" s="1"/>
  <c r="AK125" i="55"/>
  <c r="GE21" i="47"/>
  <c r="GF21" i="47" s="1"/>
  <c r="AK96" i="55"/>
  <c r="GE24" i="47"/>
  <c r="GF24" i="47" s="1"/>
  <c r="AK99" i="55"/>
  <c r="GE34" i="47"/>
  <c r="GF34" i="47" s="1"/>
  <c r="AK109" i="55"/>
  <c r="GE71" i="47"/>
  <c r="GF71" i="47" s="1"/>
  <c r="AK146" i="55"/>
  <c r="GE47" i="47"/>
  <c r="GF47" i="47" s="1"/>
  <c r="AK122" i="55"/>
  <c r="FV59" i="47"/>
  <c r="FW59" i="47" s="1"/>
  <c r="AG134" i="55"/>
  <c r="FV8" i="47"/>
  <c r="FW8" i="47" s="1"/>
  <c r="AG83" i="55"/>
  <c r="FV15" i="47"/>
  <c r="FW15" i="47" s="1"/>
  <c r="AG90" i="55"/>
  <c r="FV21" i="47"/>
  <c r="FW21" i="47" s="1"/>
  <c r="AG96" i="55"/>
  <c r="FV29" i="47"/>
  <c r="FW29" i="47" s="1"/>
  <c r="AG104" i="55"/>
  <c r="FV35" i="47"/>
  <c r="FW35" i="47" s="1"/>
  <c r="AG110" i="55"/>
  <c r="FV72" i="47"/>
  <c r="FW72" i="47" s="1"/>
  <c r="AG147" i="55"/>
  <c r="FV48" i="47"/>
  <c r="FW48" i="47" s="1"/>
  <c r="AG123" i="55"/>
  <c r="GE9" i="47"/>
  <c r="GF9" i="47" s="1"/>
  <c r="AK84" i="55"/>
  <c r="GE27" i="47"/>
  <c r="GF27" i="47" s="1"/>
  <c r="AK102" i="55"/>
  <c r="BK77" i="47"/>
  <c r="BK85" i="47"/>
  <c r="BP78" i="47"/>
  <c r="BK79" i="47"/>
  <c r="BK84" i="47"/>
  <c r="BP79" i="47"/>
  <c r="BK80" i="47"/>
  <c r="BK86" i="47"/>
  <c r="BP80" i="47"/>
  <c r="BP83" i="47"/>
  <c r="AW78" i="47"/>
  <c r="AW82" i="47"/>
  <c r="AW86" i="47"/>
  <c r="AW85" i="47"/>
  <c r="AW79" i="47"/>
  <c r="AW83" i="47"/>
  <c r="AW76" i="47"/>
  <c r="AW77" i="47"/>
  <c r="AW80" i="47"/>
  <c r="AW84" i="47"/>
  <c r="AW81" i="47"/>
  <c r="BK76" i="47"/>
  <c r="BK82" i="47"/>
  <c r="BK81" i="47"/>
  <c r="BP81" i="47"/>
  <c r="BP84" i="47"/>
  <c r="BP76" i="47"/>
  <c r="BP86" i="47"/>
  <c r="BP77" i="47"/>
  <c r="BK83" i="47"/>
  <c r="BK78" i="47"/>
  <c r="BP85" i="47"/>
  <c r="BP82" i="47"/>
  <c r="GK48" i="47"/>
  <c r="GM47" i="47"/>
  <c r="GN47" i="47" s="1"/>
  <c r="BP58" i="47"/>
  <c r="AA58" i="55" s="1"/>
  <c r="BR58" i="47"/>
  <c r="BS58" i="47" s="1"/>
  <c r="BM52" i="47"/>
  <c r="BN52" i="47" s="1"/>
  <c r="BK52" i="47"/>
  <c r="BK43" i="47"/>
  <c r="BM43" i="47"/>
  <c r="BN43" i="47" s="1"/>
  <c r="AY61" i="47"/>
  <c r="AZ61" i="47" s="1"/>
  <c r="AW61" i="47"/>
  <c r="BK47" i="47"/>
  <c r="BM47" i="47"/>
  <c r="BN47" i="47" s="1"/>
  <c r="AY70" i="47"/>
  <c r="AZ70" i="47" s="1"/>
  <c r="AW70" i="47"/>
  <c r="AY49" i="47"/>
  <c r="AZ49" i="47" s="1"/>
  <c r="AW49" i="47"/>
  <c r="BK64" i="47"/>
  <c r="BM64" i="47"/>
  <c r="BN64" i="47" s="1"/>
  <c r="AY66" i="47"/>
  <c r="AZ66" i="47" s="1"/>
  <c r="AW66" i="47"/>
  <c r="BM69" i="47"/>
  <c r="BN69" i="47" s="1"/>
  <c r="BK69" i="47"/>
  <c r="AY44" i="47"/>
  <c r="AZ44" i="47" s="1"/>
  <c r="AW44" i="47"/>
  <c r="BM61" i="47"/>
  <c r="BN61" i="47" s="1"/>
  <c r="BK61" i="47"/>
  <c r="AW46" i="47"/>
  <c r="AY46" i="47"/>
  <c r="AZ46" i="47" s="1"/>
  <c r="BM58" i="47"/>
  <c r="BN58" i="47" s="1"/>
  <c r="BK58" i="47"/>
  <c r="BK42" i="47"/>
  <c r="BM42" i="47"/>
  <c r="BN42" i="47" s="1"/>
  <c r="BP68" i="47"/>
  <c r="AA68" i="55" s="1"/>
  <c r="BR68" i="47"/>
  <c r="BS68" i="47" s="1"/>
  <c r="BP52" i="47"/>
  <c r="AA52" i="55" s="1"/>
  <c r="BR52" i="47"/>
  <c r="BS52" i="47" s="1"/>
  <c r="AW63" i="47"/>
  <c r="AY63" i="47"/>
  <c r="AZ63" i="47" s="1"/>
  <c r="BD58" i="47"/>
  <c r="BE58" i="47" s="1"/>
  <c r="BP43" i="47"/>
  <c r="AA43" i="55" s="1"/>
  <c r="BR43" i="47"/>
  <c r="BS43" i="47" s="1"/>
  <c r="BD61" i="47"/>
  <c r="BE61" i="47" s="1"/>
  <c r="BD45" i="47"/>
  <c r="BE45" i="47" s="1"/>
  <c r="BK63" i="47"/>
  <c r="BM63" i="47"/>
  <c r="BN63" i="47" s="1"/>
  <c r="BP47" i="47"/>
  <c r="AA47" i="55" s="1"/>
  <c r="BR47" i="47"/>
  <c r="BS47" i="47" s="1"/>
  <c r="BD55" i="47"/>
  <c r="BE55" i="47" s="1"/>
  <c r="BK57" i="47"/>
  <c r="BM57" i="47"/>
  <c r="BN57" i="47" s="1"/>
  <c r="BD70" i="47"/>
  <c r="BE70" i="47" s="1"/>
  <c r="BP67" i="47"/>
  <c r="AA67" i="55" s="1"/>
  <c r="BR67" i="47"/>
  <c r="BS67" i="47" s="1"/>
  <c r="BD65" i="47"/>
  <c r="BE65" i="47" s="1"/>
  <c r="BD49" i="47"/>
  <c r="BE49" i="47" s="1"/>
  <c r="BD43" i="47"/>
  <c r="BE43" i="47" s="1"/>
  <c r="BP50" i="47"/>
  <c r="AA50" i="55" s="1"/>
  <c r="BR50" i="47"/>
  <c r="BS50" i="47" s="1"/>
  <c r="BD56" i="47"/>
  <c r="BE56" i="47" s="1"/>
  <c r="BP54" i="47"/>
  <c r="AA54" i="55" s="1"/>
  <c r="BR54" i="47"/>
  <c r="BS54" i="47" s="1"/>
  <c r="BR64" i="47"/>
  <c r="BS64" i="47" s="1"/>
  <c r="BP64" i="47"/>
  <c r="AA64" i="55" s="1"/>
  <c r="BM48" i="47"/>
  <c r="BN48" i="47" s="1"/>
  <c r="BK48" i="47"/>
  <c r="AW71" i="47"/>
  <c r="AY71" i="47"/>
  <c r="AZ71" i="47" s="1"/>
  <c r="BD66" i="47"/>
  <c r="BE66" i="47" s="1"/>
  <c r="BP59" i="47"/>
  <c r="AA59" i="55" s="1"/>
  <c r="BR59" i="47"/>
  <c r="BS59" i="47" s="1"/>
  <c r="BR69" i="47"/>
  <c r="BS69" i="47" s="1"/>
  <c r="BP69" i="47"/>
  <c r="AA69" i="55" s="1"/>
  <c r="BD67" i="47"/>
  <c r="BE67" i="47" s="1"/>
  <c r="BD44" i="47"/>
  <c r="BE44" i="47" s="1"/>
  <c r="BR61" i="47"/>
  <c r="BS61" i="47" s="1"/>
  <c r="BP61" i="47"/>
  <c r="AA61" i="55" s="1"/>
  <c r="BD46" i="47"/>
  <c r="BE46" i="47" s="1"/>
  <c r="BK68" i="47"/>
  <c r="BM68" i="47"/>
  <c r="BN68" i="47" s="1"/>
  <c r="AY58" i="47"/>
  <c r="AZ58" i="47" s="1"/>
  <c r="AW58" i="47"/>
  <c r="AY45" i="47"/>
  <c r="AZ45" i="47" s="1"/>
  <c r="AW45" i="47"/>
  <c r="AW55" i="47"/>
  <c r="AY55" i="47"/>
  <c r="AZ55" i="47" s="1"/>
  <c r="BK67" i="47"/>
  <c r="BM67" i="47"/>
  <c r="BN67" i="47" s="1"/>
  <c r="AW43" i="47"/>
  <c r="AY43" i="47"/>
  <c r="AZ43" i="47" s="1"/>
  <c r="BM54" i="47"/>
  <c r="BN54" i="47" s="1"/>
  <c r="BK54" i="47"/>
  <c r="BP48" i="47"/>
  <c r="AA48" i="55" s="1"/>
  <c r="BR48" i="47"/>
  <c r="BS48" i="47" s="1"/>
  <c r="BK59" i="47"/>
  <c r="BM59" i="47"/>
  <c r="BN59" i="47" s="1"/>
  <c r="BD34" i="47"/>
  <c r="BE34" i="47" s="1"/>
  <c r="BR35" i="47"/>
  <c r="BS35" i="47" s="1"/>
  <c r="BM46" i="47"/>
  <c r="BN46" i="47" s="1"/>
  <c r="BK46" i="47"/>
  <c r="BM62" i="47"/>
  <c r="BN62" i="47" s="1"/>
  <c r="BK62" i="47"/>
  <c r="AW48" i="47"/>
  <c r="AY48" i="47"/>
  <c r="AZ48" i="47" s="1"/>
  <c r="BK60" i="47"/>
  <c r="BM60" i="47"/>
  <c r="BN60" i="47" s="1"/>
  <c r="BM44" i="47"/>
  <c r="BN44" i="47" s="1"/>
  <c r="BK44" i="47"/>
  <c r="BK73" i="47"/>
  <c r="BM73" i="47"/>
  <c r="BN73" i="47" s="1"/>
  <c r="AY42" i="47"/>
  <c r="AZ42" i="47" s="1"/>
  <c r="AW42" i="47"/>
  <c r="BD64" i="47"/>
  <c r="BE64" i="47" s="1"/>
  <c r="AY69" i="47"/>
  <c r="AZ69" i="47" s="1"/>
  <c r="AW69" i="47"/>
  <c r="AY53" i="47"/>
  <c r="AZ53" i="47" s="1"/>
  <c r="AW53" i="47"/>
  <c r="BP71" i="47"/>
  <c r="AA71" i="55" s="1"/>
  <c r="BR71" i="47"/>
  <c r="BS71" i="47" s="1"/>
  <c r="BP55" i="47"/>
  <c r="AA55" i="55" s="1"/>
  <c r="BR55" i="47"/>
  <c r="BS55" i="47" s="1"/>
  <c r="BD72" i="47"/>
  <c r="BE72" i="47" s="1"/>
  <c r="BK65" i="47"/>
  <c r="BM65" i="47"/>
  <c r="BN65" i="47" s="1"/>
  <c r="BM41" i="47"/>
  <c r="BN41" i="47" s="1"/>
  <c r="BK41" i="47"/>
  <c r="AY54" i="47"/>
  <c r="AZ54" i="47" s="1"/>
  <c r="AW54" i="47"/>
  <c r="AY73" i="47"/>
  <c r="AZ73" i="47" s="1"/>
  <c r="AW73" i="47"/>
  <c r="AW57" i="47"/>
  <c r="AY57" i="47"/>
  <c r="AZ57" i="47" s="1"/>
  <c r="BD41" i="47"/>
  <c r="BE41" i="47" s="1"/>
  <c r="BD59" i="47"/>
  <c r="BE59" i="47" s="1"/>
  <c r="BP45" i="47"/>
  <c r="AA45" i="55" s="1"/>
  <c r="BR45" i="47"/>
  <c r="BS45" i="47" s="1"/>
  <c r="BM70" i="47"/>
  <c r="BN70" i="47" s="1"/>
  <c r="BK70" i="47"/>
  <c r="AY52" i="47"/>
  <c r="AZ52" i="47" s="1"/>
  <c r="AW52" i="47"/>
  <c r="BM66" i="47"/>
  <c r="BN66" i="47" s="1"/>
  <c r="BK66" i="47"/>
  <c r="BD68" i="47"/>
  <c r="BE68" i="47" s="1"/>
  <c r="BK72" i="47"/>
  <c r="BM72" i="47"/>
  <c r="BN72" i="47" s="1"/>
  <c r="BK56" i="47"/>
  <c r="BM56" i="47"/>
  <c r="BN56" i="47" s="1"/>
  <c r="BD60" i="47"/>
  <c r="BE60" i="47" s="1"/>
  <c r="BM49" i="47"/>
  <c r="BN49" i="47" s="1"/>
  <c r="BK49" i="47"/>
  <c r="AY50" i="47"/>
  <c r="AZ50" i="47" s="1"/>
  <c r="AW50" i="47"/>
  <c r="AW51" i="47"/>
  <c r="AY51" i="47"/>
  <c r="AZ51" i="47" s="1"/>
  <c r="AW47" i="47"/>
  <c r="AY47" i="47"/>
  <c r="AZ47" i="47" s="1"/>
  <c r="AY62" i="47"/>
  <c r="AZ62" i="47" s="1"/>
  <c r="AW62" i="47"/>
  <c r="BK51" i="47"/>
  <c r="BM51" i="47"/>
  <c r="BN51" i="47" s="1"/>
  <c r="BR42" i="47"/>
  <c r="BS42" i="47" s="1"/>
  <c r="BP42" i="47"/>
  <c r="AA42" i="55" s="1"/>
  <c r="BD63" i="47"/>
  <c r="BE63" i="47" s="1"/>
  <c r="BP63" i="47"/>
  <c r="AA63" i="55" s="1"/>
  <c r="BR63" i="47"/>
  <c r="BS63" i="47" s="1"/>
  <c r="BP57" i="47"/>
  <c r="AA57" i="55" s="1"/>
  <c r="BR57" i="47"/>
  <c r="BS57" i="47" s="1"/>
  <c r="AY65" i="47"/>
  <c r="AZ65" i="47" s="1"/>
  <c r="AW65" i="47"/>
  <c r="BM50" i="47"/>
  <c r="BN50" i="47" s="1"/>
  <c r="BK50" i="47"/>
  <c r="AW56" i="47"/>
  <c r="AY56" i="47"/>
  <c r="AZ56" i="47" s="1"/>
  <c r="BD71" i="47"/>
  <c r="BE71" i="47" s="1"/>
  <c r="AW67" i="47"/>
  <c r="AY67" i="47"/>
  <c r="AZ67" i="47" s="1"/>
  <c r="BD32" i="47"/>
  <c r="BE32" i="47" s="1"/>
  <c r="BR46" i="47"/>
  <c r="BS46" i="47" s="1"/>
  <c r="BP46" i="47"/>
  <c r="AA46" i="55" s="1"/>
  <c r="BP62" i="47"/>
  <c r="AA62" i="55" s="1"/>
  <c r="BR62" i="47"/>
  <c r="BS62" i="47" s="1"/>
  <c r="BD48" i="47"/>
  <c r="BE48" i="47" s="1"/>
  <c r="BP60" i="47"/>
  <c r="AA60" i="55" s="1"/>
  <c r="BR60" i="47"/>
  <c r="BS60" i="47" s="1"/>
  <c r="BP44" i="47"/>
  <c r="AA44" i="55" s="1"/>
  <c r="BR44" i="47"/>
  <c r="BS44" i="47" s="1"/>
  <c r="BR73" i="47"/>
  <c r="BS73" i="47" s="1"/>
  <c r="BP73" i="47"/>
  <c r="AA73" i="55" s="1"/>
  <c r="BD42" i="47"/>
  <c r="BE42" i="47" s="1"/>
  <c r="AY64" i="47"/>
  <c r="AZ64" i="47" s="1"/>
  <c r="AW64" i="47"/>
  <c r="BD69" i="47"/>
  <c r="BE69" i="47" s="1"/>
  <c r="BD53" i="47"/>
  <c r="BE53" i="47" s="1"/>
  <c r="BK71" i="47"/>
  <c r="BM71" i="47"/>
  <c r="BN71" i="47" s="1"/>
  <c r="BK55" i="47"/>
  <c r="BM55" i="47"/>
  <c r="BN55" i="47" s="1"/>
  <c r="AY72" i="47"/>
  <c r="AZ72" i="47" s="1"/>
  <c r="AW72" i="47"/>
  <c r="BR65" i="47"/>
  <c r="BS65" i="47" s="1"/>
  <c r="BP65" i="47"/>
  <c r="AA65" i="55" s="1"/>
  <c r="BR41" i="47"/>
  <c r="BS41" i="47" s="1"/>
  <c r="BP41" i="47"/>
  <c r="AA41" i="55" s="1"/>
  <c r="BD54" i="47"/>
  <c r="BE54" i="47" s="1"/>
  <c r="BD73" i="47"/>
  <c r="BE73" i="47" s="1"/>
  <c r="BD57" i="47"/>
  <c r="BE57" i="47" s="1"/>
  <c r="AY41" i="47"/>
  <c r="AZ41" i="47" s="1"/>
  <c r="AW41" i="47"/>
  <c r="AW59" i="47"/>
  <c r="AY59" i="47"/>
  <c r="AZ59" i="47" s="1"/>
  <c r="BM45" i="47"/>
  <c r="BN45" i="47" s="1"/>
  <c r="BK45" i="47"/>
  <c r="BP70" i="47"/>
  <c r="AA70" i="55" s="1"/>
  <c r="BR70" i="47"/>
  <c r="BS70" i="47" s="1"/>
  <c r="BD52" i="47"/>
  <c r="BE52" i="47" s="1"/>
  <c r="BP66" i="47"/>
  <c r="AA66" i="55" s="1"/>
  <c r="BR66" i="47"/>
  <c r="BS66" i="47" s="1"/>
  <c r="AW68" i="47"/>
  <c r="AY68" i="47"/>
  <c r="AZ68" i="47" s="1"/>
  <c r="BP72" i="47"/>
  <c r="AA72" i="55" s="1"/>
  <c r="BR72" i="47"/>
  <c r="BS72" i="47" s="1"/>
  <c r="BR56" i="47"/>
  <c r="BS56" i="47" s="1"/>
  <c r="BP56" i="47"/>
  <c r="AA56" i="55" s="1"/>
  <c r="AW60" i="47"/>
  <c r="AY60" i="47"/>
  <c r="AZ60" i="47" s="1"/>
  <c r="BR49" i="47"/>
  <c r="BS49" i="47" s="1"/>
  <c r="BP49" i="47"/>
  <c r="AA49" i="55" s="1"/>
  <c r="BD50" i="47"/>
  <c r="BE50" i="47" s="1"/>
  <c r="BD51" i="47"/>
  <c r="BE51" i="47" s="1"/>
  <c r="BD47" i="47"/>
  <c r="BE47" i="47" s="1"/>
  <c r="BD62" i="47"/>
  <c r="BE62" i="47" s="1"/>
  <c r="BP51" i="47"/>
  <c r="AA51" i="55" s="1"/>
  <c r="BR51" i="47"/>
  <c r="BS51" i="47" s="1"/>
  <c r="AW19" i="47"/>
  <c r="BP37" i="47"/>
  <c r="AA37" i="55" s="1"/>
  <c r="GK22" i="47"/>
  <c r="GM22" i="47" s="1"/>
  <c r="GN22" i="47" s="1"/>
  <c r="BP34" i="47"/>
  <c r="AA34" i="55" s="1"/>
  <c r="BR34" i="47"/>
  <c r="BS34" i="47" s="1"/>
  <c r="BD35" i="47"/>
  <c r="BE35" i="47" s="1"/>
  <c r="BM29" i="47"/>
  <c r="BN29" i="47" s="1"/>
  <c r="BK25" i="47"/>
  <c r="BP36" i="47"/>
  <c r="AA36" i="55" s="1"/>
  <c r="BM40" i="47"/>
  <c r="BN40" i="47" s="1"/>
  <c r="BK40" i="47"/>
  <c r="BD36" i="47"/>
  <c r="BE36" i="47" s="1"/>
  <c r="AR12" i="47"/>
  <c r="AT11" i="47"/>
  <c r="AU11" i="47" s="1"/>
  <c r="BP20" i="47"/>
  <c r="AA20" i="55" s="1"/>
  <c r="BR20" i="47"/>
  <c r="BS20" i="47" s="1"/>
  <c r="BP21" i="47"/>
  <c r="AA21" i="55" s="1"/>
  <c r="BR21" i="47"/>
  <c r="BS21" i="47" s="1"/>
  <c r="BR28" i="47"/>
  <c r="BS28" i="47" s="1"/>
  <c r="BP28" i="47"/>
  <c r="AA28" i="55" s="1"/>
  <c r="BR26" i="47"/>
  <c r="BS26" i="47" s="1"/>
  <c r="BP26" i="47"/>
  <c r="AA26" i="55" s="1"/>
  <c r="BD24" i="47"/>
  <c r="BE24" i="47" s="1"/>
  <c r="BD22" i="47"/>
  <c r="BE22" i="47" s="1"/>
  <c r="BD10" i="47"/>
  <c r="BE10" i="47" s="1"/>
  <c r="BM19" i="47"/>
  <c r="BN19" i="47" s="1"/>
  <c r="BK19" i="47"/>
  <c r="AW30" i="47"/>
  <c r="AY30" i="47"/>
  <c r="AZ30" i="47" s="1"/>
  <c r="AW40" i="47"/>
  <c r="AY40" i="47"/>
  <c r="AZ40" i="47" s="1"/>
  <c r="AY8" i="47"/>
  <c r="AZ8" i="47" s="1"/>
  <c r="AW8" i="47"/>
  <c r="AW21" i="47"/>
  <c r="AY21" i="47"/>
  <c r="AZ21" i="47" s="1"/>
  <c r="AW20" i="47"/>
  <c r="AY20" i="47"/>
  <c r="AZ20" i="47" s="1"/>
  <c r="AY10" i="47"/>
  <c r="AZ10" i="47" s="1"/>
  <c r="AW10" i="47"/>
  <c r="BK11" i="47"/>
  <c r="BM11" i="47"/>
  <c r="BN11" i="47" s="1"/>
  <c r="BR19" i="47"/>
  <c r="BS19" i="47" s="1"/>
  <c r="BP19" i="47"/>
  <c r="AA19" i="55" s="1"/>
  <c r="BP24" i="47"/>
  <c r="AA24" i="55" s="1"/>
  <c r="BR24" i="47"/>
  <c r="BS24" i="47" s="1"/>
  <c r="BD30" i="47"/>
  <c r="BE30" i="47" s="1"/>
  <c r="BD40" i="47"/>
  <c r="BE40" i="47" s="1"/>
  <c r="BR22" i="47"/>
  <c r="BS22" i="47" s="1"/>
  <c r="BP22" i="47"/>
  <c r="AA22" i="55" s="1"/>
  <c r="BD8" i="47"/>
  <c r="BE8" i="47" s="1"/>
  <c r="BD21" i="47"/>
  <c r="BE21" i="47" s="1"/>
  <c r="BD20" i="47"/>
  <c r="BE20" i="47" s="1"/>
  <c r="BD39" i="47"/>
  <c r="BE39" i="47" s="1"/>
  <c r="BR23" i="47"/>
  <c r="BS23" i="47" s="1"/>
  <c r="BP23" i="47"/>
  <c r="AA23" i="55" s="1"/>
  <c r="BD23" i="47"/>
  <c r="BE23" i="47" s="1"/>
  <c r="BR27" i="47"/>
  <c r="BS27" i="47" s="1"/>
  <c r="BP27" i="47"/>
  <c r="AA27" i="55" s="1"/>
  <c r="BR11" i="47"/>
  <c r="BS11" i="47" s="1"/>
  <c r="BP11" i="47"/>
  <c r="AA11" i="55" s="1"/>
  <c r="BK24" i="47"/>
  <c r="BM24" i="47"/>
  <c r="BN24" i="47" s="1"/>
  <c r="BK22" i="47"/>
  <c r="BM22" i="47"/>
  <c r="BN22" i="47" s="1"/>
  <c r="BM20" i="47"/>
  <c r="BN20" i="47" s="1"/>
  <c r="BK20" i="47"/>
  <c r="AW39" i="47"/>
  <c r="AY39" i="47"/>
  <c r="AZ39" i="47" s="1"/>
  <c r="BM21" i="47"/>
  <c r="BN21" i="47" s="1"/>
  <c r="BK21" i="47"/>
  <c r="BM28" i="47"/>
  <c r="BN28" i="47" s="1"/>
  <c r="BK28" i="47"/>
  <c r="BK26" i="47"/>
  <c r="BM26" i="47"/>
  <c r="BN26" i="47" s="1"/>
  <c r="BM23" i="47"/>
  <c r="BN23" i="47" s="1"/>
  <c r="BK23" i="47"/>
  <c r="AY24" i="47"/>
  <c r="AZ24" i="47" s="1"/>
  <c r="AW24" i="47"/>
  <c r="AW23" i="47"/>
  <c r="AY23" i="47"/>
  <c r="AZ23" i="47" s="1"/>
  <c r="AW22" i="47"/>
  <c r="AY22" i="47"/>
  <c r="AZ22" i="47" s="1"/>
  <c r="BM27" i="47"/>
  <c r="BN27" i="47" s="1"/>
  <c r="BK27" i="47"/>
  <c r="GM48" i="47" l="1"/>
  <c r="GN48" i="47" s="1"/>
  <c r="GK49" i="47"/>
  <c r="GK23" i="47"/>
  <c r="GK24" i="47" s="1"/>
  <c r="AT12" i="47"/>
  <c r="AU12" i="47" s="1"/>
  <c r="AR13" i="47"/>
  <c r="GM23" i="47" l="1"/>
  <c r="GN23" i="47" s="1"/>
  <c r="GM49" i="47"/>
  <c r="GN49" i="47" s="1"/>
  <c r="GK50" i="47"/>
  <c r="AR14" i="47"/>
  <c r="AT13" i="47"/>
  <c r="AU13" i="47" s="1"/>
  <c r="GK25" i="47"/>
  <c r="GM24" i="47"/>
  <c r="GN24" i="47" s="1"/>
  <c r="DR11" i="46"/>
  <c r="DR10" i="46"/>
  <c r="DR9" i="46"/>
  <c r="DR8" i="46"/>
  <c r="BQ11" i="46"/>
  <c r="BQ10" i="46"/>
  <c r="BQ9" i="46"/>
  <c r="BQ8" i="46"/>
  <c r="BT9" i="46"/>
  <c r="BV9" i="46" s="1"/>
  <c r="BW9" i="46" s="1"/>
  <c r="BT10" i="46"/>
  <c r="BV10" i="46" s="1"/>
  <c r="BW10" i="46" s="1"/>
  <c r="BT11" i="46"/>
  <c r="BV11" i="46" s="1"/>
  <c r="BW11" i="46" s="1"/>
  <c r="BT8" i="46"/>
  <c r="BU15" i="46" l="1"/>
  <c r="BU19" i="46"/>
  <c r="BU23" i="46"/>
  <c r="BU16" i="46"/>
  <c r="BU20" i="46"/>
  <c r="BU14" i="46"/>
  <c r="BU17" i="46"/>
  <c r="BU21" i="46"/>
  <c r="BU18" i="46"/>
  <c r="BU22" i="46"/>
  <c r="BV8" i="46"/>
  <c r="BW8" i="46" s="1"/>
  <c r="BQ14" i="46"/>
  <c r="O71" i="16" s="1"/>
  <c r="L131" i="48" s="1"/>
  <c r="DR14" i="46"/>
  <c r="O67" i="16" s="1"/>
  <c r="L129" i="48" s="1"/>
  <c r="GK51" i="47"/>
  <c r="GM50" i="47"/>
  <c r="GN50" i="47" s="1"/>
  <c r="AT14" i="47"/>
  <c r="AU14" i="47" s="1"/>
  <c r="AR15" i="47"/>
  <c r="GK26" i="47"/>
  <c r="GM25" i="47"/>
  <c r="GN25" i="47" s="1"/>
  <c r="FC11" i="46"/>
  <c r="EE11" i="46"/>
  <c r="EB11" i="46"/>
  <c r="DW11" i="46"/>
  <c r="DX11" i="46" s="1"/>
  <c r="DS11" i="46"/>
  <c r="DO11" i="46"/>
  <c r="DP11" i="46" s="1"/>
  <c r="DK11" i="46"/>
  <c r="DL11" i="46" s="1"/>
  <c r="DC11" i="46"/>
  <c r="DD11" i="46" s="1"/>
  <c r="CX11" i="46"/>
  <c r="Q25" i="56" s="1"/>
  <c r="CU11" i="46"/>
  <c r="CM11" i="46"/>
  <c r="CN11" i="46" s="1"/>
  <c r="CJ11" i="46"/>
  <c r="CG11" i="46"/>
  <c r="CF11" i="46"/>
  <c r="CH11" i="46" s="1"/>
  <c r="CB11" i="46"/>
  <c r="CD11" i="46" s="1"/>
  <c r="CE11" i="46" s="1"/>
  <c r="BX11" i="46"/>
  <c r="BZ11" i="46" s="1"/>
  <c r="CA11" i="46" s="1"/>
  <c r="BR11" i="46"/>
  <c r="BN11" i="46"/>
  <c r="BO11" i="46" s="1"/>
  <c r="BJ11" i="46"/>
  <c r="BK11" i="46" s="1"/>
  <c r="BE11" i="46"/>
  <c r="BE19" i="46" s="1"/>
  <c r="BD11" i="46"/>
  <c r="BF11" i="46" s="1"/>
  <c r="AZ11" i="46"/>
  <c r="BB11" i="46" s="1"/>
  <c r="BC11" i="46" s="1"/>
  <c r="AB11" i="46"/>
  <c r="AD11" i="46" s="1"/>
  <c r="AE11" i="46" s="1"/>
  <c r="X11" i="46"/>
  <c r="Z11" i="46" s="1"/>
  <c r="AA11" i="46" s="1"/>
  <c r="T11" i="46"/>
  <c r="V11" i="46" s="1"/>
  <c r="W11" i="46" s="1"/>
  <c r="P11" i="46"/>
  <c r="R11" i="46" s="1"/>
  <c r="S11" i="46" s="1"/>
  <c r="I11" i="46"/>
  <c r="G11" i="46"/>
  <c r="FC10" i="46"/>
  <c r="EE10" i="46"/>
  <c r="EF10" i="46" s="1"/>
  <c r="EB10" i="46"/>
  <c r="DW10" i="46"/>
  <c r="DX10" i="46" s="1"/>
  <c r="DS10" i="46"/>
  <c r="DO10" i="46"/>
  <c r="DP10" i="46" s="1"/>
  <c r="DK10" i="46"/>
  <c r="DL10" i="46" s="1"/>
  <c r="DC10" i="46"/>
  <c r="DD10" i="46" s="1"/>
  <c r="CX10" i="46"/>
  <c r="Q24" i="56" s="1"/>
  <c r="CU10" i="46"/>
  <c r="CM10" i="46"/>
  <c r="CN10" i="46" s="1"/>
  <c r="CJ10" i="46"/>
  <c r="CG10" i="46"/>
  <c r="CF10" i="46"/>
  <c r="CH10" i="46" s="1"/>
  <c r="CB10" i="46"/>
  <c r="CD10" i="46" s="1"/>
  <c r="CE10" i="46" s="1"/>
  <c r="BX10" i="46"/>
  <c r="BZ10" i="46" s="1"/>
  <c r="CA10" i="46" s="1"/>
  <c r="BR10" i="46"/>
  <c r="BN10" i="46"/>
  <c r="BO10" i="46" s="1"/>
  <c r="BJ10" i="46"/>
  <c r="BK10" i="46" s="1"/>
  <c r="BE10" i="46"/>
  <c r="BE17" i="46" s="1"/>
  <c r="BD10" i="46"/>
  <c r="BF10" i="46" s="1"/>
  <c r="AZ10" i="46"/>
  <c r="BB10" i="46" s="1"/>
  <c r="BC10" i="46" s="1"/>
  <c r="AB10" i="46"/>
  <c r="AD10" i="46" s="1"/>
  <c r="AE10" i="46" s="1"/>
  <c r="X10" i="46"/>
  <c r="Z10" i="46" s="1"/>
  <c r="AA10" i="46" s="1"/>
  <c r="T10" i="46"/>
  <c r="V10" i="46" s="1"/>
  <c r="W10" i="46" s="1"/>
  <c r="P10" i="46"/>
  <c r="R10" i="46" s="1"/>
  <c r="S10" i="46" s="1"/>
  <c r="I10" i="46"/>
  <c r="G10" i="46"/>
  <c r="FC9" i="46"/>
  <c r="EE9" i="46"/>
  <c r="EF9" i="46" s="1"/>
  <c r="EB9" i="46"/>
  <c r="DW9" i="46"/>
  <c r="DX9" i="46" s="1"/>
  <c r="DS9" i="46"/>
  <c r="DO9" i="46"/>
  <c r="DP9" i="46" s="1"/>
  <c r="DK9" i="46"/>
  <c r="DL9" i="46" s="1"/>
  <c r="DE9" i="46"/>
  <c r="DE10" i="46" s="1"/>
  <c r="DC9" i="46"/>
  <c r="DD9" i="46" s="1"/>
  <c r="CX9" i="46"/>
  <c r="Q23" i="56" s="1"/>
  <c r="CU9" i="46"/>
  <c r="CM9" i="46"/>
  <c r="CN9" i="46" s="1"/>
  <c r="CJ9" i="46"/>
  <c r="CG9" i="46"/>
  <c r="CF9" i="46"/>
  <c r="CH9" i="46" s="1"/>
  <c r="CB9" i="46"/>
  <c r="CD9" i="46" s="1"/>
  <c r="CE9" i="46" s="1"/>
  <c r="BX9" i="46"/>
  <c r="BZ9" i="46" s="1"/>
  <c r="CA9" i="46" s="1"/>
  <c r="BR9" i="46"/>
  <c r="BN9" i="46"/>
  <c r="BO9" i="46" s="1"/>
  <c r="BJ9" i="46"/>
  <c r="BK9" i="46" s="1"/>
  <c r="BE9" i="46"/>
  <c r="BD9" i="46"/>
  <c r="BF9" i="46" s="1"/>
  <c r="AZ9" i="46"/>
  <c r="BB9" i="46" s="1"/>
  <c r="BC9" i="46" s="1"/>
  <c r="AV9" i="46"/>
  <c r="AV10" i="46" s="1"/>
  <c r="AV11" i="46" s="1"/>
  <c r="AF9" i="46"/>
  <c r="AH9" i="46" s="1"/>
  <c r="AI9" i="46" s="1"/>
  <c r="AB9" i="46"/>
  <c r="AD9" i="46" s="1"/>
  <c r="AE9" i="46" s="1"/>
  <c r="X9" i="46"/>
  <c r="Z9" i="46" s="1"/>
  <c r="AA9" i="46" s="1"/>
  <c r="T9" i="46"/>
  <c r="V9" i="46" s="1"/>
  <c r="W9" i="46" s="1"/>
  <c r="P9" i="46"/>
  <c r="R9" i="46" s="1"/>
  <c r="S9" i="46" s="1"/>
  <c r="I9" i="46"/>
  <c r="G9" i="46"/>
  <c r="FC8" i="46"/>
  <c r="EI8" i="46"/>
  <c r="EJ8" i="46" s="1"/>
  <c r="EE8" i="46"/>
  <c r="EF8" i="46" s="1"/>
  <c r="EB8" i="46"/>
  <c r="DW8" i="46"/>
  <c r="DX8" i="46" s="1"/>
  <c r="DS8" i="46"/>
  <c r="DO8" i="46"/>
  <c r="DP8" i="46" s="1"/>
  <c r="DK8" i="46"/>
  <c r="DL8" i="46" s="1"/>
  <c r="DG8" i="46"/>
  <c r="DH8" i="46" s="1"/>
  <c r="DC8" i="46"/>
  <c r="DD8" i="46" s="1"/>
  <c r="CX8" i="46"/>
  <c r="Q22" i="56" s="1"/>
  <c r="CU8" i="46"/>
  <c r="CM8" i="46"/>
  <c r="CN8" i="46" s="1"/>
  <c r="CJ8" i="46"/>
  <c r="CG8" i="46"/>
  <c r="CF8" i="46"/>
  <c r="CB8" i="46"/>
  <c r="BX8" i="46"/>
  <c r="BR8" i="46"/>
  <c r="BN8" i="46"/>
  <c r="BO8" i="46" s="1"/>
  <c r="BJ8" i="46"/>
  <c r="BK8" i="46" s="1"/>
  <c r="BE8" i="46"/>
  <c r="BE15" i="46" s="1"/>
  <c r="BD8" i="46"/>
  <c r="BF8" i="46" s="1"/>
  <c r="AZ8" i="46"/>
  <c r="AH8" i="46"/>
  <c r="AI8" i="46" s="1"/>
  <c r="AB8" i="46"/>
  <c r="AD8" i="46" s="1"/>
  <c r="AE8" i="46" s="1"/>
  <c r="X8" i="46"/>
  <c r="Z8" i="46" s="1"/>
  <c r="AA8" i="46" s="1"/>
  <c r="T8" i="46"/>
  <c r="P8" i="46"/>
  <c r="I8" i="46"/>
  <c r="G8" i="46"/>
  <c r="HF9" i="35"/>
  <c r="HF10" i="35"/>
  <c r="HF11" i="35"/>
  <c r="HF12" i="35"/>
  <c r="HF13" i="35"/>
  <c r="HF14" i="35"/>
  <c r="HF15" i="35"/>
  <c r="HF16" i="35"/>
  <c r="HF17" i="35"/>
  <c r="HF18" i="35"/>
  <c r="HF19" i="35"/>
  <c r="HF20" i="35"/>
  <c r="HF21" i="35"/>
  <c r="HF22" i="35"/>
  <c r="HF23" i="35"/>
  <c r="HF24" i="35"/>
  <c r="HF25" i="35"/>
  <c r="HF26" i="35"/>
  <c r="HF27" i="35"/>
  <c r="HF28" i="35"/>
  <c r="HF29" i="35"/>
  <c r="HF30" i="35"/>
  <c r="HF31" i="35"/>
  <c r="HF32" i="35"/>
  <c r="HF33" i="35"/>
  <c r="HF34" i="35"/>
  <c r="HF35" i="35"/>
  <c r="HF36" i="35"/>
  <c r="HF37" i="35"/>
  <c r="HF38" i="35"/>
  <c r="HF39" i="35"/>
  <c r="HF40" i="35"/>
  <c r="HF8" i="35"/>
  <c r="AO50" i="53" s="1"/>
  <c r="HH35" i="35" l="1"/>
  <c r="HI35" i="35" s="1"/>
  <c r="AO77" i="53"/>
  <c r="HH27" i="35"/>
  <c r="HI27" i="35" s="1"/>
  <c r="AO69" i="53"/>
  <c r="HH15" i="35"/>
  <c r="HI15" i="35" s="1"/>
  <c r="AO57" i="53"/>
  <c r="HH38" i="35"/>
  <c r="HI38" i="35" s="1"/>
  <c r="AO80" i="53"/>
  <c r="HH30" i="35"/>
  <c r="HI30" i="35" s="1"/>
  <c r="AO72" i="53"/>
  <c r="HH26" i="35"/>
  <c r="HI26" i="35" s="1"/>
  <c r="AO68" i="53"/>
  <c r="HH18" i="35"/>
  <c r="HI18" i="35" s="1"/>
  <c r="AO60" i="53"/>
  <c r="HH10" i="35"/>
  <c r="HI10" i="35" s="1"/>
  <c r="AO52" i="53"/>
  <c r="HH37" i="35"/>
  <c r="HI37" i="35" s="1"/>
  <c r="AO79" i="53"/>
  <c r="HH33" i="35"/>
  <c r="HI33" i="35" s="1"/>
  <c r="AO75" i="53"/>
  <c r="HH29" i="35"/>
  <c r="HI29" i="35" s="1"/>
  <c r="AO71" i="53"/>
  <c r="HH25" i="35"/>
  <c r="HI25" i="35" s="1"/>
  <c r="AO67" i="53"/>
  <c r="HH21" i="35"/>
  <c r="HI21" i="35" s="1"/>
  <c r="AO63" i="53"/>
  <c r="HH17" i="35"/>
  <c r="HI17" i="35" s="1"/>
  <c r="AO59" i="53"/>
  <c r="HH13" i="35"/>
  <c r="HI13" i="35" s="1"/>
  <c r="AO55" i="53"/>
  <c r="HH9" i="35"/>
  <c r="HI9" i="35" s="1"/>
  <c r="AO51" i="53"/>
  <c r="HH39" i="35"/>
  <c r="HI39" i="35" s="1"/>
  <c r="AO81" i="53"/>
  <c r="HH31" i="35"/>
  <c r="HI31" i="35" s="1"/>
  <c r="AO73" i="53"/>
  <c r="HH23" i="35"/>
  <c r="HI23" i="35" s="1"/>
  <c r="AO65" i="53"/>
  <c r="HH19" i="35"/>
  <c r="HI19" i="35" s="1"/>
  <c r="AO61" i="53"/>
  <c r="HH11" i="35"/>
  <c r="HI11" i="35" s="1"/>
  <c r="AO53" i="53"/>
  <c r="HH34" i="35"/>
  <c r="HI34" i="35" s="1"/>
  <c r="AO76" i="53"/>
  <c r="HH22" i="35"/>
  <c r="HI22" i="35" s="1"/>
  <c r="AO64" i="53"/>
  <c r="HH14" i="35"/>
  <c r="HI14" i="35" s="1"/>
  <c r="AO56" i="53"/>
  <c r="HH40" i="35"/>
  <c r="HI40" i="35" s="1"/>
  <c r="AO82" i="53"/>
  <c r="HH36" i="35"/>
  <c r="HI36" i="35" s="1"/>
  <c r="AO78" i="53"/>
  <c r="HH32" i="35"/>
  <c r="HI32" i="35" s="1"/>
  <c r="AO74" i="53"/>
  <c r="HH28" i="35"/>
  <c r="HI28" i="35" s="1"/>
  <c r="AO70" i="53"/>
  <c r="HH24" i="35"/>
  <c r="HI24" i="35" s="1"/>
  <c r="AO66" i="53"/>
  <c r="HH20" i="35"/>
  <c r="HI20" i="35" s="1"/>
  <c r="AO62" i="53"/>
  <c r="HH16" i="35"/>
  <c r="HI16" i="35" s="1"/>
  <c r="AO58" i="53"/>
  <c r="HH12" i="35"/>
  <c r="HI12" i="35" s="1"/>
  <c r="AO54" i="53"/>
  <c r="HH8" i="35"/>
  <c r="HI8" i="35" s="1"/>
  <c r="HG44" i="35"/>
  <c r="AC63" i="15" s="1"/>
  <c r="L59" i="48" s="1"/>
  <c r="HG46" i="35"/>
  <c r="AC65" i="15" s="1"/>
  <c r="HG45" i="35"/>
  <c r="AC64" i="15" s="1"/>
  <c r="L60" i="48" s="1"/>
  <c r="HG43" i="35"/>
  <c r="AC62" i="15" s="1"/>
  <c r="M8" i="46"/>
  <c r="N8" i="46" s="1"/>
  <c r="CV8" i="46" s="1" a="1"/>
  <c r="CV8" i="46" s="1"/>
  <c r="CO8" i="46"/>
  <c r="M11" i="46"/>
  <c r="N11" i="46" s="1"/>
  <c r="CV11" i="46" s="1" a="1"/>
  <c r="CV11" i="46" s="1"/>
  <c r="CO11" i="46"/>
  <c r="R8" i="46"/>
  <c r="S8" i="46" s="1"/>
  <c r="Q17" i="46"/>
  <c r="Q14" i="46"/>
  <c r="Q18" i="46"/>
  <c r="Q15" i="46"/>
  <c r="Q19" i="46"/>
  <c r="Q16" i="46"/>
  <c r="Q20" i="46"/>
  <c r="CD8" i="46"/>
  <c r="CE8" i="46" s="1"/>
  <c r="CC17" i="46"/>
  <c r="CC21" i="46"/>
  <c r="CC18" i="46"/>
  <c r="CC22" i="46"/>
  <c r="CC15" i="46"/>
  <c r="CC19" i="46"/>
  <c r="CC23" i="46"/>
  <c r="CC16" i="46"/>
  <c r="CC20" i="46"/>
  <c r="CC14" i="46"/>
  <c r="M9" i="46"/>
  <c r="N9" i="46" s="1"/>
  <c r="CV9" i="46" s="1" a="1"/>
  <c r="CV9" i="46" s="1"/>
  <c r="CO9" i="46"/>
  <c r="BY15" i="46"/>
  <c r="BY19" i="46"/>
  <c r="BY23" i="46"/>
  <c r="BY16" i="46"/>
  <c r="BY20" i="46"/>
  <c r="BY14" i="46"/>
  <c r="BY17" i="46"/>
  <c r="BY21" i="46"/>
  <c r="BY18" i="46"/>
  <c r="BY22" i="46"/>
  <c r="BZ8" i="46"/>
  <c r="CA8" i="46" s="1"/>
  <c r="V8" i="46"/>
  <c r="W8" i="46" s="1"/>
  <c r="U18" i="46"/>
  <c r="U15" i="46"/>
  <c r="U19" i="46"/>
  <c r="U16" i="46"/>
  <c r="U20" i="46"/>
  <c r="U17" i="46"/>
  <c r="U14" i="46"/>
  <c r="BB8" i="46"/>
  <c r="BC8" i="46" s="1"/>
  <c r="BA15" i="46"/>
  <c r="BA19" i="46"/>
  <c r="BA23" i="46"/>
  <c r="BA16" i="46"/>
  <c r="BA20" i="46"/>
  <c r="BA14" i="46"/>
  <c r="BA17" i="46"/>
  <c r="BA21" i="46"/>
  <c r="BA18" i="46"/>
  <c r="BA22" i="46"/>
  <c r="CH8" i="46"/>
  <c r="CI8" i="46" s="1"/>
  <c r="CG17" i="46"/>
  <c r="CG21" i="46"/>
  <c r="CG18" i="46"/>
  <c r="CG22" i="46"/>
  <c r="CG15" i="46"/>
  <c r="CG19" i="46"/>
  <c r="CG23" i="46"/>
  <c r="CG16" i="46"/>
  <c r="CG20" i="46"/>
  <c r="CG14" i="46"/>
  <c r="M10" i="46"/>
  <c r="N10" i="46" s="1"/>
  <c r="CV10" i="46" s="1" a="1"/>
  <c r="CV10" i="46" s="1"/>
  <c r="CO10" i="46"/>
  <c r="GK52" i="47"/>
  <c r="GM51" i="47"/>
  <c r="GN51" i="47" s="1"/>
  <c r="AT15" i="47"/>
  <c r="AU15" i="47" s="1"/>
  <c r="AR16" i="47"/>
  <c r="GM26" i="47"/>
  <c r="GN26" i="47" s="1"/>
  <c r="GK27" i="47"/>
  <c r="AY11" i="46"/>
  <c r="E11" i="46"/>
  <c r="AY10" i="46"/>
  <c r="E10" i="46"/>
  <c r="AY9" i="46"/>
  <c r="E9" i="46"/>
  <c r="K8" i="46"/>
  <c r="E8" i="46"/>
  <c r="BS10" i="46"/>
  <c r="BS9" i="46"/>
  <c r="BG10" i="46"/>
  <c r="DT8" i="46"/>
  <c r="DT9" i="46"/>
  <c r="EI9" i="46"/>
  <c r="EJ9" i="46" s="1"/>
  <c r="BS11" i="46"/>
  <c r="CI11" i="46"/>
  <c r="BG8" i="46"/>
  <c r="K9" i="46"/>
  <c r="AJ9" i="46" s="1" a="1"/>
  <c r="AJ9" i="46" s="1"/>
  <c r="AK9" i="46" s="1"/>
  <c r="DT10" i="46"/>
  <c r="K11" i="46"/>
  <c r="AJ11" i="46" s="1" a="1"/>
  <c r="AJ11" i="46" s="1"/>
  <c r="AK11" i="46" s="1"/>
  <c r="BG11" i="46"/>
  <c r="DG9" i="46"/>
  <c r="DH9" i="46" s="1"/>
  <c r="K10" i="46"/>
  <c r="AJ10" i="46" s="1" a="1"/>
  <c r="AJ10" i="46" s="1"/>
  <c r="AM10" i="46" s="1"/>
  <c r="AN10" i="46" s="1"/>
  <c r="CI9" i="46"/>
  <c r="CI10" i="46"/>
  <c r="DT11" i="46"/>
  <c r="BS8" i="46"/>
  <c r="EI10" i="46"/>
  <c r="EJ10" i="46" s="1"/>
  <c r="AF10" i="46"/>
  <c r="DG10" i="46"/>
  <c r="DH10" i="46" s="1"/>
  <c r="DE11" i="46"/>
  <c r="AJ8" i="46" a="1"/>
  <c r="AJ8" i="46" s="1"/>
  <c r="BG9" i="46"/>
  <c r="EF11" i="46"/>
  <c r="EX2" i="46"/>
  <c r="ED9" i="35"/>
  <c r="EE9" i="35" s="1"/>
  <c r="ED10" i="35"/>
  <c r="EE10" i="35" s="1"/>
  <c r="ED11" i="35"/>
  <c r="EE11" i="35" s="1"/>
  <c r="ED12" i="35"/>
  <c r="EE12" i="35" s="1"/>
  <c r="ED13" i="35"/>
  <c r="EE13" i="35" s="1"/>
  <c r="ED14" i="35"/>
  <c r="EE14" i="35" s="1"/>
  <c r="ED15" i="35"/>
  <c r="EE15" i="35" s="1"/>
  <c r="ED16" i="35"/>
  <c r="EE16" i="35" s="1"/>
  <c r="ED17" i="35"/>
  <c r="EE17" i="35" s="1"/>
  <c r="ED18" i="35"/>
  <c r="EE18" i="35" s="1"/>
  <c r="ED19" i="35"/>
  <c r="EE19" i="35" s="1"/>
  <c r="ED20" i="35"/>
  <c r="EE20" i="35" s="1"/>
  <c r="ED21" i="35"/>
  <c r="EE21" i="35" s="1"/>
  <c r="ED22" i="35"/>
  <c r="EE22" i="35" s="1"/>
  <c r="ED23" i="35"/>
  <c r="EE23" i="35" s="1"/>
  <c r="ED24" i="35"/>
  <c r="EE24" i="35" s="1"/>
  <c r="ED25" i="35"/>
  <c r="EE25" i="35" s="1"/>
  <c r="ED26" i="35"/>
  <c r="EE26" i="35" s="1"/>
  <c r="ED27" i="35"/>
  <c r="EE27" i="35" s="1"/>
  <c r="ED28" i="35"/>
  <c r="EE28" i="35" s="1"/>
  <c r="ED29" i="35"/>
  <c r="EE29" i="35" s="1"/>
  <c r="ED30" i="35"/>
  <c r="EE30" i="35" s="1"/>
  <c r="ED31" i="35"/>
  <c r="EE31" i="35" s="1"/>
  <c r="ED32" i="35"/>
  <c r="EE32" i="35" s="1"/>
  <c r="ED33" i="35"/>
  <c r="EE33" i="35" s="1"/>
  <c r="ED34" i="35"/>
  <c r="EE34" i="35" s="1"/>
  <c r="ED35" i="35"/>
  <c r="EE35" i="35" s="1"/>
  <c r="ED36" i="35"/>
  <c r="EE36" i="35" s="1"/>
  <c r="ED37" i="35"/>
  <c r="EE37" i="35" s="1"/>
  <c r="ED38" i="35"/>
  <c r="EE38" i="35" s="1"/>
  <c r="ED39" i="35"/>
  <c r="EE39" i="35" s="1"/>
  <c r="ED40" i="35"/>
  <c r="EE40" i="35" s="1"/>
  <c r="ED8" i="35"/>
  <c r="EE8" i="35" s="1"/>
  <c r="CW10" i="46" l="1"/>
  <c r="O24" i="56"/>
  <c r="CW11" i="46"/>
  <c r="O25" i="56"/>
  <c r="CW8" i="46"/>
  <c r="O22" i="56"/>
  <c r="CW9" i="46"/>
  <c r="O23" i="56"/>
  <c r="AK18" i="46"/>
  <c r="AK22" i="46"/>
  <c r="AK15" i="46"/>
  <c r="AK19" i="46"/>
  <c r="AK23" i="46"/>
  <c r="AK16" i="46"/>
  <c r="AK20" i="46"/>
  <c r="AK24" i="46"/>
  <c r="AK17" i="46"/>
  <c r="AK21" i="46"/>
  <c r="AK14" i="46"/>
  <c r="GM52" i="47"/>
  <c r="GN52" i="47" s="1"/>
  <c r="GK53" i="47"/>
  <c r="AR17" i="47"/>
  <c r="AT16" i="47"/>
  <c r="AU16" i="47" s="1"/>
  <c r="GK28" i="47"/>
  <c r="GM27" i="47"/>
  <c r="GN27" i="47" s="1"/>
  <c r="AK10" i="46"/>
  <c r="AR11" i="46"/>
  <c r="AS11" i="46" s="1"/>
  <c r="AR9" i="46"/>
  <c r="AS9" i="46" s="1"/>
  <c r="AM9" i="46"/>
  <c r="AN9" i="46" s="1"/>
  <c r="AM11" i="46"/>
  <c r="AN11" i="46" s="1"/>
  <c r="AR8" i="46"/>
  <c r="AS8" i="46" s="1"/>
  <c r="EI11" i="46"/>
  <c r="EJ11" i="46" s="1"/>
  <c r="DG11" i="46"/>
  <c r="DH11" i="46" s="1"/>
  <c r="AH10" i="46"/>
  <c r="AI10" i="46" s="1"/>
  <c r="AF11" i="46"/>
  <c r="AY8" i="46"/>
  <c r="AM8" i="46"/>
  <c r="AN8" i="46" s="1"/>
  <c r="AK8" i="46"/>
  <c r="IT9" i="35"/>
  <c r="IT10" i="35"/>
  <c r="IT11" i="35"/>
  <c r="IT12" i="35"/>
  <c r="IT13" i="35"/>
  <c r="IT14" i="35"/>
  <c r="IT15" i="35"/>
  <c r="IT16" i="35"/>
  <c r="IT17" i="35"/>
  <c r="IT18" i="35"/>
  <c r="IT19" i="35"/>
  <c r="IT20" i="35"/>
  <c r="IT21" i="35"/>
  <c r="IT22" i="35"/>
  <c r="IT23" i="35"/>
  <c r="IT24" i="35"/>
  <c r="IT25" i="35"/>
  <c r="IT26" i="35"/>
  <c r="IT27" i="35"/>
  <c r="IT28" i="35"/>
  <c r="IT29" i="35"/>
  <c r="IT30" i="35"/>
  <c r="IT31" i="35"/>
  <c r="IT32" i="35"/>
  <c r="IT33" i="35"/>
  <c r="IT34" i="35"/>
  <c r="IT35" i="35"/>
  <c r="IT36" i="35"/>
  <c r="IT37" i="35"/>
  <c r="IT38" i="35"/>
  <c r="IT39" i="35"/>
  <c r="IT40" i="35"/>
  <c r="IT8" i="35"/>
  <c r="IW8" i="35"/>
  <c r="CY11" i="46" l="1"/>
  <c r="CZ11" i="46" s="1"/>
  <c r="P25" i="56"/>
  <c r="CY9" i="46"/>
  <c r="CZ9" i="46" s="1"/>
  <c r="EL9" i="46" s="1"/>
  <c r="P23" i="56"/>
  <c r="CY8" i="46"/>
  <c r="CZ8" i="46" s="1"/>
  <c r="P22" i="56"/>
  <c r="CY10" i="46"/>
  <c r="CZ10" i="46" s="1"/>
  <c r="P24" i="56"/>
  <c r="AP16" i="46"/>
  <c r="AP17" i="46"/>
  <c r="AP14" i="46"/>
  <c r="AP15" i="46"/>
  <c r="GM53" i="47"/>
  <c r="GN53" i="47" s="1"/>
  <c r="GK54" i="47"/>
  <c r="EL8" i="46"/>
  <c r="AT17" i="47"/>
  <c r="AU17" i="47" s="1"/>
  <c r="AR18" i="47"/>
  <c r="GK29" i="47"/>
  <c r="GM28" i="47"/>
  <c r="GN28" i="47" s="1"/>
  <c r="AR10" i="46"/>
  <c r="AS10" i="46" s="1"/>
  <c r="AH11" i="46"/>
  <c r="AI11" i="46" s="1"/>
  <c r="EL11" i="46" s="1"/>
  <c r="IO9" i="35"/>
  <c r="IO10" i="35"/>
  <c r="IO11" i="35"/>
  <c r="IO12" i="35"/>
  <c r="IO13" i="35"/>
  <c r="IO14" i="35"/>
  <c r="IO15" i="35"/>
  <c r="IO16" i="35"/>
  <c r="IO17" i="35"/>
  <c r="IO18" i="35"/>
  <c r="IO19" i="35"/>
  <c r="IO20" i="35"/>
  <c r="IO21" i="35"/>
  <c r="IO22" i="35"/>
  <c r="IO23" i="35"/>
  <c r="IO24" i="35"/>
  <c r="IO25" i="35"/>
  <c r="IO26" i="35"/>
  <c r="IO27" i="35"/>
  <c r="IO28" i="35"/>
  <c r="IO29" i="35"/>
  <c r="IO30" i="35"/>
  <c r="IO31" i="35"/>
  <c r="IO32" i="35"/>
  <c r="IO33" i="35"/>
  <c r="IO34" i="35"/>
  <c r="IO35" i="35"/>
  <c r="IO36" i="35"/>
  <c r="IO37" i="35"/>
  <c r="IO38" i="35"/>
  <c r="IO39" i="35"/>
  <c r="IO40" i="35"/>
  <c r="IO8" i="35"/>
  <c r="IC9" i="35"/>
  <c r="ID9" i="35" s="1"/>
  <c r="IC10" i="35"/>
  <c r="ID10" i="35" s="1"/>
  <c r="IC11" i="35"/>
  <c r="ID11" i="35" s="1"/>
  <c r="IC12" i="35"/>
  <c r="ID12" i="35" s="1"/>
  <c r="IC13" i="35"/>
  <c r="ID13" i="35" s="1"/>
  <c r="IC14" i="35"/>
  <c r="ID14" i="35" s="1"/>
  <c r="IC15" i="35"/>
  <c r="ID15" i="35" s="1"/>
  <c r="IC16" i="35"/>
  <c r="ID16" i="35" s="1"/>
  <c r="IC17" i="35"/>
  <c r="ID17" i="35" s="1"/>
  <c r="IC18" i="35"/>
  <c r="ID18" i="35" s="1"/>
  <c r="IC19" i="35"/>
  <c r="ID19" i="35" s="1"/>
  <c r="IC20" i="35"/>
  <c r="ID20" i="35" s="1"/>
  <c r="IC21" i="35"/>
  <c r="ID21" i="35" s="1"/>
  <c r="IC22" i="35"/>
  <c r="ID22" i="35" s="1"/>
  <c r="IC23" i="35"/>
  <c r="ID23" i="35" s="1"/>
  <c r="IC24" i="35"/>
  <c r="ID24" i="35" s="1"/>
  <c r="IC25" i="35"/>
  <c r="ID25" i="35" s="1"/>
  <c r="IC26" i="35"/>
  <c r="ID26" i="35" s="1"/>
  <c r="IC27" i="35"/>
  <c r="ID27" i="35" s="1"/>
  <c r="IC28" i="35"/>
  <c r="ID28" i="35" s="1"/>
  <c r="IC29" i="35"/>
  <c r="ID29" i="35" s="1"/>
  <c r="IC30" i="35"/>
  <c r="ID30" i="35" s="1"/>
  <c r="IC31" i="35"/>
  <c r="ID31" i="35" s="1"/>
  <c r="IC32" i="35"/>
  <c r="ID32" i="35" s="1"/>
  <c r="IC33" i="35"/>
  <c r="ID33" i="35" s="1"/>
  <c r="IC34" i="35"/>
  <c r="ID34" i="35" s="1"/>
  <c r="IC35" i="35"/>
  <c r="ID35" i="35" s="1"/>
  <c r="IC36" i="35"/>
  <c r="ID36" i="35" s="1"/>
  <c r="IC37" i="35"/>
  <c r="ID37" i="35" s="1"/>
  <c r="IC38" i="35"/>
  <c r="ID38" i="35" s="1"/>
  <c r="IC39" i="35"/>
  <c r="ID39" i="35" s="1"/>
  <c r="IC40" i="35"/>
  <c r="ID40" i="35" s="1"/>
  <c r="IC8" i="35"/>
  <c r="ID8" i="35" s="1"/>
  <c r="HY8" i="35"/>
  <c r="EL10" i="46" l="1"/>
  <c r="GK55" i="47"/>
  <c r="GM54" i="47"/>
  <c r="GN54" i="47" s="1"/>
  <c r="AT18" i="47"/>
  <c r="AU18" i="47" s="1"/>
  <c r="AR19" i="47"/>
  <c r="GK30" i="47"/>
  <c r="GM29" i="47"/>
  <c r="GN29" i="47" s="1"/>
  <c r="HS9" i="35"/>
  <c r="HS10" i="35"/>
  <c r="HS11" i="35"/>
  <c r="HS12" i="35"/>
  <c r="HS13" i="35"/>
  <c r="HS14" i="35"/>
  <c r="HS15" i="35"/>
  <c r="HS16" i="35"/>
  <c r="HS17" i="35"/>
  <c r="HS18" i="35"/>
  <c r="HS19" i="35"/>
  <c r="HS20" i="35"/>
  <c r="HS21" i="35"/>
  <c r="HS22" i="35"/>
  <c r="HS23" i="35"/>
  <c r="HS24" i="35"/>
  <c r="HS25" i="35"/>
  <c r="HS26" i="35"/>
  <c r="HS27" i="35"/>
  <c r="HS28" i="35"/>
  <c r="HS29" i="35"/>
  <c r="HS30" i="35"/>
  <c r="HS31" i="35"/>
  <c r="HS32" i="35"/>
  <c r="HS33" i="35"/>
  <c r="HS34" i="35"/>
  <c r="HS35" i="35"/>
  <c r="HS36" i="35"/>
  <c r="HS37" i="35"/>
  <c r="HS38" i="35"/>
  <c r="HS39" i="35"/>
  <c r="HS40" i="35"/>
  <c r="HS8" i="35"/>
  <c r="AV50" i="53" s="1"/>
  <c r="HU36" i="35" l="1"/>
  <c r="HV36" i="35" s="1"/>
  <c r="AV78" i="53"/>
  <c r="HU28" i="35"/>
  <c r="HV28" i="35" s="1"/>
  <c r="AV70" i="53"/>
  <c r="HU38" i="35"/>
  <c r="HV38" i="35" s="1"/>
  <c r="AV80" i="53"/>
  <c r="HU34" i="35"/>
  <c r="HV34" i="35" s="1"/>
  <c r="AV76" i="53"/>
  <c r="HU30" i="35"/>
  <c r="HV30" i="35" s="1"/>
  <c r="AV72" i="53"/>
  <c r="HU26" i="35"/>
  <c r="HV26" i="35" s="1"/>
  <c r="AV68" i="53"/>
  <c r="HU22" i="35"/>
  <c r="HV22" i="35" s="1"/>
  <c r="AV64" i="53"/>
  <c r="HU18" i="35"/>
  <c r="HV18" i="35" s="1"/>
  <c r="AV60" i="53"/>
  <c r="HU14" i="35"/>
  <c r="HV14" i="35" s="1"/>
  <c r="AV56" i="53"/>
  <c r="HU10" i="35"/>
  <c r="HV10" i="35" s="1"/>
  <c r="AV52" i="53"/>
  <c r="HU37" i="35"/>
  <c r="HV37" i="35" s="1"/>
  <c r="AV79" i="53"/>
  <c r="HU33" i="35"/>
  <c r="HV33" i="35" s="1"/>
  <c r="AV75" i="53"/>
  <c r="HU29" i="35"/>
  <c r="HV29" i="35" s="1"/>
  <c r="AV71" i="53"/>
  <c r="HU25" i="35"/>
  <c r="HV25" i="35" s="1"/>
  <c r="AV67" i="53"/>
  <c r="HU21" i="35"/>
  <c r="HV21" i="35" s="1"/>
  <c r="AV63" i="53"/>
  <c r="HU17" i="35"/>
  <c r="HV17" i="35" s="1"/>
  <c r="AV59" i="53"/>
  <c r="HU13" i="35"/>
  <c r="HV13" i="35" s="1"/>
  <c r="AV55" i="53"/>
  <c r="HU9" i="35"/>
  <c r="HV9" i="35" s="1"/>
  <c r="AV51" i="53"/>
  <c r="HU40" i="35"/>
  <c r="HV40" i="35" s="1"/>
  <c r="AV82" i="53"/>
  <c r="HU32" i="35"/>
  <c r="HV32" i="35" s="1"/>
  <c r="AV74" i="53"/>
  <c r="HU24" i="35"/>
  <c r="HV24" i="35" s="1"/>
  <c r="AV66" i="53"/>
  <c r="HU20" i="35"/>
  <c r="HV20" i="35" s="1"/>
  <c r="AV62" i="53"/>
  <c r="HU16" i="35"/>
  <c r="HV16" i="35" s="1"/>
  <c r="AV58" i="53"/>
  <c r="HU12" i="35"/>
  <c r="HV12" i="35" s="1"/>
  <c r="AV54" i="53"/>
  <c r="HU39" i="35"/>
  <c r="HV39" i="35" s="1"/>
  <c r="AV81" i="53"/>
  <c r="HU35" i="35"/>
  <c r="HV35" i="35" s="1"/>
  <c r="AV77" i="53"/>
  <c r="HU31" i="35"/>
  <c r="HV31" i="35" s="1"/>
  <c r="AV73" i="53"/>
  <c r="HU27" i="35"/>
  <c r="HV27" i="35" s="1"/>
  <c r="AV69" i="53"/>
  <c r="HU23" i="35"/>
  <c r="HV23" i="35" s="1"/>
  <c r="AV65" i="53"/>
  <c r="HU19" i="35"/>
  <c r="HV19" i="35" s="1"/>
  <c r="AV61" i="53"/>
  <c r="HU15" i="35"/>
  <c r="HV15" i="35" s="1"/>
  <c r="AV57" i="53"/>
  <c r="HU11" i="35"/>
  <c r="HV11" i="35" s="1"/>
  <c r="AV53" i="53"/>
  <c r="HU8" i="35"/>
  <c r="HV8" i="35" s="1"/>
  <c r="HT43" i="35"/>
  <c r="O63" i="15" s="1"/>
  <c r="L34" i="48" s="1"/>
  <c r="HT44" i="35"/>
  <c r="O64" i="15" s="1"/>
  <c r="L35" i="48" s="1"/>
  <c r="GK56" i="47"/>
  <c r="GM55" i="47"/>
  <c r="GN55" i="47" s="1"/>
  <c r="AR20" i="47"/>
  <c r="AT19" i="47"/>
  <c r="AU19" i="47" s="1"/>
  <c r="GK31" i="47"/>
  <c r="GM30" i="47"/>
  <c r="GN30" i="47" s="1"/>
  <c r="HO9" i="35"/>
  <c r="AT51" i="53" s="1"/>
  <c r="HO10" i="35"/>
  <c r="AT52" i="53" s="1"/>
  <c r="HO11" i="35"/>
  <c r="AT53" i="53" s="1"/>
  <c r="HO12" i="35"/>
  <c r="AT54" i="53" s="1"/>
  <c r="HO13" i="35"/>
  <c r="AT55" i="53" s="1"/>
  <c r="HO14" i="35"/>
  <c r="AT56" i="53" s="1"/>
  <c r="HO15" i="35"/>
  <c r="AT57" i="53" s="1"/>
  <c r="HO16" i="35"/>
  <c r="AT58" i="53" s="1"/>
  <c r="HO17" i="35"/>
  <c r="AT59" i="53" s="1"/>
  <c r="HO18" i="35"/>
  <c r="AT60" i="53" s="1"/>
  <c r="HO19" i="35"/>
  <c r="AT61" i="53" s="1"/>
  <c r="HO20" i="35"/>
  <c r="AT62" i="53" s="1"/>
  <c r="HO21" i="35"/>
  <c r="AT63" i="53" s="1"/>
  <c r="HO22" i="35"/>
  <c r="AT64" i="53" s="1"/>
  <c r="HO23" i="35"/>
  <c r="AT65" i="53" s="1"/>
  <c r="HO24" i="35"/>
  <c r="AT66" i="53" s="1"/>
  <c r="HO25" i="35"/>
  <c r="AT67" i="53" s="1"/>
  <c r="HO26" i="35"/>
  <c r="AT68" i="53" s="1"/>
  <c r="HO27" i="35"/>
  <c r="AT69" i="53" s="1"/>
  <c r="HO28" i="35"/>
  <c r="AT70" i="53" s="1"/>
  <c r="HO29" i="35"/>
  <c r="AT71" i="53" s="1"/>
  <c r="HO30" i="35"/>
  <c r="AT72" i="53" s="1"/>
  <c r="HO31" i="35"/>
  <c r="AT73" i="53" s="1"/>
  <c r="HO32" i="35"/>
  <c r="AT74" i="53" s="1"/>
  <c r="HO33" i="35"/>
  <c r="AT75" i="53" s="1"/>
  <c r="HO34" i="35"/>
  <c r="AT76" i="53" s="1"/>
  <c r="HO35" i="35"/>
  <c r="AT77" i="53" s="1"/>
  <c r="HO36" i="35"/>
  <c r="AT78" i="53" s="1"/>
  <c r="HO37" i="35"/>
  <c r="AT79" i="53" s="1"/>
  <c r="HO38" i="35"/>
  <c r="AT80" i="53" s="1"/>
  <c r="HO39" i="35"/>
  <c r="AT81" i="53" s="1"/>
  <c r="HO40" i="35"/>
  <c r="AT82" i="53" s="1"/>
  <c r="HO8" i="35"/>
  <c r="AT50" i="53" s="1"/>
  <c r="HP45" i="35" l="1"/>
  <c r="AS57" i="15" s="1"/>
  <c r="HP47" i="35"/>
  <c r="AS59" i="15" s="1"/>
  <c r="HP49" i="35"/>
  <c r="AS61" i="15" s="1"/>
  <c r="HP51" i="35"/>
  <c r="AS63" i="15" s="1"/>
  <c r="HP44" i="35"/>
  <c r="AS56" i="15" s="1"/>
  <c r="HP46" i="35"/>
  <c r="AS58" i="15" s="1"/>
  <c r="HP48" i="35"/>
  <c r="AS60" i="15" s="1"/>
  <c r="HP50" i="35"/>
  <c r="AS62" i="15" s="1"/>
  <c r="HP43" i="35"/>
  <c r="AS55" i="15" s="1"/>
  <c r="GM56" i="47"/>
  <c r="GN56" i="47" s="1"/>
  <c r="GK57" i="47"/>
  <c r="AR21" i="47"/>
  <c r="AT20" i="47"/>
  <c r="AU20" i="47" s="1"/>
  <c r="GK32" i="47"/>
  <c r="GM31" i="47"/>
  <c r="GN31" i="47" s="1"/>
  <c r="GY9" i="35"/>
  <c r="AL51" i="53" s="1"/>
  <c r="GY10" i="35"/>
  <c r="AL52" i="53" s="1"/>
  <c r="GY11" i="35"/>
  <c r="AL53" i="53" s="1"/>
  <c r="GY12" i="35"/>
  <c r="AL54" i="53" s="1"/>
  <c r="GY13" i="35"/>
  <c r="AL55" i="53" s="1"/>
  <c r="GY14" i="35"/>
  <c r="AL56" i="53" s="1"/>
  <c r="GY15" i="35"/>
  <c r="AL57" i="53" s="1"/>
  <c r="GY16" i="35"/>
  <c r="AL58" i="53" s="1"/>
  <c r="GY18" i="35"/>
  <c r="AL60" i="53" s="1"/>
  <c r="GY19" i="35"/>
  <c r="AL61" i="53" s="1"/>
  <c r="GY20" i="35"/>
  <c r="AL62" i="53" s="1"/>
  <c r="GY21" i="35"/>
  <c r="AL63" i="53" s="1"/>
  <c r="GY23" i="35"/>
  <c r="AL65" i="53" s="1"/>
  <c r="GY24" i="35"/>
  <c r="AL66" i="53" s="1"/>
  <c r="GY25" i="35"/>
  <c r="AL67" i="53" s="1"/>
  <c r="GY26" i="35"/>
  <c r="AL68" i="53" s="1"/>
  <c r="GY28" i="35"/>
  <c r="AL70" i="53" s="1"/>
  <c r="GY29" i="35"/>
  <c r="AL71" i="53" s="1"/>
  <c r="GY30" i="35"/>
  <c r="AL72" i="53" s="1"/>
  <c r="GY31" i="35"/>
  <c r="AL73" i="53" s="1"/>
  <c r="GY32" i="35"/>
  <c r="AL74" i="53" s="1"/>
  <c r="GY33" i="35"/>
  <c r="AL75" i="53" s="1"/>
  <c r="GY34" i="35"/>
  <c r="AL76" i="53" s="1"/>
  <c r="GY35" i="35"/>
  <c r="AL77" i="53" s="1"/>
  <c r="GY36" i="35"/>
  <c r="AL78" i="53" s="1"/>
  <c r="GY37" i="35"/>
  <c r="AL79" i="53" s="1"/>
  <c r="GY38" i="35"/>
  <c r="AL80" i="53" s="1"/>
  <c r="GY40" i="35"/>
  <c r="AL82" i="53" s="1"/>
  <c r="GY8" i="35"/>
  <c r="DI9" i="35"/>
  <c r="AX9" i="53" s="1"/>
  <c r="DI10" i="35"/>
  <c r="AX10" i="53" s="1"/>
  <c r="DI11" i="35"/>
  <c r="AX11" i="53" s="1"/>
  <c r="DI12" i="35"/>
  <c r="AX12" i="53" s="1"/>
  <c r="DI13" i="35"/>
  <c r="AX13" i="53" s="1"/>
  <c r="DI14" i="35"/>
  <c r="AX14" i="53" s="1"/>
  <c r="DI15" i="35"/>
  <c r="AX15" i="53" s="1"/>
  <c r="DI16" i="35"/>
  <c r="AX16" i="53" s="1"/>
  <c r="DI17" i="35"/>
  <c r="AX17" i="53" s="1"/>
  <c r="DI18" i="35"/>
  <c r="AX18" i="53" s="1"/>
  <c r="DI19" i="35"/>
  <c r="AX19" i="53" s="1"/>
  <c r="DI20" i="35"/>
  <c r="AX20" i="53" s="1"/>
  <c r="DI21" i="35"/>
  <c r="AX21" i="53" s="1"/>
  <c r="DI22" i="35"/>
  <c r="AX22" i="53" s="1"/>
  <c r="DI23" i="35"/>
  <c r="AX23" i="53" s="1"/>
  <c r="DI24" i="35"/>
  <c r="AX24" i="53" s="1"/>
  <c r="DI25" i="35"/>
  <c r="AX25" i="53" s="1"/>
  <c r="DI26" i="35"/>
  <c r="AX26" i="53" s="1"/>
  <c r="DI27" i="35"/>
  <c r="AX27" i="53" s="1"/>
  <c r="DI28" i="35"/>
  <c r="AX28" i="53" s="1"/>
  <c r="DI29" i="35"/>
  <c r="AX29" i="53" s="1"/>
  <c r="DI30" i="35"/>
  <c r="AX30" i="53" s="1"/>
  <c r="DI31" i="35"/>
  <c r="AX31" i="53" s="1"/>
  <c r="DI32" i="35"/>
  <c r="AX32" i="53" s="1"/>
  <c r="DI33" i="35"/>
  <c r="AX33" i="53" s="1"/>
  <c r="DI34" i="35"/>
  <c r="AX34" i="53" s="1"/>
  <c r="DI35" i="35"/>
  <c r="AX35" i="53" s="1"/>
  <c r="DI36" i="35"/>
  <c r="AX36" i="53" s="1"/>
  <c r="DI37" i="35"/>
  <c r="AX37" i="53" s="1"/>
  <c r="DI38" i="35"/>
  <c r="AX38" i="53" s="1"/>
  <c r="DI39" i="35"/>
  <c r="AX39" i="53" s="1"/>
  <c r="DI40" i="35"/>
  <c r="AX40" i="53" s="1"/>
  <c r="DI8" i="35"/>
  <c r="GU9" i="35"/>
  <c r="GU10" i="35"/>
  <c r="GU11" i="35"/>
  <c r="GU12" i="35"/>
  <c r="GU13" i="35"/>
  <c r="GU14" i="35"/>
  <c r="GU15" i="35"/>
  <c r="GU16" i="35"/>
  <c r="GU17" i="35"/>
  <c r="GU18" i="35"/>
  <c r="GU19" i="35"/>
  <c r="GU20" i="35"/>
  <c r="GU21" i="35"/>
  <c r="GU22" i="35"/>
  <c r="GU23" i="35"/>
  <c r="GU24" i="35"/>
  <c r="GU25" i="35"/>
  <c r="GU26" i="35"/>
  <c r="GU27" i="35"/>
  <c r="GU28" i="35"/>
  <c r="GU29" i="35"/>
  <c r="GU30" i="35"/>
  <c r="GU31" i="35"/>
  <c r="GU32" i="35"/>
  <c r="GU33" i="35"/>
  <c r="GU34" i="35"/>
  <c r="GU35" i="35"/>
  <c r="GU36" i="35"/>
  <c r="GU37" i="35"/>
  <c r="GU38" i="35"/>
  <c r="GU39" i="35"/>
  <c r="GU40" i="35"/>
  <c r="GU8" i="35"/>
  <c r="GS9" i="35"/>
  <c r="GS10" i="35"/>
  <c r="GS11" i="35"/>
  <c r="GS12" i="35"/>
  <c r="GS13" i="35"/>
  <c r="GS14" i="35"/>
  <c r="GS15" i="35"/>
  <c r="GS16" i="35"/>
  <c r="GS17" i="35"/>
  <c r="GS18" i="35"/>
  <c r="GS19" i="35"/>
  <c r="GS20" i="35"/>
  <c r="GS21" i="35"/>
  <c r="GS22" i="35"/>
  <c r="GS23" i="35"/>
  <c r="GS24" i="35"/>
  <c r="GS25" i="35"/>
  <c r="GS26" i="35"/>
  <c r="GS27" i="35"/>
  <c r="GS28" i="35"/>
  <c r="GS29" i="35"/>
  <c r="GS30" i="35"/>
  <c r="GS31" i="35"/>
  <c r="GS32" i="35"/>
  <c r="GS33" i="35"/>
  <c r="GS34" i="35"/>
  <c r="GS35" i="35"/>
  <c r="GS36" i="35"/>
  <c r="GS37" i="35"/>
  <c r="GS38" i="35"/>
  <c r="GS39" i="35"/>
  <c r="GS40" i="35"/>
  <c r="GS8" i="35"/>
  <c r="GQ9" i="35"/>
  <c r="AF51" i="53" s="1"/>
  <c r="GQ10" i="35"/>
  <c r="AF52" i="53" s="1"/>
  <c r="GQ11" i="35"/>
  <c r="AF53" i="53" s="1"/>
  <c r="GQ12" i="35"/>
  <c r="AF54" i="53" s="1"/>
  <c r="GQ13" i="35"/>
  <c r="AF55" i="53" s="1"/>
  <c r="GQ14" i="35"/>
  <c r="AF56" i="53" s="1"/>
  <c r="GQ15" i="35"/>
  <c r="AF57" i="53" s="1"/>
  <c r="GQ16" i="35"/>
  <c r="AF58" i="53" s="1"/>
  <c r="GQ17" i="35"/>
  <c r="AF59" i="53" s="1"/>
  <c r="GQ18" i="35"/>
  <c r="AF60" i="53" s="1"/>
  <c r="GQ19" i="35"/>
  <c r="AF61" i="53" s="1"/>
  <c r="GQ20" i="35"/>
  <c r="AF62" i="53" s="1"/>
  <c r="GQ21" i="35"/>
  <c r="AF63" i="53" s="1"/>
  <c r="GQ22" i="35"/>
  <c r="AF64" i="53" s="1"/>
  <c r="GQ23" i="35"/>
  <c r="AF65" i="53" s="1"/>
  <c r="GQ24" i="35"/>
  <c r="AF66" i="53" s="1"/>
  <c r="GQ25" i="35"/>
  <c r="AF67" i="53" s="1"/>
  <c r="GQ26" i="35"/>
  <c r="AF68" i="53" s="1"/>
  <c r="GQ27" i="35"/>
  <c r="AF69" i="53" s="1"/>
  <c r="GQ28" i="35"/>
  <c r="AF70" i="53" s="1"/>
  <c r="GQ29" i="35"/>
  <c r="AF71" i="53" s="1"/>
  <c r="GQ30" i="35"/>
  <c r="AF72" i="53" s="1"/>
  <c r="GQ31" i="35"/>
  <c r="AF73" i="53" s="1"/>
  <c r="GQ32" i="35"/>
  <c r="AF74" i="53" s="1"/>
  <c r="GQ33" i="35"/>
  <c r="AF75" i="53" s="1"/>
  <c r="GQ34" i="35"/>
  <c r="AF76" i="53" s="1"/>
  <c r="GQ35" i="35"/>
  <c r="AF77" i="53" s="1"/>
  <c r="GQ36" i="35"/>
  <c r="AF78" i="53" s="1"/>
  <c r="GQ37" i="35"/>
  <c r="AF79" i="53" s="1"/>
  <c r="GQ38" i="35"/>
  <c r="AF80" i="53" s="1"/>
  <c r="GQ39" i="35"/>
  <c r="AF81" i="53" s="1"/>
  <c r="GQ40" i="35"/>
  <c r="AF82" i="53" s="1"/>
  <c r="GQ8" i="35"/>
  <c r="AF50" i="53" s="1"/>
  <c r="GP9" i="35"/>
  <c r="GP10" i="35"/>
  <c r="GP11" i="35"/>
  <c r="GP12" i="35"/>
  <c r="GP13" i="35"/>
  <c r="GP14" i="35"/>
  <c r="GP15" i="35"/>
  <c r="GP16" i="35"/>
  <c r="GP17" i="35"/>
  <c r="GP18" i="35"/>
  <c r="GP19" i="35"/>
  <c r="GP20" i="35"/>
  <c r="GP21" i="35"/>
  <c r="GP22" i="35"/>
  <c r="GP23" i="35"/>
  <c r="GP24" i="35"/>
  <c r="GP25" i="35"/>
  <c r="GP26" i="35"/>
  <c r="GP27" i="35"/>
  <c r="GP28" i="35"/>
  <c r="GP29" i="35"/>
  <c r="GP30" i="35"/>
  <c r="GP31" i="35"/>
  <c r="GP32" i="35"/>
  <c r="GP33" i="35"/>
  <c r="GP34" i="35"/>
  <c r="GP35" i="35"/>
  <c r="GP36" i="35"/>
  <c r="GP37" i="35"/>
  <c r="GP38" i="35"/>
  <c r="GP39" i="35"/>
  <c r="GP40" i="35"/>
  <c r="GP8" i="35"/>
  <c r="GA9" i="35"/>
  <c r="GA10" i="35"/>
  <c r="GA11" i="35"/>
  <c r="GA12" i="35"/>
  <c r="GA13" i="35"/>
  <c r="GA14" i="35"/>
  <c r="GA15" i="35"/>
  <c r="GA16" i="35"/>
  <c r="GA17" i="35"/>
  <c r="GA18" i="35"/>
  <c r="GA19" i="35"/>
  <c r="GA20" i="35"/>
  <c r="GA21" i="35"/>
  <c r="GA22" i="35"/>
  <c r="GA23" i="35"/>
  <c r="GA24" i="35"/>
  <c r="GA25" i="35"/>
  <c r="GA26" i="35"/>
  <c r="GA27" i="35"/>
  <c r="GA28" i="35"/>
  <c r="GA29" i="35"/>
  <c r="GA30" i="35"/>
  <c r="GA31" i="35"/>
  <c r="GA32" i="35"/>
  <c r="GA33" i="35"/>
  <c r="GA34" i="35"/>
  <c r="GA35" i="35"/>
  <c r="GA36" i="35"/>
  <c r="GA37" i="35"/>
  <c r="GA38" i="35"/>
  <c r="GA39" i="35"/>
  <c r="GA40" i="35"/>
  <c r="GA8" i="35"/>
  <c r="DH34" i="35" l="1"/>
  <c r="AH76" i="53"/>
  <c r="DH26" i="35"/>
  <c r="AH68" i="53"/>
  <c r="DH18" i="35"/>
  <c r="AH60" i="53"/>
  <c r="DH10" i="35"/>
  <c r="AH52" i="53"/>
  <c r="GY46" i="35"/>
  <c r="AS71" i="15" s="1"/>
  <c r="L96" i="48" s="1"/>
  <c r="AL50" i="53"/>
  <c r="DH37" i="35"/>
  <c r="AH79" i="53"/>
  <c r="DH29" i="35"/>
  <c r="AH71" i="53"/>
  <c r="DH21" i="35"/>
  <c r="AH63" i="53"/>
  <c r="DH13" i="35"/>
  <c r="AH55" i="53"/>
  <c r="DH40" i="35"/>
  <c r="AH82" i="53"/>
  <c r="DH36" i="35"/>
  <c r="AH78" i="53"/>
  <c r="DH32" i="35"/>
  <c r="AH74" i="53"/>
  <c r="DH28" i="35"/>
  <c r="AH70" i="53"/>
  <c r="DH24" i="35"/>
  <c r="AH66" i="53"/>
  <c r="DH20" i="35"/>
  <c r="AH62" i="53"/>
  <c r="DH16" i="35"/>
  <c r="AH58" i="53"/>
  <c r="DH12" i="35"/>
  <c r="AH54" i="53"/>
  <c r="DH38" i="35"/>
  <c r="AH80" i="53"/>
  <c r="DH30" i="35"/>
  <c r="AH72" i="53"/>
  <c r="DH22" i="35"/>
  <c r="AH64" i="53"/>
  <c r="DH14" i="35"/>
  <c r="AH56" i="53"/>
  <c r="DH8" i="35"/>
  <c r="AH50" i="53"/>
  <c r="DH33" i="35"/>
  <c r="AH75" i="53"/>
  <c r="DH25" i="35"/>
  <c r="AH67" i="53"/>
  <c r="DH17" i="35"/>
  <c r="AH59" i="53"/>
  <c r="DH9" i="35"/>
  <c r="AH51" i="53"/>
  <c r="DH39" i="35"/>
  <c r="AH81" i="53"/>
  <c r="DH35" i="35"/>
  <c r="AH77" i="53"/>
  <c r="DH31" i="35"/>
  <c r="AH73" i="53"/>
  <c r="DH27" i="35"/>
  <c r="AH69" i="53"/>
  <c r="DH23" i="35"/>
  <c r="AH65" i="53"/>
  <c r="DH19" i="35"/>
  <c r="AH61" i="53"/>
  <c r="DH15" i="35"/>
  <c r="AH57" i="53"/>
  <c r="DH11" i="35"/>
  <c r="AH53" i="53"/>
  <c r="DI46" i="35"/>
  <c r="AX8" i="53"/>
  <c r="L89" i="48"/>
  <c r="AU60" i="15"/>
  <c r="L85" i="48"/>
  <c r="AU56" i="15"/>
  <c r="L90" i="48"/>
  <c r="AU61" i="15"/>
  <c r="L86" i="48"/>
  <c r="AU57" i="15"/>
  <c r="L91" i="48"/>
  <c r="AU62" i="15"/>
  <c r="L87" i="48"/>
  <c r="AU58" i="15"/>
  <c r="L92" i="48"/>
  <c r="AU63" i="15"/>
  <c r="L88" i="48"/>
  <c r="AU59" i="15"/>
  <c r="DI48" i="35"/>
  <c r="GY47" i="35"/>
  <c r="AS72" i="15" s="1"/>
  <c r="L97" i="48" s="1"/>
  <c r="GM57" i="47"/>
  <c r="GN57" i="47" s="1"/>
  <c r="GK58" i="47"/>
  <c r="AR22" i="47"/>
  <c r="AT21" i="47"/>
  <c r="AU21" i="47" s="1"/>
  <c r="GK33" i="47"/>
  <c r="GM32" i="47"/>
  <c r="GN32" i="47" s="1"/>
  <c r="FX9" i="35"/>
  <c r="S51" i="53" s="1"/>
  <c r="FX10" i="35"/>
  <c r="S52" i="53" s="1"/>
  <c r="FX11" i="35"/>
  <c r="S53" i="53" s="1"/>
  <c r="FX12" i="35"/>
  <c r="S54" i="53" s="1"/>
  <c r="FX13" i="35"/>
  <c r="S55" i="53" s="1"/>
  <c r="FX14" i="35"/>
  <c r="S56" i="53" s="1"/>
  <c r="FX15" i="35"/>
  <c r="S57" i="53" s="1"/>
  <c r="FX16" i="35"/>
  <c r="S58" i="53" s="1"/>
  <c r="FX17" i="35"/>
  <c r="S59" i="53" s="1"/>
  <c r="FX18" i="35"/>
  <c r="S60" i="53" s="1"/>
  <c r="FX19" i="35"/>
  <c r="S61" i="53" s="1"/>
  <c r="FX20" i="35"/>
  <c r="S62" i="53" s="1"/>
  <c r="FX21" i="35"/>
  <c r="S63" i="53" s="1"/>
  <c r="FX22" i="35"/>
  <c r="S64" i="53" s="1"/>
  <c r="FX23" i="35"/>
  <c r="S65" i="53" s="1"/>
  <c r="FX24" i="35"/>
  <c r="S66" i="53" s="1"/>
  <c r="FX25" i="35"/>
  <c r="S67" i="53" s="1"/>
  <c r="FX26" i="35"/>
  <c r="S68" i="53" s="1"/>
  <c r="FX27" i="35"/>
  <c r="S69" i="53" s="1"/>
  <c r="FX28" i="35"/>
  <c r="S70" i="53" s="1"/>
  <c r="FX29" i="35"/>
  <c r="S71" i="53" s="1"/>
  <c r="FX30" i="35"/>
  <c r="S72" i="53" s="1"/>
  <c r="FX31" i="35"/>
  <c r="S73" i="53" s="1"/>
  <c r="FX32" i="35"/>
  <c r="S74" i="53" s="1"/>
  <c r="FX33" i="35"/>
  <c r="S75" i="53" s="1"/>
  <c r="FX34" i="35"/>
  <c r="S76" i="53" s="1"/>
  <c r="FX35" i="35"/>
  <c r="S77" i="53" s="1"/>
  <c r="FX36" i="35"/>
  <c r="S78" i="53" s="1"/>
  <c r="FX37" i="35"/>
  <c r="S79" i="53" s="1"/>
  <c r="FX38" i="35"/>
  <c r="S80" i="53" s="1"/>
  <c r="FX39" i="35"/>
  <c r="S81" i="53" s="1"/>
  <c r="FX40" i="35"/>
  <c r="S82" i="53" s="1"/>
  <c r="FX8" i="35"/>
  <c r="S50" i="53" s="1"/>
  <c r="DJ11" i="35" l="1"/>
  <c r="DK11" i="35" s="1"/>
  <c r="AW11" i="53"/>
  <c r="DJ19" i="35"/>
  <c r="DK19" i="35" s="1"/>
  <c r="AW19" i="53"/>
  <c r="DJ27" i="35"/>
  <c r="DK27" i="35" s="1"/>
  <c r="AW27" i="53"/>
  <c r="DJ35" i="35"/>
  <c r="DK35" i="35" s="1"/>
  <c r="AW35" i="53"/>
  <c r="DJ9" i="35"/>
  <c r="DK9" i="35" s="1"/>
  <c r="AW9" i="53"/>
  <c r="DJ25" i="35"/>
  <c r="DK25" i="35" s="1"/>
  <c r="AW25" i="53"/>
  <c r="DJ8" i="35"/>
  <c r="DK8" i="35" s="1"/>
  <c r="AW8" i="53"/>
  <c r="DJ22" i="35"/>
  <c r="DK22" i="35" s="1"/>
  <c r="AW22" i="53"/>
  <c r="DJ38" i="35"/>
  <c r="DK38" i="35" s="1"/>
  <c r="AW38" i="53"/>
  <c r="DJ16" i="35"/>
  <c r="DK16" i="35" s="1"/>
  <c r="AW16" i="53"/>
  <c r="DJ24" i="35"/>
  <c r="DK24" i="35" s="1"/>
  <c r="AW24" i="53"/>
  <c r="DJ32" i="35"/>
  <c r="DK32" i="35" s="1"/>
  <c r="AW32" i="53"/>
  <c r="DJ40" i="35"/>
  <c r="DK40" i="35" s="1"/>
  <c r="AW40" i="53"/>
  <c r="DJ21" i="35"/>
  <c r="DK21" i="35" s="1"/>
  <c r="AW21" i="53"/>
  <c r="DJ37" i="35"/>
  <c r="DK37" i="35" s="1"/>
  <c r="AW37" i="53"/>
  <c r="DJ10" i="35"/>
  <c r="DK10" i="35" s="1"/>
  <c r="AW10" i="53"/>
  <c r="DJ26" i="35"/>
  <c r="DK26" i="35" s="1"/>
  <c r="AW26" i="53"/>
  <c r="DJ15" i="35"/>
  <c r="DK15" i="35" s="1"/>
  <c r="AW15" i="53"/>
  <c r="DJ23" i="35"/>
  <c r="DK23" i="35" s="1"/>
  <c r="AW23" i="53"/>
  <c r="DJ31" i="35"/>
  <c r="DK31" i="35" s="1"/>
  <c r="AW31" i="53"/>
  <c r="DJ39" i="35"/>
  <c r="DK39" i="35" s="1"/>
  <c r="AW39" i="53"/>
  <c r="DJ17" i="35"/>
  <c r="DK17" i="35" s="1"/>
  <c r="AW17" i="53"/>
  <c r="DJ33" i="35"/>
  <c r="DK33" i="35" s="1"/>
  <c r="AW33" i="53"/>
  <c r="DJ14" i="35"/>
  <c r="DK14" i="35" s="1"/>
  <c r="AW14" i="53"/>
  <c r="DJ30" i="35"/>
  <c r="DK30" i="35" s="1"/>
  <c r="AW30" i="53"/>
  <c r="DJ12" i="35"/>
  <c r="DK12" i="35" s="1"/>
  <c r="AW12" i="53"/>
  <c r="DJ20" i="35"/>
  <c r="DK20" i="35" s="1"/>
  <c r="AW20" i="53"/>
  <c r="DJ28" i="35"/>
  <c r="DK28" i="35" s="1"/>
  <c r="AW28" i="53"/>
  <c r="DJ36" i="35"/>
  <c r="DK36" i="35" s="1"/>
  <c r="AW36" i="53"/>
  <c r="DJ13" i="35"/>
  <c r="DK13" i="35" s="1"/>
  <c r="AW13" i="53"/>
  <c r="DJ29" i="35"/>
  <c r="DK29" i="35" s="1"/>
  <c r="AW29" i="53"/>
  <c r="DJ18" i="35"/>
  <c r="DK18" i="35" s="1"/>
  <c r="AW18" i="53"/>
  <c r="DJ34" i="35"/>
  <c r="DK34" i="35" s="1"/>
  <c r="AW34" i="53"/>
  <c r="R88" i="48"/>
  <c r="O88" i="48" s="1"/>
  <c r="AQ59" i="15"/>
  <c r="R92" i="48"/>
  <c r="O92" i="48" s="1"/>
  <c r="AQ63" i="15"/>
  <c r="HQ40" i="35" s="1"/>
  <c r="R87" i="48"/>
  <c r="O87" i="48" s="1"/>
  <c r="AQ58" i="15"/>
  <c r="R91" i="48"/>
  <c r="O91" i="48" s="1"/>
  <c r="AQ62" i="15"/>
  <c r="R86" i="48"/>
  <c r="O86" i="48" s="1"/>
  <c r="AQ57" i="15"/>
  <c r="R90" i="48"/>
  <c r="O90" i="48" s="1"/>
  <c r="AQ61" i="15"/>
  <c r="R85" i="48"/>
  <c r="O85" i="48" s="1"/>
  <c r="AQ56" i="15"/>
  <c r="R89" i="48"/>
  <c r="O89" i="48" s="1"/>
  <c r="AQ60" i="15"/>
  <c r="GK59" i="47"/>
  <c r="GM58" i="47"/>
  <c r="GN58" i="47" s="1"/>
  <c r="AR23" i="47"/>
  <c r="AT22" i="47"/>
  <c r="AU22" i="47" s="1"/>
  <c r="GK34" i="47"/>
  <c r="GM33" i="47"/>
  <c r="GN33" i="47" s="1"/>
  <c r="FT9" i="35"/>
  <c r="FT10" i="35"/>
  <c r="FT11" i="35"/>
  <c r="FT12" i="35"/>
  <c r="FT13" i="35"/>
  <c r="FT14" i="35"/>
  <c r="FT15" i="35"/>
  <c r="FT16" i="35"/>
  <c r="FT17" i="35"/>
  <c r="FT18" i="35"/>
  <c r="FT19" i="35"/>
  <c r="FT20" i="35"/>
  <c r="FT21" i="35"/>
  <c r="FT22" i="35"/>
  <c r="FT23" i="35"/>
  <c r="FT24" i="35"/>
  <c r="FT25" i="35"/>
  <c r="FT26" i="35"/>
  <c r="FT27" i="35"/>
  <c r="FT28" i="35"/>
  <c r="FT29" i="35"/>
  <c r="FT30" i="35"/>
  <c r="FT31" i="35"/>
  <c r="FT32" i="35"/>
  <c r="FT33" i="35"/>
  <c r="FT34" i="35"/>
  <c r="FT35" i="35"/>
  <c r="FT36" i="35"/>
  <c r="FT37" i="35"/>
  <c r="FT38" i="35"/>
  <c r="FT39" i="35"/>
  <c r="FT40" i="35"/>
  <c r="FT8" i="35"/>
  <c r="Q50" i="53" s="1"/>
  <c r="FP9" i="35"/>
  <c r="FP10" i="35"/>
  <c r="FP11" i="35"/>
  <c r="FP12" i="35"/>
  <c r="FP13" i="35"/>
  <c r="FP14" i="35"/>
  <c r="FP15" i="35"/>
  <c r="FP16" i="35"/>
  <c r="FP17" i="35"/>
  <c r="FP18" i="35"/>
  <c r="FP19" i="35"/>
  <c r="FP20" i="35"/>
  <c r="FP21" i="35"/>
  <c r="FP22" i="35"/>
  <c r="FP23" i="35"/>
  <c r="FP24" i="35"/>
  <c r="FP25" i="35"/>
  <c r="FP26" i="35"/>
  <c r="FP27" i="35"/>
  <c r="FP28" i="35"/>
  <c r="FP29" i="35"/>
  <c r="FP30" i="35"/>
  <c r="FP31" i="35"/>
  <c r="FP32" i="35"/>
  <c r="FP33" i="35"/>
  <c r="FP34" i="35"/>
  <c r="FP35" i="35"/>
  <c r="FP36" i="35"/>
  <c r="FP37" i="35"/>
  <c r="FP38" i="35"/>
  <c r="FP39" i="35"/>
  <c r="FP40" i="35"/>
  <c r="FP8" i="35"/>
  <c r="O50" i="53" s="1"/>
  <c r="FM9" i="35"/>
  <c r="N51" i="53" s="1"/>
  <c r="FM10" i="35"/>
  <c r="N52" i="53" s="1"/>
  <c r="FM11" i="35"/>
  <c r="N53" i="53" s="1"/>
  <c r="FM12" i="35"/>
  <c r="N54" i="53" s="1"/>
  <c r="FM13" i="35"/>
  <c r="N55" i="53" s="1"/>
  <c r="FM14" i="35"/>
  <c r="N56" i="53" s="1"/>
  <c r="FM15" i="35"/>
  <c r="N57" i="53" s="1"/>
  <c r="FM16" i="35"/>
  <c r="N58" i="53" s="1"/>
  <c r="FM17" i="35"/>
  <c r="N59" i="53" s="1"/>
  <c r="FM18" i="35"/>
  <c r="N60" i="53" s="1"/>
  <c r="FM19" i="35"/>
  <c r="N61" i="53" s="1"/>
  <c r="FM20" i="35"/>
  <c r="N62" i="53" s="1"/>
  <c r="FM21" i="35"/>
  <c r="N63" i="53" s="1"/>
  <c r="FM22" i="35"/>
  <c r="N64" i="53" s="1"/>
  <c r="FM23" i="35"/>
  <c r="N65" i="53" s="1"/>
  <c r="FM24" i="35"/>
  <c r="N66" i="53" s="1"/>
  <c r="FM25" i="35"/>
  <c r="N67" i="53" s="1"/>
  <c r="FM26" i="35"/>
  <c r="N68" i="53" s="1"/>
  <c r="FM27" i="35"/>
  <c r="N69" i="53" s="1"/>
  <c r="FM28" i="35"/>
  <c r="N70" i="53" s="1"/>
  <c r="FM29" i="35"/>
  <c r="N71" i="53" s="1"/>
  <c r="FM30" i="35"/>
  <c r="N72" i="53" s="1"/>
  <c r="FM31" i="35"/>
  <c r="N73" i="53" s="1"/>
  <c r="FM32" i="35"/>
  <c r="N74" i="53" s="1"/>
  <c r="FM33" i="35"/>
  <c r="N75" i="53" s="1"/>
  <c r="FM34" i="35"/>
  <c r="N76" i="53" s="1"/>
  <c r="FM35" i="35"/>
  <c r="N77" i="53" s="1"/>
  <c r="FM36" i="35"/>
  <c r="N78" i="53" s="1"/>
  <c r="FM37" i="35"/>
  <c r="N79" i="53" s="1"/>
  <c r="FM38" i="35"/>
  <c r="N80" i="53" s="1"/>
  <c r="FM39" i="35"/>
  <c r="N81" i="53" s="1"/>
  <c r="FM40" i="35"/>
  <c r="N82" i="53" s="1"/>
  <c r="FM8" i="35"/>
  <c r="FL9" i="35"/>
  <c r="FL10" i="35"/>
  <c r="FL11" i="35"/>
  <c r="FL12" i="35"/>
  <c r="FL13" i="35"/>
  <c r="FL14" i="35"/>
  <c r="FL15" i="35"/>
  <c r="FL16" i="35"/>
  <c r="FL17" i="35"/>
  <c r="FL18" i="35"/>
  <c r="FL19" i="35"/>
  <c r="FL20" i="35"/>
  <c r="FL21" i="35"/>
  <c r="FL22" i="35"/>
  <c r="FL23" i="35"/>
  <c r="FL24" i="35"/>
  <c r="FL25" i="35"/>
  <c r="FL26" i="35"/>
  <c r="FL27" i="35"/>
  <c r="FL28" i="35"/>
  <c r="FL29" i="35"/>
  <c r="FL30" i="35"/>
  <c r="FL31" i="35"/>
  <c r="FL32" i="35"/>
  <c r="FL33" i="35"/>
  <c r="FL34" i="35"/>
  <c r="FL35" i="35"/>
  <c r="FL36" i="35"/>
  <c r="FL37" i="35"/>
  <c r="FL38" i="35"/>
  <c r="FL39" i="35"/>
  <c r="FL40" i="35"/>
  <c r="FL8" i="35"/>
  <c r="FH9" i="35"/>
  <c r="FH10" i="35"/>
  <c r="FH11" i="35"/>
  <c r="FH12" i="35"/>
  <c r="FH13" i="35"/>
  <c r="FH14" i="35"/>
  <c r="FH15" i="35"/>
  <c r="FH16" i="35"/>
  <c r="FH17" i="35"/>
  <c r="FH18" i="35"/>
  <c r="FH19" i="35"/>
  <c r="FH20" i="35"/>
  <c r="FH21" i="35"/>
  <c r="FH22" i="35"/>
  <c r="FH23" i="35"/>
  <c r="FH24" i="35"/>
  <c r="FH25" i="35"/>
  <c r="FH26" i="35"/>
  <c r="FH27" i="35"/>
  <c r="FH28" i="35"/>
  <c r="FH29" i="35"/>
  <c r="FH30" i="35"/>
  <c r="FH31" i="35"/>
  <c r="FH32" i="35"/>
  <c r="FH33" i="35"/>
  <c r="FH34" i="35"/>
  <c r="FH35" i="35"/>
  <c r="FH36" i="35"/>
  <c r="FH37" i="35"/>
  <c r="FH38" i="35"/>
  <c r="FH39" i="35"/>
  <c r="FH40" i="35"/>
  <c r="FH8" i="35"/>
  <c r="K50" i="53" s="1"/>
  <c r="FD9" i="35"/>
  <c r="FD10" i="35"/>
  <c r="FD11" i="35"/>
  <c r="FD12" i="35"/>
  <c r="FD13" i="35"/>
  <c r="FD14" i="35"/>
  <c r="FD15" i="35"/>
  <c r="FD16" i="35"/>
  <c r="FD17" i="35"/>
  <c r="FD18" i="35"/>
  <c r="FD19" i="35"/>
  <c r="FD20" i="35"/>
  <c r="FD21" i="35"/>
  <c r="FD22" i="35"/>
  <c r="FD23" i="35"/>
  <c r="FD24" i="35"/>
  <c r="FD25" i="35"/>
  <c r="FD26" i="35"/>
  <c r="FD27" i="35"/>
  <c r="FD28" i="35"/>
  <c r="FD29" i="35"/>
  <c r="FD30" i="35"/>
  <c r="FD31" i="35"/>
  <c r="FD32" i="35"/>
  <c r="FD33" i="35"/>
  <c r="FD34" i="35"/>
  <c r="FD35" i="35"/>
  <c r="FD36" i="35"/>
  <c r="FD37" i="35"/>
  <c r="FD38" i="35"/>
  <c r="FD39" i="35"/>
  <c r="FD40" i="35"/>
  <c r="FD8" i="35"/>
  <c r="I50" i="53" s="1"/>
  <c r="EZ9" i="35"/>
  <c r="EZ10" i="35"/>
  <c r="EZ11" i="35"/>
  <c r="EZ12" i="35"/>
  <c r="EZ13" i="35"/>
  <c r="EZ14" i="35"/>
  <c r="EZ15" i="35"/>
  <c r="EZ16" i="35"/>
  <c r="EZ17" i="35"/>
  <c r="EZ18" i="35"/>
  <c r="EZ19" i="35"/>
  <c r="EZ20" i="35"/>
  <c r="EZ21" i="35"/>
  <c r="EZ22" i="35"/>
  <c r="EZ23" i="35"/>
  <c r="EZ24" i="35"/>
  <c r="EZ25" i="35"/>
  <c r="EZ26" i="35"/>
  <c r="EZ27" i="35"/>
  <c r="EZ28" i="35"/>
  <c r="EZ29" i="35"/>
  <c r="EZ30" i="35"/>
  <c r="EZ31" i="35"/>
  <c r="EZ32" i="35"/>
  <c r="EZ33" i="35"/>
  <c r="EZ34" i="35"/>
  <c r="EZ35" i="35"/>
  <c r="EZ36" i="35"/>
  <c r="EZ37" i="35"/>
  <c r="EZ38" i="35"/>
  <c r="EZ39" i="35"/>
  <c r="EZ40" i="35"/>
  <c r="EZ8" i="35"/>
  <c r="G50" i="53" s="1"/>
  <c r="EV9" i="35"/>
  <c r="E51" i="53" s="1"/>
  <c r="EV10" i="35"/>
  <c r="E52" i="53" s="1"/>
  <c r="EV11" i="35"/>
  <c r="E53" i="53" s="1"/>
  <c r="EV12" i="35"/>
  <c r="E54" i="53" s="1"/>
  <c r="EV13" i="35"/>
  <c r="E55" i="53" s="1"/>
  <c r="EV14" i="35"/>
  <c r="E56" i="53" s="1"/>
  <c r="EV15" i="35"/>
  <c r="E57" i="53" s="1"/>
  <c r="EV16" i="35"/>
  <c r="E58" i="53" s="1"/>
  <c r="EV17" i="35"/>
  <c r="E59" i="53" s="1"/>
  <c r="EV18" i="35"/>
  <c r="E60" i="53" s="1"/>
  <c r="EV19" i="35"/>
  <c r="E61" i="53" s="1"/>
  <c r="EV20" i="35"/>
  <c r="E62" i="53" s="1"/>
  <c r="EV21" i="35"/>
  <c r="E63" i="53" s="1"/>
  <c r="EV22" i="35"/>
  <c r="E64" i="53" s="1"/>
  <c r="EV23" i="35"/>
  <c r="E65" i="53" s="1"/>
  <c r="EV24" i="35"/>
  <c r="E66" i="53" s="1"/>
  <c r="EV25" i="35"/>
  <c r="E67" i="53" s="1"/>
  <c r="EV26" i="35"/>
  <c r="E68" i="53" s="1"/>
  <c r="EV27" i="35"/>
  <c r="E69" i="53" s="1"/>
  <c r="EV28" i="35"/>
  <c r="E70" i="53" s="1"/>
  <c r="EV29" i="35"/>
  <c r="E71" i="53" s="1"/>
  <c r="EV30" i="35"/>
  <c r="E72" i="53" s="1"/>
  <c r="EV31" i="35"/>
  <c r="E73" i="53" s="1"/>
  <c r="EV32" i="35"/>
  <c r="E74" i="53" s="1"/>
  <c r="EV33" i="35"/>
  <c r="E75" i="53" s="1"/>
  <c r="EV34" i="35"/>
  <c r="E76" i="53" s="1"/>
  <c r="EV35" i="35"/>
  <c r="E77" i="53" s="1"/>
  <c r="EV36" i="35"/>
  <c r="E78" i="53" s="1"/>
  <c r="EV37" i="35"/>
  <c r="E79" i="53" s="1"/>
  <c r="EV38" i="35"/>
  <c r="E80" i="53" s="1"/>
  <c r="EV39" i="35"/>
  <c r="E81" i="53" s="1"/>
  <c r="EV40" i="35"/>
  <c r="E82" i="53" s="1"/>
  <c r="EV8" i="35"/>
  <c r="E50" i="53" s="1"/>
  <c r="ER9" i="35"/>
  <c r="ER10" i="35"/>
  <c r="ER11" i="35"/>
  <c r="ER12" i="35"/>
  <c r="ER13" i="35"/>
  <c r="ER14" i="35"/>
  <c r="ER15" i="35"/>
  <c r="ER16" i="35"/>
  <c r="ER17" i="35"/>
  <c r="ER18" i="35"/>
  <c r="ER19" i="35"/>
  <c r="ER20" i="35"/>
  <c r="ER21" i="35"/>
  <c r="ER22" i="35"/>
  <c r="ER23" i="35"/>
  <c r="ER24" i="35"/>
  <c r="ER25" i="35"/>
  <c r="ER26" i="35"/>
  <c r="ER27" i="35"/>
  <c r="ER28" i="35"/>
  <c r="ER29" i="35"/>
  <c r="ER30" i="35"/>
  <c r="ER31" i="35"/>
  <c r="ER32" i="35"/>
  <c r="ER33" i="35"/>
  <c r="ER34" i="35"/>
  <c r="ER35" i="35"/>
  <c r="ER36" i="35"/>
  <c r="ER37" i="35"/>
  <c r="ER38" i="35"/>
  <c r="ER39" i="35"/>
  <c r="ER40" i="35"/>
  <c r="ER8" i="35"/>
  <c r="C50" i="53" s="1"/>
  <c r="EN9" i="35"/>
  <c r="EN10" i="35"/>
  <c r="EN11" i="35"/>
  <c r="EN12" i="35"/>
  <c r="EN13" i="35"/>
  <c r="EN14" i="35"/>
  <c r="EN15" i="35"/>
  <c r="EN16" i="35"/>
  <c r="EN17" i="35"/>
  <c r="EN18" i="35"/>
  <c r="EN19" i="35"/>
  <c r="EN20" i="35"/>
  <c r="EN21" i="35"/>
  <c r="EN22" i="35"/>
  <c r="EN23" i="35"/>
  <c r="EN24" i="35"/>
  <c r="EN25" i="35"/>
  <c r="EN26" i="35"/>
  <c r="EN27" i="35"/>
  <c r="EN28" i="35"/>
  <c r="EN29" i="35"/>
  <c r="EN30" i="35"/>
  <c r="EN31" i="35"/>
  <c r="EN32" i="35"/>
  <c r="EN33" i="35"/>
  <c r="EN34" i="35"/>
  <c r="EN35" i="35"/>
  <c r="EN36" i="35"/>
  <c r="EN37" i="35"/>
  <c r="EN38" i="35"/>
  <c r="EN39" i="35"/>
  <c r="EN40" i="35"/>
  <c r="EN8" i="35"/>
  <c r="BM8" i="53" s="1"/>
  <c r="EJ9" i="35"/>
  <c r="EJ10" i="35"/>
  <c r="EJ11" i="35"/>
  <c r="EJ12" i="35"/>
  <c r="EJ13" i="35"/>
  <c r="EJ14" i="35"/>
  <c r="EJ15" i="35"/>
  <c r="EJ16" i="35"/>
  <c r="EJ17" i="35"/>
  <c r="EJ18" i="35"/>
  <c r="EJ19" i="35"/>
  <c r="EJ20" i="35"/>
  <c r="EJ21" i="35"/>
  <c r="EJ22" i="35"/>
  <c r="EJ23" i="35"/>
  <c r="EJ24" i="35"/>
  <c r="EJ25" i="35"/>
  <c r="EJ26" i="35"/>
  <c r="EJ27" i="35"/>
  <c r="EJ28" i="35"/>
  <c r="EJ29" i="35"/>
  <c r="EJ30" i="35"/>
  <c r="EJ31" i="35"/>
  <c r="EJ32" i="35"/>
  <c r="EJ33" i="35"/>
  <c r="EJ34" i="35"/>
  <c r="EJ35" i="35"/>
  <c r="EJ36" i="35"/>
  <c r="EJ37" i="35"/>
  <c r="EJ38" i="35"/>
  <c r="EJ39" i="35"/>
  <c r="EJ40" i="35"/>
  <c r="EJ8" i="35"/>
  <c r="BK8" i="53" s="1"/>
  <c r="EF9" i="35"/>
  <c r="BI9" i="53" s="1"/>
  <c r="EF10" i="35"/>
  <c r="BI10" i="53" s="1"/>
  <c r="EF11" i="35"/>
  <c r="BI11" i="53" s="1"/>
  <c r="EF12" i="35"/>
  <c r="BI12" i="53" s="1"/>
  <c r="EF13" i="35"/>
  <c r="BI13" i="53" s="1"/>
  <c r="EF14" i="35"/>
  <c r="BI14" i="53" s="1"/>
  <c r="EF15" i="35"/>
  <c r="BI15" i="53" s="1"/>
  <c r="EF16" i="35"/>
  <c r="BI16" i="53" s="1"/>
  <c r="EF17" i="35"/>
  <c r="BI17" i="53" s="1"/>
  <c r="EF18" i="35"/>
  <c r="BI18" i="53" s="1"/>
  <c r="EF19" i="35"/>
  <c r="BI19" i="53" s="1"/>
  <c r="EF20" i="35"/>
  <c r="BI20" i="53" s="1"/>
  <c r="EF21" i="35"/>
  <c r="BI21" i="53" s="1"/>
  <c r="EF22" i="35"/>
  <c r="BI22" i="53" s="1"/>
  <c r="EF23" i="35"/>
  <c r="BI23" i="53" s="1"/>
  <c r="EF24" i="35"/>
  <c r="BI24" i="53" s="1"/>
  <c r="EF25" i="35"/>
  <c r="BI25" i="53" s="1"/>
  <c r="EF26" i="35"/>
  <c r="BI26" i="53" s="1"/>
  <c r="EF27" i="35"/>
  <c r="BI27" i="53" s="1"/>
  <c r="EF28" i="35"/>
  <c r="BI28" i="53" s="1"/>
  <c r="EF29" i="35"/>
  <c r="BI29" i="53" s="1"/>
  <c r="EF30" i="35"/>
  <c r="BI30" i="53" s="1"/>
  <c r="EF31" i="35"/>
  <c r="BI31" i="53" s="1"/>
  <c r="EF32" i="35"/>
  <c r="BI32" i="53" s="1"/>
  <c r="EF33" i="35"/>
  <c r="BI33" i="53" s="1"/>
  <c r="EF34" i="35"/>
  <c r="BI34" i="53" s="1"/>
  <c r="EF35" i="35"/>
  <c r="BI35" i="53" s="1"/>
  <c r="EF36" i="35"/>
  <c r="BI36" i="53" s="1"/>
  <c r="EF37" i="35"/>
  <c r="BI37" i="53" s="1"/>
  <c r="EF38" i="35"/>
  <c r="BI38" i="53" s="1"/>
  <c r="EF39" i="35"/>
  <c r="BI39" i="53" s="1"/>
  <c r="EF40" i="35"/>
  <c r="BI40" i="53" s="1"/>
  <c r="EF8" i="35"/>
  <c r="BI8" i="53" s="1"/>
  <c r="DZ9" i="35"/>
  <c r="EA9" i="35" s="1"/>
  <c r="DZ10" i="35"/>
  <c r="EA10" i="35" s="1"/>
  <c r="DZ11" i="35"/>
  <c r="EA11" i="35" s="1"/>
  <c r="DZ12" i="35"/>
  <c r="EA12" i="35" s="1"/>
  <c r="DZ13" i="35"/>
  <c r="EA13" i="35" s="1"/>
  <c r="DZ14" i="35"/>
  <c r="EA14" i="35" s="1"/>
  <c r="DZ15" i="35"/>
  <c r="EA15" i="35" s="1"/>
  <c r="DZ16" i="35"/>
  <c r="EA16" i="35" s="1"/>
  <c r="DZ17" i="35"/>
  <c r="EA17" i="35" s="1"/>
  <c r="DZ18" i="35"/>
  <c r="EA18" i="35" s="1"/>
  <c r="DZ19" i="35"/>
  <c r="EA19" i="35" s="1"/>
  <c r="DZ20" i="35"/>
  <c r="EA20" i="35" s="1"/>
  <c r="DZ21" i="35"/>
  <c r="EA21" i="35" s="1"/>
  <c r="DZ22" i="35"/>
  <c r="EA22" i="35" s="1"/>
  <c r="DZ23" i="35"/>
  <c r="EA23" i="35" s="1"/>
  <c r="DZ24" i="35"/>
  <c r="EA24" i="35" s="1"/>
  <c r="DZ25" i="35"/>
  <c r="EA25" i="35" s="1"/>
  <c r="DZ26" i="35"/>
  <c r="EA26" i="35" s="1"/>
  <c r="DZ27" i="35"/>
  <c r="EA27" i="35" s="1"/>
  <c r="DZ28" i="35"/>
  <c r="EA28" i="35" s="1"/>
  <c r="DZ29" i="35"/>
  <c r="EA29" i="35" s="1"/>
  <c r="DZ30" i="35"/>
  <c r="EA30" i="35" s="1"/>
  <c r="DZ31" i="35"/>
  <c r="EA31" i="35" s="1"/>
  <c r="DZ32" i="35"/>
  <c r="EA32" i="35" s="1"/>
  <c r="DZ33" i="35"/>
  <c r="EA33" i="35" s="1"/>
  <c r="DZ34" i="35"/>
  <c r="EA34" i="35" s="1"/>
  <c r="DZ35" i="35"/>
  <c r="EA35" i="35" s="1"/>
  <c r="DZ36" i="35"/>
  <c r="EA36" i="35" s="1"/>
  <c r="DZ37" i="35"/>
  <c r="EA37" i="35" s="1"/>
  <c r="DZ38" i="35"/>
  <c r="EA38" i="35" s="1"/>
  <c r="DZ39" i="35"/>
  <c r="EA39" i="35" s="1"/>
  <c r="DZ40" i="35"/>
  <c r="EA40" i="35" s="1"/>
  <c r="DZ8" i="35"/>
  <c r="EA8" i="35" s="1"/>
  <c r="DV9" i="35"/>
  <c r="DW9" i="35" s="1"/>
  <c r="DV10" i="35"/>
  <c r="DW10" i="35" s="1"/>
  <c r="DV11" i="35"/>
  <c r="DW11" i="35" s="1"/>
  <c r="DV12" i="35"/>
  <c r="DW12" i="35" s="1"/>
  <c r="DV13" i="35"/>
  <c r="DW13" i="35" s="1"/>
  <c r="DV14" i="35"/>
  <c r="DW14" i="35" s="1"/>
  <c r="DV15" i="35"/>
  <c r="DW15" i="35" s="1"/>
  <c r="DV16" i="35"/>
  <c r="DW16" i="35" s="1"/>
  <c r="DV17" i="35"/>
  <c r="DW17" i="35" s="1"/>
  <c r="DV18" i="35"/>
  <c r="DW18" i="35" s="1"/>
  <c r="DV19" i="35"/>
  <c r="DW19" i="35" s="1"/>
  <c r="DV20" i="35"/>
  <c r="DW20" i="35" s="1"/>
  <c r="DV21" i="35"/>
  <c r="DW21" i="35" s="1"/>
  <c r="DV22" i="35"/>
  <c r="DW22" i="35" s="1"/>
  <c r="DV23" i="35"/>
  <c r="DW23" i="35" s="1"/>
  <c r="DV24" i="35"/>
  <c r="DW24" i="35" s="1"/>
  <c r="DV25" i="35"/>
  <c r="DW25" i="35" s="1"/>
  <c r="DV26" i="35"/>
  <c r="DW26" i="35" s="1"/>
  <c r="DV27" i="35"/>
  <c r="DW27" i="35" s="1"/>
  <c r="DV28" i="35"/>
  <c r="DW28" i="35" s="1"/>
  <c r="DV29" i="35"/>
  <c r="DW29" i="35" s="1"/>
  <c r="DV30" i="35"/>
  <c r="DW30" i="35" s="1"/>
  <c r="DV31" i="35"/>
  <c r="DW31" i="35" s="1"/>
  <c r="DV32" i="35"/>
  <c r="DW32" i="35" s="1"/>
  <c r="DV33" i="35"/>
  <c r="DW33" i="35" s="1"/>
  <c r="DV34" i="35"/>
  <c r="DW34" i="35" s="1"/>
  <c r="DV35" i="35"/>
  <c r="DW35" i="35" s="1"/>
  <c r="DV36" i="35"/>
  <c r="DW36" i="35" s="1"/>
  <c r="DV37" i="35"/>
  <c r="DW37" i="35" s="1"/>
  <c r="DV38" i="35"/>
  <c r="DW38" i="35" s="1"/>
  <c r="DV39" i="35"/>
  <c r="DW39" i="35" s="1"/>
  <c r="DV40" i="35"/>
  <c r="DW40" i="35" s="1"/>
  <c r="DV8" i="35"/>
  <c r="DW8" i="35" s="1"/>
  <c r="DP9" i="35"/>
  <c r="DP10" i="35"/>
  <c r="DP11" i="35"/>
  <c r="DP12" i="35"/>
  <c r="DP13" i="35"/>
  <c r="DP14" i="35"/>
  <c r="DP15" i="35"/>
  <c r="DP16" i="35"/>
  <c r="DP17" i="35"/>
  <c r="DP18" i="35"/>
  <c r="DP19" i="35"/>
  <c r="DP20" i="35"/>
  <c r="DP21" i="35"/>
  <c r="DP22" i="35"/>
  <c r="DP23" i="35"/>
  <c r="DP24" i="35"/>
  <c r="DP25" i="35"/>
  <c r="DP26" i="35"/>
  <c r="DP27" i="35"/>
  <c r="DP28" i="35"/>
  <c r="DP29" i="35"/>
  <c r="DP30" i="35"/>
  <c r="DP31" i="35"/>
  <c r="DP32" i="35"/>
  <c r="DP33" i="35"/>
  <c r="DP34" i="35"/>
  <c r="DP35" i="35"/>
  <c r="DP36" i="35"/>
  <c r="DP37" i="35"/>
  <c r="DP38" i="35"/>
  <c r="DP39" i="35"/>
  <c r="DP40" i="35"/>
  <c r="DP8" i="35"/>
  <c r="BA8" i="53" s="1"/>
  <c r="DL9" i="35"/>
  <c r="DL10" i="35"/>
  <c r="DL11" i="35"/>
  <c r="DL12" i="35"/>
  <c r="DL13" i="35"/>
  <c r="DL14" i="35"/>
  <c r="DL15" i="35"/>
  <c r="DL16" i="35"/>
  <c r="DL17" i="35"/>
  <c r="DL18" i="35"/>
  <c r="DL19" i="35"/>
  <c r="DL20" i="35"/>
  <c r="DL21" i="35"/>
  <c r="DL22" i="35"/>
  <c r="DL23" i="35"/>
  <c r="DL24" i="35"/>
  <c r="DL25" i="35"/>
  <c r="DL26" i="35"/>
  <c r="DL27" i="35"/>
  <c r="DL28" i="35"/>
  <c r="DL29" i="35"/>
  <c r="DL30" i="35"/>
  <c r="DL31" i="35"/>
  <c r="DL32" i="35"/>
  <c r="DL33" i="35"/>
  <c r="DL34" i="35"/>
  <c r="DL35" i="35"/>
  <c r="DL36" i="35"/>
  <c r="DL37" i="35"/>
  <c r="DL38" i="35"/>
  <c r="DL39" i="35"/>
  <c r="DL40" i="35"/>
  <c r="DL8" i="35"/>
  <c r="Y9" i="35"/>
  <c r="Y10" i="35"/>
  <c r="Y11" i="35"/>
  <c r="Y12" i="35"/>
  <c r="Y13" i="35"/>
  <c r="Y14" i="35"/>
  <c r="Y15" i="35"/>
  <c r="Y16" i="35"/>
  <c r="Y17" i="35"/>
  <c r="Y18" i="35"/>
  <c r="Y19" i="35"/>
  <c r="Y20" i="35"/>
  <c r="Y21" i="35"/>
  <c r="Y22" i="35"/>
  <c r="Y23" i="35"/>
  <c r="Y24" i="35"/>
  <c r="Y25" i="35"/>
  <c r="Y26" i="35"/>
  <c r="Y27" i="35"/>
  <c r="Y28" i="35"/>
  <c r="Y29" i="35"/>
  <c r="Y30" i="35"/>
  <c r="Y31" i="35"/>
  <c r="Y32" i="35"/>
  <c r="Y33" i="35"/>
  <c r="Y34" i="35"/>
  <c r="Y35" i="35"/>
  <c r="Y36" i="35"/>
  <c r="Y37" i="35"/>
  <c r="Y38" i="35"/>
  <c r="Y39" i="35"/>
  <c r="Y40" i="35"/>
  <c r="Y8" i="35"/>
  <c r="DE9" i="35"/>
  <c r="AV9" i="53" s="1"/>
  <c r="DE10" i="35"/>
  <c r="AV10" i="53" s="1"/>
  <c r="DE11" i="35"/>
  <c r="AV11" i="53" s="1"/>
  <c r="DE12" i="35"/>
  <c r="AV12" i="53" s="1"/>
  <c r="DE13" i="35"/>
  <c r="AV13" i="53" s="1"/>
  <c r="DE14" i="35"/>
  <c r="AV14" i="53" s="1"/>
  <c r="DE15" i="35"/>
  <c r="AV15" i="53" s="1"/>
  <c r="DE16" i="35"/>
  <c r="AV16" i="53" s="1"/>
  <c r="DE17" i="35"/>
  <c r="AV17" i="53" s="1"/>
  <c r="DE18" i="35"/>
  <c r="AV18" i="53" s="1"/>
  <c r="DE19" i="35"/>
  <c r="AV19" i="53" s="1"/>
  <c r="DE20" i="35"/>
  <c r="AV20" i="53" s="1"/>
  <c r="DE21" i="35"/>
  <c r="AV21" i="53" s="1"/>
  <c r="DE22" i="35"/>
  <c r="AV22" i="53" s="1"/>
  <c r="DE23" i="35"/>
  <c r="AV23" i="53" s="1"/>
  <c r="DE24" i="35"/>
  <c r="AV24" i="53" s="1"/>
  <c r="DE25" i="35"/>
  <c r="AV25" i="53" s="1"/>
  <c r="DE26" i="35"/>
  <c r="AV26" i="53" s="1"/>
  <c r="DE27" i="35"/>
  <c r="AV27" i="53" s="1"/>
  <c r="DE28" i="35"/>
  <c r="AV28" i="53" s="1"/>
  <c r="DE29" i="35"/>
  <c r="AV29" i="53" s="1"/>
  <c r="DE30" i="35"/>
  <c r="AV30" i="53" s="1"/>
  <c r="DE31" i="35"/>
  <c r="AV31" i="53" s="1"/>
  <c r="DE32" i="35"/>
  <c r="AV32" i="53" s="1"/>
  <c r="DE33" i="35"/>
  <c r="AV33" i="53" s="1"/>
  <c r="DE34" i="35"/>
  <c r="AV34" i="53" s="1"/>
  <c r="DE35" i="35"/>
  <c r="AV35" i="53" s="1"/>
  <c r="DE36" i="35"/>
  <c r="AV36" i="53" s="1"/>
  <c r="DE37" i="35"/>
  <c r="AV37" i="53" s="1"/>
  <c r="DE38" i="35"/>
  <c r="AV38" i="53" s="1"/>
  <c r="DE39" i="35"/>
  <c r="AV39" i="53" s="1"/>
  <c r="DE40" i="35"/>
  <c r="AV40" i="53" s="1"/>
  <c r="DE8" i="35"/>
  <c r="AV8" i="53" s="1"/>
  <c r="DD9" i="35"/>
  <c r="DD10" i="35"/>
  <c r="DD11" i="35"/>
  <c r="DD12" i="35"/>
  <c r="DD13" i="35"/>
  <c r="DD14" i="35"/>
  <c r="DD15" i="35"/>
  <c r="DD16" i="35"/>
  <c r="DD17" i="35"/>
  <c r="DD18" i="35"/>
  <c r="DD19" i="35"/>
  <c r="DD20" i="35"/>
  <c r="DD21" i="35"/>
  <c r="DD22" i="35"/>
  <c r="DD23" i="35"/>
  <c r="DD24" i="35"/>
  <c r="DD25" i="35"/>
  <c r="DD26" i="35"/>
  <c r="DD27" i="35"/>
  <c r="DD28" i="35"/>
  <c r="DD29" i="35"/>
  <c r="DD30" i="35"/>
  <c r="DD31" i="35"/>
  <c r="DD32" i="35"/>
  <c r="DD33" i="35"/>
  <c r="DD34" i="35"/>
  <c r="DD35" i="35"/>
  <c r="DD36" i="35"/>
  <c r="DD37" i="35"/>
  <c r="DD38" i="35"/>
  <c r="DD39" i="35"/>
  <c r="DD40" i="35"/>
  <c r="DD8" i="35"/>
  <c r="DF34" i="35" l="1"/>
  <c r="AU34" i="53"/>
  <c r="DF26" i="35"/>
  <c r="AU26" i="53"/>
  <c r="DF18" i="35"/>
  <c r="AU18" i="53"/>
  <c r="DF10" i="35"/>
  <c r="AU10" i="53"/>
  <c r="DN8" i="35"/>
  <c r="AY8" i="53"/>
  <c r="DN29" i="35"/>
  <c r="AY29" i="53"/>
  <c r="DN21" i="35"/>
  <c r="AY21" i="53"/>
  <c r="DN9" i="35"/>
  <c r="AY9" i="53"/>
  <c r="DR34" i="35"/>
  <c r="BA34" i="53"/>
  <c r="DR26" i="35"/>
  <c r="BA26" i="53"/>
  <c r="DR22" i="35"/>
  <c r="BA22" i="53"/>
  <c r="DR14" i="35"/>
  <c r="BA14" i="53"/>
  <c r="DR10" i="35"/>
  <c r="BA10" i="53"/>
  <c r="EL34" i="35"/>
  <c r="EM34" i="35" s="1"/>
  <c r="BK34" i="53"/>
  <c r="EL26" i="35"/>
  <c r="EM26" i="35" s="1"/>
  <c r="BK26" i="53"/>
  <c r="EL14" i="35"/>
  <c r="EM14" i="35" s="1"/>
  <c r="BK14" i="53"/>
  <c r="EP39" i="35"/>
  <c r="EQ39" i="35" s="1"/>
  <c r="BM39" i="53"/>
  <c r="EP31" i="35"/>
  <c r="EQ31" i="35" s="1"/>
  <c r="BM31" i="53"/>
  <c r="EP23" i="35"/>
  <c r="EQ23" i="35" s="1"/>
  <c r="BM23" i="53"/>
  <c r="EP15" i="35"/>
  <c r="EQ15" i="35" s="1"/>
  <c r="BM15" i="53"/>
  <c r="EP11" i="35"/>
  <c r="EQ11" i="35" s="1"/>
  <c r="BM11" i="53"/>
  <c r="ET36" i="35"/>
  <c r="EU36" i="35" s="1"/>
  <c r="C78" i="53"/>
  <c r="ET28" i="35"/>
  <c r="EU28" i="35" s="1"/>
  <c r="C70" i="53"/>
  <c r="ET20" i="35"/>
  <c r="EU20" i="35" s="1"/>
  <c r="C62" i="53"/>
  <c r="ET12" i="35"/>
  <c r="EU12" i="35" s="1"/>
  <c r="C54" i="53"/>
  <c r="FB38" i="35"/>
  <c r="FC38" i="35" s="1"/>
  <c r="G80" i="53"/>
  <c r="FB30" i="35"/>
  <c r="FC30" i="35" s="1"/>
  <c r="G72" i="53"/>
  <c r="FB22" i="35"/>
  <c r="FC22" i="35" s="1"/>
  <c r="G64" i="53"/>
  <c r="FB14" i="35"/>
  <c r="FC14" i="35" s="1"/>
  <c r="G56" i="53"/>
  <c r="FF35" i="35"/>
  <c r="FG35" i="35" s="1"/>
  <c r="I77" i="53"/>
  <c r="FF27" i="35"/>
  <c r="FG27" i="35" s="1"/>
  <c r="I69" i="53"/>
  <c r="FF15" i="35"/>
  <c r="FG15" i="35" s="1"/>
  <c r="I57" i="53"/>
  <c r="FJ40" i="35"/>
  <c r="FK40" i="35" s="1"/>
  <c r="K82" i="53"/>
  <c r="FJ32" i="35"/>
  <c r="FK32" i="35" s="1"/>
  <c r="K74" i="53"/>
  <c r="FJ24" i="35"/>
  <c r="FK24" i="35" s="1"/>
  <c r="K66" i="53"/>
  <c r="FJ16" i="35"/>
  <c r="FK16" i="35" s="1"/>
  <c r="K58" i="53"/>
  <c r="FN8" i="35"/>
  <c r="FO8" i="35" s="1"/>
  <c r="M50" i="53"/>
  <c r="FN33" i="35"/>
  <c r="FO33" i="35" s="1"/>
  <c r="M75" i="53"/>
  <c r="FN25" i="35"/>
  <c r="FO25" i="35" s="1"/>
  <c r="M67" i="53"/>
  <c r="FN13" i="35"/>
  <c r="FO13" i="35" s="1"/>
  <c r="M55" i="53"/>
  <c r="FR39" i="35"/>
  <c r="FS39" i="35" s="1"/>
  <c r="O81" i="53"/>
  <c r="FR31" i="35"/>
  <c r="FS31" i="35" s="1"/>
  <c r="O73" i="53"/>
  <c r="FR23" i="35"/>
  <c r="FS23" i="35" s="1"/>
  <c r="O65" i="53"/>
  <c r="FR15" i="35"/>
  <c r="FS15" i="35" s="1"/>
  <c r="O57" i="53"/>
  <c r="FV40" i="35"/>
  <c r="FW40" i="35" s="1"/>
  <c r="Q82" i="53"/>
  <c r="FV32" i="35"/>
  <c r="FW32" i="35" s="1"/>
  <c r="Q74" i="53"/>
  <c r="FV24" i="35"/>
  <c r="FW24" i="35" s="1"/>
  <c r="Q66" i="53"/>
  <c r="FV20" i="35"/>
  <c r="FW20" i="35" s="1"/>
  <c r="Q62" i="53"/>
  <c r="FV12" i="35"/>
  <c r="FW12" i="35" s="1"/>
  <c r="Q54" i="53"/>
  <c r="DF33" i="35"/>
  <c r="AU33" i="53"/>
  <c r="DF25" i="35"/>
  <c r="AU25" i="53"/>
  <c r="DF21" i="35"/>
  <c r="AU21" i="53"/>
  <c r="DF13" i="35"/>
  <c r="AU13" i="53"/>
  <c r="DN36" i="35"/>
  <c r="AY36" i="53"/>
  <c r="DN24" i="35"/>
  <c r="AY24" i="53"/>
  <c r="DR29" i="35"/>
  <c r="BA29" i="53"/>
  <c r="DR17" i="35"/>
  <c r="BA17" i="53"/>
  <c r="EL37" i="35"/>
  <c r="EM37" i="35" s="1"/>
  <c r="BK37" i="53"/>
  <c r="EL29" i="35"/>
  <c r="EM29" i="35" s="1"/>
  <c r="BK29" i="53"/>
  <c r="EL25" i="35"/>
  <c r="EM25" i="35" s="1"/>
  <c r="BK25" i="53"/>
  <c r="EL17" i="35"/>
  <c r="EM17" i="35" s="1"/>
  <c r="BK17" i="53"/>
  <c r="EL9" i="35"/>
  <c r="EM9" i="35" s="1"/>
  <c r="BK9" i="53"/>
  <c r="EP34" i="35"/>
  <c r="EQ34" i="35" s="1"/>
  <c r="BM34" i="53"/>
  <c r="EP22" i="35"/>
  <c r="EQ22" i="35" s="1"/>
  <c r="BM22" i="53"/>
  <c r="EP14" i="35"/>
  <c r="EQ14" i="35" s="1"/>
  <c r="BM14" i="53"/>
  <c r="ET39" i="35"/>
  <c r="EU39" i="35" s="1"/>
  <c r="C81" i="53"/>
  <c r="ET31" i="35"/>
  <c r="EU31" i="35" s="1"/>
  <c r="C73" i="53"/>
  <c r="ET27" i="35"/>
  <c r="EU27" i="35" s="1"/>
  <c r="C69" i="53"/>
  <c r="ET19" i="35"/>
  <c r="EU19" i="35" s="1"/>
  <c r="C61" i="53"/>
  <c r="ET15" i="35"/>
  <c r="EU15" i="35" s="1"/>
  <c r="C57" i="53"/>
  <c r="ET11" i="35"/>
  <c r="EU11" i="35" s="1"/>
  <c r="C53" i="53"/>
  <c r="FB29" i="35"/>
  <c r="FC29" i="35" s="1"/>
  <c r="G71" i="53"/>
  <c r="FB25" i="35"/>
  <c r="FC25" i="35" s="1"/>
  <c r="G67" i="53"/>
  <c r="FB17" i="35"/>
  <c r="FC17" i="35" s="1"/>
  <c r="G59" i="53"/>
  <c r="FB9" i="35"/>
  <c r="FC9" i="35" s="1"/>
  <c r="G51" i="53"/>
  <c r="FF34" i="35"/>
  <c r="FG34" i="35" s="1"/>
  <c r="I76" i="53"/>
  <c r="FF26" i="35"/>
  <c r="FG26" i="35" s="1"/>
  <c r="I68" i="53"/>
  <c r="FF18" i="35"/>
  <c r="FG18" i="35" s="1"/>
  <c r="I60" i="53"/>
  <c r="FF10" i="35"/>
  <c r="FG10" i="35" s="1"/>
  <c r="I52" i="53"/>
  <c r="FJ35" i="35"/>
  <c r="FK35" i="35" s="1"/>
  <c r="K77" i="53"/>
  <c r="FJ27" i="35"/>
  <c r="FK27" i="35" s="1"/>
  <c r="K69" i="53"/>
  <c r="FJ19" i="35"/>
  <c r="FK19" i="35" s="1"/>
  <c r="K61" i="53"/>
  <c r="FJ11" i="35"/>
  <c r="FK11" i="35" s="1"/>
  <c r="K53" i="53"/>
  <c r="FN36" i="35"/>
  <c r="FO36" i="35" s="1"/>
  <c r="M78" i="53"/>
  <c r="FN28" i="35"/>
  <c r="FO28" i="35" s="1"/>
  <c r="M70" i="53"/>
  <c r="FN24" i="35"/>
  <c r="FO24" i="35" s="1"/>
  <c r="M66" i="53"/>
  <c r="FN16" i="35"/>
  <c r="FO16" i="35" s="1"/>
  <c r="M58" i="53"/>
  <c r="FM47" i="35"/>
  <c r="N50" i="53"/>
  <c r="FR34" i="35"/>
  <c r="FS34" i="35" s="1"/>
  <c r="O76" i="53"/>
  <c r="FR26" i="35"/>
  <c r="FS26" i="35" s="1"/>
  <c r="O68" i="53"/>
  <c r="FR18" i="35"/>
  <c r="FS18" i="35" s="1"/>
  <c r="O60" i="53"/>
  <c r="FR10" i="35"/>
  <c r="FS10" i="35" s="1"/>
  <c r="O52" i="53"/>
  <c r="FV39" i="35"/>
  <c r="FW39" i="35" s="1"/>
  <c r="Q81" i="53"/>
  <c r="FV31" i="35"/>
  <c r="FW31" i="35" s="1"/>
  <c r="Q73" i="53"/>
  <c r="FV19" i="35"/>
  <c r="FW19" i="35" s="1"/>
  <c r="Q61" i="53"/>
  <c r="FV11" i="35"/>
  <c r="FW11" i="35" s="1"/>
  <c r="Q53" i="53"/>
  <c r="DF40" i="35"/>
  <c r="AU40" i="53"/>
  <c r="DF36" i="35"/>
  <c r="AU36" i="53"/>
  <c r="DF32" i="35"/>
  <c r="AU32" i="53"/>
  <c r="DF28" i="35"/>
  <c r="AU28" i="53"/>
  <c r="DF24" i="35"/>
  <c r="AU24" i="53"/>
  <c r="DF20" i="35"/>
  <c r="AU20" i="53"/>
  <c r="DF16" i="35"/>
  <c r="AU16" i="53"/>
  <c r="DF12" i="35"/>
  <c r="AU12" i="53"/>
  <c r="DN39" i="35"/>
  <c r="AY39" i="53"/>
  <c r="DN35" i="35"/>
  <c r="AY35" i="53"/>
  <c r="DN31" i="35"/>
  <c r="AY31" i="53"/>
  <c r="DN27" i="35"/>
  <c r="AY27" i="53"/>
  <c r="DN23" i="35"/>
  <c r="AY23" i="53"/>
  <c r="DN19" i="35"/>
  <c r="AY19" i="53"/>
  <c r="DN15" i="35"/>
  <c r="AY15" i="53"/>
  <c r="DN11" i="35"/>
  <c r="AY11" i="53"/>
  <c r="DR40" i="35"/>
  <c r="BA40" i="53"/>
  <c r="DR36" i="35"/>
  <c r="BA36" i="53"/>
  <c r="DR32" i="35"/>
  <c r="BA32" i="53"/>
  <c r="DR28" i="35"/>
  <c r="BA28" i="53"/>
  <c r="DR24" i="35"/>
  <c r="BA24" i="53"/>
  <c r="DR20" i="35"/>
  <c r="BA20" i="53"/>
  <c r="DR16" i="35"/>
  <c r="BA16" i="53"/>
  <c r="DR12" i="35"/>
  <c r="BA12" i="53"/>
  <c r="EL40" i="35"/>
  <c r="EM40" i="35" s="1"/>
  <c r="BK40" i="53"/>
  <c r="EL36" i="35"/>
  <c r="EM36" i="35" s="1"/>
  <c r="BK36" i="53"/>
  <c r="EL32" i="35"/>
  <c r="EM32" i="35" s="1"/>
  <c r="BK32" i="53"/>
  <c r="EL28" i="35"/>
  <c r="EM28" i="35" s="1"/>
  <c r="BK28" i="53"/>
  <c r="EL24" i="35"/>
  <c r="EM24" i="35" s="1"/>
  <c r="BK24" i="53"/>
  <c r="EL20" i="35"/>
  <c r="EM20" i="35" s="1"/>
  <c r="BK20" i="53"/>
  <c r="EL16" i="35"/>
  <c r="EM16" i="35" s="1"/>
  <c r="BK16" i="53"/>
  <c r="EL12" i="35"/>
  <c r="EM12" i="35" s="1"/>
  <c r="BK12" i="53"/>
  <c r="EP37" i="35"/>
  <c r="EQ37" i="35" s="1"/>
  <c r="BM37" i="53"/>
  <c r="EP33" i="35"/>
  <c r="EQ33" i="35" s="1"/>
  <c r="BM33" i="53"/>
  <c r="EP29" i="35"/>
  <c r="EQ29" i="35" s="1"/>
  <c r="BM29" i="53"/>
  <c r="EP25" i="35"/>
  <c r="EQ25" i="35" s="1"/>
  <c r="BM25" i="53"/>
  <c r="EP21" i="35"/>
  <c r="EQ21" i="35" s="1"/>
  <c r="BM21" i="53"/>
  <c r="EP17" i="35"/>
  <c r="EQ17" i="35" s="1"/>
  <c r="BM17" i="53"/>
  <c r="EP13" i="35"/>
  <c r="EQ13" i="35" s="1"/>
  <c r="BM13" i="53"/>
  <c r="EP9" i="35"/>
  <c r="EQ9" i="35" s="1"/>
  <c r="BM9" i="53"/>
  <c r="ET38" i="35"/>
  <c r="EU38" i="35" s="1"/>
  <c r="C80" i="53"/>
  <c r="ET34" i="35"/>
  <c r="EU34" i="35" s="1"/>
  <c r="C76" i="53"/>
  <c r="ET30" i="35"/>
  <c r="EU30" i="35" s="1"/>
  <c r="C72" i="53"/>
  <c r="ET26" i="35"/>
  <c r="EU26" i="35" s="1"/>
  <c r="C68" i="53"/>
  <c r="ET22" i="35"/>
  <c r="EU22" i="35" s="1"/>
  <c r="C64" i="53"/>
  <c r="ET18" i="35"/>
  <c r="EU18" i="35" s="1"/>
  <c r="C60" i="53"/>
  <c r="ET14" i="35"/>
  <c r="EU14" i="35" s="1"/>
  <c r="C56" i="53"/>
  <c r="ET10" i="35"/>
  <c r="EU10" i="35" s="1"/>
  <c r="C52" i="53"/>
  <c r="FB40" i="35"/>
  <c r="FC40" i="35" s="1"/>
  <c r="G82" i="53"/>
  <c r="FB36" i="35"/>
  <c r="FC36" i="35" s="1"/>
  <c r="G78" i="53"/>
  <c r="FB32" i="35"/>
  <c r="FC32" i="35" s="1"/>
  <c r="G74" i="53"/>
  <c r="FB28" i="35"/>
  <c r="FC28" i="35" s="1"/>
  <c r="G70" i="53"/>
  <c r="FB24" i="35"/>
  <c r="FC24" i="35" s="1"/>
  <c r="G66" i="53"/>
  <c r="FB20" i="35"/>
  <c r="FC20" i="35" s="1"/>
  <c r="G62" i="53"/>
  <c r="FB16" i="35"/>
  <c r="FC16" i="35" s="1"/>
  <c r="G58" i="53"/>
  <c r="FB12" i="35"/>
  <c r="FC12" i="35" s="1"/>
  <c r="G54" i="53"/>
  <c r="FF37" i="35"/>
  <c r="FG37" i="35" s="1"/>
  <c r="I79" i="53"/>
  <c r="FF33" i="35"/>
  <c r="FG33" i="35" s="1"/>
  <c r="I75" i="53"/>
  <c r="FF29" i="35"/>
  <c r="FG29" i="35" s="1"/>
  <c r="I71" i="53"/>
  <c r="FF25" i="35"/>
  <c r="FG25" i="35" s="1"/>
  <c r="I67" i="53"/>
  <c r="FF21" i="35"/>
  <c r="FG21" i="35" s="1"/>
  <c r="I63" i="53"/>
  <c r="FF17" i="35"/>
  <c r="FG17" i="35" s="1"/>
  <c r="I59" i="53"/>
  <c r="FF13" i="35"/>
  <c r="FG13" i="35" s="1"/>
  <c r="I55" i="53"/>
  <c r="FF9" i="35"/>
  <c r="FG9" i="35" s="1"/>
  <c r="I51" i="53"/>
  <c r="FJ38" i="35"/>
  <c r="FK38" i="35" s="1"/>
  <c r="K80" i="53"/>
  <c r="FJ34" i="35"/>
  <c r="FK34" i="35" s="1"/>
  <c r="K76" i="53"/>
  <c r="FJ30" i="35"/>
  <c r="FK30" i="35" s="1"/>
  <c r="K72" i="53"/>
  <c r="FJ26" i="35"/>
  <c r="FK26" i="35" s="1"/>
  <c r="K68" i="53"/>
  <c r="FJ22" i="35"/>
  <c r="FK22" i="35" s="1"/>
  <c r="K64" i="53"/>
  <c r="FJ18" i="35"/>
  <c r="FK18" i="35" s="1"/>
  <c r="K60" i="53"/>
  <c r="FJ14" i="35"/>
  <c r="FK14" i="35" s="1"/>
  <c r="K56" i="53"/>
  <c r="FJ10" i="35"/>
  <c r="FK10" i="35" s="1"/>
  <c r="K52" i="53"/>
  <c r="FN39" i="35"/>
  <c r="FO39" i="35" s="1"/>
  <c r="M81" i="53"/>
  <c r="FN35" i="35"/>
  <c r="FO35" i="35" s="1"/>
  <c r="M77" i="53"/>
  <c r="FN31" i="35"/>
  <c r="FO31" i="35" s="1"/>
  <c r="M73" i="53"/>
  <c r="FN27" i="35"/>
  <c r="FO27" i="35" s="1"/>
  <c r="M69" i="53"/>
  <c r="FN23" i="35"/>
  <c r="FO23" i="35" s="1"/>
  <c r="M65" i="53"/>
  <c r="FN19" i="35"/>
  <c r="FO19" i="35" s="1"/>
  <c r="M61" i="53"/>
  <c r="FN15" i="35"/>
  <c r="FO15" i="35" s="1"/>
  <c r="M57" i="53"/>
  <c r="FN11" i="35"/>
  <c r="FO11" i="35" s="1"/>
  <c r="M53" i="53"/>
  <c r="FR37" i="35"/>
  <c r="FS37" i="35" s="1"/>
  <c r="O79" i="53"/>
  <c r="FR33" i="35"/>
  <c r="FS33" i="35" s="1"/>
  <c r="O75" i="53"/>
  <c r="FR29" i="35"/>
  <c r="FS29" i="35" s="1"/>
  <c r="O71" i="53"/>
  <c r="FR25" i="35"/>
  <c r="FS25" i="35" s="1"/>
  <c r="O67" i="53"/>
  <c r="FR21" i="35"/>
  <c r="FS21" i="35" s="1"/>
  <c r="O63" i="53"/>
  <c r="FR17" i="35"/>
  <c r="FS17" i="35" s="1"/>
  <c r="O59" i="53"/>
  <c r="FR13" i="35"/>
  <c r="FS13" i="35" s="1"/>
  <c r="O55" i="53"/>
  <c r="FR9" i="35"/>
  <c r="FS9" i="35" s="1"/>
  <c r="O51" i="53"/>
  <c r="FV38" i="35"/>
  <c r="FW38" i="35" s="1"/>
  <c r="Q80" i="53"/>
  <c r="FV34" i="35"/>
  <c r="FW34" i="35" s="1"/>
  <c r="Q76" i="53"/>
  <c r="FV30" i="35"/>
  <c r="FW30" i="35" s="1"/>
  <c r="Q72" i="53"/>
  <c r="FV26" i="35"/>
  <c r="FW26" i="35" s="1"/>
  <c r="Q68" i="53"/>
  <c r="FV22" i="35"/>
  <c r="FW22" i="35" s="1"/>
  <c r="Q64" i="53"/>
  <c r="FV18" i="35"/>
  <c r="FW18" i="35" s="1"/>
  <c r="Q60" i="53"/>
  <c r="FV14" i="35"/>
  <c r="FW14" i="35" s="1"/>
  <c r="Q56" i="53"/>
  <c r="FV10" i="35"/>
  <c r="FW10" i="35" s="1"/>
  <c r="Q52" i="53"/>
  <c r="DF38" i="35"/>
  <c r="AU38" i="53"/>
  <c r="DF30" i="35"/>
  <c r="AU30" i="53"/>
  <c r="DF22" i="35"/>
  <c r="AU22" i="53"/>
  <c r="DF14" i="35"/>
  <c r="AU14" i="53"/>
  <c r="DN37" i="35"/>
  <c r="AY37" i="53"/>
  <c r="DN33" i="35"/>
  <c r="AY33" i="53"/>
  <c r="DN25" i="35"/>
  <c r="AY25" i="53"/>
  <c r="DN17" i="35"/>
  <c r="AY17" i="53"/>
  <c r="DN13" i="35"/>
  <c r="AY13" i="53"/>
  <c r="DR38" i="35"/>
  <c r="BA38" i="53"/>
  <c r="DR30" i="35"/>
  <c r="BA30" i="53"/>
  <c r="DR18" i="35"/>
  <c r="BA18" i="53"/>
  <c r="EL38" i="35"/>
  <c r="EM38" i="35" s="1"/>
  <c r="BK38" i="53"/>
  <c r="EL30" i="35"/>
  <c r="EM30" i="35" s="1"/>
  <c r="BK30" i="53"/>
  <c r="EL22" i="35"/>
  <c r="EM22" i="35" s="1"/>
  <c r="BK22" i="53"/>
  <c r="EL18" i="35"/>
  <c r="EM18" i="35" s="1"/>
  <c r="BK18" i="53"/>
  <c r="EL10" i="35"/>
  <c r="EM10" i="35" s="1"/>
  <c r="BK10" i="53"/>
  <c r="EP35" i="35"/>
  <c r="EQ35" i="35" s="1"/>
  <c r="BM35" i="53"/>
  <c r="EP27" i="35"/>
  <c r="EQ27" i="35" s="1"/>
  <c r="BM27" i="53"/>
  <c r="EP19" i="35"/>
  <c r="EQ19" i="35" s="1"/>
  <c r="BM19" i="53"/>
  <c r="ET40" i="35"/>
  <c r="EU40" i="35" s="1"/>
  <c r="C82" i="53"/>
  <c r="ET32" i="35"/>
  <c r="EU32" i="35" s="1"/>
  <c r="C74" i="53"/>
  <c r="ET24" i="35"/>
  <c r="EU24" i="35" s="1"/>
  <c r="C66" i="53"/>
  <c r="ET16" i="35"/>
  <c r="EU16" i="35" s="1"/>
  <c r="C58" i="53"/>
  <c r="FB34" i="35"/>
  <c r="FC34" i="35" s="1"/>
  <c r="G76" i="53"/>
  <c r="FB26" i="35"/>
  <c r="FC26" i="35" s="1"/>
  <c r="G68" i="53"/>
  <c r="FB18" i="35"/>
  <c r="FC18" i="35" s="1"/>
  <c r="G60" i="53"/>
  <c r="FB10" i="35"/>
  <c r="FC10" i="35" s="1"/>
  <c r="G52" i="53"/>
  <c r="FF39" i="35"/>
  <c r="FG39" i="35" s="1"/>
  <c r="I81" i="53"/>
  <c r="FF31" i="35"/>
  <c r="FG31" i="35" s="1"/>
  <c r="I73" i="53"/>
  <c r="FF23" i="35"/>
  <c r="FG23" i="35" s="1"/>
  <c r="I65" i="53"/>
  <c r="FF19" i="35"/>
  <c r="FG19" i="35" s="1"/>
  <c r="I61" i="53"/>
  <c r="FF11" i="35"/>
  <c r="FG11" i="35" s="1"/>
  <c r="I53" i="53"/>
  <c r="FJ36" i="35"/>
  <c r="FK36" i="35" s="1"/>
  <c r="K78" i="53"/>
  <c r="FJ28" i="35"/>
  <c r="FK28" i="35" s="1"/>
  <c r="K70" i="53"/>
  <c r="FJ20" i="35"/>
  <c r="FK20" i="35" s="1"/>
  <c r="K62" i="53"/>
  <c r="FJ12" i="35"/>
  <c r="FK12" i="35" s="1"/>
  <c r="K54" i="53"/>
  <c r="FN37" i="35"/>
  <c r="FO37" i="35" s="1"/>
  <c r="M79" i="53"/>
  <c r="FN29" i="35"/>
  <c r="FO29" i="35" s="1"/>
  <c r="M71" i="53"/>
  <c r="FN21" i="35"/>
  <c r="FO21" i="35" s="1"/>
  <c r="M63" i="53"/>
  <c r="FN17" i="35"/>
  <c r="FO17" i="35" s="1"/>
  <c r="M59" i="53"/>
  <c r="FN9" i="35"/>
  <c r="FO9" i="35" s="1"/>
  <c r="M51" i="53"/>
  <c r="FR35" i="35"/>
  <c r="FS35" i="35" s="1"/>
  <c r="O77" i="53"/>
  <c r="FR27" i="35"/>
  <c r="FS27" i="35" s="1"/>
  <c r="O69" i="53"/>
  <c r="FR19" i="35"/>
  <c r="FS19" i="35" s="1"/>
  <c r="O61" i="53"/>
  <c r="FR11" i="35"/>
  <c r="FS11" i="35" s="1"/>
  <c r="O53" i="53"/>
  <c r="FV36" i="35"/>
  <c r="FW36" i="35" s="1"/>
  <c r="Q78" i="53"/>
  <c r="FV28" i="35"/>
  <c r="FW28" i="35" s="1"/>
  <c r="Q70" i="53"/>
  <c r="FV16" i="35"/>
  <c r="FW16" i="35" s="1"/>
  <c r="Q58" i="53"/>
  <c r="DF8" i="35"/>
  <c r="AU8" i="53"/>
  <c r="DF37" i="35"/>
  <c r="AU37" i="53"/>
  <c r="DF29" i="35"/>
  <c r="AU29" i="53"/>
  <c r="DF17" i="35"/>
  <c r="AU17" i="53"/>
  <c r="DF9" i="35"/>
  <c r="AU9" i="53"/>
  <c r="DN40" i="35"/>
  <c r="AY40" i="53"/>
  <c r="DN32" i="35"/>
  <c r="AY32" i="53"/>
  <c r="DN28" i="35"/>
  <c r="AY28" i="53"/>
  <c r="DN20" i="35"/>
  <c r="AY20" i="53"/>
  <c r="DN16" i="35"/>
  <c r="AY16" i="53"/>
  <c r="DN12" i="35"/>
  <c r="AY12" i="53"/>
  <c r="DR37" i="35"/>
  <c r="BA37" i="53"/>
  <c r="DR33" i="35"/>
  <c r="BA33" i="53"/>
  <c r="DR25" i="35"/>
  <c r="BA25" i="53"/>
  <c r="DR21" i="35"/>
  <c r="BA21" i="53"/>
  <c r="DR13" i="35"/>
  <c r="BA13" i="53"/>
  <c r="DR9" i="35"/>
  <c r="BA9" i="53"/>
  <c r="EL33" i="35"/>
  <c r="EM33" i="35" s="1"/>
  <c r="BK33" i="53"/>
  <c r="EL21" i="35"/>
  <c r="EM21" i="35" s="1"/>
  <c r="BK21" i="53"/>
  <c r="EL13" i="35"/>
  <c r="EM13" i="35" s="1"/>
  <c r="BK13" i="53"/>
  <c r="EP38" i="35"/>
  <c r="EQ38" i="35" s="1"/>
  <c r="BM38" i="53"/>
  <c r="EP30" i="35"/>
  <c r="EQ30" i="35" s="1"/>
  <c r="BM30" i="53"/>
  <c r="EP26" i="35"/>
  <c r="EQ26" i="35" s="1"/>
  <c r="BM26" i="53"/>
  <c r="EP18" i="35"/>
  <c r="EQ18" i="35" s="1"/>
  <c r="BM18" i="53"/>
  <c r="EP10" i="35"/>
  <c r="EQ10" i="35" s="1"/>
  <c r="BM10" i="53"/>
  <c r="ET35" i="35"/>
  <c r="EU35" i="35" s="1"/>
  <c r="C77" i="53"/>
  <c r="ET23" i="35"/>
  <c r="EU23" i="35" s="1"/>
  <c r="C65" i="53"/>
  <c r="FB37" i="35"/>
  <c r="FC37" i="35" s="1"/>
  <c r="G79" i="53"/>
  <c r="FB33" i="35"/>
  <c r="FC33" i="35" s="1"/>
  <c r="G75" i="53"/>
  <c r="FB21" i="35"/>
  <c r="FC21" i="35" s="1"/>
  <c r="G63" i="53"/>
  <c r="FB13" i="35"/>
  <c r="FC13" i="35" s="1"/>
  <c r="G55" i="53"/>
  <c r="FF38" i="35"/>
  <c r="FG38" i="35" s="1"/>
  <c r="I80" i="53"/>
  <c r="FF30" i="35"/>
  <c r="FG30" i="35" s="1"/>
  <c r="I72" i="53"/>
  <c r="FF22" i="35"/>
  <c r="FG22" i="35" s="1"/>
  <c r="I64" i="53"/>
  <c r="FF14" i="35"/>
  <c r="FG14" i="35" s="1"/>
  <c r="I56" i="53"/>
  <c r="FJ39" i="35"/>
  <c r="FK39" i="35" s="1"/>
  <c r="K81" i="53"/>
  <c r="FJ31" i="35"/>
  <c r="FK31" i="35" s="1"/>
  <c r="K73" i="53"/>
  <c r="FJ23" i="35"/>
  <c r="FK23" i="35" s="1"/>
  <c r="K65" i="53"/>
  <c r="FJ15" i="35"/>
  <c r="FK15" i="35" s="1"/>
  <c r="K57" i="53"/>
  <c r="FN40" i="35"/>
  <c r="FO40" i="35" s="1"/>
  <c r="M82" i="53"/>
  <c r="FN32" i="35"/>
  <c r="FO32" i="35" s="1"/>
  <c r="M74" i="53"/>
  <c r="FN20" i="35"/>
  <c r="FO20" i="35" s="1"/>
  <c r="M62" i="53"/>
  <c r="FN12" i="35"/>
  <c r="FO12" i="35" s="1"/>
  <c r="M54" i="53"/>
  <c r="FR38" i="35"/>
  <c r="FS38" i="35" s="1"/>
  <c r="O80" i="53"/>
  <c r="FR30" i="35"/>
  <c r="FS30" i="35" s="1"/>
  <c r="O72" i="53"/>
  <c r="FR22" i="35"/>
  <c r="FS22" i="35" s="1"/>
  <c r="O64" i="53"/>
  <c r="FR14" i="35"/>
  <c r="FS14" i="35" s="1"/>
  <c r="O56" i="53"/>
  <c r="FV35" i="35"/>
  <c r="FW35" i="35" s="1"/>
  <c r="Q77" i="53"/>
  <c r="FV27" i="35"/>
  <c r="FW27" i="35" s="1"/>
  <c r="Q69" i="53"/>
  <c r="FV23" i="35"/>
  <c r="FW23" i="35" s="1"/>
  <c r="Q65" i="53"/>
  <c r="FV15" i="35"/>
  <c r="FW15" i="35" s="1"/>
  <c r="Q57" i="53"/>
  <c r="DF39" i="35"/>
  <c r="AU39" i="53"/>
  <c r="DF35" i="35"/>
  <c r="AU35" i="53"/>
  <c r="DF31" i="35"/>
  <c r="AU31" i="53"/>
  <c r="DF27" i="35"/>
  <c r="AU27" i="53"/>
  <c r="DF23" i="35"/>
  <c r="AU23" i="53"/>
  <c r="DF19" i="35"/>
  <c r="AU19" i="53"/>
  <c r="DF15" i="35"/>
  <c r="AU15" i="53"/>
  <c r="DF11" i="35"/>
  <c r="AU11" i="53"/>
  <c r="DN38" i="35"/>
  <c r="AY38" i="53"/>
  <c r="DN34" i="35"/>
  <c r="AY34" i="53"/>
  <c r="DN30" i="35"/>
  <c r="AY30" i="53"/>
  <c r="DN26" i="35"/>
  <c r="AY26" i="53"/>
  <c r="DN22" i="35"/>
  <c r="AY22" i="53"/>
  <c r="DN18" i="35"/>
  <c r="AY18" i="53"/>
  <c r="DN14" i="35"/>
  <c r="AY14" i="53"/>
  <c r="DN10" i="35"/>
  <c r="AY10" i="53"/>
  <c r="DR39" i="35"/>
  <c r="BA39" i="53"/>
  <c r="DR35" i="35"/>
  <c r="BA35" i="53"/>
  <c r="DR31" i="35"/>
  <c r="BA31" i="53"/>
  <c r="DR27" i="35"/>
  <c r="BA27" i="53"/>
  <c r="DR23" i="35"/>
  <c r="BA23" i="53"/>
  <c r="DR19" i="35"/>
  <c r="BA19" i="53"/>
  <c r="DR15" i="35"/>
  <c r="BA15" i="53"/>
  <c r="DR11" i="35"/>
  <c r="BA11" i="53"/>
  <c r="EL39" i="35"/>
  <c r="EM39" i="35" s="1"/>
  <c r="BK39" i="53"/>
  <c r="EL35" i="35"/>
  <c r="EM35" i="35" s="1"/>
  <c r="BK35" i="53"/>
  <c r="EL31" i="35"/>
  <c r="EM31" i="35" s="1"/>
  <c r="BK31" i="53"/>
  <c r="EL27" i="35"/>
  <c r="EM27" i="35" s="1"/>
  <c r="BK27" i="53"/>
  <c r="EL23" i="35"/>
  <c r="EM23" i="35" s="1"/>
  <c r="BK23" i="53"/>
  <c r="EL19" i="35"/>
  <c r="EM19" i="35" s="1"/>
  <c r="BK19" i="53"/>
  <c r="EL15" i="35"/>
  <c r="EM15" i="35" s="1"/>
  <c r="BK15" i="53"/>
  <c r="EL11" i="35"/>
  <c r="EM11" i="35" s="1"/>
  <c r="BK11" i="53"/>
  <c r="EP40" i="35"/>
  <c r="EQ40" i="35" s="1"/>
  <c r="BM40" i="53"/>
  <c r="EP36" i="35"/>
  <c r="EQ36" i="35" s="1"/>
  <c r="BM36" i="53"/>
  <c r="EP32" i="35"/>
  <c r="EQ32" i="35" s="1"/>
  <c r="BM32" i="53"/>
  <c r="EP28" i="35"/>
  <c r="EQ28" i="35" s="1"/>
  <c r="BM28" i="53"/>
  <c r="EP24" i="35"/>
  <c r="EQ24" i="35" s="1"/>
  <c r="BM24" i="53"/>
  <c r="EP20" i="35"/>
  <c r="EQ20" i="35" s="1"/>
  <c r="BM20" i="53"/>
  <c r="EP16" i="35"/>
  <c r="EQ16" i="35" s="1"/>
  <c r="BM16" i="53"/>
  <c r="EP12" i="35"/>
  <c r="EQ12" i="35" s="1"/>
  <c r="BM12" i="53"/>
  <c r="ET37" i="35"/>
  <c r="EU37" i="35" s="1"/>
  <c r="C79" i="53"/>
  <c r="ET33" i="35"/>
  <c r="EU33" i="35" s="1"/>
  <c r="C75" i="53"/>
  <c r="ET29" i="35"/>
  <c r="EU29" i="35" s="1"/>
  <c r="C71" i="53"/>
  <c r="ET25" i="35"/>
  <c r="EU25" i="35" s="1"/>
  <c r="C67" i="53"/>
  <c r="ET21" i="35"/>
  <c r="EU21" i="35" s="1"/>
  <c r="C63" i="53"/>
  <c r="ET17" i="35"/>
  <c r="EU17" i="35" s="1"/>
  <c r="C59" i="53"/>
  <c r="ET13" i="35"/>
  <c r="EU13" i="35" s="1"/>
  <c r="C55" i="53"/>
  <c r="ET9" i="35"/>
  <c r="EU9" i="35" s="1"/>
  <c r="C51" i="53"/>
  <c r="FB39" i="35"/>
  <c r="FC39" i="35" s="1"/>
  <c r="G81" i="53"/>
  <c r="FB35" i="35"/>
  <c r="FC35" i="35" s="1"/>
  <c r="G77" i="53"/>
  <c r="FB31" i="35"/>
  <c r="FC31" i="35" s="1"/>
  <c r="G73" i="53"/>
  <c r="FB27" i="35"/>
  <c r="FC27" i="35" s="1"/>
  <c r="G69" i="53"/>
  <c r="FB23" i="35"/>
  <c r="FC23" i="35" s="1"/>
  <c r="G65" i="53"/>
  <c r="FB19" i="35"/>
  <c r="FC19" i="35" s="1"/>
  <c r="G61" i="53"/>
  <c r="FB15" i="35"/>
  <c r="FC15" i="35" s="1"/>
  <c r="G57" i="53"/>
  <c r="FB11" i="35"/>
  <c r="FC11" i="35" s="1"/>
  <c r="G53" i="53"/>
  <c r="FF40" i="35"/>
  <c r="FG40" i="35" s="1"/>
  <c r="I82" i="53"/>
  <c r="FF36" i="35"/>
  <c r="FG36" i="35" s="1"/>
  <c r="I78" i="53"/>
  <c r="FF32" i="35"/>
  <c r="FG32" i="35" s="1"/>
  <c r="I74" i="53"/>
  <c r="FF28" i="35"/>
  <c r="FG28" i="35" s="1"/>
  <c r="I70" i="53"/>
  <c r="FF24" i="35"/>
  <c r="FG24" i="35" s="1"/>
  <c r="I66" i="53"/>
  <c r="FF20" i="35"/>
  <c r="FG20" i="35" s="1"/>
  <c r="I62" i="53"/>
  <c r="FF16" i="35"/>
  <c r="FG16" i="35" s="1"/>
  <c r="I58" i="53"/>
  <c r="FF12" i="35"/>
  <c r="FG12" i="35" s="1"/>
  <c r="I54" i="53"/>
  <c r="FJ37" i="35"/>
  <c r="FK37" i="35" s="1"/>
  <c r="K79" i="53"/>
  <c r="FJ33" i="35"/>
  <c r="FK33" i="35" s="1"/>
  <c r="K75" i="53"/>
  <c r="FJ29" i="35"/>
  <c r="FK29" i="35" s="1"/>
  <c r="K71" i="53"/>
  <c r="FJ25" i="35"/>
  <c r="FK25" i="35" s="1"/>
  <c r="K67" i="53"/>
  <c r="FJ21" i="35"/>
  <c r="FK21" i="35" s="1"/>
  <c r="K63" i="53"/>
  <c r="FJ17" i="35"/>
  <c r="FK17" i="35" s="1"/>
  <c r="K59" i="53"/>
  <c r="FJ13" i="35"/>
  <c r="FK13" i="35" s="1"/>
  <c r="K55" i="53"/>
  <c r="FJ9" i="35"/>
  <c r="FK9" i="35" s="1"/>
  <c r="K51" i="53"/>
  <c r="FN38" i="35"/>
  <c r="FO38" i="35" s="1"/>
  <c r="M80" i="53"/>
  <c r="FN34" i="35"/>
  <c r="FO34" i="35" s="1"/>
  <c r="M76" i="53"/>
  <c r="FN30" i="35"/>
  <c r="FO30" i="35" s="1"/>
  <c r="M72" i="53"/>
  <c r="FN26" i="35"/>
  <c r="FO26" i="35" s="1"/>
  <c r="M68" i="53"/>
  <c r="FN22" i="35"/>
  <c r="FO22" i="35" s="1"/>
  <c r="M64" i="53"/>
  <c r="FN18" i="35"/>
  <c r="FO18" i="35" s="1"/>
  <c r="M60" i="53"/>
  <c r="FN14" i="35"/>
  <c r="FO14" i="35" s="1"/>
  <c r="M56" i="53"/>
  <c r="FN10" i="35"/>
  <c r="FO10" i="35" s="1"/>
  <c r="M52" i="53"/>
  <c r="FR40" i="35"/>
  <c r="FS40" i="35" s="1"/>
  <c r="O82" i="53"/>
  <c r="FR36" i="35"/>
  <c r="FS36" i="35" s="1"/>
  <c r="O78" i="53"/>
  <c r="FR32" i="35"/>
  <c r="FS32" i="35" s="1"/>
  <c r="O74" i="53"/>
  <c r="FR28" i="35"/>
  <c r="FS28" i="35" s="1"/>
  <c r="O70" i="53"/>
  <c r="FR24" i="35"/>
  <c r="FS24" i="35" s="1"/>
  <c r="O66" i="53"/>
  <c r="FR20" i="35"/>
  <c r="FS20" i="35" s="1"/>
  <c r="O62" i="53"/>
  <c r="FR16" i="35"/>
  <c r="FS16" i="35" s="1"/>
  <c r="O58" i="53"/>
  <c r="FR12" i="35"/>
  <c r="FS12" i="35" s="1"/>
  <c r="O54" i="53"/>
  <c r="FV37" i="35"/>
  <c r="FW37" i="35" s="1"/>
  <c r="Q79" i="53"/>
  <c r="FV33" i="35"/>
  <c r="FW33" i="35" s="1"/>
  <c r="Q75" i="53"/>
  <c r="FV29" i="35"/>
  <c r="FW29" i="35" s="1"/>
  <c r="Q71" i="53"/>
  <c r="FV25" i="35"/>
  <c r="FW25" i="35" s="1"/>
  <c r="Q67" i="53"/>
  <c r="FV21" i="35"/>
  <c r="FW21" i="35" s="1"/>
  <c r="Q63" i="53"/>
  <c r="FV17" i="35"/>
  <c r="FW17" i="35" s="1"/>
  <c r="Q59" i="53"/>
  <c r="FV13" i="35"/>
  <c r="FW13" i="35" s="1"/>
  <c r="Q55" i="53"/>
  <c r="FV9" i="35"/>
  <c r="FW9" i="35" s="1"/>
  <c r="Q51" i="53"/>
  <c r="DE47" i="35"/>
  <c r="E81" i="49"/>
  <c r="F81" i="49" s="1"/>
  <c r="P89" i="48"/>
  <c r="E77" i="49"/>
  <c r="F77" i="49" s="1"/>
  <c r="P85" i="48"/>
  <c r="E82" i="49"/>
  <c r="F82" i="49" s="1"/>
  <c r="P90" i="48"/>
  <c r="E78" i="49"/>
  <c r="F78" i="49" s="1"/>
  <c r="P86" i="48"/>
  <c r="E83" i="49"/>
  <c r="F83" i="49" s="1"/>
  <c r="P91" i="48"/>
  <c r="E79" i="49"/>
  <c r="F79" i="49" s="1"/>
  <c r="P87" i="48"/>
  <c r="E84" i="49"/>
  <c r="F84" i="49" s="1"/>
  <c r="P92" i="48"/>
  <c r="E80" i="49"/>
  <c r="F80" i="49" s="1"/>
  <c r="P88" i="48"/>
  <c r="GI41" i="47"/>
  <c r="GJ41" i="47" s="1"/>
  <c r="GI53" i="47"/>
  <c r="GJ53" i="47" s="1"/>
  <c r="GI59" i="47"/>
  <c r="GJ59" i="47" s="1"/>
  <c r="GI17" i="47"/>
  <c r="GJ17" i="47" s="1"/>
  <c r="HR17" i="47" s="1"/>
  <c r="GI34" i="47"/>
  <c r="GJ34" i="47" s="1"/>
  <c r="GI38" i="47"/>
  <c r="GJ38" i="47" s="1"/>
  <c r="GI39" i="47"/>
  <c r="GJ39" i="47" s="1"/>
  <c r="GI8" i="47"/>
  <c r="GJ8" i="47" s="1"/>
  <c r="HR8" i="47" s="1"/>
  <c r="GI12" i="47"/>
  <c r="GJ12" i="47" s="1"/>
  <c r="HR12" i="47" s="1"/>
  <c r="GI22" i="47"/>
  <c r="GJ22" i="47" s="1"/>
  <c r="HR22" i="47" s="1"/>
  <c r="GI28" i="47"/>
  <c r="GJ28" i="47" s="1"/>
  <c r="GI32" i="47"/>
  <c r="GJ32" i="47" s="1"/>
  <c r="GI14" i="47"/>
  <c r="GJ14" i="47" s="1"/>
  <c r="HR14" i="47" s="1"/>
  <c r="GI33" i="47"/>
  <c r="GJ33" i="47" s="1"/>
  <c r="GI40" i="47"/>
  <c r="GJ40" i="47" s="1"/>
  <c r="HQ12" i="35"/>
  <c r="HQ13" i="35"/>
  <c r="HQ8" i="35"/>
  <c r="HQ35" i="35"/>
  <c r="HQ23" i="35"/>
  <c r="GI70" i="47"/>
  <c r="GJ70" i="47" s="1"/>
  <c r="GI65" i="47"/>
  <c r="GJ65" i="47" s="1"/>
  <c r="GI69" i="47"/>
  <c r="GJ69" i="47" s="1"/>
  <c r="GI73" i="47"/>
  <c r="GJ73" i="47" s="1"/>
  <c r="GI64" i="47"/>
  <c r="GJ64" i="47" s="1"/>
  <c r="GI68" i="47"/>
  <c r="GJ68" i="47" s="1"/>
  <c r="GI71" i="47"/>
  <c r="GJ71" i="47" s="1"/>
  <c r="GI44" i="47"/>
  <c r="GJ44" i="47" s="1"/>
  <c r="GI20" i="47"/>
  <c r="GJ20" i="47" s="1"/>
  <c r="HR20" i="47" s="1"/>
  <c r="GI21" i="47"/>
  <c r="GJ21" i="47" s="1"/>
  <c r="HR21" i="47" s="1"/>
  <c r="GI25" i="47"/>
  <c r="GJ25" i="47" s="1"/>
  <c r="GI19" i="47"/>
  <c r="GJ19" i="47" s="1"/>
  <c r="HR19" i="47" s="1"/>
  <c r="GI24" i="47"/>
  <c r="GJ24" i="47" s="1"/>
  <c r="GI30" i="47"/>
  <c r="GJ30" i="47" s="1"/>
  <c r="GI37" i="47"/>
  <c r="GJ37" i="47" s="1"/>
  <c r="HQ36" i="35"/>
  <c r="HQ37" i="35"/>
  <c r="HQ27" i="35"/>
  <c r="GI58" i="47"/>
  <c r="GJ58" i="47" s="1"/>
  <c r="GI57" i="47"/>
  <c r="GJ57" i="47" s="1"/>
  <c r="GI56" i="47"/>
  <c r="GJ56" i="47" s="1"/>
  <c r="GI72" i="47"/>
  <c r="GJ72" i="47" s="1"/>
  <c r="GI67" i="47"/>
  <c r="GJ67" i="47" s="1"/>
  <c r="GI16" i="47"/>
  <c r="GJ16" i="47" s="1"/>
  <c r="HR16" i="47" s="1"/>
  <c r="GI15" i="47"/>
  <c r="GJ15" i="47" s="1"/>
  <c r="HR15" i="47" s="1"/>
  <c r="HQ9" i="35"/>
  <c r="GI50" i="47"/>
  <c r="GJ50" i="47" s="1"/>
  <c r="GI54" i="47"/>
  <c r="GJ54" i="47" s="1"/>
  <c r="GI66" i="47"/>
  <c r="GJ66" i="47" s="1"/>
  <c r="GI49" i="47"/>
  <c r="GJ49" i="47" s="1"/>
  <c r="GI61" i="47"/>
  <c r="GJ61" i="47" s="1"/>
  <c r="GI48" i="47"/>
  <c r="GJ48" i="47" s="1"/>
  <c r="GI52" i="47"/>
  <c r="GJ52" i="47" s="1"/>
  <c r="GI60" i="47"/>
  <c r="GJ60" i="47" s="1"/>
  <c r="GI47" i="47"/>
  <c r="GJ47" i="47" s="1"/>
  <c r="GI9" i="47"/>
  <c r="GJ9" i="47" s="1"/>
  <c r="HR9" i="47" s="1"/>
  <c r="GI11" i="47"/>
  <c r="GJ11" i="47" s="1"/>
  <c r="HR11" i="47" s="1"/>
  <c r="GI23" i="47"/>
  <c r="GJ23" i="47" s="1"/>
  <c r="GI26" i="47"/>
  <c r="GJ26" i="47" s="1"/>
  <c r="GI29" i="47"/>
  <c r="GJ29" i="47" s="1"/>
  <c r="GI31" i="47"/>
  <c r="GJ31" i="47" s="1"/>
  <c r="GI10" i="47"/>
  <c r="GJ10" i="47" s="1"/>
  <c r="HR10" i="47" s="1"/>
  <c r="GI18" i="47"/>
  <c r="GJ18" i="47" s="1"/>
  <c r="HR18" i="47" s="1"/>
  <c r="HQ28" i="35"/>
  <c r="HQ16" i="35"/>
  <c r="HQ14" i="35"/>
  <c r="HQ39" i="35"/>
  <c r="HQ15" i="35"/>
  <c r="GI42" i="47"/>
  <c r="GJ42" i="47" s="1"/>
  <c r="GI46" i="47"/>
  <c r="GJ46" i="47" s="1"/>
  <c r="GI62" i="47"/>
  <c r="GJ62" i="47" s="1"/>
  <c r="GI45" i="47"/>
  <c r="GJ45" i="47" s="1"/>
  <c r="GI43" i="47"/>
  <c r="GJ43" i="47" s="1"/>
  <c r="GI51" i="47"/>
  <c r="GJ51" i="47" s="1"/>
  <c r="GI55" i="47"/>
  <c r="GJ55" i="47" s="1"/>
  <c r="GI63" i="47"/>
  <c r="GJ63" i="47" s="1"/>
  <c r="GI13" i="47"/>
  <c r="GJ13" i="47" s="1"/>
  <c r="HR13" i="47" s="1"/>
  <c r="GI27" i="47"/>
  <c r="GJ27" i="47" s="1"/>
  <c r="GI35" i="47"/>
  <c r="GJ35" i="47" s="1"/>
  <c r="GI36" i="47"/>
  <c r="GJ36" i="47" s="1"/>
  <c r="HQ32" i="35"/>
  <c r="HQ24" i="35"/>
  <c r="HQ20" i="35"/>
  <c r="HQ33" i="35"/>
  <c r="HQ29" i="35"/>
  <c r="HQ25" i="35"/>
  <c r="HQ21" i="35"/>
  <c r="HQ17" i="35"/>
  <c r="HQ38" i="35"/>
  <c r="HQ34" i="35"/>
  <c r="HQ30" i="35"/>
  <c r="HQ26" i="35"/>
  <c r="HQ22" i="35"/>
  <c r="HQ18" i="35"/>
  <c r="HQ10" i="35"/>
  <c r="HQ31" i="35"/>
  <c r="HQ19" i="35"/>
  <c r="HQ11" i="35"/>
  <c r="DE48" i="35"/>
  <c r="EG45" i="35"/>
  <c r="EG47" i="35"/>
  <c r="EG49" i="35"/>
  <c r="EG51" i="35"/>
  <c r="EG43" i="35"/>
  <c r="EG44" i="35"/>
  <c r="EG46" i="35"/>
  <c r="EG48" i="35"/>
  <c r="EG50" i="35"/>
  <c r="EG52" i="35"/>
  <c r="EH8" i="35"/>
  <c r="EP8" i="35"/>
  <c r="EQ8" i="35" s="1"/>
  <c r="EO45" i="35"/>
  <c r="EO47" i="35"/>
  <c r="EO49" i="35"/>
  <c r="EO51" i="35"/>
  <c r="EO43" i="35"/>
  <c r="EO44" i="35"/>
  <c r="EO46" i="35"/>
  <c r="EO48" i="35"/>
  <c r="EO50" i="35"/>
  <c r="EO52" i="35"/>
  <c r="EW44" i="35"/>
  <c r="EW46" i="35"/>
  <c r="AC27" i="15" s="1"/>
  <c r="EW48" i="35"/>
  <c r="AC29" i="15" s="1"/>
  <c r="EW50" i="35"/>
  <c r="AC31" i="15" s="1"/>
  <c r="EW52" i="35"/>
  <c r="AC33" i="15" s="1"/>
  <c r="EW45" i="35"/>
  <c r="EW47" i="35"/>
  <c r="AC28" i="15" s="1"/>
  <c r="EW49" i="35"/>
  <c r="AC30" i="15" s="1"/>
  <c r="EW51" i="35"/>
  <c r="AC32" i="15" s="1"/>
  <c r="EW43" i="35"/>
  <c r="AC24" i="15" s="1"/>
  <c r="FF8" i="35"/>
  <c r="FG8" i="35" s="1"/>
  <c r="FE44" i="35"/>
  <c r="FE46" i="35"/>
  <c r="FE48" i="35"/>
  <c r="FE50" i="35"/>
  <c r="FE52" i="35"/>
  <c r="FE45" i="35"/>
  <c r="FE47" i="35"/>
  <c r="FE49" i="35"/>
  <c r="FE51" i="35"/>
  <c r="FE43" i="35"/>
  <c r="FR8" i="35"/>
  <c r="FS8" i="35" s="1"/>
  <c r="FQ44" i="35"/>
  <c r="FQ46" i="35"/>
  <c r="FQ48" i="35"/>
  <c r="FQ50" i="35"/>
  <c r="FQ52" i="35"/>
  <c r="FQ45" i="35"/>
  <c r="FQ47" i="35"/>
  <c r="FQ49" i="35"/>
  <c r="FQ51" i="35"/>
  <c r="FQ43" i="35"/>
  <c r="DQ44" i="35"/>
  <c r="DR8" i="35"/>
  <c r="DQ43" i="35"/>
  <c r="EL8" i="35"/>
  <c r="EM8" i="35" s="1"/>
  <c r="EK45" i="35"/>
  <c r="EK47" i="35"/>
  <c r="EK49" i="35"/>
  <c r="EK51" i="35"/>
  <c r="EK43" i="35"/>
  <c r="EK44" i="35"/>
  <c r="EK46" i="35"/>
  <c r="EK48" i="35"/>
  <c r="EK50" i="35"/>
  <c r="EK52" i="35"/>
  <c r="ET8" i="35"/>
  <c r="EU8" i="35" s="1"/>
  <c r="ES45" i="35"/>
  <c r="ES47" i="35"/>
  <c r="ES49" i="35"/>
  <c r="ES51" i="35"/>
  <c r="ES43" i="35"/>
  <c r="ES44" i="35"/>
  <c r="ES46" i="35"/>
  <c r="ES48" i="35"/>
  <c r="ES50" i="35"/>
  <c r="ES52" i="35"/>
  <c r="FB8" i="35"/>
  <c r="FC8" i="35" s="1"/>
  <c r="FA44" i="35"/>
  <c r="FA46" i="35"/>
  <c r="FA48" i="35"/>
  <c r="FA50" i="35"/>
  <c r="FA52" i="35"/>
  <c r="FA45" i="35"/>
  <c r="FA47" i="35"/>
  <c r="FA49" i="35"/>
  <c r="FA51" i="35"/>
  <c r="FA43" i="35"/>
  <c r="FJ8" i="35"/>
  <c r="FK8" i="35" s="1"/>
  <c r="FI44" i="35"/>
  <c r="FI43" i="35"/>
  <c r="FM48" i="35"/>
  <c r="FV8" i="35"/>
  <c r="FW8" i="35" s="1"/>
  <c r="FU44" i="35"/>
  <c r="FU46" i="35"/>
  <c r="FU48" i="35"/>
  <c r="FU50" i="35"/>
  <c r="FU52" i="35"/>
  <c r="FU45" i="35"/>
  <c r="FU47" i="35"/>
  <c r="FU49" i="35"/>
  <c r="FU51" i="35"/>
  <c r="FU43" i="35"/>
  <c r="GK60" i="47"/>
  <c r="GM59" i="47"/>
  <c r="GN59" i="47" s="1"/>
  <c r="AR24" i="47"/>
  <c r="AT23" i="47"/>
  <c r="AU23" i="47" s="1"/>
  <c r="GK35" i="47"/>
  <c r="GM34" i="47"/>
  <c r="GN34" i="47" s="1"/>
  <c r="CZ9" i="35"/>
  <c r="CZ10" i="35"/>
  <c r="CZ11" i="35"/>
  <c r="CZ12" i="35"/>
  <c r="CZ13" i="35"/>
  <c r="CZ14" i="35"/>
  <c r="CZ15" i="35"/>
  <c r="CZ16" i="35"/>
  <c r="CZ17" i="35"/>
  <c r="CZ18" i="35"/>
  <c r="CZ19" i="35"/>
  <c r="CZ20" i="35"/>
  <c r="CZ21" i="35"/>
  <c r="CZ22" i="35"/>
  <c r="CZ23" i="35"/>
  <c r="CZ24" i="35"/>
  <c r="CZ25" i="35"/>
  <c r="CZ26" i="35"/>
  <c r="CZ27" i="35"/>
  <c r="CZ28" i="35"/>
  <c r="CZ29" i="35"/>
  <c r="CZ30" i="35"/>
  <c r="CZ31" i="35"/>
  <c r="CZ32" i="35"/>
  <c r="CZ33" i="35"/>
  <c r="CZ34" i="35"/>
  <c r="CZ35" i="35"/>
  <c r="CZ36" i="35"/>
  <c r="CZ37" i="35"/>
  <c r="CZ38" i="35"/>
  <c r="CZ39" i="35"/>
  <c r="CZ40" i="35"/>
  <c r="CZ8" i="35"/>
  <c r="AS8" i="53" s="1"/>
  <c r="CV9" i="35"/>
  <c r="CV10" i="35"/>
  <c r="CV11" i="35"/>
  <c r="CV12" i="35"/>
  <c r="CV13" i="35"/>
  <c r="CV14" i="35"/>
  <c r="CV15" i="35"/>
  <c r="CV16" i="35"/>
  <c r="CV17" i="35"/>
  <c r="CV18" i="35"/>
  <c r="CV19" i="35"/>
  <c r="CV20" i="35"/>
  <c r="CV21" i="35"/>
  <c r="CV22" i="35"/>
  <c r="CV23" i="35"/>
  <c r="CV24" i="35"/>
  <c r="CV25" i="35"/>
  <c r="CV26" i="35"/>
  <c r="CV27" i="35"/>
  <c r="CV28" i="35"/>
  <c r="CV29" i="35"/>
  <c r="CV30" i="35"/>
  <c r="CV31" i="35"/>
  <c r="CV32" i="35"/>
  <c r="CV33" i="35"/>
  <c r="CV34" i="35"/>
  <c r="CV35" i="35"/>
  <c r="CV36" i="35"/>
  <c r="CV37" i="35"/>
  <c r="CV38" i="35"/>
  <c r="CV39" i="35"/>
  <c r="CV40" i="35"/>
  <c r="CV8" i="35"/>
  <c r="AQ8" i="53" s="1"/>
  <c r="CR9" i="35"/>
  <c r="AO9" i="53" s="1"/>
  <c r="CR10" i="35"/>
  <c r="AO10" i="53" s="1"/>
  <c r="CR11" i="35"/>
  <c r="AO11" i="53" s="1"/>
  <c r="CR12" i="35"/>
  <c r="AO12" i="53" s="1"/>
  <c r="CR13" i="35"/>
  <c r="AO13" i="53" s="1"/>
  <c r="CR14" i="35"/>
  <c r="AO14" i="53" s="1"/>
  <c r="CR15" i="35"/>
  <c r="AO15" i="53" s="1"/>
  <c r="CR16" i="35"/>
  <c r="AO16" i="53" s="1"/>
  <c r="CR17" i="35"/>
  <c r="AO17" i="53" s="1"/>
  <c r="CR18" i="35"/>
  <c r="AO18" i="53" s="1"/>
  <c r="CR19" i="35"/>
  <c r="AO19" i="53" s="1"/>
  <c r="CR20" i="35"/>
  <c r="AO20" i="53" s="1"/>
  <c r="CR21" i="35"/>
  <c r="AO21" i="53" s="1"/>
  <c r="CR22" i="35"/>
  <c r="AO22" i="53" s="1"/>
  <c r="CR23" i="35"/>
  <c r="AO23" i="53" s="1"/>
  <c r="CR24" i="35"/>
  <c r="AO24" i="53" s="1"/>
  <c r="CR25" i="35"/>
  <c r="AO25" i="53" s="1"/>
  <c r="CR26" i="35"/>
  <c r="AO26" i="53" s="1"/>
  <c r="CR27" i="35"/>
  <c r="AO27" i="53" s="1"/>
  <c r="CR28" i="35"/>
  <c r="AO28" i="53" s="1"/>
  <c r="CR29" i="35"/>
  <c r="AO29" i="53" s="1"/>
  <c r="CR30" i="35"/>
  <c r="AO30" i="53" s="1"/>
  <c r="CR31" i="35"/>
  <c r="AO31" i="53" s="1"/>
  <c r="CR32" i="35"/>
  <c r="AO32" i="53" s="1"/>
  <c r="CR33" i="35"/>
  <c r="AO33" i="53" s="1"/>
  <c r="CR34" i="35"/>
  <c r="AO34" i="53" s="1"/>
  <c r="CR35" i="35"/>
  <c r="AO35" i="53" s="1"/>
  <c r="CR36" i="35"/>
  <c r="AO36" i="53" s="1"/>
  <c r="CR37" i="35"/>
  <c r="AO37" i="53" s="1"/>
  <c r="CR38" i="35"/>
  <c r="AO38" i="53" s="1"/>
  <c r="CR39" i="35"/>
  <c r="AO39" i="53" s="1"/>
  <c r="CR40" i="35"/>
  <c r="AO40" i="53" s="1"/>
  <c r="CR8" i="35"/>
  <c r="AO8" i="53" s="1"/>
  <c r="AS46" i="15" l="1"/>
  <c r="L28" i="48" s="1"/>
  <c r="AS47" i="15"/>
  <c r="L29" i="48" s="1"/>
  <c r="AS39" i="15"/>
  <c r="HR23" i="47"/>
  <c r="CX37" i="35"/>
  <c r="AQ37" i="53"/>
  <c r="CX29" i="35"/>
  <c r="AQ29" i="53"/>
  <c r="CX9" i="35"/>
  <c r="AQ9" i="53"/>
  <c r="DB22" i="35"/>
  <c r="AS22" i="53"/>
  <c r="CX36" i="35"/>
  <c r="AQ36" i="53"/>
  <c r="CX28" i="35"/>
  <c r="AQ28" i="53"/>
  <c r="CX24" i="35"/>
  <c r="AQ24" i="53"/>
  <c r="DB37" i="35"/>
  <c r="AS37" i="53"/>
  <c r="DB29" i="35"/>
  <c r="AS29" i="53"/>
  <c r="DB21" i="35"/>
  <c r="AS21" i="53"/>
  <c r="DB13" i="35"/>
  <c r="AS13" i="53"/>
  <c r="AS45" i="15"/>
  <c r="L27" i="48" s="1"/>
  <c r="CX31" i="35"/>
  <c r="AQ31" i="53"/>
  <c r="DB40" i="35"/>
  <c r="AS40" i="53"/>
  <c r="DB16" i="35"/>
  <c r="AS16" i="53"/>
  <c r="AS43" i="15"/>
  <c r="L25" i="48" s="1"/>
  <c r="CX33" i="35"/>
  <c r="AQ33" i="53"/>
  <c r="CX25" i="35"/>
  <c r="AQ25" i="53"/>
  <c r="CX21" i="35"/>
  <c r="AQ21" i="53"/>
  <c r="CX17" i="35"/>
  <c r="AQ17" i="53"/>
  <c r="CX13" i="35"/>
  <c r="AQ13" i="53"/>
  <c r="DB38" i="35"/>
  <c r="AS38" i="53"/>
  <c r="DB34" i="35"/>
  <c r="AS34" i="53"/>
  <c r="DB30" i="35"/>
  <c r="AS30" i="53"/>
  <c r="DB26" i="35"/>
  <c r="AS26" i="53"/>
  <c r="DB18" i="35"/>
  <c r="AS18" i="53"/>
  <c r="DB14" i="35"/>
  <c r="AS14" i="53"/>
  <c r="DB10" i="35"/>
  <c r="AS10" i="53"/>
  <c r="CX40" i="35"/>
  <c r="AQ40" i="53"/>
  <c r="CX32" i="35"/>
  <c r="AQ32" i="53"/>
  <c r="CX20" i="35"/>
  <c r="AQ20" i="53"/>
  <c r="CX16" i="35"/>
  <c r="AQ16" i="53"/>
  <c r="CX12" i="35"/>
  <c r="AQ12" i="53"/>
  <c r="DB33" i="35"/>
  <c r="AS33" i="53"/>
  <c r="DB25" i="35"/>
  <c r="AS25" i="53"/>
  <c r="DB17" i="35"/>
  <c r="AS17" i="53"/>
  <c r="DB9" i="35"/>
  <c r="AS9" i="53"/>
  <c r="AS44" i="15"/>
  <c r="L26" i="48" s="1"/>
  <c r="CX39" i="35"/>
  <c r="AQ39" i="53"/>
  <c r="CX35" i="35"/>
  <c r="AQ35" i="53"/>
  <c r="CX27" i="35"/>
  <c r="AQ27" i="53"/>
  <c r="CX23" i="35"/>
  <c r="AQ23" i="53"/>
  <c r="CX19" i="35"/>
  <c r="AQ19" i="53"/>
  <c r="CX15" i="35"/>
  <c r="AQ15" i="53"/>
  <c r="CX11" i="35"/>
  <c r="AQ11" i="53"/>
  <c r="DB36" i="35"/>
  <c r="AS36" i="53"/>
  <c r="DB32" i="35"/>
  <c r="AS32" i="53"/>
  <c r="DB28" i="35"/>
  <c r="AS28" i="53"/>
  <c r="DB24" i="35"/>
  <c r="AS24" i="53"/>
  <c r="DB20" i="35"/>
  <c r="AS20" i="53"/>
  <c r="DB12" i="35"/>
  <c r="AS12" i="53"/>
  <c r="AS42" i="15"/>
  <c r="L24" i="48" s="1"/>
  <c r="CX38" i="35"/>
  <c r="AQ38" i="53"/>
  <c r="CX34" i="35"/>
  <c r="AQ34" i="53"/>
  <c r="CX30" i="35"/>
  <c r="AQ30" i="53"/>
  <c r="CX26" i="35"/>
  <c r="AQ26" i="53"/>
  <c r="CX22" i="35"/>
  <c r="AQ22" i="53"/>
  <c r="CX18" i="35"/>
  <c r="AQ18" i="53"/>
  <c r="CX14" i="35"/>
  <c r="AQ14" i="53"/>
  <c r="CX10" i="35"/>
  <c r="AQ10" i="53"/>
  <c r="DB39" i="35"/>
  <c r="AS39" i="53"/>
  <c r="DB35" i="35"/>
  <c r="AS35" i="53"/>
  <c r="DB31" i="35"/>
  <c r="AS31" i="53"/>
  <c r="DB27" i="35"/>
  <c r="AS27" i="53"/>
  <c r="DB23" i="35"/>
  <c r="AS23" i="53"/>
  <c r="DB19" i="35"/>
  <c r="AS19" i="53"/>
  <c r="DB15" i="35"/>
  <c r="AS15" i="53"/>
  <c r="DB11" i="35"/>
  <c r="AS11" i="53"/>
  <c r="AC80" i="15"/>
  <c r="L64" i="48" s="1"/>
  <c r="AS38" i="15"/>
  <c r="AS40" i="15"/>
  <c r="AS41" i="15"/>
  <c r="L23" i="48" s="1"/>
  <c r="F151" i="49"/>
  <c r="CS44" i="35"/>
  <c r="AC6" i="15" s="1"/>
  <c r="CS46" i="35"/>
  <c r="AC8" i="15" s="1"/>
  <c r="CS48" i="35"/>
  <c r="AC10" i="15" s="1"/>
  <c r="CS50" i="35"/>
  <c r="AC12" i="15" s="1"/>
  <c r="CS52" i="35"/>
  <c r="AC14" i="15" s="1"/>
  <c r="CS45" i="35"/>
  <c r="AC7" i="15" s="1"/>
  <c r="CS47" i="35"/>
  <c r="AC9" i="15" s="1"/>
  <c r="CS49" i="35"/>
  <c r="AC11" i="15" s="1"/>
  <c r="CS51" i="35"/>
  <c r="AC13" i="15" s="1"/>
  <c r="CS43" i="35"/>
  <c r="AC5" i="15" s="1"/>
  <c r="DB8" i="35"/>
  <c r="DA44" i="35"/>
  <c r="DA46" i="35"/>
  <c r="DA48" i="35"/>
  <c r="DA50" i="35"/>
  <c r="DA52" i="35"/>
  <c r="DA45" i="35"/>
  <c r="DA47" i="35"/>
  <c r="DA49" i="35"/>
  <c r="DA51" i="35"/>
  <c r="DA43" i="35"/>
  <c r="AC81" i="15"/>
  <c r="L65" i="48" s="1"/>
  <c r="AC84" i="15"/>
  <c r="L68" i="48" s="1"/>
  <c r="AC85" i="15"/>
  <c r="AC77" i="15"/>
  <c r="L61" i="48" s="1"/>
  <c r="AC25" i="15"/>
  <c r="L21" i="48" s="1"/>
  <c r="O12" i="15"/>
  <c r="L141" i="48" s="1"/>
  <c r="O8" i="15"/>
  <c r="L20" i="48" s="1"/>
  <c r="O5" i="15"/>
  <c r="O11" i="15"/>
  <c r="L140" i="48" s="1"/>
  <c r="O7" i="15"/>
  <c r="L19" i="48" s="1"/>
  <c r="CX8" i="35"/>
  <c r="CW44" i="35"/>
  <c r="CW46" i="35"/>
  <c r="CW48" i="35"/>
  <c r="CW50" i="35"/>
  <c r="CW52" i="35"/>
  <c r="CW45" i="35"/>
  <c r="CW47" i="35"/>
  <c r="CW49" i="35"/>
  <c r="CW51" i="35"/>
  <c r="CW43" i="35"/>
  <c r="AC76" i="15"/>
  <c r="AC82" i="15"/>
  <c r="L66" i="48" s="1"/>
  <c r="AC78" i="15"/>
  <c r="L62" i="48" s="1"/>
  <c r="AC83" i="15"/>
  <c r="L67" i="48" s="1"/>
  <c r="AC79" i="15"/>
  <c r="L63" i="48" s="1"/>
  <c r="AC26" i="15"/>
  <c r="O14" i="15"/>
  <c r="L143" i="48" s="1"/>
  <c r="O10" i="15"/>
  <c r="L139" i="48" s="1"/>
  <c r="O6" i="15"/>
  <c r="L18" i="48" s="1"/>
  <c r="O13" i="15"/>
  <c r="L142" i="48" s="1"/>
  <c r="O9" i="15"/>
  <c r="L138" i="48" s="1"/>
  <c r="GM60" i="47"/>
  <c r="GN60" i="47" s="1"/>
  <c r="GK61" i="47"/>
  <c r="AR25" i="47"/>
  <c r="AT24" i="47"/>
  <c r="AU24" i="47" s="1"/>
  <c r="HR24" i="47" s="1"/>
  <c r="GK36" i="47"/>
  <c r="GM35" i="47"/>
  <c r="GN35" i="47" s="1"/>
  <c r="CQ9" i="35"/>
  <c r="CQ10" i="35"/>
  <c r="CQ11" i="35"/>
  <c r="CQ12" i="35"/>
  <c r="CQ13" i="35"/>
  <c r="CQ14" i="35"/>
  <c r="CQ15" i="35"/>
  <c r="CQ16" i="35"/>
  <c r="CQ17" i="35"/>
  <c r="CQ18" i="35"/>
  <c r="CQ19" i="35"/>
  <c r="CQ20" i="35"/>
  <c r="CQ21" i="35"/>
  <c r="CQ22" i="35"/>
  <c r="CQ23" i="35"/>
  <c r="CQ24" i="35"/>
  <c r="CQ25" i="35"/>
  <c r="CQ26" i="35"/>
  <c r="CQ27" i="35"/>
  <c r="CQ28" i="35"/>
  <c r="CQ29" i="35"/>
  <c r="CQ30" i="35"/>
  <c r="CQ31" i="35"/>
  <c r="CQ32" i="35"/>
  <c r="CQ33" i="35"/>
  <c r="CQ34" i="35"/>
  <c r="CQ35" i="35"/>
  <c r="CQ36" i="35"/>
  <c r="CQ37" i="35"/>
  <c r="CQ38" i="35"/>
  <c r="CQ39" i="35"/>
  <c r="CQ40" i="35"/>
  <c r="CQ8" i="35"/>
  <c r="L22" i="48" l="1"/>
  <c r="AS26" i="15"/>
  <c r="L82" i="48" s="1"/>
  <c r="AS27" i="15"/>
  <c r="L83" i="48" s="1"/>
  <c r="AS20" i="15"/>
  <c r="L69" i="48" s="1"/>
  <c r="AS22" i="15"/>
  <c r="L71" i="48" s="1"/>
  <c r="AS23" i="15"/>
  <c r="L72" i="48" s="1"/>
  <c r="AS28" i="15"/>
  <c r="L84" i="48" s="1"/>
  <c r="AS24" i="15"/>
  <c r="L80" i="48" s="1"/>
  <c r="AS29" i="15"/>
  <c r="AS25" i="15"/>
  <c r="L81" i="48" s="1"/>
  <c r="AS21" i="15"/>
  <c r="L70" i="48" s="1"/>
  <c r="GM61" i="47"/>
  <c r="GN61" i="47" s="1"/>
  <c r="GK62" i="47"/>
  <c r="AR26" i="47"/>
  <c r="AT25" i="47"/>
  <c r="AU25" i="47" s="1"/>
  <c r="HR25" i="47" s="1"/>
  <c r="GK37" i="47"/>
  <c r="GM36" i="47"/>
  <c r="GN36" i="47" s="1"/>
  <c r="AR9" i="35"/>
  <c r="AR10" i="35"/>
  <c r="AR11" i="35"/>
  <c r="AR12" i="35"/>
  <c r="AR13" i="35"/>
  <c r="AR14" i="35"/>
  <c r="AR15" i="35"/>
  <c r="AR16" i="35"/>
  <c r="AR17" i="35"/>
  <c r="AR18" i="35"/>
  <c r="AR19" i="35"/>
  <c r="AR20" i="35"/>
  <c r="AR21" i="35"/>
  <c r="AR22" i="35"/>
  <c r="AR23" i="35"/>
  <c r="AR24" i="35"/>
  <c r="AR25" i="35"/>
  <c r="AR26" i="35"/>
  <c r="AR27" i="35"/>
  <c r="AR28" i="35"/>
  <c r="AR29" i="35"/>
  <c r="AR30" i="35"/>
  <c r="AR31" i="35"/>
  <c r="AR32" i="35"/>
  <c r="AR33" i="35"/>
  <c r="AR34" i="35"/>
  <c r="AR35" i="35"/>
  <c r="AR36" i="35"/>
  <c r="AR37" i="35"/>
  <c r="AR38" i="35"/>
  <c r="AR39" i="35"/>
  <c r="AR40" i="35"/>
  <c r="AR8" i="35"/>
  <c r="K8" i="53" s="1"/>
  <c r="AN8" i="35"/>
  <c r="I8" i="53" s="1"/>
  <c r="AT35" i="35" l="1"/>
  <c r="AU35" i="35" s="1"/>
  <c r="K35" i="53"/>
  <c r="AT27" i="35"/>
  <c r="AU27" i="35" s="1"/>
  <c r="K27" i="53"/>
  <c r="AT37" i="35"/>
  <c r="AU37" i="35" s="1"/>
  <c r="K37" i="53"/>
  <c r="AT33" i="35"/>
  <c r="AU33" i="35" s="1"/>
  <c r="K33" i="53"/>
  <c r="AT29" i="35"/>
  <c r="AU29" i="35" s="1"/>
  <c r="K29" i="53"/>
  <c r="AT25" i="35"/>
  <c r="AU25" i="35" s="1"/>
  <c r="K25" i="53"/>
  <c r="AT21" i="35"/>
  <c r="AU21" i="35" s="1"/>
  <c r="K21" i="53"/>
  <c r="AT17" i="35"/>
  <c r="AU17" i="35" s="1"/>
  <c r="K17" i="53"/>
  <c r="AT13" i="35"/>
  <c r="AU13" i="35" s="1"/>
  <c r="K13" i="53"/>
  <c r="AT9" i="35"/>
  <c r="AU9" i="35" s="1"/>
  <c r="K9" i="53"/>
  <c r="AT40" i="35"/>
  <c r="AU40" i="35" s="1"/>
  <c r="K40" i="53"/>
  <c r="AT36" i="35"/>
  <c r="AU36" i="35" s="1"/>
  <c r="K36" i="53"/>
  <c r="AT32" i="35"/>
  <c r="AU32" i="35" s="1"/>
  <c r="K32" i="53"/>
  <c r="AT28" i="35"/>
  <c r="AU28" i="35" s="1"/>
  <c r="K28" i="53"/>
  <c r="AT24" i="35"/>
  <c r="AU24" i="35" s="1"/>
  <c r="K24" i="53"/>
  <c r="AT20" i="35"/>
  <c r="AU20" i="35" s="1"/>
  <c r="K20" i="53"/>
  <c r="AT16" i="35"/>
  <c r="AU16" i="35" s="1"/>
  <c r="K16" i="53"/>
  <c r="AT12" i="35"/>
  <c r="AU12" i="35" s="1"/>
  <c r="K12" i="53"/>
  <c r="AT39" i="35"/>
  <c r="AU39" i="35" s="1"/>
  <c r="K39" i="53"/>
  <c r="AT31" i="35"/>
  <c r="AU31" i="35" s="1"/>
  <c r="K31" i="53"/>
  <c r="AT23" i="35"/>
  <c r="AU23" i="35" s="1"/>
  <c r="K23" i="53"/>
  <c r="AT19" i="35"/>
  <c r="AU19" i="35" s="1"/>
  <c r="K19" i="53"/>
  <c r="AT15" i="35"/>
  <c r="AU15" i="35" s="1"/>
  <c r="K15" i="53"/>
  <c r="AT11" i="35"/>
  <c r="AU11" i="35" s="1"/>
  <c r="K11" i="53"/>
  <c r="AT38" i="35"/>
  <c r="AU38" i="35" s="1"/>
  <c r="K38" i="53"/>
  <c r="AT34" i="35"/>
  <c r="AU34" i="35" s="1"/>
  <c r="K34" i="53"/>
  <c r="AT30" i="35"/>
  <c r="AU30" i="35" s="1"/>
  <c r="K30" i="53"/>
  <c r="AT26" i="35"/>
  <c r="AU26" i="35" s="1"/>
  <c r="K26" i="53"/>
  <c r="AT22" i="35"/>
  <c r="AU22" i="35" s="1"/>
  <c r="K22" i="53"/>
  <c r="AT18" i="35"/>
  <c r="AU18" i="35" s="1"/>
  <c r="K18" i="53"/>
  <c r="AT14" i="35"/>
  <c r="AU14" i="35" s="1"/>
  <c r="K14" i="53"/>
  <c r="AT10" i="35"/>
  <c r="AU10" i="35" s="1"/>
  <c r="K10" i="53"/>
  <c r="AT8" i="35"/>
  <c r="AU8" i="35" s="1"/>
  <c r="AS45" i="35"/>
  <c r="AD45" i="16" s="1"/>
  <c r="L151" i="48" s="1"/>
  <c r="AS47" i="35"/>
  <c r="AD47" i="16" s="1"/>
  <c r="AS49" i="35"/>
  <c r="AD49" i="16" s="1"/>
  <c r="AS51" i="35"/>
  <c r="AD51" i="16" s="1"/>
  <c r="AS43" i="35"/>
  <c r="AD43" i="16" s="1"/>
  <c r="AS44" i="35"/>
  <c r="AD44" i="16" s="1"/>
  <c r="L150" i="48" s="1"/>
  <c r="AS46" i="35"/>
  <c r="AD46" i="16" s="1"/>
  <c r="L152" i="48" s="1"/>
  <c r="AS48" i="35"/>
  <c r="AD48" i="16" s="1"/>
  <c r="AS50" i="35"/>
  <c r="AD50" i="16" s="1"/>
  <c r="AS52" i="35"/>
  <c r="AD52" i="16" s="1"/>
  <c r="GK63" i="47"/>
  <c r="GM62" i="47"/>
  <c r="GN62" i="47" s="1"/>
  <c r="AT26" i="47"/>
  <c r="AU26" i="47" s="1"/>
  <c r="HR26" i="47" s="1"/>
  <c r="AR27" i="47"/>
  <c r="GK38" i="47"/>
  <c r="GM37" i="47"/>
  <c r="GN37" i="47" s="1"/>
  <c r="BL9" i="35"/>
  <c r="BM9" i="35" s="1"/>
  <c r="BL10" i="35"/>
  <c r="BM10" i="35" s="1"/>
  <c r="BL11" i="35"/>
  <c r="BM11" i="35" s="1"/>
  <c r="BL12" i="35"/>
  <c r="BM12" i="35" s="1"/>
  <c r="BL13" i="35"/>
  <c r="BM13" i="35" s="1"/>
  <c r="BL14" i="35"/>
  <c r="BM14" i="35" s="1"/>
  <c r="BL15" i="35"/>
  <c r="BM15" i="35" s="1"/>
  <c r="BL16" i="35"/>
  <c r="BM16" i="35" s="1"/>
  <c r="BL17" i="35"/>
  <c r="BM17" i="35" s="1"/>
  <c r="BL18" i="35"/>
  <c r="BM18" i="35" s="1"/>
  <c r="BL19" i="35"/>
  <c r="BM19" i="35" s="1"/>
  <c r="BL20" i="35"/>
  <c r="BM20" i="35" s="1"/>
  <c r="BL21" i="35"/>
  <c r="BM21" i="35" s="1"/>
  <c r="BL22" i="35"/>
  <c r="BM22" i="35" s="1"/>
  <c r="BL23" i="35"/>
  <c r="BM23" i="35" s="1"/>
  <c r="BL24" i="35"/>
  <c r="BM24" i="35" s="1"/>
  <c r="BL25" i="35"/>
  <c r="BM25" i="35" s="1"/>
  <c r="BL26" i="35"/>
  <c r="BM26" i="35" s="1"/>
  <c r="BL27" i="35"/>
  <c r="BM27" i="35" s="1"/>
  <c r="BL28" i="35"/>
  <c r="BM28" i="35" s="1"/>
  <c r="BL29" i="35"/>
  <c r="BM29" i="35" s="1"/>
  <c r="BL30" i="35"/>
  <c r="BM30" i="35" s="1"/>
  <c r="BL31" i="35"/>
  <c r="BM31" i="35" s="1"/>
  <c r="BL32" i="35"/>
  <c r="BM32" i="35" s="1"/>
  <c r="BL33" i="35"/>
  <c r="BM33" i="35" s="1"/>
  <c r="BL34" i="35"/>
  <c r="BM34" i="35" s="1"/>
  <c r="BL35" i="35"/>
  <c r="BM35" i="35" s="1"/>
  <c r="BL36" i="35"/>
  <c r="BM36" i="35" s="1"/>
  <c r="BL37" i="35"/>
  <c r="BM37" i="35" s="1"/>
  <c r="BL38" i="35"/>
  <c r="BM38" i="35" s="1"/>
  <c r="BL39" i="35"/>
  <c r="BM39" i="35" s="1"/>
  <c r="BL40" i="35"/>
  <c r="BM40" i="35" s="1"/>
  <c r="BL8" i="35"/>
  <c r="BM8" i="35" s="1"/>
  <c r="GK64" i="47" l="1"/>
  <c r="GM63" i="47"/>
  <c r="GN63" i="47" s="1"/>
  <c r="AR28" i="47"/>
  <c r="AT27" i="47"/>
  <c r="AU27" i="47" s="1"/>
  <c r="HR27" i="47" s="1"/>
  <c r="GK39" i="47"/>
  <c r="GM38" i="47"/>
  <c r="GN38" i="47" s="1"/>
  <c r="AN9" i="35"/>
  <c r="AN10" i="35"/>
  <c r="I10" i="53" s="1"/>
  <c r="AN11" i="35"/>
  <c r="I11" i="53" s="1"/>
  <c r="AN12" i="35"/>
  <c r="I12" i="53" s="1"/>
  <c r="AN13" i="35"/>
  <c r="I13" i="53" s="1"/>
  <c r="AN14" i="35"/>
  <c r="I14" i="53" s="1"/>
  <c r="AN15" i="35"/>
  <c r="I15" i="53" s="1"/>
  <c r="AN16" i="35"/>
  <c r="I16" i="53" s="1"/>
  <c r="AN17" i="35"/>
  <c r="I17" i="53" s="1"/>
  <c r="AN18" i="35"/>
  <c r="I18" i="53" s="1"/>
  <c r="AN19" i="35"/>
  <c r="I19" i="53" s="1"/>
  <c r="AN20" i="35"/>
  <c r="I20" i="53" s="1"/>
  <c r="AN21" i="35"/>
  <c r="I21" i="53" s="1"/>
  <c r="AN22" i="35"/>
  <c r="I22" i="53" s="1"/>
  <c r="AN23" i="35"/>
  <c r="I23" i="53" s="1"/>
  <c r="AN24" i="35"/>
  <c r="I24" i="53" s="1"/>
  <c r="AN25" i="35"/>
  <c r="I25" i="53" s="1"/>
  <c r="AN26" i="35"/>
  <c r="I26" i="53" s="1"/>
  <c r="AN27" i="35"/>
  <c r="I27" i="53" s="1"/>
  <c r="AN28" i="35"/>
  <c r="I28" i="53" s="1"/>
  <c r="AN29" i="35"/>
  <c r="I29" i="53" s="1"/>
  <c r="AN30" i="35"/>
  <c r="I30" i="53" s="1"/>
  <c r="AN31" i="35"/>
  <c r="I31" i="53" s="1"/>
  <c r="AN32" i="35"/>
  <c r="I32" i="53" s="1"/>
  <c r="AN33" i="35"/>
  <c r="I33" i="53" s="1"/>
  <c r="AN34" i="35"/>
  <c r="I34" i="53" s="1"/>
  <c r="AN35" i="35"/>
  <c r="I35" i="53" s="1"/>
  <c r="AN36" i="35"/>
  <c r="I36" i="53" s="1"/>
  <c r="AN37" i="35"/>
  <c r="I37" i="53" s="1"/>
  <c r="AN38" i="35"/>
  <c r="I38" i="53" s="1"/>
  <c r="AN39" i="35"/>
  <c r="I39" i="53" s="1"/>
  <c r="AN40" i="35"/>
  <c r="I40" i="53" s="1"/>
  <c r="AP8" i="35"/>
  <c r="AP9" i="35" l="1"/>
  <c r="I9" i="53"/>
  <c r="GK65" i="47"/>
  <c r="GM64" i="47"/>
  <c r="GN64" i="47" s="1"/>
  <c r="AR29" i="47"/>
  <c r="AT28" i="47"/>
  <c r="AU28" i="47" s="1"/>
  <c r="HR28" i="47" s="1"/>
  <c r="GK40" i="47"/>
  <c r="GM40" i="47" s="1"/>
  <c r="GN40" i="47" s="1"/>
  <c r="GM39" i="47"/>
  <c r="GN39" i="47" s="1"/>
  <c r="AJ9" i="35"/>
  <c r="G9" i="53" s="1"/>
  <c r="AJ10" i="35"/>
  <c r="G10" i="53" s="1"/>
  <c r="AJ11" i="35"/>
  <c r="G11" i="53" s="1"/>
  <c r="AJ12" i="35"/>
  <c r="G12" i="53" s="1"/>
  <c r="AJ13" i="35"/>
  <c r="G13" i="53" s="1"/>
  <c r="AJ14" i="35"/>
  <c r="G14" i="53" s="1"/>
  <c r="AJ15" i="35"/>
  <c r="G15" i="53" s="1"/>
  <c r="AJ16" i="35"/>
  <c r="G16" i="53" s="1"/>
  <c r="AJ17" i="35"/>
  <c r="G17" i="53" s="1"/>
  <c r="AJ18" i="35"/>
  <c r="G18" i="53" s="1"/>
  <c r="AJ19" i="35"/>
  <c r="G19" i="53" s="1"/>
  <c r="AJ20" i="35"/>
  <c r="G20" i="53" s="1"/>
  <c r="AJ21" i="35"/>
  <c r="G21" i="53" s="1"/>
  <c r="AJ22" i="35"/>
  <c r="G22" i="53" s="1"/>
  <c r="AJ23" i="35"/>
  <c r="G23" i="53" s="1"/>
  <c r="AJ24" i="35"/>
  <c r="G24" i="53" s="1"/>
  <c r="AJ25" i="35"/>
  <c r="G25" i="53" s="1"/>
  <c r="AJ26" i="35"/>
  <c r="G26" i="53" s="1"/>
  <c r="AJ27" i="35"/>
  <c r="G27" i="53" s="1"/>
  <c r="AJ28" i="35"/>
  <c r="G28" i="53" s="1"/>
  <c r="AJ29" i="35"/>
  <c r="G29" i="53" s="1"/>
  <c r="AJ30" i="35"/>
  <c r="G30" i="53" s="1"/>
  <c r="AJ31" i="35"/>
  <c r="G31" i="53" s="1"/>
  <c r="AJ32" i="35"/>
  <c r="G32" i="53" s="1"/>
  <c r="AJ33" i="35"/>
  <c r="G33" i="53" s="1"/>
  <c r="AJ34" i="35"/>
  <c r="G34" i="53" s="1"/>
  <c r="AJ35" i="35"/>
  <c r="G35" i="53" s="1"/>
  <c r="AJ36" i="35"/>
  <c r="G36" i="53" s="1"/>
  <c r="AJ37" i="35"/>
  <c r="G37" i="53" s="1"/>
  <c r="AJ38" i="35"/>
  <c r="G38" i="53" s="1"/>
  <c r="AJ39" i="35"/>
  <c r="G39" i="53" s="1"/>
  <c r="AJ40" i="35"/>
  <c r="G40" i="53" s="1"/>
  <c r="AJ8" i="35"/>
  <c r="G8" i="53" s="1"/>
  <c r="AF9" i="35"/>
  <c r="AF10" i="35"/>
  <c r="AF11" i="35"/>
  <c r="AF12" i="35"/>
  <c r="AF13" i="35"/>
  <c r="AF14" i="35"/>
  <c r="AF15" i="35"/>
  <c r="AF16" i="35"/>
  <c r="AF17" i="35"/>
  <c r="AF18" i="35"/>
  <c r="AF19" i="35"/>
  <c r="AF20" i="35"/>
  <c r="AF21" i="35"/>
  <c r="AF22" i="35"/>
  <c r="AF23" i="35"/>
  <c r="AF24" i="35"/>
  <c r="AF25" i="35"/>
  <c r="AF26" i="35"/>
  <c r="AF27" i="35"/>
  <c r="AF28" i="35"/>
  <c r="AF29" i="35"/>
  <c r="AF30" i="35"/>
  <c r="AF31" i="35"/>
  <c r="AF32" i="35"/>
  <c r="AF33" i="35"/>
  <c r="AF34" i="35"/>
  <c r="AF35" i="35"/>
  <c r="AF36" i="35"/>
  <c r="AF37" i="35"/>
  <c r="AF38" i="35"/>
  <c r="AF39" i="35"/>
  <c r="AF40" i="35"/>
  <c r="AF8" i="35"/>
  <c r="E8" i="53" s="1"/>
  <c r="AB10" i="35"/>
  <c r="C10" i="53" s="1"/>
  <c r="AB11" i="35"/>
  <c r="C11" i="53" s="1"/>
  <c r="AB12" i="35"/>
  <c r="C12" i="53" s="1"/>
  <c r="AB13" i="35"/>
  <c r="C13" i="53" s="1"/>
  <c r="AB14" i="35"/>
  <c r="C14" i="53" s="1"/>
  <c r="AB15" i="35"/>
  <c r="C15" i="53" s="1"/>
  <c r="AB16" i="35"/>
  <c r="C16" i="53" s="1"/>
  <c r="AB17" i="35"/>
  <c r="C17" i="53" s="1"/>
  <c r="AB18" i="35"/>
  <c r="C18" i="53" s="1"/>
  <c r="AB19" i="35"/>
  <c r="C19" i="53" s="1"/>
  <c r="AB20" i="35"/>
  <c r="C20" i="53" s="1"/>
  <c r="AB21" i="35"/>
  <c r="C21" i="53" s="1"/>
  <c r="AB22" i="35"/>
  <c r="C22" i="53" s="1"/>
  <c r="AB23" i="35"/>
  <c r="C23" i="53" s="1"/>
  <c r="AB24" i="35"/>
  <c r="C24" i="53" s="1"/>
  <c r="AB25" i="35"/>
  <c r="C25" i="53" s="1"/>
  <c r="AB26" i="35"/>
  <c r="C26" i="53" s="1"/>
  <c r="AB27" i="35"/>
  <c r="C27" i="53" s="1"/>
  <c r="AB28" i="35"/>
  <c r="C28" i="53" s="1"/>
  <c r="AB29" i="35"/>
  <c r="C29" i="53" s="1"/>
  <c r="AB30" i="35"/>
  <c r="C30" i="53" s="1"/>
  <c r="AB31" i="35"/>
  <c r="C31" i="53" s="1"/>
  <c r="AB32" i="35"/>
  <c r="C32" i="53" s="1"/>
  <c r="AB33" i="35"/>
  <c r="C33" i="53" s="1"/>
  <c r="AB34" i="35"/>
  <c r="C34" i="53" s="1"/>
  <c r="AB35" i="35"/>
  <c r="C35" i="53" s="1"/>
  <c r="AB36" i="35"/>
  <c r="C36" i="53" s="1"/>
  <c r="AB37" i="35"/>
  <c r="C37" i="53" s="1"/>
  <c r="AB38" i="35"/>
  <c r="C38" i="53" s="1"/>
  <c r="AB39" i="35"/>
  <c r="C39" i="53" s="1"/>
  <c r="AB40" i="35"/>
  <c r="C40" i="53" s="1"/>
  <c r="AB9" i="35"/>
  <c r="C9" i="53" s="1"/>
  <c r="AB8" i="35"/>
  <c r="C8" i="53" s="1"/>
  <c r="AH33" i="35" l="1"/>
  <c r="AI33" i="35" s="1"/>
  <c r="E33" i="53"/>
  <c r="AH29" i="35"/>
  <c r="AI29" i="35" s="1"/>
  <c r="E29" i="53"/>
  <c r="AH25" i="35"/>
  <c r="AI25" i="35" s="1"/>
  <c r="E25" i="53"/>
  <c r="AH21" i="35"/>
  <c r="AI21" i="35" s="1"/>
  <c r="E21" i="53"/>
  <c r="AH17" i="35"/>
  <c r="AI17" i="35" s="1"/>
  <c r="E17" i="53"/>
  <c r="AH13" i="35"/>
  <c r="AI13" i="35" s="1"/>
  <c r="E13" i="53"/>
  <c r="AH9" i="35"/>
  <c r="AI9" i="35" s="1"/>
  <c r="E9" i="53"/>
  <c r="AH40" i="35"/>
  <c r="AI40" i="35" s="1"/>
  <c r="E40" i="53"/>
  <c r="AH36" i="35"/>
  <c r="AI36" i="35" s="1"/>
  <c r="E36" i="53"/>
  <c r="AH32" i="35"/>
  <c r="AI32" i="35" s="1"/>
  <c r="E32" i="53"/>
  <c r="AH28" i="35"/>
  <c r="AI28" i="35" s="1"/>
  <c r="E28" i="53"/>
  <c r="AH24" i="35"/>
  <c r="AI24" i="35" s="1"/>
  <c r="E24" i="53"/>
  <c r="AH20" i="35"/>
  <c r="AI20" i="35" s="1"/>
  <c r="E20" i="53"/>
  <c r="AH16" i="35"/>
  <c r="AI16" i="35" s="1"/>
  <c r="E16" i="53"/>
  <c r="AH12" i="35"/>
  <c r="AI12" i="35" s="1"/>
  <c r="E12" i="53"/>
  <c r="AH37" i="35"/>
  <c r="AI37" i="35" s="1"/>
  <c r="E37" i="53"/>
  <c r="AH39" i="35"/>
  <c r="AI39" i="35" s="1"/>
  <c r="E39" i="53"/>
  <c r="AH35" i="35"/>
  <c r="AI35" i="35" s="1"/>
  <c r="E35" i="53"/>
  <c r="AH31" i="35"/>
  <c r="AI31" i="35" s="1"/>
  <c r="E31" i="53"/>
  <c r="AH27" i="35"/>
  <c r="AI27" i="35" s="1"/>
  <c r="E27" i="53"/>
  <c r="AH23" i="35"/>
  <c r="AI23" i="35" s="1"/>
  <c r="E23" i="53"/>
  <c r="AH19" i="35"/>
  <c r="AI19" i="35" s="1"/>
  <c r="E19" i="53"/>
  <c r="AH15" i="35"/>
  <c r="AI15" i="35" s="1"/>
  <c r="E15" i="53"/>
  <c r="AH11" i="35"/>
  <c r="AI11" i="35" s="1"/>
  <c r="E11" i="53"/>
  <c r="AH38" i="35"/>
  <c r="AI38" i="35" s="1"/>
  <c r="E38" i="53"/>
  <c r="AH34" i="35"/>
  <c r="AI34" i="35" s="1"/>
  <c r="E34" i="53"/>
  <c r="AH30" i="35"/>
  <c r="AI30" i="35" s="1"/>
  <c r="E30" i="53"/>
  <c r="AH26" i="35"/>
  <c r="AI26" i="35" s="1"/>
  <c r="E26" i="53"/>
  <c r="AH22" i="35"/>
  <c r="AI22" i="35" s="1"/>
  <c r="E22" i="53"/>
  <c r="AH18" i="35"/>
  <c r="AI18" i="35" s="1"/>
  <c r="E18" i="53"/>
  <c r="AH14" i="35"/>
  <c r="AI14" i="35" s="1"/>
  <c r="E14" i="53"/>
  <c r="AH10" i="35"/>
  <c r="AI10" i="35" s="1"/>
  <c r="E10" i="53"/>
  <c r="AD8" i="35"/>
  <c r="AC44" i="35"/>
  <c r="AD29" i="16" s="1"/>
  <c r="L154" i="48" s="1"/>
  <c r="AC46" i="35"/>
  <c r="AD31" i="16" s="1"/>
  <c r="L156" i="48" s="1"/>
  <c r="AC48" i="35"/>
  <c r="AD33" i="16" s="1"/>
  <c r="L158" i="48" s="1"/>
  <c r="AC45" i="35"/>
  <c r="AD30" i="16" s="1"/>
  <c r="L155" i="48" s="1"/>
  <c r="AC47" i="35"/>
  <c r="AD32" i="16" s="1"/>
  <c r="L157" i="48" s="1"/>
  <c r="AC49" i="35"/>
  <c r="AD34" i="16" s="1"/>
  <c r="AC43" i="35"/>
  <c r="AD28" i="16" s="1"/>
  <c r="L153" i="48" s="1"/>
  <c r="AG45" i="35"/>
  <c r="AD66" i="16" s="1"/>
  <c r="L146" i="48" s="1"/>
  <c r="AG47" i="35"/>
  <c r="AD68" i="16" s="1"/>
  <c r="L148" i="48" s="1"/>
  <c r="AG49" i="35"/>
  <c r="AD70" i="16" s="1"/>
  <c r="AG44" i="35"/>
  <c r="AD65" i="16" s="1"/>
  <c r="L145" i="48" s="1"/>
  <c r="AG46" i="35"/>
  <c r="AD67" i="16" s="1"/>
  <c r="L147" i="48" s="1"/>
  <c r="AG48" i="35"/>
  <c r="AD69" i="16" s="1"/>
  <c r="L149" i="48" s="1"/>
  <c r="AG43" i="35"/>
  <c r="AD64" i="16" s="1"/>
  <c r="L144" i="48" s="1"/>
  <c r="GM65" i="47"/>
  <c r="GN65" i="47" s="1"/>
  <c r="GK66" i="47"/>
  <c r="AR30" i="47"/>
  <c r="AT29" i="47"/>
  <c r="AU29" i="47" s="1"/>
  <c r="HR29" i="47" s="1"/>
  <c r="AH8" i="35"/>
  <c r="AI8" i="35" s="1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8" i="35"/>
  <c r="H9" i="35"/>
  <c r="H10" i="35"/>
  <c r="BY10" i="35" s="1" a="1"/>
  <c r="BY10" i="35" s="1"/>
  <c r="AD10" i="53" s="1"/>
  <c r="H11" i="35"/>
  <c r="H12" i="35"/>
  <c r="BY12" i="35" s="1" a="1"/>
  <c r="BY12" i="35" s="1"/>
  <c r="AD12" i="53" s="1"/>
  <c r="H13" i="35"/>
  <c r="BY13" i="35" s="1" a="1"/>
  <c r="BY13" i="35" s="1"/>
  <c r="AD13" i="53" s="1"/>
  <c r="H14" i="35"/>
  <c r="H15" i="35"/>
  <c r="H16" i="35"/>
  <c r="H17" i="35"/>
  <c r="H18" i="35"/>
  <c r="BY18" i="35" s="1" a="1"/>
  <c r="BY18" i="35" s="1"/>
  <c r="AD18" i="53" s="1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BY36" i="35" s="1" a="1"/>
  <c r="BY36" i="35" s="1"/>
  <c r="AD36" i="53" s="1"/>
  <c r="H37" i="35"/>
  <c r="H38" i="35"/>
  <c r="H39" i="35"/>
  <c r="H40" i="35"/>
  <c r="BY40" i="35" s="1" a="1"/>
  <c r="BY40" i="35" s="1"/>
  <c r="AD40" i="53" s="1"/>
  <c r="H8" i="35"/>
  <c r="U40" i="35" l="1"/>
  <c r="V40" i="35" s="1"/>
  <c r="GW40" i="35" s="1" a="1"/>
  <c r="GW40" i="35" s="1"/>
  <c r="GC40" i="35"/>
  <c r="V82" i="53" s="1"/>
  <c r="U38" i="35"/>
  <c r="V38" i="35" s="1"/>
  <c r="GW38" i="35" s="1" a="1"/>
  <c r="GW38" i="35" s="1"/>
  <c r="GC38" i="35"/>
  <c r="V80" i="53" s="1"/>
  <c r="U36" i="35"/>
  <c r="V36" i="35" s="1"/>
  <c r="GW36" i="35" s="1" a="1"/>
  <c r="GW36" i="35" s="1"/>
  <c r="GC36" i="35"/>
  <c r="V78" i="53" s="1"/>
  <c r="U34" i="35"/>
  <c r="V34" i="35" s="1"/>
  <c r="GW34" i="35" s="1" a="1"/>
  <c r="GW34" i="35" s="1"/>
  <c r="GC34" i="35"/>
  <c r="V76" i="53" s="1"/>
  <c r="U32" i="35"/>
  <c r="V32" i="35" s="1"/>
  <c r="GW32" i="35" s="1" a="1"/>
  <c r="GW32" i="35" s="1"/>
  <c r="GC32" i="35"/>
  <c r="V74" i="53" s="1"/>
  <c r="U30" i="35"/>
  <c r="V30" i="35" s="1"/>
  <c r="GW30" i="35" s="1" a="1"/>
  <c r="GW30" i="35" s="1"/>
  <c r="GC30" i="35"/>
  <c r="V72" i="53" s="1"/>
  <c r="U28" i="35"/>
  <c r="V28" i="35" s="1"/>
  <c r="GW28" i="35" s="1" a="1"/>
  <c r="GW28" i="35" s="1"/>
  <c r="GC28" i="35"/>
  <c r="V70" i="53" s="1"/>
  <c r="U26" i="35"/>
  <c r="V26" i="35" s="1"/>
  <c r="GW26" i="35" s="1" a="1"/>
  <c r="GW26" i="35" s="1"/>
  <c r="GC26" i="35"/>
  <c r="V68" i="53" s="1"/>
  <c r="U24" i="35"/>
  <c r="V24" i="35" s="1"/>
  <c r="GW24" i="35" s="1" a="1"/>
  <c r="GW24" i="35" s="1"/>
  <c r="GC24" i="35"/>
  <c r="V66" i="53" s="1"/>
  <c r="U22" i="35"/>
  <c r="V22" i="35" s="1"/>
  <c r="GW22" i="35" s="1" a="1"/>
  <c r="GW22" i="35" s="1"/>
  <c r="GC22" i="35"/>
  <c r="V64" i="53" s="1"/>
  <c r="U20" i="35"/>
  <c r="V20" i="35" s="1"/>
  <c r="GW20" i="35" s="1" a="1"/>
  <c r="GW20" i="35" s="1"/>
  <c r="GC20" i="35"/>
  <c r="V62" i="53" s="1"/>
  <c r="U18" i="35"/>
  <c r="V18" i="35" s="1"/>
  <c r="GW18" i="35" s="1" a="1"/>
  <c r="GW18" i="35" s="1"/>
  <c r="GC18" i="35"/>
  <c r="V60" i="53" s="1"/>
  <c r="U16" i="35"/>
  <c r="V16" i="35" s="1"/>
  <c r="GW16" i="35" s="1" a="1"/>
  <c r="GW16" i="35" s="1"/>
  <c r="GC16" i="35"/>
  <c r="V58" i="53" s="1"/>
  <c r="U14" i="35"/>
  <c r="V14" i="35" s="1"/>
  <c r="GW14" i="35" s="1" a="1"/>
  <c r="GW14" i="35" s="1"/>
  <c r="GC14" i="35"/>
  <c r="V56" i="53" s="1"/>
  <c r="U12" i="35"/>
  <c r="V12" i="35" s="1"/>
  <c r="GW12" i="35" s="1" a="1"/>
  <c r="GW12" i="35" s="1"/>
  <c r="GC12" i="35"/>
  <c r="V54" i="53" s="1"/>
  <c r="U10" i="35"/>
  <c r="V10" i="35" s="1"/>
  <c r="GW10" i="35" s="1" a="1"/>
  <c r="GW10" i="35" s="1"/>
  <c r="GC10" i="35"/>
  <c r="V52" i="53" s="1"/>
  <c r="U8" i="35"/>
  <c r="V8" i="35" s="1"/>
  <c r="GW8" i="35" s="1" a="1"/>
  <c r="GW8" i="35" s="1"/>
  <c r="GC8" i="35"/>
  <c r="V50" i="53" s="1"/>
  <c r="U39" i="35"/>
  <c r="V39" i="35" s="1"/>
  <c r="GW39" i="35" s="1" a="1"/>
  <c r="GW39" i="35" s="1"/>
  <c r="GC39" i="35"/>
  <c r="V81" i="53" s="1"/>
  <c r="U37" i="35"/>
  <c r="V37" i="35" s="1"/>
  <c r="GW37" i="35" s="1" a="1"/>
  <c r="GW37" i="35" s="1"/>
  <c r="GC37" i="35"/>
  <c r="V79" i="53" s="1"/>
  <c r="U35" i="35"/>
  <c r="V35" i="35" s="1"/>
  <c r="GW35" i="35" s="1" a="1"/>
  <c r="GW35" i="35" s="1"/>
  <c r="GC35" i="35"/>
  <c r="V77" i="53" s="1"/>
  <c r="U33" i="35"/>
  <c r="V33" i="35" s="1"/>
  <c r="GW33" i="35" s="1" a="1"/>
  <c r="GW33" i="35" s="1"/>
  <c r="GC33" i="35"/>
  <c r="V75" i="53" s="1"/>
  <c r="U31" i="35"/>
  <c r="V31" i="35" s="1"/>
  <c r="GW31" i="35" s="1" a="1"/>
  <c r="GW31" i="35" s="1"/>
  <c r="GC31" i="35"/>
  <c r="V73" i="53" s="1"/>
  <c r="U29" i="35"/>
  <c r="V29" i="35" s="1"/>
  <c r="GW29" i="35" s="1" a="1"/>
  <c r="GW29" i="35" s="1"/>
  <c r="GC29" i="35"/>
  <c r="V71" i="53" s="1"/>
  <c r="U27" i="35"/>
  <c r="V27" i="35" s="1"/>
  <c r="GW27" i="35" s="1" a="1"/>
  <c r="GW27" i="35" s="1"/>
  <c r="GC27" i="35"/>
  <c r="V69" i="53" s="1"/>
  <c r="U25" i="35"/>
  <c r="V25" i="35" s="1"/>
  <c r="GW25" i="35" s="1" a="1"/>
  <c r="GW25" i="35" s="1"/>
  <c r="GC25" i="35"/>
  <c r="V67" i="53" s="1"/>
  <c r="U23" i="35"/>
  <c r="V23" i="35" s="1"/>
  <c r="GW23" i="35" s="1" a="1"/>
  <c r="GW23" i="35" s="1"/>
  <c r="GC23" i="35"/>
  <c r="V65" i="53" s="1"/>
  <c r="U21" i="35"/>
  <c r="V21" i="35" s="1"/>
  <c r="GW21" i="35" s="1" a="1"/>
  <c r="GW21" i="35" s="1"/>
  <c r="GC21" i="35"/>
  <c r="V63" i="53" s="1"/>
  <c r="U19" i="35"/>
  <c r="V19" i="35" s="1"/>
  <c r="GW19" i="35" s="1" a="1"/>
  <c r="GW19" i="35" s="1"/>
  <c r="GC19" i="35"/>
  <c r="V61" i="53" s="1"/>
  <c r="U17" i="35"/>
  <c r="V17" i="35" s="1"/>
  <c r="GW17" i="35" s="1" a="1"/>
  <c r="GW17" i="35" s="1"/>
  <c r="GC17" i="35"/>
  <c r="V59" i="53" s="1"/>
  <c r="U15" i="35"/>
  <c r="V15" i="35" s="1"/>
  <c r="GW15" i="35" s="1" a="1"/>
  <c r="GW15" i="35" s="1"/>
  <c r="GC15" i="35"/>
  <c r="V57" i="53" s="1"/>
  <c r="U13" i="35"/>
  <c r="V13" i="35" s="1"/>
  <c r="GW13" i="35" s="1" a="1"/>
  <c r="GW13" i="35" s="1"/>
  <c r="GC13" i="35"/>
  <c r="V55" i="53" s="1"/>
  <c r="U11" i="35"/>
  <c r="V11" i="35" s="1"/>
  <c r="GW11" i="35" s="1" a="1"/>
  <c r="GW11" i="35" s="1"/>
  <c r="GC11" i="35"/>
  <c r="V53" i="53" s="1"/>
  <c r="U9" i="35"/>
  <c r="V9" i="35" s="1"/>
  <c r="GW9" i="35" s="1" a="1"/>
  <c r="GW9" i="35" s="1"/>
  <c r="GC9" i="35"/>
  <c r="V51" i="53" s="1"/>
  <c r="GK67" i="47"/>
  <c r="GM66" i="47"/>
  <c r="GN66" i="47" s="1"/>
  <c r="AT30" i="47"/>
  <c r="AU30" i="47" s="1"/>
  <c r="HR30" i="47" s="1"/>
  <c r="AR31" i="47"/>
  <c r="P39" i="35"/>
  <c r="GJ39" i="35" s="1"/>
  <c r="AA81" i="53" s="1"/>
  <c r="HK39" i="35" a="1"/>
  <c r="HK39" i="35" s="1"/>
  <c r="P35" i="35"/>
  <c r="GJ35" i="35" s="1"/>
  <c r="AA77" i="53" s="1"/>
  <c r="HK35" i="35" a="1"/>
  <c r="HK35" i="35" s="1"/>
  <c r="P31" i="35"/>
  <c r="GJ31" i="35" s="1"/>
  <c r="AA73" i="53" s="1"/>
  <c r="HK31" i="35" a="1"/>
  <c r="HK31" i="35" s="1"/>
  <c r="P27" i="35"/>
  <c r="GJ27" i="35" s="1"/>
  <c r="AA69" i="53" s="1"/>
  <c r="HK27" i="35" a="1"/>
  <c r="HK27" i="35" s="1"/>
  <c r="P23" i="35"/>
  <c r="GJ23" i="35" s="1"/>
  <c r="AA65" i="53" s="1"/>
  <c r="HK23" i="35" a="1"/>
  <c r="HK23" i="35" s="1"/>
  <c r="P19" i="35"/>
  <c r="GJ19" i="35" s="1"/>
  <c r="AA61" i="53" s="1"/>
  <c r="HK19" i="35" a="1"/>
  <c r="HK19" i="35" s="1"/>
  <c r="P15" i="35"/>
  <c r="GJ15" i="35" s="1"/>
  <c r="AA57" i="53" s="1"/>
  <c r="HK15" i="35" a="1"/>
  <c r="HK15" i="35" s="1"/>
  <c r="P11" i="35"/>
  <c r="GJ11" i="35" s="1"/>
  <c r="AA53" i="53" s="1"/>
  <c r="HK11" i="35" a="1"/>
  <c r="HK11" i="35" s="1"/>
  <c r="P8" i="35"/>
  <c r="GJ8" i="35" s="1"/>
  <c r="AA50" i="53" s="1"/>
  <c r="HK8" i="35" a="1"/>
  <c r="HK8" i="35" s="1"/>
  <c r="P37" i="35"/>
  <c r="GJ37" i="35" s="1"/>
  <c r="AA79" i="53" s="1"/>
  <c r="HK37" i="35" a="1"/>
  <c r="HK37" i="35" s="1"/>
  <c r="P33" i="35"/>
  <c r="GJ33" i="35" s="1"/>
  <c r="AA75" i="53" s="1"/>
  <c r="HK33" i="35" a="1"/>
  <c r="HK33" i="35" s="1"/>
  <c r="P29" i="35"/>
  <c r="GJ29" i="35" s="1"/>
  <c r="AA71" i="53" s="1"/>
  <c r="HK29" i="35" a="1"/>
  <c r="HK29" i="35" s="1"/>
  <c r="P25" i="35"/>
  <c r="GJ25" i="35" s="1"/>
  <c r="AA67" i="53" s="1"/>
  <c r="HK25" i="35" a="1"/>
  <c r="HK25" i="35" s="1"/>
  <c r="P21" i="35"/>
  <c r="GJ21" i="35" s="1"/>
  <c r="AA63" i="53" s="1"/>
  <c r="HK21" i="35" a="1"/>
  <c r="HK21" i="35" s="1"/>
  <c r="P13" i="35"/>
  <c r="GJ13" i="35" s="1"/>
  <c r="AA55" i="53" s="1"/>
  <c r="HK13" i="35" a="1"/>
  <c r="HK13" i="35" s="1"/>
  <c r="P9" i="35"/>
  <c r="GJ9" i="35" s="1"/>
  <c r="AA51" i="53" s="1"/>
  <c r="HK9" i="35" a="1"/>
  <c r="HK9" i="35" s="1"/>
  <c r="P38" i="35"/>
  <c r="GJ38" i="35" s="1"/>
  <c r="AA80" i="53" s="1"/>
  <c r="HK38" i="35" a="1"/>
  <c r="HK38" i="35" s="1"/>
  <c r="P34" i="35"/>
  <c r="GJ34" i="35" s="1"/>
  <c r="AA76" i="53" s="1"/>
  <c r="HK34" i="35" a="1"/>
  <c r="HK34" i="35" s="1"/>
  <c r="P30" i="35"/>
  <c r="GJ30" i="35" s="1"/>
  <c r="AA72" i="53" s="1"/>
  <c r="HK30" i="35" a="1"/>
  <c r="HK30" i="35" s="1"/>
  <c r="P26" i="35"/>
  <c r="GJ26" i="35" s="1"/>
  <c r="AA68" i="53" s="1"/>
  <c r="HK26" i="35" a="1"/>
  <c r="HK26" i="35" s="1"/>
  <c r="P22" i="35"/>
  <c r="GJ22" i="35" s="1"/>
  <c r="AA64" i="53" s="1"/>
  <c r="HK22" i="35" a="1"/>
  <c r="HK22" i="35" s="1"/>
  <c r="P18" i="35"/>
  <c r="GJ18" i="35" s="1"/>
  <c r="AA60" i="53" s="1"/>
  <c r="HK18" i="35" a="1"/>
  <c r="HK18" i="35" s="1"/>
  <c r="P14" i="35"/>
  <c r="GJ14" i="35" s="1"/>
  <c r="AA56" i="53" s="1"/>
  <c r="HK14" i="35" a="1"/>
  <c r="HK14" i="35" s="1"/>
  <c r="P10" i="35"/>
  <c r="GJ10" i="35" s="1"/>
  <c r="AA52" i="53" s="1"/>
  <c r="HK10" i="35" a="1"/>
  <c r="HK10" i="35" s="1"/>
  <c r="P17" i="35"/>
  <c r="GJ17" i="35" s="1"/>
  <c r="AA59" i="53" s="1"/>
  <c r="HK17" i="35" a="1"/>
  <c r="HK17" i="35" s="1"/>
  <c r="P40" i="35"/>
  <c r="GJ40" i="35" s="1"/>
  <c r="AA82" i="53" s="1"/>
  <c r="HK40" i="35" a="1"/>
  <c r="HK40" i="35" s="1"/>
  <c r="P36" i="35"/>
  <c r="GJ36" i="35" s="1"/>
  <c r="AA78" i="53" s="1"/>
  <c r="HK36" i="35" a="1"/>
  <c r="HK36" i="35" s="1"/>
  <c r="P32" i="35"/>
  <c r="GJ32" i="35" s="1"/>
  <c r="AA74" i="53" s="1"/>
  <c r="HK32" i="35" a="1"/>
  <c r="HK32" i="35" s="1"/>
  <c r="P28" i="35"/>
  <c r="GJ28" i="35" s="1"/>
  <c r="AA70" i="53" s="1"/>
  <c r="HK28" i="35" a="1"/>
  <c r="HK28" i="35" s="1"/>
  <c r="P24" i="35"/>
  <c r="GJ24" i="35" s="1"/>
  <c r="AA66" i="53" s="1"/>
  <c r="HK24" i="35" a="1"/>
  <c r="HK24" i="35" s="1"/>
  <c r="P20" i="35"/>
  <c r="GJ20" i="35" s="1"/>
  <c r="AA62" i="53" s="1"/>
  <c r="HK20" i="35" a="1"/>
  <c r="HK20" i="35" s="1"/>
  <c r="P16" i="35"/>
  <c r="GJ16" i="35" s="1"/>
  <c r="AA58" i="53" s="1"/>
  <c r="HK16" i="35" a="1"/>
  <c r="HK16" i="35" s="1"/>
  <c r="P12" i="35"/>
  <c r="GJ12" i="35" s="1"/>
  <c r="AA54" i="53" s="1"/>
  <c r="HK12" i="35" a="1"/>
  <c r="HK12" i="35" s="1"/>
  <c r="F9" i="35"/>
  <c r="R39" i="35"/>
  <c r="BY39" i="35" a="1"/>
  <c r="BY39" i="35" s="1"/>
  <c r="AD39" i="53" s="1"/>
  <c r="R35" i="35"/>
  <c r="R31" i="35"/>
  <c r="R27" i="35"/>
  <c r="BY27" i="35" a="1"/>
  <c r="BY27" i="35" s="1"/>
  <c r="AD27" i="53" s="1"/>
  <c r="R23" i="35"/>
  <c r="R19" i="35"/>
  <c r="R15" i="35"/>
  <c r="R11" i="35"/>
  <c r="BY11" i="35" a="1"/>
  <c r="BY11" i="35" s="1"/>
  <c r="AD11" i="53" s="1"/>
  <c r="S38" i="35"/>
  <c r="BS38" i="35" s="1" a="1"/>
  <c r="BS38" i="35" s="1"/>
  <c r="Z38" i="53" s="1"/>
  <c r="CE38" i="35" a="1"/>
  <c r="CE38" i="35" s="1"/>
  <c r="AH38" i="53" s="1"/>
  <c r="S34" i="35"/>
  <c r="BN34" i="35" s="1" a="1"/>
  <c r="BN34" i="35" s="1"/>
  <c r="CE34" i="35" a="1"/>
  <c r="CE34" i="35" s="1"/>
  <c r="AH34" i="53" s="1"/>
  <c r="S30" i="35"/>
  <c r="BS30" i="35" s="1" a="1"/>
  <c r="BS30" i="35" s="1"/>
  <c r="Z30" i="53" s="1"/>
  <c r="CE30" i="35" a="1"/>
  <c r="CE30" i="35" s="1"/>
  <c r="AH30" i="53" s="1"/>
  <c r="S26" i="35"/>
  <c r="BN26" i="35" s="1" a="1"/>
  <c r="BN26" i="35" s="1"/>
  <c r="CE26" i="35" a="1"/>
  <c r="CE26" i="35" s="1"/>
  <c r="AH26" i="53" s="1"/>
  <c r="S22" i="35"/>
  <c r="BN22" i="35" s="1" a="1"/>
  <c r="BN22" i="35" s="1"/>
  <c r="CE22" i="35" a="1"/>
  <c r="CE22" i="35" s="1"/>
  <c r="AH22" i="53" s="1"/>
  <c r="S18" i="35"/>
  <c r="BN18" i="35" s="1" a="1"/>
  <c r="BN18" i="35" s="1"/>
  <c r="W18" i="53" s="1"/>
  <c r="CE18" i="35" a="1"/>
  <c r="CE18" i="35" s="1"/>
  <c r="AH18" i="53" s="1"/>
  <c r="S14" i="35"/>
  <c r="BS14" i="35" s="1" a="1"/>
  <c r="BS14" i="35" s="1"/>
  <c r="Z14" i="53" s="1"/>
  <c r="CE14" i="35" a="1"/>
  <c r="CE14" i="35" s="1"/>
  <c r="AH14" i="53" s="1"/>
  <c r="S10" i="35"/>
  <c r="BN10" i="35" s="1" a="1"/>
  <c r="BN10" i="35" s="1"/>
  <c r="CE10" i="35" a="1"/>
  <c r="CE10" i="35" s="1"/>
  <c r="AH10" i="53" s="1"/>
  <c r="R30" i="35"/>
  <c r="CB18" i="35"/>
  <c r="BX18" i="35"/>
  <c r="AC18" i="53" s="1"/>
  <c r="R14" i="35"/>
  <c r="CB10" i="35"/>
  <c r="BX10" i="35"/>
  <c r="AC10" i="53" s="1"/>
  <c r="S8" i="35"/>
  <c r="CE8" i="35" a="1"/>
  <c r="CE8" i="35" s="1"/>
  <c r="AH8" i="53" s="1"/>
  <c r="S37" i="35"/>
  <c r="BN37" i="35" s="1" a="1"/>
  <c r="BN37" i="35" s="1"/>
  <c r="CE37" i="35" a="1"/>
  <c r="CE37" i="35" s="1"/>
  <c r="AH37" i="53" s="1"/>
  <c r="S33" i="35"/>
  <c r="BN33" i="35" s="1" a="1"/>
  <c r="BN33" i="35" s="1"/>
  <c r="CE33" i="35" a="1"/>
  <c r="CE33" i="35" s="1"/>
  <c r="AH33" i="53" s="1"/>
  <c r="S29" i="35"/>
  <c r="BN29" i="35" s="1" a="1"/>
  <c r="BN29" i="35" s="1"/>
  <c r="CE29" i="35" a="1"/>
  <c r="CE29" i="35" s="1"/>
  <c r="AH29" i="53" s="1"/>
  <c r="S25" i="35"/>
  <c r="BS25" i="35" s="1" a="1"/>
  <c r="BS25" i="35" s="1"/>
  <c r="Z25" i="53" s="1"/>
  <c r="CE25" i="35" a="1"/>
  <c r="CE25" i="35" s="1"/>
  <c r="AH25" i="53" s="1"/>
  <c r="S21" i="35"/>
  <c r="BN21" i="35" s="1" a="1"/>
  <c r="BN21" i="35" s="1"/>
  <c r="CE21" i="35" a="1"/>
  <c r="CE21" i="35" s="1"/>
  <c r="AH21" i="53" s="1"/>
  <c r="S17" i="35"/>
  <c r="BN17" i="35" s="1" a="1"/>
  <c r="BN17" i="35" s="1"/>
  <c r="CE17" i="35" a="1"/>
  <c r="CE17" i="35" s="1"/>
  <c r="AH17" i="53" s="1"/>
  <c r="S13" i="35"/>
  <c r="BN13" i="35" s="1" a="1"/>
  <c r="BN13" i="35" s="1"/>
  <c r="CE13" i="35" a="1"/>
  <c r="CE13" i="35" s="1"/>
  <c r="AH13" i="53" s="1"/>
  <c r="S9" i="35"/>
  <c r="BS9" i="35" s="1" a="1"/>
  <c r="BS9" i="35" s="1"/>
  <c r="Z9" i="53" s="1"/>
  <c r="CE9" i="35" a="1"/>
  <c r="CE9" i="35" s="1"/>
  <c r="AH9" i="53" s="1"/>
  <c r="R8" i="35"/>
  <c r="BY8" i="35" a="1"/>
  <c r="BY8" i="35" s="1"/>
  <c r="AD8" i="53" s="1"/>
  <c r="R25" i="35"/>
  <c r="CB13" i="35"/>
  <c r="BX13" i="35"/>
  <c r="AC13" i="53" s="1"/>
  <c r="R9" i="35"/>
  <c r="BY9" i="35" a="1"/>
  <c r="BY9" i="35" s="1"/>
  <c r="AD9" i="53" s="1"/>
  <c r="S40" i="35"/>
  <c r="CE40" i="35" a="1"/>
  <c r="CE40" i="35" s="1"/>
  <c r="AH40" i="53" s="1"/>
  <c r="S36" i="35"/>
  <c r="BN36" i="35" s="1" a="1"/>
  <c r="BN36" i="35" s="1"/>
  <c r="CE36" i="35" a="1"/>
  <c r="CE36" i="35" s="1"/>
  <c r="AH36" i="53" s="1"/>
  <c r="S32" i="35"/>
  <c r="BS32" i="35" s="1" a="1"/>
  <c r="BS32" i="35" s="1"/>
  <c r="Z32" i="53" s="1"/>
  <c r="CE32" i="35" a="1"/>
  <c r="CE32" i="35" s="1"/>
  <c r="AH32" i="53" s="1"/>
  <c r="S28" i="35"/>
  <c r="BN28" i="35" s="1" a="1"/>
  <c r="BN28" i="35" s="1"/>
  <c r="CE28" i="35" a="1"/>
  <c r="CE28" i="35" s="1"/>
  <c r="AH28" i="53" s="1"/>
  <c r="S24" i="35"/>
  <c r="BN24" i="35" s="1" a="1"/>
  <c r="BN24" i="35" s="1"/>
  <c r="CE24" i="35" a="1"/>
  <c r="CE24" i="35" s="1"/>
  <c r="AH24" i="53" s="1"/>
  <c r="S20" i="35"/>
  <c r="BN20" i="35" s="1" a="1"/>
  <c r="BN20" i="35" s="1"/>
  <c r="CE20" i="35" a="1"/>
  <c r="CE20" i="35" s="1"/>
  <c r="AH20" i="53" s="1"/>
  <c r="S16" i="35"/>
  <c r="BS16" i="35" s="1" a="1"/>
  <c r="BS16" i="35" s="1"/>
  <c r="Z16" i="53" s="1"/>
  <c r="CE16" i="35" a="1"/>
  <c r="CE16" i="35" s="1"/>
  <c r="AH16" i="53" s="1"/>
  <c r="S12" i="35"/>
  <c r="BN12" i="35" s="1" a="1"/>
  <c r="BN12" i="35" s="1"/>
  <c r="CE12" i="35" a="1"/>
  <c r="CE12" i="35" s="1"/>
  <c r="AH12" i="53" s="1"/>
  <c r="BX40" i="35"/>
  <c r="AC40" i="53" s="1"/>
  <c r="CB40" i="35"/>
  <c r="CB36" i="35"/>
  <c r="BX36" i="35"/>
  <c r="AC36" i="53" s="1"/>
  <c r="CB12" i="35"/>
  <c r="BX12" i="35"/>
  <c r="AC12" i="53" s="1"/>
  <c r="S39" i="35"/>
  <c r="BS39" i="35" s="1" a="1"/>
  <c r="BS39" i="35" s="1"/>
  <c r="Z39" i="53" s="1"/>
  <c r="CE39" i="35" a="1"/>
  <c r="CE39" i="35" s="1"/>
  <c r="AH39" i="53" s="1"/>
  <c r="S35" i="35"/>
  <c r="BN35" i="35" s="1" a="1"/>
  <c r="BN35" i="35" s="1"/>
  <c r="CE35" i="35" a="1"/>
  <c r="CE35" i="35" s="1"/>
  <c r="AH35" i="53" s="1"/>
  <c r="S31" i="35"/>
  <c r="BS31" i="35" s="1" a="1"/>
  <c r="BS31" i="35" s="1"/>
  <c r="Z31" i="53" s="1"/>
  <c r="CE31" i="35" a="1"/>
  <c r="CE31" i="35" s="1"/>
  <c r="AH31" i="53" s="1"/>
  <c r="S27" i="35"/>
  <c r="BN27" i="35" s="1" a="1"/>
  <c r="BN27" i="35" s="1"/>
  <c r="CE27" i="35" a="1"/>
  <c r="CE27" i="35" s="1"/>
  <c r="AH27" i="53" s="1"/>
  <c r="S23" i="35"/>
  <c r="BN23" i="35" s="1" a="1"/>
  <c r="BN23" i="35" s="1"/>
  <c r="CE23" i="35" a="1"/>
  <c r="CE23" i="35" s="1"/>
  <c r="AH23" i="53" s="1"/>
  <c r="S19" i="35"/>
  <c r="BN19" i="35" s="1" a="1"/>
  <c r="BN19" i="35" s="1"/>
  <c r="CE19" i="35" a="1"/>
  <c r="CE19" i="35" s="1"/>
  <c r="AH19" i="53" s="1"/>
  <c r="S15" i="35"/>
  <c r="BS15" i="35" s="1" a="1"/>
  <c r="BS15" i="35" s="1"/>
  <c r="Z15" i="53" s="1"/>
  <c r="CE15" i="35" a="1"/>
  <c r="CE15" i="35" s="1"/>
  <c r="AH15" i="53" s="1"/>
  <c r="S11" i="35"/>
  <c r="BN11" i="35" s="1" a="1"/>
  <c r="BN11" i="35" s="1"/>
  <c r="CE11" i="35" a="1"/>
  <c r="CE11" i="35" s="1"/>
  <c r="AH11" i="53" s="1"/>
  <c r="F36" i="35"/>
  <c r="R36" i="35"/>
  <c r="F28" i="35"/>
  <c r="R28" i="35"/>
  <c r="F16" i="35"/>
  <c r="R16" i="35"/>
  <c r="F38" i="35"/>
  <c r="R38" i="35"/>
  <c r="F34" i="35"/>
  <c r="R34" i="35"/>
  <c r="F26" i="35"/>
  <c r="R26" i="35"/>
  <c r="F22" i="35"/>
  <c r="R22" i="35"/>
  <c r="F18" i="35"/>
  <c r="R18" i="35"/>
  <c r="F10" i="35"/>
  <c r="R10" i="35"/>
  <c r="F25" i="35"/>
  <c r="F40" i="35"/>
  <c r="R40" i="35"/>
  <c r="F32" i="35"/>
  <c r="R32" i="35"/>
  <c r="F24" i="35"/>
  <c r="R24" i="35"/>
  <c r="F20" i="35"/>
  <c r="R20" i="35"/>
  <c r="F12" i="35"/>
  <c r="R12" i="35"/>
  <c r="F30" i="35"/>
  <c r="F37" i="35"/>
  <c r="R37" i="35"/>
  <c r="F33" i="35"/>
  <c r="R33" i="35"/>
  <c r="F29" i="35"/>
  <c r="R29" i="35"/>
  <c r="F21" i="35"/>
  <c r="R21" i="35"/>
  <c r="F17" i="35"/>
  <c r="R17" i="35"/>
  <c r="F13" i="35"/>
  <c r="R13" i="35"/>
  <c r="F14" i="35"/>
  <c r="F39" i="35"/>
  <c r="F35" i="35"/>
  <c r="F31" i="35"/>
  <c r="F27" i="35"/>
  <c r="F23" i="35"/>
  <c r="F19" i="35"/>
  <c r="F15" i="35"/>
  <c r="F11" i="35"/>
  <c r="F8" i="35"/>
  <c r="AC121" i="45"/>
  <c r="AC122" i="45"/>
  <c r="AC46" i="45"/>
  <c r="AC45" i="45"/>
  <c r="AC44" i="45"/>
  <c r="AC43" i="45"/>
  <c r="AC42" i="45"/>
  <c r="AC41" i="45"/>
  <c r="AC94" i="45"/>
  <c r="AC95" i="45"/>
  <c r="AC96" i="45"/>
  <c r="AC97" i="45"/>
  <c r="AC98" i="45"/>
  <c r="AC99" i="45"/>
  <c r="AC100" i="45"/>
  <c r="AC93" i="45"/>
  <c r="AC118" i="45"/>
  <c r="AC120" i="45"/>
  <c r="AC119" i="45"/>
  <c r="AC109" i="45"/>
  <c r="AC108" i="45"/>
  <c r="AD39" i="45"/>
  <c r="AD38" i="45"/>
  <c r="AC113" i="45"/>
  <c r="AC114" i="45"/>
  <c r="AC115" i="45"/>
  <c r="AC116" i="45"/>
  <c r="AC112" i="45"/>
  <c r="BN32" i="35" l="1" a="1"/>
  <c r="BN32" i="35" s="1"/>
  <c r="BQ17" i="35"/>
  <c r="BR17" i="35" s="1"/>
  <c r="W17" i="53"/>
  <c r="BQ33" i="35"/>
  <c r="BR33" i="35" s="1"/>
  <c r="W33" i="53"/>
  <c r="BQ10" i="35"/>
  <c r="BR10" i="35" s="1"/>
  <c r="W10" i="53"/>
  <c r="BQ26" i="35"/>
  <c r="BR26" i="35" s="1"/>
  <c r="W26" i="53"/>
  <c r="GX15" i="35"/>
  <c r="AJ57" i="53"/>
  <c r="GX23" i="35"/>
  <c r="AJ65" i="53"/>
  <c r="GX31" i="35"/>
  <c r="AJ73" i="53"/>
  <c r="GX39" i="35"/>
  <c r="AJ81" i="53"/>
  <c r="GX14" i="35"/>
  <c r="AJ56" i="53"/>
  <c r="GX22" i="35"/>
  <c r="AJ64" i="53"/>
  <c r="GX30" i="35"/>
  <c r="AJ72" i="53"/>
  <c r="GX34" i="35"/>
  <c r="AJ76" i="53"/>
  <c r="BQ12" i="35"/>
  <c r="BR12" i="35" s="1"/>
  <c r="W12" i="53"/>
  <c r="BQ28" i="35"/>
  <c r="BR28" i="35" s="1"/>
  <c r="W28" i="53"/>
  <c r="HJ16" i="35"/>
  <c r="AR58" i="53"/>
  <c r="HJ32" i="35"/>
  <c r="AR74" i="53"/>
  <c r="HJ10" i="35"/>
  <c r="AR52" i="53"/>
  <c r="HJ26" i="35"/>
  <c r="AR68" i="53"/>
  <c r="HJ9" i="35"/>
  <c r="AR51" i="53"/>
  <c r="HJ29" i="35"/>
  <c r="AR71" i="53"/>
  <c r="HJ11" i="35"/>
  <c r="AR53" i="53"/>
  <c r="HJ27" i="35"/>
  <c r="AR69" i="53"/>
  <c r="BQ13" i="35"/>
  <c r="BR13" i="35" s="1"/>
  <c r="W13" i="53"/>
  <c r="BQ21" i="35"/>
  <c r="BR21" i="35" s="1"/>
  <c r="W21" i="53"/>
  <c r="BQ29" i="35"/>
  <c r="BR29" i="35" s="1"/>
  <c r="W29" i="53"/>
  <c r="BO37" i="35"/>
  <c r="X37" i="53" s="1"/>
  <c r="W37" i="53"/>
  <c r="BO22" i="35"/>
  <c r="X22" i="53" s="1"/>
  <c r="W22" i="53"/>
  <c r="GX9" i="35"/>
  <c r="AJ51" i="53"/>
  <c r="GX13" i="35"/>
  <c r="AJ55" i="53"/>
  <c r="GX17" i="35"/>
  <c r="AJ59" i="53"/>
  <c r="GX21" i="35"/>
  <c r="AJ63" i="53"/>
  <c r="GX25" i="35"/>
  <c r="AJ67" i="53"/>
  <c r="GX29" i="35"/>
  <c r="AJ71" i="53"/>
  <c r="GX33" i="35"/>
  <c r="AJ75" i="53"/>
  <c r="GX37" i="35"/>
  <c r="AJ79" i="53"/>
  <c r="GX8" i="35"/>
  <c r="AJ50" i="53"/>
  <c r="GX12" i="35"/>
  <c r="AJ54" i="53"/>
  <c r="GX16" i="35"/>
  <c r="AJ58" i="53"/>
  <c r="GX20" i="35"/>
  <c r="AJ62" i="53"/>
  <c r="GX24" i="35"/>
  <c r="AJ66" i="53"/>
  <c r="GX28" i="35"/>
  <c r="AJ70" i="53"/>
  <c r="GX32" i="35"/>
  <c r="AJ74" i="53"/>
  <c r="GX36" i="35"/>
  <c r="AJ78" i="53"/>
  <c r="GX40" i="35"/>
  <c r="AJ82" i="53"/>
  <c r="BQ34" i="35"/>
  <c r="BR34" i="35" s="1"/>
  <c r="W34" i="53"/>
  <c r="GX11" i="35"/>
  <c r="AJ53" i="53"/>
  <c r="GX19" i="35"/>
  <c r="AJ61" i="53"/>
  <c r="GX27" i="35"/>
  <c r="AJ69" i="53"/>
  <c r="GX35" i="35"/>
  <c r="AJ77" i="53"/>
  <c r="GX10" i="35"/>
  <c r="AJ52" i="53"/>
  <c r="GX18" i="35"/>
  <c r="AJ60" i="53"/>
  <c r="GX26" i="35"/>
  <c r="AJ68" i="53"/>
  <c r="GX38" i="35"/>
  <c r="AJ80" i="53"/>
  <c r="BQ32" i="35"/>
  <c r="BR32" i="35" s="1"/>
  <c r="W32" i="53"/>
  <c r="BQ23" i="35"/>
  <c r="BR23" i="35" s="1"/>
  <c r="W23" i="53"/>
  <c r="BQ20" i="35"/>
  <c r="BR20" i="35" s="1"/>
  <c r="W20" i="53"/>
  <c r="BQ36" i="35"/>
  <c r="BR36" i="35" s="1"/>
  <c r="W36" i="53"/>
  <c r="HJ24" i="35"/>
  <c r="AR66" i="53"/>
  <c r="HJ40" i="35"/>
  <c r="AR82" i="53"/>
  <c r="HJ18" i="35"/>
  <c r="AR60" i="53"/>
  <c r="HJ34" i="35"/>
  <c r="AR76" i="53"/>
  <c r="HJ21" i="35"/>
  <c r="AR63" i="53"/>
  <c r="HJ37" i="35"/>
  <c r="AR79" i="53"/>
  <c r="HJ19" i="35"/>
  <c r="AR61" i="53"/>
  <c r="HJ35" i="35"/>
  <c r="AR77" i="53"/>
  <c r="BQ11" i="35"/>
  <c r="BR11" i="35" s="1"/>
  <c r="W11" i="53"/>
  <c r="BQ19" i="35"/>
  <c r="BR19" i="35" s="1"/>
  <c r="W19" i="53"/>
  <c r="BO27" i="35"/>
  <c r="X27" i="53" s="1"/>
  <c r="W27" i="53"/>
  <c r="BQ35" i="35"/>
  <c r="BR35" i="35" s="1"/>
  <c r="W35" i="53"/>
  <c r="BQ24" i="35"/>
  <c r="BR24" i="35" s="1"/>
  <c r="W24" i="53"/>
  <c r="HJ12" i="35"/>
  <c r="AR54" i="53"/>
  <c r="HJ20" i="35"/>
  <c r="AR62" i="53"/>
  <c r="HJ28" i="35"/>
  <c r="AR70" i="53"/>
  <c r="HJ36" i="35"/>
  <c r="AR78" i="53"/>
  <c r="HJ17" i="35"/>
  <c r="AR59" i="53"/>
  <c r="HJ14" i="35"/>
  <c r="AR56" i="53"/>
  <c r="HJ22" i="35"/>
  <c r="AR64" i="53"/>
  <c r="HJ30" i="35"/>
  <c r="AR72" i="53"/>
  <c r="HJ38" i="35"/>
  <c r="AR80" i="53"/>
  <c r="HJ13" i="35"/>
  <c r="AR55" i="53"/>
  <c r="HJ25" i="35"/>
  <c r="AR67" i="53"/>
  <c r="HJ33" i="35"/>
  <c r="AR75" i="53"/>
  <c r="HJ8" i="35"/>
  <c r="AQ50" i="53" s="1"/>
  <c r="AR50" i="53"/>
  <c r="HJ15" i="35"/>
  <c r="AR57" i="53"/>
  <c r="HJ23" i="35"/>
  <c r="AR65" i="53"/>
  <c r="HJ31" i="35"/>
  <c r="AR73" i="53"/>
  <c r="HJ39" i="35"/>
  <c r="AR81" i="53"/>
  <c r="BY46" i="35"/>
  <c r="BY50" i="35"/>
  <c r="BY45" i="35"/>
  <c r="BY49" i="35"/>
  <c r="BY47" i="35"/>
  <c r="BY43" i="35"/>
  <c r="BY44" i="35"/>
  <c r="BY48" i="35"/>
  <c r="CE46" i="35"/>
  <c r="CE50" i="35"/>
  <c r="CE45" i="35"/>
  <c r="CE47" i="35"/>
  <c r="CE43" i="35"/>
  <c r="CE44" i="35"/>
  <c r="CE48" i="35"/>
  <c r="CE49" i="35"/>
  <c r="GK68" i="47"/>
  <c r="GM67" i="47"/>
  <c r="GN67" i="47" s="1"/>
  <c r="AT31" i="47"/>
  <c r="AU31" i="47" s="1"/>
  <c r="HR31" i="47" s="1"/>
  <c r="AR32" i="47"/>
  <c r="BS23" i="35" a="1"/>
  <c r="BS23" i="35" s="1"/>
  <c r="BS22" i="35" a="1"/>
  <c r="BS22" i="35" s="1"/>
  <c r="BN38" i="35" a="1"/>
  <c r="BN38" i="35" s="1"/>
  <c r="BN39" i="35" a="1"/>
  <c r="BN39" i="35" s="1"/>
  <c r="BN25" i="35" a="1"/>
  <c r="BN25" i="35" s="1"/>
  <c r="BN9" i="35" a="1"/>
  <c r="BN9" i="35" s="1"/>
  <c r="BS33" i="35" a="1"/>
  <c r="BS33" i="35" s="1"/>
  <c r="BN31" i="35" a="1"/>
  <c r="BN31" i="35" s="1"/>
  <c r="BS17" i="35" a="1"/>
  <c r="BS17" i="35" s="1"/>
  <c r="BN30" i="35" a="1"/>
  <c r="BN30" i="35" s="1"/>
  <c r="BS24" i="35" a="1"/>
  <c r="BS24" i="35" s="1"/>
  <c r="BN15" i="35" a="1"/>
  <c r="BN15" i="35" s="1"/>
  <c r="BN14" i="35" a="1"/>
  <c r="BN14" i="35" s="1"/>
  <c r="BN16" i="35" a="1"/>
  <c r="BN16" i="35" s="1"/>
  <c r="BS10" i="35" a="1"/>
  <c r="BS10" i="35" s="1"/>
  <c r="BO24" i="35"/>
  <c r="X24" i="53" s="1"/>
  <c r="BS13" i="35" a="1"/>
  <c r="BS13" i="35" s="1"/>
  <c r="BS21" i="35" a="1"/>
  <c r="BS21" i="35" s="1"/>
  <c r="BS29" i="35" a="1"/>
  <c r="BS29" i="35" s="1"/>
  <c r="BS12" i="35" a="1"/>
  <c r="BS12" i="35" s="1"/>
  <c r="BS20" i="35" a="1"/>
  <c r="BS20" i="35" s="1"/>
  <c r="BS28" i="35" a="1"/>
  <c r="BS28" i="35" s="1"/>
  <c r="BS36" i="35" a="1"/>
  <c r="BS36" i="35" s="1"/>
  <c r="BS26" i="35" a="1"/>
  <c r="BS26" i="35" s="1"/>
  <c r="BO32" i="35"/>
  <c r="X32" i="53" s="1"/>
  <c r="BQ18" i="35"/>
  <c r="BR18" i="35" s="1"/>
  <c r="BO18" i="35"/>
  <c r="X18" i="53" s="1"/>
  <c r="AZ12" i="35" a="1"/>
  <c r="AZ12" i="35" s="1"/>
  <c r="R12" i="53"/>
  <c r="AZ24" i="35" a="1"/>
  <c r="AZ24" i="35" s="1"/>
  <c r="R24" i="53"/>
  <c r="AZ40" i="35" a="1"/>
  <c r="AZ40" i="35" s="1"/>
  <c r="R40" i="53"/>
  <c r="CH11" i="35"/>
  <c r="CI11" i="35" s="1"/>
  <c r="CD11" i="35"/>
  <c r="AG11" i="53" s="1"/>
  <c r="CD19" i="35"/>
  <c r="AG19" i="53" s="1"/>
  <c r="CH19" i="35"/>
  <c r="CI19" i="35" s="1"/>
  <c r="CH27" i="35"/>
  <c r="CI27" i="35" s="1"/>
  <c r="CD27" i="35"/>
  <c r="AG27" i="53" s="1"/>
  <c r="CD35" i="35"/>
  <c r="AG35" i="53" s="1"/>
  <c r="CH35" i="35"/>
  <c r="CI35" i="35" s="1"/>
  <c r="CH12" i="35"/>
  <c r="CI12" i="35" s="1"/>
  <c r="CD12" i="35"/>
  <c r="AG12" i="53" s="1"/>
  <c r="CH20" i="35"/>
  <c r="CI20" i="35" s="1"/>
  <c r="CD20" i="35"/>
  <c r="AG20" i="53" s="1"/>
  <c r="CH28" i="35"/>
  <c r="CI28" i="35" s="1"/>
  <c r="CD28" i="35"/>
  <c r="AG28" i="53" s="1"/>
  <c r="CH36" i="35"/>
  <c r="CI36" i="35" s="1"/>
  <c r="CD36" i="35"/>
  <c r="AG36" i="53" s="1"/>
  <c r="BX9" i="35"/>
  <c r="AC9" i="53" s="1"/>
  <c r="CB9" i="35"/>
  <c r="BX8" i="35"/>
  <c r="AC8" i="53" s="1"/>
  <c r="CB8" i="35"/>
  <c r="CD13" i="35"/>
  <c r="AG13" i="53" s="1"/>
  <c r="CH13" i="35"/>
  <c r="CI13" i="35" s="1"/>
  <c r="CH21" i="35"/>
  <c r="CI21" i="35" s="1"/>
  <c r="CD21" i="35"/>
  <c r="AG21" i="53" s="1"/>
  <c r="CD29" i="35"/>
  <c r="AG29" i="53" s="1"/>
  <c r="CH29" i="35"/>
  <c r="CI29" i="35" s="1"/>
  <c r="CD37" i="35"/>
  <c r="AG37" i="53" s="1"/>
  <c r="CH37" i="35"/>
  <c r="CI37" i="35" s="1"/>
  <c r="CH10" i="35"/>
  <c r="CI10" i="35" s="1"/>
  <c r="CD10" i="35"/>
  <c r="AG10" i="53" s="1"/>
  <c r="CH18" i="35"/>
  <c r="CI18" i="35" s="1"/>
  <c r="CD18" i="35"/>
  <c r="AG18" i="53" s="1"/>
  <c r="CH26" i="35"/>
  <c r="CI26" i="35" s="1"/>
  <c r="CD26" i="35"/>
  <c r="AG26" i="53" s="1"/>
  <c r="CH34" i="35"/>
  <c r="CI34" i="35" s="1"/>
  <c r="CD34" i="35"/>
  <c r="AG34" i="53" s="1"/>
  <c r="CB11" i="35"/>
  <c r="BX11" i="35"/>
  <c r="AC11" i="53" s="1"/>
  <c r="CB27" i="35"/>
  <c r="BX27" i="35"/>
  <c r="AC27" i="53" s="1"/>
  <c r="AZ17" i="35" a="1"/>
  <c r="AZ17" i="35" s="1"/>
  <c r="R17" i="53"/>
  <c r="AZ29" i="35" a="1"/>
  <c r="AZ29" i="35" s="1"/>
  <c r="R29" i="53"/>
  <c r="AZ37" i="35" a="1"/>
  <c r="AZ37" i="35" s="1"/>
  <c r="R37" i="53"/>
  <c r="AZ18" i="35" a="1"/>
  <c r="AZ18" i="35" s="1"/>
  <c r="R18" i="53"/>
  <c r="AZ26" i="35" a="1"/>
  <c r="AZ26" i="35" s="1"/>
  <c r="R26" i="53"/>
  <c r="AZ38" i="35" a="1"/>
  <c r="AZ38" i="35" s="1"/>
  <c r="R38" i="53"/>
  <c r="AZ28" i="35" a="1"/>
  <c r="AZ28" i="35" s="1"/>
  <c r="R28" i="53"/>
  <c r="AZ9" i="35" a="1"/>
  <c r="AZ9" i="35" s="1"/>
  <c r="O9" i="53" s="1"/>
  <c r="R9" i="53"/>
  <c r="AZ25" i="35" a="1"/>
  <c r="AZ25" i="35" s="1"/>
  <c r="O25" i="53" s="1"/>
  <c r="R25" i="53"/>
  <c r="AZ8" i="35" a="1"/>
  <c r="AZ8" i="35" s="1"/>
  <c r="O8" i="53" s="1"/>
  <c r="R8" i="53"/>
  <c r="AZ11" i="35" a="1"/>
  <c r="AZ11" i="35" s="1"/>
  <c r="O11" i="53" s="1"/>
  <c r="R11" i="53"/>
  <c r="AZ19" i="35" a="1"/>
  <c r="AZ19" i="35" s="1"/>
  <c r="O19" i="53" s="1"/>
  <c r="R19" i="53"/>
  <c r="AZ27" i="35" a="1"/>
  <c r="AZ27" i="35" s="1"/>
  <c r="O27" i="53" s="1"/>
  <c r="R27" i="53"/>
  <c r="AZ35" i="35" a="1"/>
  <c r="AZ35" i="35" s="1"/>
  <c r="O35" i="53" s="1"/>
  <c r="R35" i="53"/>
  <c r="AZ20" i="35" a="1"/>
  <c r="AZ20" i="35" s="1"/>
  <c r="R20" i="53"/>
  <c r="AZ32" i="35" a="1"/>
  <c r="AZ32" i="35" s="1"/>
  <c r="R32" i="53"/>
  <c r="BS11" i="35" a="1"/>
  <c r="BS11" i="35" s="1"/>
  <c r="BS19" i="35" a="1"/>
  <c r="BS19" i="35" s="1"/>
  <c r="BS27" i="35" a="1"/>
  <c r="BS27" i="35" s="1"/>
  <c r="BS35" i="35" a="1"/>
  <c r="BS35" i="35" s="1"/>
  <c r="BS37" i="35" a="1"/>
  <c r="BS37" i="35" s="1"/>
  <c r="BS18" i="35" a="1"/>
  <c r="BS18" i="35" s="1"/>
  <c r="BS34" i="35" a="1"/>
  <c r="BS34" i="35" s="1"/>
  <c r="CH15" i="35"/>
  <c r="CI15" i="35" s="1"/>
  <c r="CD15" i="35"/>
  <c r="AG15" i="53" s="1"/>
  <c r="CD23" i="35"/>
  <c r="AG23" i="53" s="1"/>
  <c r="CH23" i="35"/>
  <c r="CI23" i="35" s="1"/>
  <c r="CH31" i="35"/>
  <c r="CI31" i="35" s="1"/>
  <c r="CD31" i="35"/>
  <c r="AG31" i="53" s="1"/>
  <c r="CD39" i="35"/>
  <c r="AG39" i="53" s="1"/>
  <c r="CH39" i="35"/>
  <c r="CI39" i="35" s="1"/>
  <c r="CH16" i="35"/>
  <c r="CI16" i="35" s="1"/>
  <c r="CD16" i="35"/>
  <c r="AG16" i="53" s="1"/>
  <c r="CH24" i="35"/>
  <c r="CI24" i="35" s="1"/>
  <c r="CD24" i="35"/>
  <c r="AG24" i="53" s="1"/>
  <c r="CH32" i="35"/>
  <c r="CI32" i="35" s="1"/>
  <c r="CD32" i="35"/>
  <c r="AG32" i="53" s="1"/>
  <c r="CH40" i="35"/>
  <c r="CI40" i="35" s="1"/>
  <c r="CD40" i="35"/>
  <c r="AG40" i="53" s="1"/>
  <c r="CD9" i="35"/>
  <c r="AG9" i="53" s="1"/>
  <c r="CH9" i="35"/>
  <c r="CI9" i="35" s="1"/>
  <c r="CH17" i="35"/>
  <c r="CI17" i="35" s="1"/>
  <c r="CD17" i="35"/>
  <c r="AG17" i="53" s="1"/>
  <c r="CH25" i="35"/>
  <c r="CI25" i="35" s="1"/>
  <c r="CD25" i="35"/>
  <c r="AG25" i="53" s="1"/>
  <c r="CD33" i="35"/>
  <c r="AG33" i="53" s="1"/>
  <c r="CH33" i="35"/>
  <c r="CI33" i="35" s="1"/>
  <c r="CH8" i="35"/>
  <c r="CI8" i="35" s="1"/>
  <c r="CD8" i="35"/>
  <c r="AG8" i="53" s="1"/>
  <c r="CH14" i="35"/>
  <c r="CI14" i="35" s="1"/>
  <c r="CD14" i="35"/>
  <c r="AG14" i="53" s="1"/>
  <c r="CH22" i="35"/>
  <c r="CI22" i="35" s="1"/>
  <c r="CD22" i="35"/>
  <c r="AG22" i="53" s="1"/>
  <c r="CH30" i="35"/>
  <c r="CI30" i="35" s="1"/>
  <c r="CD30" i="35"/>
  <c r="AG30" i="53" s="1"/>
  <c r="CH38" i="35"/>
  <c r="CI38" i="35" s="1"/>
  <c r="CD38" i="35"/>
  <c r="AG38" i="53" s="1"/>
  <c r="BX39" i="35"/>
  <c r="AC39" i="53" s="1"/>
  <c r="CB39" i="35"/>
  <c r="AZ13" i="35" a="1"/>
  <c r="AZ13" i="35" s="1"/>
  <c r="R13" i="53"/>
  <c r="AZ21" i="35" a="1"/>
  <c r="AZ21" i="35" s="1"/>
  <c r="R21" i="53"/>
  <c r="AZ33" i="35" a="1"/>
  <c r="AZ33" i="35" s="1"/>
  <c r="R33" i="53"/>
  <c r="AZ10" i="35" a="1"/>
  <c r="AZ10" i="35" s="1"/>
  <c r="R10" i="53"/>
  <c r="AZ22" i="35" a="1"/>
  <c r="AZ22" i="35" s="1"/>
  <c r="R22" i="53"/>
  <c r="AZ34" i="35" a="1"/>
  <c r="AZ34" i="35" s="1"/>
  <c r="R34" i="53"/>
  <c r="AZ16" i="35" a="1"/>
  <c r="AZ16" i="35" s="1"/>
  <c r="R16" i="53"/>
  <c r="AZ36" i="35" a="1"/>
  <c r="AZ36" i="35" s="1"/>
  <c r="R36" i="53"/>
  <c r="BN40" i="35" a="1"/>
  <c r="BN40" i="35" s="1"/>
  <c r="W40" i="53" s="1"/>
  <c r="BS40" i="35" a="1"/>
  <c r="BS40" i="35" s="1"/>
  <c r="Z40" i="53" s="1"/>
  <c r="BS8" i="35" a="1"/>
  <c r="BS8" i="35" s="1"/>
  <c r="Z8" i="53" s="1"/>
  <c r="BN8" i="35" a="1"/>
  <c r="BN8" i="35" s="1"/>
  <c r="W8" i="53" s="1"/>
  <c r="AZ14" i="35" a="1"/>
  <c r="AZ14" i="35" s="1"/>
  <c r="O14" i="53" s="1"/>
  <c r="R14" i="53"/>
  <c r="AZ30" i="35" a="1"/>
  <c r="AZ30" i="35" s="1"/>
  <c r="O30" i="53" s="1"/>
  <c r="R30" i="53"/>
  <c r="AZ15" i="35" a="1"/>
  <c r="AZ15" i="35" s="1"/>
  <c r="O15" i="53" s="1"/>
  <c r="R15" i="53"/>
  <c r="AZ23" i="35" a="1"/>
  <c r="AZ23" i="35" s="1"/>
  <c r="O23" i="53" s="1"/>
  <c r="R23" i="53"/>
  <c r="AZ31" i="35" a="1"/>
  <c r="AZ31" i="35" s="1"/>
  <c r="O31" i="53" s="1"/>
  <c r="R31" i="53"/>
  <c r="AZ39" i="35" a="1"/>
  <c r="AZ39" i="35" s="1"/>
  <c r="O39" i="53" s="1"/>
  <c r="R39" i="53"/>
  <c r="BO34" i="35"/>
  <c r="X34" i="53" s="1"/>
  <c r="BQ37" i="35"/>
  <c r="BR37" i="35" s="1"/>
  <c r="BQ22" i="35"/>
  <c r="BR22" i="35" s="1"/>
  <c r="BO33" i="35"/>
  <c r="X33" i="53" s="1"/>
  <c r="BO19" i="35"/>
  <c r="X19" i="53" s="1"/>
  <c r="BO11" i="35"/>
  <c r="X11" i="53" s="1"/>
  <c r="BQ27" i="35"/>
  <c r="BR27" i="35" s="1"/>
  <c r="BO17" i="35"/>
  <c r="X17" i="53" s="1"/>
  <c r="BO35" i="35"/>
  <c r="X35" i="53" s="1"/>
  <c r="BO29" i="35"/>
  <c r="X29" i="53" s="1"/>
  <c r="BO26" i="35"/>
  <c r="X26" i="53" s="1"/>
  <c r="BO12" i="35"/>
  <c r="X12" i="53" s="1"/>
  <c r="BO20" i="35"/>
  <c r="X20" i="53" s="1"/>
  <c r="BO28" i="35"/>
  <c r="X28" i="53" s="1"/>
  <c r="BO36" i="35"/>
  <c r="X36" i="53" s="1"/>
  <c r="BT39" i="35"/>
  <c r="AA39" i="53" s="1"/>
  <c r="BV39" i="35"/>
  <c r="BW39" i="35" s="1"/>
  <c r="BV14" i="35"/>
  <c r="BW14" i="35" s="1"/>
  <c r="BT14" i="35"/>
  <c r="AA14" i="53" s="1"/>
  <c r="BO23" i="35"/>
  <c r="X23" i="53" s="1"/>
  <c r="BO21" i="35"/>
  <c r="X21" i="53" s="1"/>
  <c r="BO13" i="35"/>
  <c r="X13" i="53" s="1"/>
  <c r="BO10" i="35"/>
  <c r="X10" i="53" s="1"/>
  <c r="BV9" i="35"/>
  <c r="BW9" i="35" s="1"/>
  <c r="BT9" i="35"/>
  <c r="AA9" i="53" s="1"/>
  <c r="BV25" i="35"/>
  <c r="BW25" i="35" s="1"/>
  <c r="BT25" i="35"/>
  <c r="AA25" i="53" s="1"/>
  <c r="BV38" i="35"/>
  <c r="BW38" i="35" s="1"/>
  <c r="BT38" i="35"/>
  <c r="AA38" i="53" s="1"/>
  <c r="BT16" i="35"/>
  <c r="AA16" i="53" s="1"/>
  <c r="BV16" i="35"/>
  <c r="BW16" i="35" s="1"/>
  <c r="BT32" i="35"/>
  <c r="AA32" i="53" s="1"/>
  <c r="BV32" i="35"/>
  <c r="BW32" i="35" s="1"/>
  <c r="BT15" i="35"/>
  <c r="AA15" i="53" s="1"/>
  <c r="BV15" i="35"/>
  <c r="BW15" i="35" s="1"/>
  <c r="BT31" i="35"/>
  <c r="AA31" i="53" s="1"/>
  <c r="BV31" i="35"/>
  <c r="BW31" i="35" s="1"/>
  <c r="BV30" i="35"/>
  <c r="BW30" i="35" s="1"/>
  <c r="BT30" i="35"/>
  <c r="AA30" i="53" s="1"/>
  <c r="Q22" i="45"/>
  <c r="Q21" i="45"/>
  <c r="Q20" i="45"/>
  <c r="Q19" i="45"/>
  <c r="Q18" i="45"/>
  <c r="Q72" i="45"/>
  <c r="Q71" i="45"/>
  <c r="Q70" i="45"/>
  <c r="Q69" i="45"/>
  <c r="Q68" i="45"/>
  <c r="Q67" i="45"/>
  <c r="Q66" i="45"/>
  <c r="Q65" i="45"/>
  <c r="Q64" i="45"/>
  <c r="Q92" i="45"/>
  <c r="D92" i="45" s="1"/>
  <c r="Q91" i="45"/>
  <c r="Q90" i="45"/>
  <c r="D90" i="45" s="1"/>
  <c r="Q89" i="45"/>
  <c r="Q88" i="45"/>
  <c r="D88" i="45" s="1"/>
  <c r="Q87" i="45"/>
  <c r="Q86" i="45"/>
  <c r="D86" i="45" s="1"/>
  <c r="Q85" i="45"/>
  <c r="Q84" i="45"/>
  <c r="D84" i="45" s="1"/>
  <c r="Q128" i="45"/>
  <c r="Q129" i="45"/>
  <c r="Q130" i="45"/>
  <c r="Q131" i="45"/>
  <c r="Q132" i="45"/>
  <c r="Q133" i="45"/>
  <c r="Q134" i="45"/>
  <c r="Q135" i="45"/>
  <c r="Q136" i="45"/>
  <c r="Q137" i="45"/>
  <c r="Q138" i="45"/>
  <c r="Q139" i="45"/>
  <c r="Q140" i="45"/>
  <c r="Q123" i="45"/>
  <c r="Q124" i="45"/>
  <c r="Q125" i="45"/>
  <c r="Q126" i="45"/>
  <c r="Q127" i="45"/>
  <c r="Q113" i="45"/>
  <c r="Q114" i="45"/>
  <c r="Q115" i="45"/>
  <c r="D115" i="45" s="1"/>
  <c r="Q116" i="45"/>
  <c r="Q117" i="45"/>
  <c r="D117" i="45" s="1"/>
  <c r="Q118" i="45"/>
  <c r="Q119" i="45"/>
  <c r="D119" i="45" s="1"/>
  <c r="Q120" i="45"/>
  <c r="Q121" i="45"/>
  <c r="D121" i="45" s="1"/>
  <c r="Q122" i="45"/>
  <c r="Q112" i="45"/>
  <c r="D112" i="45" s="1"/>
  <c r="D114" i="45"/>
  <c r="D64" i="45"/>
  <c r="D65" i="45"/>
  <c r="D66" i="45"/>
  <c r="D67" i="45"/>
  <c r="D68" i="45"/>
  <c r="D69" i="45"/>
  <c r="D70" i="45"/>
  <c r="D71" i="45"/>
  <c r="D72" i="45"/>
  <c r="D85" i="45"/>
  <c r="D87" i="45"/>
  <c r="D89" i="45"/>
  <c r="D91" i="45"/>
  <c r="D113" i="45"/>
  <c r="D116" i="45"/>
  <c r="D118" i="45"/>
  <c r="D120" i="45"/>
  <c r="D122" i="45"/>
  <c r="D123" i="45"/>
  <c r="D124" i="45"/>
  <c r="D125" i="45"/>
  <c r="D126" i="45"/>
  <c r="D127" i="45"/>
  <c r="D128" i="45"/>
  <c r="D129" i="45"/>
  <c r="D130" i="45"/>
  <c r="D131" i="45"/>
  <c r="D132" i="45"/>
  <c r="D133" i="45"/>
  <c r="D134" i="45"/>
  <c r="D135" i="45"/>
  <c r="D136" i="45"/>
  <c r="D137" i="45"/>
  <c r="D138" i="45"/>
  <c r="D139" i="45"/>
  <c r="D140" i="45"/>
  <c r="D19" i="45"/>
  <c r="D20" i="45"/>
  <c r="D21" i="45"/>
  <c r="D22" i="45"/>
  <c r="D18" i="45"/>
  <c r="Q23" i="45"/>
  <c r="D23" i="45" s="1"/>
  <c r="Q24" i="45"/>
  <c r="D24" i="45" s="1"/>
  <c r="Q25" i="45"/>
  <c r="D25" i="45" s="1"/>
  <c r="Q26" i="45"/>
  <c r="D26" i="45" s="1"/>
  <c r="Q27" i="45"/>
  <c r="D27" i="45" s="1"/>
  <c r="Q28" i="45"/>
  <c r="D28" i="45" s="1"/>
  <c r="Q29" i="45"/>
  <c r="D29" i="45" s="1"/>
  <c r="Q30" i="45"/>
  <c r="D30" i="45" s="1"/>
  <c r="Q31" i="45"/>
  <c r="D31" i="45" s="1"/>
  <c r="Q32" i="45"/>
  <c r="D32" i="45" s="1"/>
  <c r="Q33" i="45"/>
  <c r="D33" i="45" s="1"/>
  <c r="Q34" i="45"/>
  <c r="D34" i="45" s="1"/>
  <c r="Q35" i="45"/>
  <c r="D35" i="45" s="1"/>
  <c r="Q36" i="45"/>
  <c r="D36" i="45" s="1"/>
  <c r="Q37" i="45"/>
  <c r="D37" i="45" s="1"/>
  <c r="Q38" i="45"/>
  <c r="D38" i="45" s="1"/>
  <c r="Q39" i="45"/>
  <c r="D39" i="45" s="1"/>
  <c r="Q40" i="45"/>
  <c r="D40" i="45" s="1"/>
  <c r="Q41" i="45"/>
  <c r="D41" i="45" s="1"/>
  <c r="Q42" i="45"/>
  <c r="D42" i="45" s="1"/>
  <c r="Q43" i="45"/>
  <c r="D43" i="45" s="1"/>
  <c r="Q44" i="45"/>
  <c r="D44" i="45" s="1"/>
  <c r="Q45" i="45"/>
  <c r="D45" i="45" s="1"/>
  <c r="Q46" i="45"/>
  <c r="D46" i="45" s="1"/>
  <c r="Q47" i="45"/>
  <c r="D47" i="45" s="1"/>
  <c r="Q48" i="45"/>
  <c r="D48" i="45" s="1"/>
  <c r="Q49" i="45"/>
  <c r="D49" i="45" s="1"/>
  <c r="Q50" i="45"/>
  <c r="D50" i="45" s="1"/>
  <c r="Q51" i="45"/>
  <c r="D51" i="45" s="1"/>
  <c r="Q52" i="45"/>
  <c r="D52" i="45" s="1"/>
  <c r="Q53" i="45"/>
  <c r="D53" i="45" s="1"/>
  <c r="Q54" i="45"/>
  <c r="D54" i="45" s="1"/>
  <c r="Q55" i="45"/>
  <c r="D55" i="45" s="1"/>
  <c r="Q56" i="45"/>
  <c r="D56" i="45" s="1"/>
  <c r="Q57" i="45"/>
  <c r="D57" i="45" s="1"/>
  <c r="Q58" i="45"/>
  <c r="D58" i="45" s="1"/>
  <c r="Q59" i="45"/>
  <c r="D59" i="45" s="1"/>
  <c r="Q60" i="45"/>
  <c r="D60" i="45" s="1"/>
  <c r="Q61" i="45"/>
  <c r="D61" i="45" s="1"/>
  <c r="Q62" i="45"/>
  <c r="D62" i="45" s="1"/>
  <c r="Q63" i="45"/>
  <c r="D63" i="45" s="1"/>
  <c r="Q73" i="45"/>
  <c r="D73" i="45" s="1"/>
  <c r="Q74" i="45"/>
  <c r="D74" i="45" s="1"/>
  <c r="Q75" i="45"/>
  <c r="D75" i="45" s="1"/>
  <c r="Q76" i="45"/>
  <c r="D76" i="45" s="1"/>
  <c r="Q77" i="45"/>
  <c r="D77" i="45" s="1"/>
  <c r="Q78" i="45"/>
  <c r="D78" i="45" s="1"/>
  <c r="Q79" i="45"/>
  <c r="D79" i="45" s="1"/>
  <c r="Q80" i="45"/>
  <c r="D80" i="45" s="1"/>
  <c r="Q81" i="45"/>
  <c r="D81" i="45" s="1"/>
  <c r="Q82" i="45"/>
  <c r="D82" i="45" s="1"/>
  <c r="Q83" i="45"/>
  <c r="D83" i="45" s="1"/>
  <c r="Q93" i="45"/>
  <c r="D93" i="45" s="1"/>
  <c r="Q94" i="45"/>
  <c r="D94" i="45" s="1"/>
  <c r="Q95" i="45"/>
  <c r="D95" i="45" s="1"/>
  <c r="Q96" i="45"/>
  <c r="D96" i="45" s="1"/>
  <c r="Q97" i="45"/>
  <c r="D97" i="45" s="1"/>
  <c r="Q98" i="45"/>
  <c r="D98" i="45" s="1"/>
  <c r="Q99" i="45"/>
  <c r="D99" i="45" s="1"/>
  <c r="Q100" i="45"/>
  <c r="D100" i="45" s="1"/>
  <c r="Q101" i="45"/>
  <c r="D101" i="45" s="1"/>
  <c r="Q102" i="45"/>
  <c r="D102" i="45" s="1"/>
  <c r="Q103" i="45"/>
  <c r="D103" i="45" s="1"/>
  <c r="Q104" i="45"/>
  <c r="D104" i="45" s="1"/>
  <c r="Q105" i="45"/>
  <c r="D105" i="45" s="1"/>
  <c r="Q106" i="45"/>
  <c r="D106" i="45" s="1"/>
  <c r="Q107" i="45"/>
  <c r="D107" i="45" s="1"/>
  <c r="Q108" i="45"/>
  <c r="D108" i="45" s="1"/>
  <c r="Q109" i="45"/>
  <c r="D109" i="45" s="1"/>
  <c r="Q110" i="45"/>
  <c r="D110" i="45" s="1"/>
  <c r="Q111" i="45"/>
  <c r="D111" i="45" s="1"/>
  <c r="J122" i="45"/>
  <c r="J120" i="45"/>
  <c r="J121" i="45"/>
  <c r="J119" i="45"/>
  <c r="J112" i="45"/>
  <c r="J113" i="45"/>
  <c r="J114" i="45"/>
  <c r="J115" i="45"/>
  <c r="J110" i="45"/>
  <c r="J111" i="45"/>
  <c r="J109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47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J102" i="45"/>
  <c r="J103" i="45"/>
  <c r="J104" i="45"/>
  <c r="J105" i="45"/>
  <c r="J106" i="45"/>
  <c r="J107" i="45"/>
  <c r="J108" i="45"/>
  <c r="J116" i="45"/>
  <c r="J117" i="45"/>
  <c r="J118" i="45"/>
  <c r="J123" i="45"/>
  <c r="J124" i="45"/>
  <c r="J125" i="45"/>
  <c r="J126" i="45"/>
  <c r="J127" i="45"/>
  <c r="J128" i="45"/>
  <c r="J129" i="45"/>
  <c r="J130" i="45"/>
  <c r="J131" i="45"/>
  <c r="J132" i="45"/>
  <c r="J133" i="45"/>
  <c r="J134" i="45"/>
  <c r="J135" i="45"/>
  <c r="J136" i="45"/>
  <c r="J137" i="45"/>
  <c r="J138" i="45"/>
  <c r="J139" i="45"/>
  <c r="J140" i="45"/>
  <c r="J18" i="45"/>
  <c r="HM8" i="35" l="1"/>
  <c r="HK48" i="35"/>
  <c r="AS11" i="15" s="1"/>
  <c r="HK49" i="35"/>
  <c r="AS12" i="15" s="1"/>
  <c r="L78" i="48" s="1"/>
  <c r="HK46" i="35"/>
  <c r="AS9" i="15" s="1"/>
  <c r="L76" i="48" s="1"/>
  <c r="HK47" i="35"/>
  <c r="AS10" i="15" s="1"/>
  <c r="L77" i="48" s="1"/>
  <c r="BV34" i="35"/>
  <c r="BW34" i="35" s="1"/>
  <c r="Z34" i="53"/>
  <c r="BA32" i="35"/>
  <c r="P32" i="53" s="1"/>
  <c r="O32" i="53"/>
  <c r="BC29" i="35"/>
  <c r="O29" i="53"/>
  <c r="BC40" i="35"/>
  <c r="O40" i="53"/>
  <c r="BT26" i="35"/>
  <c r="AA26" i="53" s="1"/>
  <c r="Z26" i="53"/>
  <c r="BQ15" i="35"/>
  <c r="BR15" i="35" s="1"/>
  <c r="W15" i="53"/>
  <c r="BQ39" i="35"/>
  <c r="BR39" i="35" s="1"/>
  <c r="W39" i="53"/>
  <c r="BA36" i="35"/>
  <c r="P36" i="53" s="1"/>
  <c r="O36" i="53"/>
  <c r="BA10" i="35"/>
  <c r="P10" i="53" s="1"/>
  <c r="O10" i="53"/>
  <c r="BV18" i="35"/>
  <c r="BW18" i="35" s="1"/>
  <c r="Z18" i="53"/>
  <c r="BT36" i="35"/>
  <c r="AA36" i="53" s="1"/>
  <c r="Z36" i="53"/>
  <c r="BT10" i="35"/>
  <c r="AA10" i="53" s="1"/>
  <c r="Z10" i="53"/>
  <c r="BT33" i="35"/>
  <c r="AA33" i="53" s="1"/>
  <c r="Z33" i="53"/>
  <c r="BT37" i="35"/>
  <c r="AA37" i="53" s="1"/>
  <c r="Z37" i="53"/>
  <c r="BT11" i="35"/>
  <c r="AA11" i="53" s="1"/>
  <c r="Z11" i="53"/>
  <c r="BA20" i="35"/>
  <c r="P20" i="53" s="1"/>
  <c r="O20" i="53"/>
  <c r="BA28" i="35"/>
  <c r="P28" i="53" s="1"/>
  <c r="O28" i="53"/>
  <c r="BA26" i="35"/>
  <c r="P26" i="53" s="1"/>
  <c r="O26" i="53"/>
  <c r="BA37" i="35"/>
  <c r="P37" i="53" s="1"/>
  <c r="O37" i="53"/>
  <c r="BA17" i="35"/>
  <c r="P17" i="53" s="1"/>
  <c r="O17" i="53"/>
  <c r="BC24" i="35"/>
  <c r="O24" i="53"/>
  <c r="BV28" i="35"/>
  <c r="BW28" i="35" s="1"/>
  <c r="Z28" i="53"/>
  <c r="BV21" i="35"/>
  <c r="BW21" i="35" s="1"/>
  <c r="Z21" i="53"/>
  <c r="BQ16" i="35"/>
  <c r="BR16" i="35" s="1"/>
  <c r="W16" i="53"/>
  <c r="BQ30" i="35"/>
  <c r="BR30" i="35" s="1"/>
  <c r="W30" i="53"/>
  <c r="BQ9" i="35"/>
  <c r="BR9" i="35" s="1"/>
  <c r="W9" i="53"/>
  <c r="BT22" i="35"/>
  <c r="AA22" i="53" s="1"/>
  <c r="Z22" i="53"/>
  <c r="HM31" i="35"/>
  <c r="AQ73" i="53"/>
  <c r="HM15" i="35"/>
  <c r="AQ57" i="53"/>
  <c r="HM33" i="35"/>
  <c r="AQ75" i="53"/>
  <c r="HM13" i="35"/>
  <c r="AQ55" i="53"/>
  <c r="HM30" i="35"/>
  <c r="AQ72" i="53"/>
  <c r="HM14" i="35"/>
  <c r="AQ56" i="53"/>
  <c r="HM36" i="35"/>
  <c r="AQ78" i="53"/>
  <c r="HM20" i="35"/>
  <c r="AQ62" i="53"/>
  <c r="HM19" i="35"/>
  <c r="AQ61" i="53"/>
  <c r="HM21" i="35"/>
  <c r="AQ63" i="53"/>
  <c r="HM18" i="35"/>
  <c r="AQ60" i="53"/>
  <c r="HM24" i="35"/>
  <c r="AQ66" i="53"/>
  <c r="GZ26" i="35"/>
  <c r="HA26" i="35" s="1"/>
  <c r="AK68" i="53"/>
  <c r="GZ10" i="35"/>
  <c r="HA10" i="35" s="1"/>
  <c r="AK52" i="53"/>
  <c r="GZ27" i="35"/>
  <c r="HA27" i="35" s="1"/>
  <c r="AK69" i="53"/>
  <c r="GZ11" i="35"/>
  <c r="HA11" i="35" s="1"/>
  <c r="AK53" i="53"/>
  <c r="GZ40" i="35"/>
  <c r="HA40" i="35" s="1"/>
  <c r="AK82" i="53"/>
  <c r="GZ32" i="35"/>
  <c r="HA32" i="35" s="1"/>
  <c r="AK74" i="53"/>
  <c r="GZ24" i="35"/>
  <c r="HA24" i="35" s="1"/>
  <c r="AK66" i="53"/>
  <c r="GZ16" i="35"/>
  <c r="HA16" i="35" s="1"/>
  <c r="AK58" i="53"/>
  <c r="GZ8" i="35"/>
  <c r="HA8" i="35" s="1"/>
  <c r="AK50" i="53"/>
  <c r="GZ33" i="35"/>
  <c r="HA33" i="35" s="1"/>
  <c r="AK75" i="53"/>
  <c r="GZ25" i="35"/>
  <c r="HA25" i="35" s="1"/>
  <c r="AK67" i="53"/>
  <c r="GZ17" i="35"/>
  <c r="HA17" i="35" s="1"/>
  <c r="AK59" i="53"/>
  <c r="GZ9" i="35"/>
  <c r="HA9" i="35" s="1"/>
  <c r="AK51" i="53"/>
  <c r="HM27" i="35"/>
  <c r="AQ69" i="53"/>
  <c r="HM29" i="35"/>
  <c r="AQ71" i="53"/>
  <c r="HM26" i="35"/>
  <c r="AQ68" i="53"/>
  <c r="HM32" i="35"/>
  <c r="AQ74" i="53"/>
  <c r="GZ34" i="35"/>
  <c r="HA34" i="35" s="1"/>
  <c r="AK76" i="53"/>
  <c r="GZ22" i="35"/>
  <c r="HA22" i="35" s="1"/>
  <c r="AK64" i="53"/>
  <c r="GZ39" i="35"/>
  <c r="HA39" i="35" s="1"/>
  <c r="AK81" i="53"/>
  <c r="GZ23" i="35"/>
  <c r="HA23" i="35" s="1"/>
  <c r="AK65" i="53"/>
  <c r="BT27" i="35"/>
  <c r="AA27" i="53" s="1"/>
  <c r="Z27" i="53"/>
  <c r="BA38" i="35"/>
  <c r="P38" i="53" s="1"/>
  <c r="O38" i="53"/>
  <c r="BA18" i="35"/>
  <c r="P18" i="53" s="1"/>
  <c r="O18" i="53"/>
  <c r="BC12" i="35"/>
  <c r="O12" i="53"/>
  <c r="BT12" i="35"/>
  <c r="AA12" i="53" s="1"/>
  <c r="Z12" i="53"/>
  <c r="BQ31" i="35"/>
  <c r="BR31" i="35" s="1"/>
  <c r="W31" i="53"/>
  <c r="BC34" i="35"/>
  <c r="O34" i="53"/>
  <c r="BC21" i="35"/>
  <c r="O21" i="53"/>
  <c r="BV19" i="35"/>
  <c r="BW19" i="35" s="1"/>
  <c r="Z19" i="53"/>
  <c r="BV29" i="35"/>
  <c r="BW29" i="35" s="1"/>
  <c r="Z29" i="53"/>
  <c r="BV24" i="35"/>
  <c r="BW24" i="35" s="1"/>
  <c r="Z24" i="53"/>
  <c r="BO38" i="35"/>
  <c r="X38" i="53" s="1"/>
  <c r="W38" i="53"/>
  <c r="BA16" i="35"/>
  <c r="P16" i="53" s="1"/>
  <c r="O16" i="53"/>
  <c r="BA22" i="35"/>
  <c r="P22" i="53" s="1"/>
  <c r="O22" i="53"/>
  <c r="BA33" i="35"/>
  <c r="P33" i="53" s="1"/>
  <c r="O33" i="53"/>
  <c r="BA13" i="35"/>
  <c r="P13" i="53" s="1"/>
  <c r="O13" i="53"/>
  <c r="BV35" i="35"/>
  <c r="BW35" i="35" s="1"/>
  <c r="Z35" i="53"/>
  <c r="BT20" i="35"/>
  <c r="AA20" i="53" s="1"/>
  <c r="Z20" i="53"/>
  <c r="BV13" i="35"/>
  <c r="BW13" i="35" s="1"/>
  <c r="Z13" i="53"/>
  <c r="BQ14" i="35"/>
  <c r="BR14" i="35" s="1"/>
  <c r="W14" i="53"/>
  <c r="BT17" i="35"/>
  <c r="AA17" i="53" s="1"/>
  <c r="Z17" i="53"/>
  <c r="BO25" i="35"/>
  <c r="X25" i="53" s="1"/>
  <c r="W25" i="53"/>
  <c r="BT23" i="35"/>
  <c r="AA23" i="53" s="1"/>
  <c r="Z23" i="53"/>
  <c r="HK44" i="35"/>
  <c r="AS7" i="15" s="1"/>
  <c r="L74" i="48" s="1"/>
  <c r="HK45" i="35"/>
  <c r="AS8" i="15" s="1"/>
  <c r="L75" i="48" s="1"/>
  <c r="HK50" i="35"/>
  <c r="AS13" i="15" s="1"/>
  <c r="L79" i="48" s="1"/>
  <c r="HK43" i="35"/>
  <c r="AS6" i="15" s="1"/>
  <c r="L73" i="48" s="1"/>
  <c r="HM39" i="35"/>
  <c r="AQ81" i="53"/>
  <c r="HM23" i="35"/>
  <c r="AQ65" i="53"/>
  <c r="HM25" i="35"/>
  <c r="AQ67" i="53"/>
  <c r="HM38" i="35"/>
  <c r="AQ80" i="53"/>
  <c r="HM22" i="35"/>
  <c r="AQ64" i="53"/>
  <c r="HM17" i="35"/>
  <c r="AQ59" i="53"/>
  <c r="HM28" i="35"/>
  <c r="AQ70" i="53"/>
  <c r="HM12" i="35"/>
  <c r="AQ54" i="53"/>
  <c r="HM35" i="35"/>
  <c r="AQ77" i="53"/>
  <c r="HM37" i="35"/>
  <c r="AQ79" i="53"/>
  <c r="HM34" i="35"/>
  <c r="AQ76" i="53"/>
  <c r="HM40" i="35"/>
  <c r="AQ82" i="53"/>
  <c r="GZ38" i="35"/>
  <c r="HA38" i="35" s="1"/>
  <c r="AK80" i="53"/>
  <c r="GZ18" i="35"/>
  <c r="HA18" i="35" s="1"/>
  <c r="AK60" i="53"/>
  <c r="GZ35" i="35"/>
  <c r="HA35" i="35" s="1"/>
  <c r="AK77" i="53"/>
  <c r="GZ19" i="35"/>
  <c r="HA19" i="35" s="1"/>
  <c r="AK61" i="53"/>
  <c r="GZ36" i="35"/>
  <c r="HA36" i="35" s="1"/>
  <c r="AK78" i="53"/>
  <c r="GZ28" i="35"/>
  <c r="HA28" i="35" s="1"/>
  <c r="AK70" i="53"/>
  <c r="GZ20" i="35"/>
  <c r="HA20" i="35" s="1"/>
  <c r="AK62" i="53"/>
  <c r="GZ12" i="35"/>
  <c r="HA12" i="35" s="1"/>
  <c r="AK54" i="53"/>
  <c r="GZ37" i="35"/>
  <c r="HA37" i="35" s="1"/>
  <c r="AK79" i="53"/>
  <c r="GZ29" i="35"/>
  <c r="HA29" i="35" s="1"/>
  <c r="AK71" i="53"/>
  <c r="GZ21" i="35"/>
  <c r="HA21" i="35" s="1"/>
  <c r="AK63" i="53"/>
  <c r="GZ13" i="35"/>
  <c r="HA13" i="35" s="1"/>
  <c r="AK55" i="53"/>
  <c r="HM11" i="35"/>
  <c r="AQ53" i="53"/>
  <c r="HM9" i="35"/>
  <c r="AQ51" i="53"/>
  <c r="HM10" i="35"/>
  <c r="AQ52" i="53"/>
  <c r="HM16" i="35"/>
  <c r="AQ58" i="53"/>
  <c r="GZ30" i="35"/>
  <c r="HA30" i="35" s="1"/>
  <c r="AK72" i="53"/>
  <c r="GZ14" i="35"/>
  <c r="HA14" i="35" s="1"/>
  <c r="AK56" i="53"/>
  <c r="GZ31" i="35"/>
  <c r="HA31" i="35" s="1"/>
  <c r="AK73" i="53"/>
  <c r="GZ15" i="35"/>
  <c r="HA15" i="35" s="1"/>
  <c r="AK57" i="53"/>
  <c r="O5" i="16"/>
  <c r="L98" i="48" s="1"/>
  <c r="BO46" i="35"/>
  <c r="BO50" i="35"/>
  <c r="BO43" i="35"/>
  <c r="BO47" i="35"/>
  <c r="BO51" i="35"/>
  <c r="BO45" i="35"/>
  <c r="BO49" i="35"/>
  <c r="BO44" i="35"/>
  <c r="BO48" i="35"/>
  <c r="BO52" i="35"/>
  <c r="BO53" i="35"/>
  <c r="BA47" i="35"/>
  <c r="AD87" i="16" s="1"/>
  <c r="L110" i="48" s="1"/>
  <c r="BA51" i="35"/>
  <c r="AD91" i="16" s="1"/>
  <c r="L114" i="48" s="1"/>
  <c r="BA46" i="35"/>
  <c r="BA44" i="35"/>
  <c r="BA48" i="35"/>
  <c r="BA52" i="35"/>
  <c r="BA50" i="35"/>
  <c r="AD90" i="16" s="1"/>
  <c r="L113" i="48" s="1"/>
  <c r="BA45" i="35"/>
  <c r="BA49" i="35"/>
  <c r="BA53" i="35"/>
  <c r="BA43" i="35"/>
  <c r="O10" i="16"/>
  <c r="L103" i="48" s="1"/>
  <c r="O11" i="16"/>
  <c r="L104" i="48" s="1"/>
  <c r="BT44" i="35"/>
  <c r="BT48" i="35"/>
  <c r="BT52" i="35"/>
  <c r="BT45" i="35"/>
  <c r="BT49" i="35"/>
  <c r="BT53" i="35"/>
  <c r="BT47" i="35"/>
  <c r="BT46" i="35"/>
  <c r="BT50" i="35"/>
  <c r="BT43" i="35"/>
  <c r="BT51" i="35"/>
  <c r="O6" i="16"/>
  <c r="L99" i="48" s="1"/>
  <c r="O7" i="16"/>
  <c r="L100" i="48" s="1"/>
  <c r="O12" i="16"/>
  <c r="L105" i="48" s="1"/>
  <c r="BF45" i="35"/>
  <c r="BF49" i="35"/>
  <c r="BF53" i="35"/>
  <c r="BF48" i="35"/>
  <c r="AD109" i="16" s="1"/>
  <c r="BF46" i="35"/>
  <c r="BF50" i="35"/>
  <c r="BF43" i="35"/>
  <c r="BF44" i="35"/>
  <c r="BF47" i="35"/>
  <c r="AD108" i="16" s="1"/>
  <c r="BF51" i="35"/>
  <c r="BF52" i="35"/>
  <c r="O9" i="16"/>
  <c r="L102" i="48" s="1"/>
  <c r="O8" i="16"/>
  <c r="L101" i="48" s="1"/>
  <c r="GM68" i="47"/>
  <c r="GN68" i="47" s="1"/>
  <c r="GK69" i="47"/>
  <c r="AT32" i="47"/>
  <c r="AU32" i="47" s="1"/>
  <c r="HR32" i="47" s="1"/>
  <c r="AR33" i="47"/>
  <c r="BV22" i="35"/>
  <c r="BW22" i="35" s="1"/>
  <c r="BV23" i="35"/>
  <c r="BW23" i="35" s="1"/>
  <c r="BT24" i="35"/>
  <c r="AA24" i="53" s="1"/>
  <c r="BO39" i="35"/>
  <c r="X39" i="53" s="1"/>
  <c r="BV10" i="35"/>
  <c r="BW10" i="35" s="1"/>
  <c r="BV33" i="35"/>
  <c r="BW33" i="35" s="1"/>
  <c r="BQ38" i="35"/>
  <c r="BR38" i="35" s="1"/>
  <c r="BQ25" i="35"/>
  <c r="BR25" i="35" s="1"/>
  <c r="BO9" i="35"/>
  <c r="X9" i="53" s="1"/>
  <c r="BO15" i="35"/>
  <c r="X15" i="53" s="1"/>
  <c r="BO16" i="35"/>
  <c r="X16" i="53" s="1"/>
  <c r="BO30" i="35"/>
  <c r="X30" i="53" s="1"/>
  <c r="BO14" i="35"/>
  <c r="X14" i="53" s="1"/>
  <c r="BV17" i="35"/>
  <c r="BW17" i="35" s="1"/>
  <c r="BO31" i="35"/>
  <c r="X31" i="53" s="1"/>
  <c r="BC38" i="35"/>
  <c r="BC17" i="35"/>
  <c r="BV12" i="35"/>
  <c r="BW12" i="35" s="1"/>
  <c r="BV11" i="35"/>
  <c r="BW11" i="35" s="1"/>
  <c r="BT28" i="35"/>
  <c r="AA28" i="53" s="1"/>
  <c r="BC32" i="35"/>
  <c r="BT34" i="35"/>
  <c r="AA34" i="53" s="1"/>
  <c r="BV26" i="35"/>
  <c r="BW26" i="35" s="1"/>
  <c r="BV37" i="35"/>
  <c r="BW37" i="35" s="1"/>
  <c r="BT21" i="35"/>
  <c r="AA21" i="53" s="1"/>
  <c r="BC18" i="35"/>
  <c r="BC37" i="35"/>
  <c r="BC20" i="35"/>
  <c r="BA40" i="35"/>
  <c r="P40" i="53" s="1"/>
  <c r="BC26" i="35"/>
  <c r="BA12" i="35"/>
  <c r="P12" i="53" s="1"/>
  <c r="BC28" i="35"/>
  <c r="BT13" i="35"/>
  <c r="AA13" i="53" s="1"/>
  <c r="BV20" i="35"/>
  <c r="BW20" i="35" s="1"/>
  <c r="BC10" i="35"/>
  <c r="BC36" i="35"/>
  <c r="BT29" i="35"/>
  <c r="AA29" i="53" s="1"/>
  <c r="BA34" i="35"/>
  <c r="P34" i="53" s="1"/>
  <c r="BA21" i="35"/>
  <c r="P21" i="53" s="1"/>
  <c r="BT35" i="35"/>
  <c r="AA35" i="53" s="1"/>
  <c r="BA29" i="35"/>
  <c r="P29" i="53" s="1"/>
  <c r="BA24" i="35"/>
  <c r="P24" i="53" s="1"/>
  <c r="BV36" i="35"/>
  <c r="BW36" i="35" s="1"/>
  <c r="BV27" i="35"/>
  <c r="BW27" i="35" s="1"/>
  <c r="BC13" i="35"/>
  <c r="BC33" i="35"/>
  <c r="BT19" i="35"/>
  <c r="AA19" i="53" s="1"/>
  <c r="BC22" i="35"/>
  <c r="BC16" i="35"/>
  <c r="BA31" i="35"/>
  <c r="P31" i="53" s="1"/>
  <c r="BC31" i="35"/>
  <c r="BA15" i="35"/>
  <c r="P15" i="53" s="1"/>
  <c r="BC15" i="35"/>
  <c r="BC14" i="35"/>
  <c r="BA14" i="35"/>
  <c r="P14" i="53" s="1"/>
  <c r="BO40" i="35"/>
  <c r="X40" i="53" s="1"/>
  <c r="BQ40" i="35"/>
  <c r="BR40" i="35" s="1"/>
  <c r="BH20" i="35"/>
  <c r="BI20" i="35" s="1"/>
  <c r="S20" i="53"/>
  <c r="S27" i="53"/>
  <c r="BH27" i="35"/>
  <c r="BI27" i="35" s="1"/>
  <c r="S11" i="53"/>
  <c r="BH11" i="35"/>
  <c r="BI11" i="35" s="1"/>
  <c r="BH25" i="35"/>
  <c r="BI25" i="35" s="1"/>
  <c r="S25" i="53"/>
  <c r="BH28" i="35"/>
  <c r="BI28" i="35" s="1"/>
  <c r="S28" i="53"/>
  <c r="BH26" i="35"/>
  <c r="BI26" i="35" s="1"/>
  <c r="S26" i="53"/>
  <c r="BH37" i="35"/>
  <c r="BI37" i="35" s="1"/>
  <c r="S37" i="53"/>
  <c r="BH17" i="35"/>
  <c r="BI17" i="35" s="1"/>
  <c r="S17" i="53"/>
  <c r="BH40" i="35"/>
  <c r="BI40" i="35" s="1"/>
  <c r="S40" i="53"/>
  <c r="BH12" i="35"/>
  <c r="BI12" i="35" s="1"/>
  <c r="S12" i="53"/>
  <c r="BT18" i="35"/>
  <c r="AA18" i="53" s="1"/>
  <c r="S39" i="53"/>
  <c r="BH39" i="35"/>
  <c r="BI39" i="35" s="1"/>
  <c r="S23" i="53"/>
  <c r="BH23" i="35"/>
  <c r="BI23" i="35" s="1"/>
  <c r="BH30" i="35"/>
  <c r="BI30" i="35" s="1"/>
  <c r="S30" i="53"/>
  <c r="BQ8" i="35"/>
  <c r="BR8" i="35" s="1"/>
  <c r="BO8" i="35"/>
  <c r="X8" i="53" s="1"/>
  <c r="BH36" i="35"/>
  <c r="BI36" i="35" s="1"/>
  <c r="S36" i="53"/>
  <c r="S34" i="53"/>
  <c r="BH34" i="35"/>
  <c r="BI34" i="35" s="1"/>
  <c r="BH10" i="35"/>
  <c r="BI10" i="35" s="1"/>
  <c r="S10" i="53"/>
  <c r="BH21" i="35"/>
  <c r="BI21" i="35" s="1"/>
  <c r="S21" i="53"/>
  <c r="BC27" i="35"/>
  <c r="BA27" i="35"/>
  <c r="P27" i="53" s="1"/>
  <c r="BC11" i="35"/>
  <c r="BA11" i="35"/>
  <c r="P11" i="53" s="1"/>
  <c r="BA25" i="35"/>
  <c r="P25" i="53" s="1"/>
  <c r="BC25" i="35"/>
  <c r="BA39" i="35"/>
  <c r="P39" i="53" s="1"/>
  <c r="BC39" i="35"/>
  <c r="BA23" i="35"/>
  <c r="P23" i="53" s="1"/>
  <c r="BC23" i="35"/>
  <c r="BA30" i="35"/>
  <c r="P30" i="53" s="1"/>
  <c r="BC30" i="35"/>
  <c r="BV8" i="35"/>
  <c r="BW8" i="35" s="1"/>
  <c r="BT8" i="35"/>
  <c r="AA8" i="53" s="1"/>
  <c r="BH32" i="35"/>
  <c r="BI32" i="35" s="1"/>
  <c r="S32" i="53"/>
  <c r="S35" i="53"/>
  <c r="BH35" i="35"/>
  <c r="BI35" i="35" s="1"/>
  <c r="S19" i="53"/>
  <c r="BH19" i="35"/>
  <c r="BI19" i="35" s="1"/>
  <c r="BH8" i="35"/>
  <c r="BI8" i="35" s="1"/>
  <c r="S8" i="53"/>
  <c r="BH9" i="35"/>
  <c r="BI9" i="35" s="1"/>
  <c r="S9" i="53"/>
  <c r="S38" i="53"/>
  <c r="BH38" i="35"/>
  <c r="BI38" i="35" s="1"/>
  <c r="S18" i="53"/>
  <c r="BH18" i="35"/>
  <c r="BI18" i="35" s="1"/>
  <c r="BH29" i="35"/>
  <c r="BI29" i="35" s="1"/>
  <c r="S29" i="53"/>
  <c r="BH24" i="35"/>
  <c r="BI24" i="35" s="1"/>
  <c r="S24" i="53"/>
  <c r="S31" i="53"/>
  <c r="BH31" i="35"/>
  <c r="BI31" i="35" s="1"/>
  <c r="S15" i="53"/>
  <c r="BH15" i="35"/>
  <c r="BI15" i="35" s="1"/>
  <c r="BH14" i="35"/>
  <c r="BI14" i="35" s="1"/>
  <c r="S14" i="53"/>
  <c r="BT40" i="35"/>
  <c r="AA40" i="53" s="1"/>
  <c r="BV40" i="35"/>
  <c r="BW40" i="35" s="1"/>
  <c r="BH16" i="35"/>
  <c r="BI16" i="35" s="1"/>
  <c r="S16" i="53"/>
  <c r="S22" i="53"/>
  <c r="BH22" i="35"/>
  <c r="BI22" i="35" s="1"/>
  <c r="BH33" i="35"/>
  <c r="BI33" i="35" s="1"/>
  <c r="S33" i="53"/>
  <c r="BH13" i="35"/>
  <c r="BI13" i="35" s="1"/>
  <c r="S13" i="53"/>
  <c r="BC35" i="35"/>
  <c r="BA35" i="35"/>
  <c r="P35" i="53" s="1"/>
  <c r="BC19" i="35"/>
  <c r="BA19" i="35"/>
  <c r="P19" i="53" s="1"/>
  <c r="BC8" i="35"/>
  <c r="BA8" i="35"/>
  <c r="P8" i="53" s="1"/>
  <c r="BC9" i="35"/>
  <c r="BA9" i="35"/>
  <c r="P9" i="53" s="1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L102" i="45"/>
  <c r="L103" i="45"/>
  <c r="L104" i="45"/>
  <c r="L105" i="45"/>
  <c r="L106" i="45"/>
  <c r="L107" i="45"/>
  <c r="L108" i="45"/>
  <c r="L109" i="45"/>
  <c r="L110" i="45"/>
  <c r="L111" i="45"/>
  <c r="L112" i="45"/>
  <c r="L113" i="45"/>
  <c r="L114" i="45"/>
  <c r="L115" i="45"/>
  <c r="L116" i="45"/>
  <c r="L117" i="45"/>
  <c r="L118" i="45"/>
  <c r="L119" i="45"/>
  <c r="L120" i="45"/>
  <c r="L121" i="45"/>
  <c r="L122" i="45"/>
  <c r="L123" i="45"/>
  <c r="L124" i="45"/>
  <c r="L125" i="45"/>
  <c r="L126" i="45"/>
  <c r="L127" i="45"/>
  <c r="L128" i="45"/>
  <c r="L129" i="45"/>
  <c r="L130" i="45"/>
  <c r="L131" i="45"/>
  <c r="L132" i="45"/>
  <c r="L133" i="45"/>
  <c r="L134" i="45"/>
  <c r="L135" i="45"/>
  <c r="L136" i="45"/>
  <c r="L137" i="45"/>
  <c r="L138" i="45"/>
  <c r="L139" i="45"/>
  <c r="L140" i="45"/>
  <c r="L18" i="45"/>
  <c r="I18" i="45"/>
  <c r="F22" i="45"/>
  <c r="F23" i="45"/>
  <c r="M23" i="45" s="1"/>
  <c r="F24" i="45"/>
  <c r="M24" i="45" s="1"/>
  <c r="F25" i="45"/>
  <c r="F29" i="45"/>
  <c r="F30" i="45"/>
  <c r="F31" i="45"/>
  <c r="M31" i="45" s="1"/>
  <c r="F32" i="45"/>
  <c r="M32" i="45" s="1"/>
  <c r="F33" i="45"/>
  <c r="F34" i="45"/>
  <c r="F35" i="45"/>
  <c r="M35" i="45" s="1"/>
  <c r="F36" i="45"/>
  <c r="M36" i="45" s="1"/>
  <c r="F37" i="45"/>
  <c r="F41" i="45"/>
  <c r="F42" i="45"/>
  <c r="F43" i="45"/>
  <c r="M43" i="45" s="1"/>
  <c r="F44" i="45"/>
  <c r="M44" i="45" s="1"/>
  <c r="F45" i="45"/>
  <c r="F46" i="45"/>
  <c r="F62" i="45"/>
  <c r="F63" i="45"/>
  <c r="M63" i="45" s="1"/>
  <c r="F64" i="45"/>
  <c r="M64" i="45" s="1"/>
  <c r="F65" i="45"/>
  <c r="F66" i="45"/>
  <c r="F67" i="45"/>
  <c r="M67" i="45" s="1"/>
  <c r="F68" i="45"/>
  <c r="M68" i="45" s="1"/>
  <c r="F69" i="45"/>
  <c r="F70" i="45"/>
  <c r="F71" i="45"/>
  <c r="M71" i="45" s="1"/>
  <c r="F72" i="45"/>
  <c r="M72" i="45" s="1"/>
  <c r="F73" i="45"/>
  <c r="F74" i="45"/>
  <c r="F75" i="45"/>
  <c r="M75" i="45" s="1"/>
  <c r="F76" i="45"/>
  <c r="M76" i="45" s="1"/>
  <c r="F77" i="45"/>
  <c r="F78" i="45"/>
  <c r="F79" i="45"/>
  <c r="M79" i="45" s="1"/>
  <c r="F80" i="45"/>
  <c r="M80" i="45" s="1"/>
  <c r="F81" i="45"/>
  <c r="F82" i="45"/>
  <c r="F83" i="45"/>
  <c r="M83" i="45" s="1"/>
  <c r="F84" i="45"/>
  <c r="M84" i="45" s="1"/>
  <c r="F85" i="45"/>
  <c r="F86" i="45"/>
  <c r="F87" i="45"/>
  <c r="M87" i="45" s="1"/>
  <c r="F88" i="45"/>
  <c r="M88" i="45" s="1"/>
  <c r="F89" i="45"/>
  <c r="F90" i="45"/>
  <c r="F91" i="45"/>
  <c r="M91" i="45" s="1"/>
  <c r="F92" i="45"/>
  <c r="M92" i="45" s="1"/>
  <c r="F93" i="45"/>
  <c r="F94" i="45"/>
  <c r="F95" i="45"/>
  <c r="M95" i="45" s="1"/>
  <c r="F96" i="45"/>
  <c r="M96" i="45" s="1"/>
  <c r="F97" i="45"/>
  <c r="F98" i="45"/>
  <c r="F99" i="45"/>
  <c r="M99" i="45" s="1"/>
  <c r="F100" i="45"/>
  <c r="M100" i="45" s="1"/>
  <c r="F108" i="45"/>
  <c r="M108" i="45" s="1"/>
  <c r="F109" i="45"/>
  <c r="F112" i="45"/>
  <c r="M112" i="45" s="1"/>
  <c r="F113" i="45"/>
  <c r="F114" i="45"/>
  <c r="F115" i="45"/>
  <c r="M115" i="45" s="1"/>
  <c r="F116" i="45"/>
  <c r="M116" i="45" s="1"/>
  <c r="F117" i="45"/>
  <c r="F118" i="45"/>
  <c r="F119" i="45"/>
  <c r="M119" i="45" s="1"/>
  <c r="F120" i="45"/>
  <c r="M120" i="45" s="1"/>
  <c r="F121" i="45"/>
  <c r="F122" i="45"/>
  <c r="F123" i="45"/>
  <c r="M123" i="45" s="1"/>
  <c r="F124" i="45"/>
  <c r="M124" i="45" s="1"/>
  <c r="F125" i="45"/>
  <c r="F126" i="45"/>
  <c r="F127" i="45"/>
  <c r="M127" i="45" s="1"/>
  <c r="F128" i="45"/>
  <c r="M128" i="45" s="1"/>
  <c r="F129" i="45"/>
  <c r="F130" i="45"/>
  <c r="F131" i="45"/>
  <c r="M131" i="45" s="1"/>
  <c r="AC15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K102" i="45"/>
  <c r="K103" i="45"/>
  <c r="K104" i="45"/>
  <c r="K105" i="45"/>
  <c r="K106" i="45"/>
  <c r="K107" i="45"/>
  <c r="K108" i="45"/>
  <c r="K109" i="45"/>
  <c r="K110" i="45"/>
  <c r="K111" i="45"/>
  <c r="K112" i="45"/>
  <c r="K113" i="45"/>
  <c r="K114" i="45"/>
  <c r="K115" i="45"/>
  <c r="K116" i="45"/>
  <c r="K117" i="45"/>
  <c r="K118" i="45"/>
  <c r="K119" i="45"/>
  <c r="K120" i="45"/>
  <c r="K121" i="45"/>
  <c r="K122" i="45"/>
  <c r="K123" i="45"/>
  <c r="G124" i="45"/>
  <c r="N124" i="45" s="1"/>
  <c r="K125" i="45"/>
  <c r="K126" i="45"/>
  <c r="K127" i="45"/>
  <c r="K129" i="45"/>
  <c r="K130" i="45"/>
  <c r="K131" i="45"/>
  <c r="K132" i="45"/>
  <c r="K133" i="45"/>
  <c r="K134" i="45"/>
  <c r="K135" i="45"/>
  <c r="K136" i="45"/>
  <c r="K137" i="45"/>
  <c r="K138" i="45"/>
  <c r="K139" i="45"/>
  <c r="K140" i="45"/>
  <c r="K18" i="45"/>
  <c r="C120" i="45"/>
  <c r="C121" i="45"/>
  <c r="C122" i="45"/>
  <c r="C119" i="45"/>
  <c r="C110" i="45"/>
  <c r="C111" i="45"/>
  <c r="C112" i="45"/>
  <c r="C113" i="45"/>
  <c r="C114" i="45"/>
  <c r="C115" i="45"/>
  <c r="C109" i="45"/>
  <c r="C48" i="45"/>
  <c r="C49" i="45"/>
  <c r="C50" i="45"/>
  <c r="C51" i="45"/>
  <c r="C52" i="45"/>
  <c r="C53" i="45"/>
  <c r="C54" i="45"/>
  <c r="C55" i="45"/>
  <c r="C56" i="45"/>
  <c r="C57" i="45"/>
  <c r="C58" i="45"/>
  <c r="C59" i="45"/>
  <c r="C60" i="45"/>
  <c r="C61" i="45"/>
  <c r="C47" i="45"/>
  <c r="C30" i="45"/>
  <c r="C19" i="45"/>
  <c r="C20" i="45"/>
  <c r="C21" i="45"/>
  <c r="C22" i="45"/>
  <c r="C23" i="45"/>
  <c r="C24" i="45"/>
  <c r="C25" i="45"/>
  <c r="C26" i="45"/>
  <c r="C27" i="45"/>
  <c r="C28" i="45"/>
  <c r="C29" i="45"/>
  <c r="C31" i="45"/>
  <c r="C32" i="45"/>
  <c r="C33" i="45"/>
  <c r="C34" i="45"/>
  <c r="C35" i="45"/>
  <c r="C36" i="45"/>
  <c r="C37" i="45"/>
  <c r="C38" i="45"/>
  <c r="C39" i="45"/>
  <c r="C40" i="45"/>
  <c r="C41" i="45"/>
  <c r="C42" i="45"/>
  <c r="C43" i="45"/>
  <c r="C44" i="45"/>
  <c r="C45" i="45"/>
  <c r="C46" i="45"/>
  <c r="C62" i="45"/>
  <c r="C63" i="45"/>
  <c r="C64" i="45"/>
  <c r="C65" i="45"/>
  <c r="C66" i="45"/>
  <c r="C67" i="45"/>
  <c r="C68" i="45"/>
  <c r="C69" i="45"/>
  <c r="C70" i="45"/>
  <c r="C71" i="45"/>
  <c r="C72" i="45"/>
  <c r="C73" i="45"/>
  <c r="C74" i="45"/>
  <c r="C75" i="45"/>
  <c r="C76" i="45"/>
  <c r="C77" i="45"/>
  <c r="C78" i="45"/>
  <c r="C79" i="45"/>
  <c r="C80" i="45"/>
  <c r="C81" i="45"/>
  <c r="C82" i="45"/>
  <c r="C83" i="45"/>
  <c r="C84" i="45"/>
  <c r="C85" i="45"/>
  <c r="C86" i="45"/>
  <c r="C87" i="45"/>
  <c r="C88" i="45"/>
  <c r="C89" i="45"/>
  <c r="C90" i="45"/>
  <c r="C91" i="45"/>
  <c r="C92" i="45"/>
  <c r="C93" i="45"/>
  <c r="C94" i="45"/>
  <c r="C95" i="45"/>
  <c r="C96" i="45"/>
  <c r="C97" i="45"/>
  <c r="C98" i="45"/>
  <c r="C99" i="45"/>
  <c r="C100" i="45"/>
  <c r="C101" i="45"/>
  <c r="C102" i="45"/>
  <c r="C103" i="45"/>
  <c r="C104" i="45"/>
  <c r="C105" i="45"/>
  <c r="C106" i="45"/>
  <c r="C107" i="45"/>
  <c r="C108" i="45"/>
  <c r="C116" i="45"/>
  <c r="C117" i="45"/>
  <c r="C118" i="45"/>
  <c r="C123" i="45"/>
  <c r="C124" i="45"/>
  <c r="C125" i="45"/>
  <c r="C126" i="45"/>
  <c r="C127" i="45"/>
  <c r="C128" i="45"/>
  <c r="C129" i="45"/>
  <c r="C130" i="45"/>
  <c r="C131" i="45"/>
  <c r="C132" i="45"/>
  <c r="C133" i="45"/>
  <c r="C134" i="45"/>
  <c r="C135" i="45"/>
  <c r="C136" i="45"/>
  <c r="C137" i="45"/>
  <c r="C138" i="45"/>
  <c r="C139" i="45"/>
  <c r="C140" i="45"/>
  <c r="C18" i="45"/>
  <c r="B19" i="45"/>
  <c r="B20" i="45" s="1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B59" i="45" s="1"/>
  <c r="B60" i="45" s="1"/>
  <c r="B61" i="45" s="1"/>
  <c r="B62" i="45" s="1"/>
  <c r="B63" i="45" s="1"/>
  <c r="B64" i="45" s="1"/>
  <c r="B65" i="45" s="1"/>
  <c r="B66" i="45" s="1"/>
  <c r="B67" i="45" s="1"/>
  <c r="B68" i="45" s="1"/>
  <c r="B69" i="45" s="1"/>
  <c r="B70" i="45" s="1"/>
  <c r="B71" i="45" s="1"/>
  <c r="B72" i="45" s="1"/>
  <c r="B73" i="45" s="1"/>
  <c r="B74" i="45" s="1"/>
  <c r="B75" i="45" s="1"/>
  <c r="B76" i="45" s="1"/>
  <c r="B77" i="45" s="1"/>
  <c r="B78" i="45" s="1"/>
  <c r="B79" i="45" s="1"/>
  <c r="B80" i="45" s="1"/>
  <c r="B81" i="45" s="1"/>
  <c r="B82" i="45" s="1"/>
  <c r="B83" i="45" s="1"/>
  <c r="B84" i="45" s="1"/>
  <c r="B85" i="45" s="1"/>
  <c r="B86" i="45" s="1"/>
  <c r="B87" i="45" s="1"/>
  <c r="B88" i="45" s="1"/>
  <c r="B89" i="45" s="1"/>
  <c r="B90" i="45" s="1"/>
  <c r="B91" i="45" s="1"/>
  <c r="B92" i="45" s="1"/>
  <c r="B93" i="45" s="1"/>
  <c r="B94" i="45" s="1"/>
  <c r="B95" i="45" s="1"/>
  <c r="B96" i="45" s="1"/>
  <c r="B97" i="45" s="1"/>
  <c r="B98" i="45" s="1"/>
  <c r="B99" i="45" s="1"/>
  <c r="B100" i="45" s="1"/>
  <c r="B101" i="45" s="1"/>
  <c r="B102" i="45" s="1"/>
  <c r="B103" i="45" s="1"/>
  <c r="B104" i="45" s="1"/>
  <c r="B105" i="45" s="1"/>
  <c r="B106" i="45" s="1"/>
  <c r="B107" i="45" s="1"/>
  <c r="B108" i="45" s="1"/>
  <c r="B109" i="45" s="1"/>
  <c r="B110" i="45" s="1"/>
  <c r="B111" i="45" s="1"/>
  <c r="B112" i="45" s="1"/>
  <c r="B113" i="45" s="1"/>
  <c r="B114" i="45" s="1"/>
  <c r="B115" i="45" s="1"/>
  <c r="B116" i="45" s="1"/>
  <c r="B117" i="45" s="1"/>
  <c r="B118" i="45" s="1"/>
  <c r="B119" i="45" s="1"/>
  <c r="B120" i="45" s="1"/>
  <c r="B121" i="45" s="1"/>
  <c r="B122" i="45" s="1"/>
  <c r="B123" i="45" s="1"/>
  <c r="B124" i="45" s="1"/>
  <c r="B125" i="45" s="1"/>
  <c r="B126" i="45" s="1"/>
  <c r="B127" i="45" s="1"/>
  <c r="B128" i="45" s="1"/>
  <c r="B129" i="45" s="1"/>
  <c r="B130" i="45" s="1"/>
  <c r="B131" i="45" s="1"/>
  <c r="B132" i="45" s="1"/>
  <c r="B133" i="45" s="1"/>
  <c r="B134" i="45" s="1"/>
  <c r="B135" i="45" s="1"/>
  <c r="B136" i="45" s="1"/>
  <c r="B137" i="45" s="1"/>
  <c r="B138" i="45" s="1"/>
  <c r="B139" i="45" s="1"/>
  <c r="B140" i="45" s="1"/>
  <c r="I140" i="45" s="1"/>
  <c r="AA100" i="45"/>
  <c r="AA99" i="45"/>
  <c r="AA98" i="45"/>
  <c r="AA97" i="45"/>
  <c r="AA96" i="45"/>
  <c r="AA95" i="45"/>
  <c r="AA94" i="45"/>
  <c r="AA93" i="45"/>
  <c r="AD107" i="16" l="1"/>
  <c r="AD106" i="16"/>
  <c r="AD85" i="16"/>
  <c r="L108" i="48" s="1"/>
  <c r="AD84" i="16"/>
  <c r="L107" i="48" s="1"/>
  <c r="AD105" i="16"/>
  <c r="AD111" i="16"/>
  <c r="AD110" i="16"/>
  <c r="AD88" i="16"/>
  <c r="L111" i="48" s="1"/>
  <c r="AD86" i="16"/>
  <c r="L109" i="48" s="1"/>
  <c r="AD104" i="16"/>
  <c r="AD114" i="16"/>
  <c r="AD92" i="16"/>
  <c r="L115" i="48" s="1"/>
  <c r="AD112" i="16"/>
  <c r="AD89" i="16"/>
  <c r="L112" i="48" s="1"/>
  <c r="AD83" i="16"/>
  <c r="L106" i="48" s="1"/>
  <c r="AD113" i="16"/>
  <c r="AD93" i="16"/>
  <c r="L116" i="48" s="1"/>
  <c r="GM69" i="47"/>
  <c r="GN69" i="47" s="1"/>
  <c r="GK70" i="47"/>
  <c r="AT33" i="47"/>
  <c r="AU33" i="47" s="1"/>
  <c r="HR33" i="47" s="1"/>
  <c r="AR34" i="47"/>
  <c r="AC137" i="45"/>
  <c r="F137" i="45" s="1"/>
  <c r="G137" i="45" s="1"/>
  <c r="N137" i="45" s="1"/>
  <c r="AC38" i="45"/>
  <c r="F38" i="45" s="1"/>
  <c r="AC40" i="45"/>
  <c r="F40" i="45" s="1"/>
  <c r="M40" i="45" s="1"/>
  <c r="AC39" i="45"/>
  <c r="F39" i="45" s="1"/>
  <c r="M39" i="45" s="1"/>
  <c r="G128" i="45"/>
  <c r="N128" i="45" s="1"/>
  <c r="AC20" i="45"/>
  <c r="F20" i="45" s="1"/>
  <c r="M20" i="45" s="1"/>
  <c r="AC134" i="45"/>
  <c r="F134" i="45" s="1"/>
  <c r="G131" i="45"/>
  <c r="N131" i="45" s="1"/>
  <c r="G127" i="45"/>
  <c r="N127" i="45" s="1"/>
  <c r="G123" i="45"/>
  <c r="N123" i="45" s="1"/>
  <c r="G119" i="45"/>
  <c r="N119" i="45" s="1"/>
  <c r="G115" i="45"/>
  <c r="N115" i="45" s="1"/>
  <c r="G108" i="45"/>
  <c r="N108" i="45" s="1"/>
  <c r="G99" i="45"/>
  <c r="N99" i="45" s="1"/>
  <c r="G95" i="45"/>
  <c r="N95" i="45" s="1"/>
  <c r="G91" i="45"/>
  <c r="N91" i="45" s="1"/>
  <c r="G87" i="45"/>
  <c r="N87" i="45" s="1"/>
  <c r="G83" i="45"/>
  <c r="N83" i="45" s="1"/>
  <c r="G79" i="45"/>
  <c r="N79" i="45" s="1"/>
  <c r="G75" i="45"/>
  <c r="N75" i="45" s="1"/>
  <c r="G71" i="45"/>
  <c r="N71" i="45" s="1"/>
  <c r="G67" i="45"/>
  <c r="N67" i="45" s="1"/>
  <c r="G63" i="45"/>
  <c r="N63" i="45" s="1"/>
  <c r="G43" i="45"/>
  <c r="N43" i="45" s="1"/>
  <c r="G35" i="45"/>
  <c r="N35" i="45" s="1"/>
  <c r="G31" i="45"/>
  <c r="N31" i="45" s="1"/>
  <c r="G23" i="45"/>
  <c r="N23" i="45" s="1"/>
  <c r="G130" i="45"/>
  <c r="N130" i="45" s="1"/>
  <c r="M130" i="45"/>
  <c r="G126" i="45"/>
  <c r="N126" i="45" s="1"/>
  <c r="M126" i="45"/>
  <c r="G122" i="45"/>
  <c r="N122" i="45" s="1"/>
  <c r="M122" i="45"/>
  <c r="G118" i="45"/>
  <c r="N118" i="45" s="1"/>
  <c r="M118" i="45"/>
  <c r="G114" i="45"/>
  <c r="N114" i="45" s="1"/>
  <c r="M114" i="45"/>
  <c r="G97" i="45"/>
  <c r="N97" i="45" s="1"/>
  <c r="M97" i="45"/>
  <c r="G93" i="45"/>
  <c r="M93" i="45"/>
  <c r="G89" i="45"/>
  <c r="N89" i="45" s="1"/>
  <c r="M89" i="45"/>
  <c r="G85" i="45"/>
  <c r="N85" i="45" s="1"/>
  <c r="M85" i="45"/>
  <c r="G81" i="45"/>
  <c r="N81" i="45" s="1"/>
  <c r="M81" i="45"/>
  <c r="G77" i="45"/>
  <c r="N77" i="45" s="1"/>
  <c r="M77" i="45"/>
  <c r="G73" i="45"/>
  <c r="N73" i="45" s="1"/>
  <c r="M73" i="45"/>
  <c r="G69" i="45"/>
  <c r="N69" i="45" s="1"/>
  <c r="M69" i="45"/>
  <c r="G65" i="45"/>
  <c r="N65" i="45" s="1"/>
  <c r="M65" i="45"/>
  <c r="G45" i="45"/>
  <c r="N45" i="45" s="1"/>
  <c r="M45" i="45"/>
  <c r="G41" i="45"/>
  <c r="N41" i="45" s="1"/>
  <c r="M41" i="45"/>
  <c r="G37" i="45"/>
  <c r="N37" i="45" s="1"/>
  <c r="M37" i="45"/>
  <c r="G33" i="45"/>
  <c r="N33" i="45" s="1"/>
  <c r="M33" i="45"/>
  <c r="G29" i="45"/>
  <c r="N29" i="45" s="1"/>
  <c r="M29" i="45"/>
  <c r="G22" i="45"/>
  <c r="N22" i="45" s="1"/>
  <c r="M22" i="45"/>
  <c r="I138" i="45"/>
  <c r="I136" i="45"/>
  <c r="I134" i="45"/>
  <c r="I132" i="45"/>
  <c r="I130" i="45"/>
  <c r="I128" i="45"/>
  <c r="I126" i="45"/>
  <c r="I124" i="45"/>
  <c r="I122" i="45"/>
  <c r="I120" i="45"/>
  <c r="I118" i="45"/>
  <c r="I116" i="45"/>
  <c r="I114" i="45"/>
  <c r="I112" i="45"/>
  <c r="I110" i="45"/>
  <c r="I108" i="45"/>
  <c r="I106" i="45"/>
  <c r="I104" i="45"/>
  <c r="I102" i="45"/>
  <c r="I100" i="45"/>
  <c r="I98" i="45"/>
  <c r="I96" i="45"/>
  <c r="I94" i="45"/>
  <c r="I92" i="45"/>
  <c r="I90" i="45"/>
  <c r="I88" i="45"/>
  <c r="I86" i="45"/>
  <c r="I84" i="45"/>
  <c r="I82" i="45"/>
  <c r="I80" i="45"/>
  <c r="I78" i="45"/>
  <c r="I76" i="45"/>
  <c r="I74" i="45"/>
  <c r="I72" i="45"/>
  <c r="I70" i="45"/>
  <c r="I68" i="45"/>
  <c r="I66" i="45"/>
  <c r="I64" i="45"/>
  <c r="I62" i="45"/>
  <c r="I60" i="45"/>
  <c r="I58" i="45"/>
  <c r="I56" i="45"/>
  <c r="I54" i="45"/>
  <c r="I52" i="45"/>
  <c r="I50" i="45"/>
  <c r="I48" i="45"/>
  <c r="I46" i="45"/>
  <c r="I44" i="45"/>
  <c r="I42" i="45"/>
  <c r="I40" i="45"/>
  <c r="I38" i="45"/>
  <c r="I36" i="45"/>
  <c r="I34" i="45"/>
  <c r="I32" i="45"/>
  <c r="I30" i="45"/>
  <c r="I28" i="45"/>
  <c r="I26" i="45"/>
  <c r="I24" i="45"/>
  <c r="I22" i="45"/>
  <c r="I20" i="45"/>
  <c r="K128" i="45"/>
  <c r="K124" i="45"/>
  <c r="F28" i="45"/>
  <c r="AC138" i="45"/>
  <c r="F138" i="45" s="1"/>
  <c r="G120" i="45"/>
  <c r="N120" i="45" s="1"/>
  <c r="G116" i="45"/>
  <c r="N116" i="45" s="1"/>
  <c r="G112" i="45"/>
  <c r="N112" i="45" s="1"/>
  <c r="G100" i="45"/>
  <c r="N100" i="45" s="1"/>
  <c r="G96" i="45"/>
  <c r="N96" i="45" s="1"/>
  <c r="G92" i="45"/>
  <c r="N92" i="45" s="1"/>
  <c r="G88" i="45"/>
  <c r="N88" i="45" s="1"/>
  <c r="G84" i="45"/>
  <c r="N84" i="45" s="1"/>
  <c r="G80" i="45"/>
  <c r="N80" i="45" s="1"/>
  <c r="G76" i="45"/>
  <c r="N76" i="45" s="1"/>
  <c r="G72" i="45"/>
  <c r="N72" i="45" s="1"/>
  <c r="G68" i="45"/>
  <c r="N68" i="45" s="1"/>
  <c r="G64" i="45"/>
  <c r="N64" i="45" s="1"/>
  <c r="G44" i="45"/>
  <c r="N44" i="45" s="1"/>
  <c r="G36" i="45"/>
  <c r="N36" i="45" s="1"/>
  <c r="G32" i="45"/>
  <c r="N32" i="45" s="1"/>
  <c r="G24" i="45"/>
  <c r="N24" i="45" s="1"/>
  <c r="G129" i="45"/>
  <c r="N129" i="45" s="1"/>
  <c r="M129" i="45"/>
  <c r="G125" i="45"/>
  <c r="N125" i="45" s="1"/>
  <c r="M125" i="45"/>
  <c r="G121" i="45"/>
  <c r="N121" i="45" s="1"/>
  <c r="M121" i="45"/>
  <c r="G117" i="45"/>
  <c r="N117" i="45" s="1"/>
  <c r="M117" i="45"/>
  <c r="G113" i="45"/>
  <c r="N113" i="45" s="1"/>
  <c r="M113" i="45"/>
  <c r="G109" i="45"/>
  <c r="N109" i="45" s="1"/>
  <c r="M109" i="45"/>
  <c r="G98" i="45"/>
  <c r="N98" i="45" s="1"/>
  <c r="M98" i="45"/>
  <c r="G94" i="45"/>
  <c r="N94" i="45" s="1"/>
  <c r="M94" i="45"/>
  <c r="G90" i="45"/>
  <c r="N90" i="45" s="1"/>
  <c r="M90" i="45"/>
  <c r="G86" i="45"/>
  <c r="N86" i="45" s="1"/>
  <c r="M86" i="45"/>
  <c r="G82" i="45"/>
  <c r="N82" i="45" s="1"/>
  <c r="M82" i="45"/>
  <c r="G78" i="45"/>
  <c r="N78" i="45" s="1"/>
  <c r="M78" i="45"/>
  <c r="G74" i="45"/>
  <c r="N74" i="45" s="1"/>
  <c r="M74" i="45"/>
  <c r="G70" i="45"/>
  <c r="N70" i="45" s="1"/>
  <c r="M70" i="45"/>
  <c r="G66" i="45"/>
  <c r="N66" i="45" s="1"/>
  <c r="M66" i="45"/>
  <c r="G62" i="45"/>
  <c r="N62" i="45" s="1"/>
  <c r="M62" i="45"/>
  <c r="G46" i="45"/>
  <c r="N46" i="45" s="1"/>
  <c r="M46" i="45"/>
  <c r="G42" i="45"/>
  <c r="N42" i="45" s="1"/>
  <c r="M42" i="45"/>
  <c r="G38" i="45"/>
  <c r="N38" i="45" s="1"/>
  <c r="M38" i="45"/>
  <c r="G34" i="45"/>
  <c r="N34" i="45" s="1"/>
  <c r="M34" i="45"/>
  <c r="G30" i="45"/>
  <c r="N30" i="45" s="1"/>
  <c r="M30" i="45"/>
  <c r="G25" i="45"/>
  <c r="N25" i="45" s="1"/>
  <c r="M25" i="45"/>
  <c r="I139" i="45"/>
  <c r="I137" i="45"/>
  <c r="I135" i="45"/>
  <c r="I133" i="45"/>
  <c r="I131" i="45"/>
  <c r="I129" i="45"/>
  <c r="I127" i="45"/>
  <c r="I125" i="45"/>
  <c r="I123" i="45"/>
  <c r="I121" i="45"/>
  <c r="I119" i="45"/>
  <c r="I117" i="45"/>
  <c r="I115" i="45"/>
  <c r="I113" i="45"/>
  <c r="I111" i="45"/>
  <c r="I109" i="45"/>
  <c r="I107" i="45"/>
  <c r="I105" i="45"/>
  <c r="I103" i="45"/>
  <c r="I101" i="45"/>
  <c r="I99" i="45"/>
  <c r="I97" i="45"/>
  <c r="I95" i="45"/>
  <c r="I93" i="45"/>
  <c r="I91" i="45"/>
  <c r="I89" i="45"/>
  <c r="I87" i="45"/>
  <c r="I85" i="45"/>
  <c r="I83" i="45"/>
  <c r="I81" i="45"/>
  <c r="I79" i="45"/>
  <c r="I77" i="45"/>
  <c r="I75" i="45"/>
  <c r="I73" i="45"/>
  <c r="I71" i="45"/>
  <c r="I69" i="45"/>
  <c r="I67" i="45"/>
  <c r="I65" i="45"/>
  <c r="I63" i="45"/>
  <c r="I61" i="45"/>
  <c r="I59" i="45"/>
  <c r="I57" i="45"/>
  <c r="I55" i="45"/>
  <c r="I53" i="45"/>
  <c r="I51" i="45"/>
  <c r="I49" i="45"/>
  <c r="I47" i="45"/>
  <c r="I45" i="45"/>
  <c r="I43" i="45"/>
  <c r="I41" i="45"/>
  <c r="I39" i="45"/>
  <c r="I37" i="45"/>
  <c r="I35" i="45"/>
  <c r="I33" i="45"/>
  <c r="I31" i="45"/>
  <c r="I29" i="45"/>
  <c r="I27" i="45"/>
  <c r="I25" i="45"/>
  <c r="I23" i="45"/>
  <c r="I21" i="45"/>
  <c r="I19" i="45"/>
  <c r="AC19" i="45"/>
  <c r="F19" i="45" s="1"/>
  <c r="AC139" i="45"/>
  <c r="F139" i="45" s="1"/>
  <c r="AC18" i="45"/>
  <c r="F18" i="45" s="1"/>
  <c r="F26" i="45"/>
  <c r="AC132" i="45"/>
  <c r="F132" i="45" s="1"/>
  <c r="AC136" i="45"/>
  <c r="F136" i="45" s="1"/>
  <c r="AC140" i="45"/>
  <c r="F140" i="45" s="1"/>
  <c r="AC135" i="45"/>
  <c r="F135" i="45" s="1"/>
  <c r="AC21" i="45"/>
  <c r="F21" i="45" s="1"/>
  <c r="F27" i="45"/>
  <c r="AC133" i="45"/>
  <c r="F133" i="45" s="1"/>
  <c r="AC58" i="45"/>
  <c r="F58" i="45" s="1"/>
  <c r="AC57" i="45"/>
  <c r="F57" i="45" s="1"/>
  <c r="AC60" i="45"/>
  <c r="F60" i="45" s="1"/>
  <c r="AC59" i="45"/>
  <c r="F59" i="45" s="1"/>
  <c r="AC61" i="45"/>
  <c r="F61" i="45" s="1"/>
  <c r="AC56" i="45"/>
  <c r="F56" i="45" s="1"/>
  <c r="AC55" i="45"/>
  <c r="F55" i="45" s="1"/>
  <c r="AC54" i="45"/>
  <c r="F54" i="45" s="1"/>
  <c r="AC53" i="45"/>
  <c r="F53" i="45" s="1"/>
  <c r="AC52" i="45"/>
  <c r="F52" i="45" s="1"/>
  <c r="AC51" i="45"/>
  <c r="F51" i="45" s="1"/>
  <c r="AC50" i="45"/>
  <c r="F50" i="45" s="1"/>
  <c r="AC49" i="45"/>
  <c r="F49" i="45" s="1"/>
  <c r="AC48" i="45"/>
  <c r="F48" i="45" s="1"/>
  <c r="AC47" i="45"/>
  <c r="F47" i="45" s="1"/>
  <c r="AD111" i="45"/>
  <c r="AC111" i="45" s="1"/>
  <c r="F111" i="45" s="1"/>
  <c r="AD110" i="45"/>
  <c r="AC110" i="45" s="1"/>
  <c r="F110" i="45" s="1"/>
  <c r="AD107" i="45"/>
  <c r="AC107" i="45" s="1"/>
  <c r="F107" i="45" s="1"/>
  <c r="AD106" i="45"/>
  <c r="AC106" i="45" s="1"/>
  <c r="F106" i="45" s="1"/>
  <c r="AD105" i="45"/>
  <c r="AC105" i="45" s="1"/>
  <c r="F105" i="45" s="1"/>
  <c r="AD104" i="45"/>
  <c r="AC104" i="45" s="1"/>
  <c r="F104" i="45" s="1"/>
  <c r="AD103" i="45"/>
  <c r="AC103" i="45" s="1"/>
  <c r="F103" i="45" s="1"/>
  <c r="AD102" i="45"/>
  <c r="AC102" i="45" s="1"/>
  <c r="F102" i="45" s="1"/>
  <c r="AD101" i="45"/>
  <c r="AC101" i="45" s="1"/>
  <c r="F101" i="45" s="1"/>
  <c r="GM70" i="47" l="1"/>
  <c r="GN70" i="47" s="1"/>
  <c r="GK71" i="47"/>
  <c r="AT34" i="47"/>
  <c r="AU34" i="47" s="1"/>
  <c r="HR34" i="47" s="1"/>
  <c r="AR35" i="47"/>
  <c r="M137" i="45"/>
  <c r="G20" i="45"/>
  <c r="N20" i="45" s="1"/>
  <c r="G39" i="45"/>
  <c r="N39" i="45" s="1"/>
  <c r="G40" i="45"/>
  <c r="N40" i="45" s="1"/>
  <c r="N93" i="45"/>
  <c r="G101" i="45"/>
  <c r="N101" i="45" s="1"/>
  <c r="M101" i="45"/>
  <c r="G107" i="45"/>
  <c r="N107" i="45" s="1"/>
  <c r="M107" i="45"/>
  <c r="G111" i="45"/>
  <c r="N111" i="45" s="1"/>
  <c r="M111" i="45"/>
  <c r="G103" i="45"/>
  <c r="N103" i="45" s="1"/>
  <c r="M103" i="45"/>
  <c r="G102" i="45"/>
  <c r="N102" i="45" s="1"/>
  <c r="M102" i="45"/>
  <c r="M48" i="45"/>
  <c r="G48" i="45"/>
  <c r="N48" i="45" s="1"/>
  <c r="M52" i="45"/>
  <c r="G52" i="45"/>
  <c r="N52" i="45" s="1"/>
  <c r="M56" i="45"/>
  <c r="G56" i="45"/>
  <c r="N56" i="45" s="1"/>
  <c r="G57" i="45"/>
  <c r="N57" i="45" s="1"/>
  <c r="M57" i="45"/>
  <c r="G106" i="45"/>
  <c r="N106" i="45" s="1"/>
  <c r="M106" i="45"/>
  <c r="G21" i="45"/>
  <c r="N21" i="45" s="1"/>
  <c r="M21" i="45"/>
  <c r="G140" i="45"/>
  <c r="N140" i="45" s="1"/>
  <c r="M140" i="45"/>
  <c r="G18" i="45"/>
  <c r="N18" i="45" s="1"/>
  <c r="M18" i="45"/>
  <c r="G110" i="45"/>
  <c r="N110" i="45" s="1"/>
  <c r="M110" i="45"/>
  <c r="M47" i="45"/>
  <c r="G47" i="45"/>
  <c r="N47" i="45" s="1"/>
  <c r="G49" i="45"/>
  <c r="N49" i="45" s="1"/>
  <c r="M49" i="45"/>
  <c r="M51" i="45"/>
  <c r="G51" i="45"/>
  <c r="N51" i="45" s="1"/>
  <c r="G53" i="45"/>
  <c r="N53" i="45" s="1"/>
  <c r="M53" i="45"/>
  <c r="M55" i="45"/>
  <c r="G55" i="45"/>
  <c r="N55" i="45" s="1"/>
  <c r="G61" i="45"/>
  <c r="N61" i="45" s="1"/>
  <c r="M61" i="45"/>
  <c r="M60" i="45"/>
  <c r="G60" i="45"/>
  <c r="N60" i="45" s="1"/>
  <c r="G58" i="45"/>
  <c r="N58" i="45" s="1"/>
  <c r="M58" i="45"/>
  <c r="G27" i="45"/>
  <c r="N27" i="45" s="1"/>
  <c r="M27" i="45"/>
  <c r="G135" i="45"/>
  <c r="N135" i="45" s="1"/>
  <c r="M135" i="45"/>
  <c r="G136" i="45"/>
  <c r="N136" i="45" s="1"/>
  <c r="M136" i="45"/>
  <c r="G26" i="45"/>
  <c r="N26" i="45" s="1"/>
  <c r="M26" i="45"/>
  <c r="G139" i="45"/>
  <c r="N139" i="45" s="1"/>
  <c r="M139" i="45"/>
  <c r="G19" i="45"/>
  <c r="N19" i="45" s="1"/>
  <c r="M19" i="45"/>
  <c r="G138" i="45"/>
  <c r="N138" i="45" s="1"/>
  <c r="M138" i="45"/>
  <c r="G105" i="45"/>
  <c r="N105" i="45" s="1"/>
  <c r="M105" i="45"/>
  <c r="G50" i="45"/>
  <c r="N50" i="45" s="1"/>
  <c r="M50" i="45"/>
  <c r="G54" i="45"/>
  <c r="N54" i="45" s="1"/>
  <c r="M54" i="45"/>
  <c r="M59" i="45"/>
  <c r="G59" i="45"/>
  <c r="N59" i="45" s="1"/>
  <c r="G133" i="45"/>
  <c r="N133" i="45" s="1"/>
  <c r="M133" i="45"/>
  <c r="G104" i="45"/>
  <c r="N104" i="45" s="1"/>
  <c r="M104" i="45"/>
  <c r="G132" i="45"/>
  <c r="N132" i="45" s="1"/>
  <c r="M132" i="45"/>
  <c r="G28" i="45"/>
  <c r="N28" i="45" s="1"/>
  <c r="M28" i="45"/>
  <c r="G134" i="45"/>
  <c r="N134" i="45" s="1"/>
  <c r="M134" i="45"/>
  <c r="GK72" i="47" l="1"/>
  <c r="GM71" i="47"/>
  <c r="GN71" i="47" s="1"/>
  <c r="AT35" i="47"/>
  <c r="AU35" i="47" s="1"/>
  <c r="HR35" i="47" s="1"/>
  <c r="AR36" i="47"/>
  <c r="G141" i="45"/>
  <c r="N141" i="45"/>
  <c r="GK73" i="47" l="1"/>
  <c r="GM73" i="47" s="1"/>
  <c r="GN73" i="47" s="1"/>
  <c r="GM72" i="47"/>
  <c r="GN72" i="47" s="1"/>
  <c r="AT36" i="47"/>
  <c r="AU36" i="47" s="1"/>
  <c r="HR36" i="47" s="1"/>
  <c r="AR37" i="47"/>
  <c r="JP2" i="35"/>
  <c r="AT37" i="47" l="1"/>
  <c r="AU37" i="47" s="1"/>
  <c r="HR37" i="47" s="1"/>
  <c r="AR38" i="47"/>
  <c r="AA140" i="45"/>
  <c r="AA139" i="45"/>
  <c r="AA138" i="45"/>
  <c r="AA137" i="45"/>
  <c r="AA136" i="45"/>
  <c r="AA135" i="45"/>
  <c r="AA134" i="45"/>
  <c r="AA133" i="45"/>
  <c r="AA132" i="45"/>
  <c r="AA131" i="45"/>
  <c r="AA130" i="45"/>
  <c r="AA129" i="45"/>
  <c r="AA128" i="45"/>
  <c r="AA127" i="45"/>
  <c r="AA126" i="45"/>
  <c r="AA125" i="45"/>
  <c r="AA124" i="45"/>
  <c r="AA123" i="45"/>
  <c r="AA122" i="45"/>
  <c r="AA121" i="45"/>
  <c r="AA120" i="45"/>
  <c r="AA119" i="45"/>
  <c r="AA118" i="45"/>
  <c r="AA117" i="45"/>
  <c r="AA116" i="45"/>
  <c r="AA115" i="45"/>
  <c r="AA114" i="45"/>
  <c r="AA113" i="45"/>
  <c r="AA112" i="45"/>
  <c r="AA111" i="45"/>
  <c r="AA110" i="45"/>
  <c r="AA109" i="45"/>
  <c r="AA108" i="45"/>
  <c r="AA107" i="45"/>
  <c r="AA106" i="45"/>
  <c r="AA105" i="45"/>
  <c r="AA104" i="45"/>
  <c r="AA103" i="45"/>
  <c r="AA102" i="45"/>
  <c r="AA101" i="45"/>
  <c r="AA92" i="45"/>
  <c r="AA91" i="45"/>
  <c r="AA90" i="45"/>
  <c r="AA89" i="45"/>
  <c r="AA88" i="45"/>
  <c r="AA87" i="45"/>
  <c r="AA86" i="45"/>
  <c r="AA85" i="45"/>
  <c r="AA84" i="45"/>
  <c r="AA83" i="45"/>
  <c r="AA82" i="45"/>
  <c r="AA81" i="45"/>
  <c r="AA80" i="45"/>
  <c r="AA79" i="45"/>
  <c r="AA78" i="45"/>
  <c r="AA77" i="45"/>
  <c r="AA76" i="45"/>
  <c r="AA75" i="45"/>
  <c r="AA74" i="45"/>
  <c r="AA73" i="45"/>
  <c r="AA72" i="45"/>
  <c r="AA71" i="45"/>
  <c r="AA70" i="45"/>
  <c r="AA69" i="45"/>
  <c r="AA68" i="45"/>
  <c r="AA67" i="45"/>
  <c r="AA66" i="45"/>
  <c r="AA65" i="45"/>
  <c r="AA64" i="45"/>
  <c r="AA63" i="45"/>
  <c r="AA62" i="45"/>
  <c r="AA61" i="45"/>
  <c r="AA60" i="45"/>
  <c r="AA59" i="45"/>
  <c r="AA58" i="45"/>
  <c r="AA57" i="45"/>
  <c r="AA56" i="45"/>
  <c r="AA55" i="45"/>
  <c r="AA54" i="45"/>
  <c r="AA53" i="45"/>
  <c r="AA52" i="45"/>
  <c r="AA51" i="45"/>
  <c r="AA50" i="45"/>
  <c r="AA49" i="45"/>
  <c r="AA48" i="45"/>
  <c r="AA47" i="45"/>
  <c r="AA46" i="45"/>
  <c r="AA45" i="45"/>
  <c r="AA44" i="45"/>
  <c r="AA43" i="45"/>
  <c r="AA42" i="45"/>
  <c r="AA41" i="45"/>
  <c r="AA40" i="45"/>
  <c r="AA39" i="45"/>
  <c r="AA38" i="45"/>
  <c r="AA37" i="45"/>
  <c r="AA36" i="45"/>
  <c r="AA35" i="45"/>
  <c r="AA34" i="45"/>
  <c r="AA33" i="45"/>
  <c r="AA32" i="45"/>
  <c r="AA31" i="45"/>
  <c r="AA30" i="45"/>
  <c r="AA29" i="45"/>
  <c r="AA28" i="45"/>
  <c r="AA27" i="45"/>
  <c r="AA26" i="45"/>
  <c r="AA25" i="45"/>
  <c r="AA24" i="45"/>
  <c r="AA23" i="45"/>
  <c r="AA22" i="45"/>
  <c r="AA19" i="45"/>
  <c r="AA20" i="45"/>
  <c r="AA21" i="45"/>
  <c r="AA18" i="45"/>
  <c r="AT38" i="47" l="1"/>
  <c r="AU38" i="47" s="1"/>
  <c r="HR38" i="47" s="1"/>
  <c r="AR39" i="47"/>
  <c r="AA142" i="45"/>
  <c r="AA144" i="45" s="1"/>
  <c r="AT39" i="47" l="1"/>
  <c r="AU39" i="47" s="1"/>
  <c r="HR39" i="47" s="1"/>
  <c r="AR40" i="47"/>
  <c r="AT40" i="47" l="1"/>
  <c r="AU40" i="47" s="1"/>
  <c r="HR40" i="47" s="1"/>
  <c r="AR41" i="47"/>
  <c r="AR42" i="47" l="1"/>
  <c r="AT41" i="47"/>
  <c r="AU41" i="47" s="1"/>
  <c r="HR41" i="47" s="1"/>
  <c r="AR43" i="47" l="1"/>
  <c r="AT42" i="47"/>
  <c r="AU42" i="47" s="1"/>
  <c r="HR42" i="47" s="1"/>
  <c r="G130" i="15"/>
  <c r="AT43" i="47" l="1"/>
  <c r="AU43" i="47" s="1"/>
  <c r="HR43" i="47" s="1"/>
  <c r="AR44" i="47"/>
  <c r="O94" i="16"/>
  <c r="AT44" i="47" l="1"/>
  <c r="AU44" i="47" s="1"/>
  <c r="HR44" i="47" s="1"/>
  <c r="AR45" i="47"/>
  <c r="C120" i="15"/>
  <c r="C119" i="15"/>
  <c r="C118" i="15"/>
  <c r="C117" i="15"/>
  <c r="C116" i="15"/>
  <c r="E116" i="15"/>
  <c r="C3" i="41"/>
  <c r="C4" i="41"/>
  <c r="C5" i="41"/>
  <c r="C6" i="41"/>
  <c r="C7" i="41"/>
  <c r="C8" i="41"/>
  <c r="C9" i="41"/>
  <c r="C10" i="41"/>
  <c r="C11" i="41"/>
  <c r="C12" i="41"/>
  <c r="C2" i="41"/>
  <c r="B3" i="41"/>
  <c r="B4" i="41"/>
  <c r="B5" i="41"/>
  <c r="B6" i="41"/>
  <c r="B7" i="41"/>
  <c r="B8" i="41"/>
  <c r="B9" i="41"/>
  <c r="B10" i="41"/>
  <c r="B11" i="41"/>
  <c r="B12" i="41"/>
  <c r="B2" i="41"/>
  <c r="AT45" i="47" l="1"/>
  <c r="AU45" i="47" s="1"/>
  <c r="HR45" i="47" s="1"/>
  <c r="AR46" i="47"/>
  <c r="D124" i="15"/>
  <c r="D125" i="15"/>
  <c r="D126" i="15"/>
  <c r="D123" i="15"/>
  <c r="D127" i="15"/>
  <c r="AR47" i="47" l="1"/>
  <c r="AT46" i="47"/>
  <c r="AU46" i="47" s="1"/>
  <c r="HR46" i="47" s="1"/>
  <c r="I3" i="39"/>
  <c r="J3" i="39" s="1"/>
  <c r="K3" i="39"/>
  <c r="L3" i="39" s="1"/>
  <c r="I4" i="39"/>
  <c r="J4" i="39" s="1"/>
  <c r="K4" i="39"/>
  <c r="L4" i="39" s="1"/>
  <c r="I5" i="39"/>
  <c r="J5" i="39" s="1"/>
  <c r="K5" i="39"/>
  <c r="L5" i="39" s="1"/>
  <c r="I6" i="39"/>
  <c r="J6" i="39" s="1"/>
  <c r="K6" i="39"/>
  <c r="L6" i="39" s="1"/>
  <c r="I7" i="39"/>
  <c r="J7" i="39" s="1"/>
  <c r="K7" i="39"/>
  <c r="L7" i="39" s="1"/>
  <c r="I8" i="39"/>
  <c r="J8" i="39" s="1"/>
  <c r="K8" i="39"/>
  <c r="L8" i="39" s="1"/>
  <c r="I9" i="39"/>
  <c r="J9" i="39" s="1"/>
  <c r="K9" i="39"/>
  <c r="L9" i="39" s="1"/>
  <c r="I10" i="39"/>
  <c r="J10" i="39" s="1"/>
  <c r="K10" i="39"/>
  <c r="L10" i="39" s="1"/>
  <c r="I11" i="39"/>
  <c r="J11" i="39" s="1"/>
  <c r="K11" i="39"/>
  <c r="L11" i="39" s="1"/>
  <c r="I12" i="39"/>
  <c r="J12" i="39" s="1"/>
  <c r="K12" i="39"/>
  <c r="L12" i="39" s="1"/>
  <c r="I13" i="39"/>
  <c r="J13" i="39" s="1"/>
  <c r="K13" i="39"/>
  <c r="L13" i="39" s="1"/>
  <c r="I14" i="39"/>
  <c r="J14" i="39" s="1"/>
  <c r="K14" i="39"/>
  <c r="L14" i="39" s="1"/>
  <c r="I15" i="39"/>
  <c r="J15" i="39" s="1"/>
  <c r="K15" i="39"/>
  <c r="L15" i="39" s="1"/>
  <c r="I16" i="39"/>
  <c r="J16" i="39" s="1"/>
  <c r="K16" i="39"/>
  <c r="L16" i="39" s="1"/>
  <c r="I17" i="39"/>
  <c r="J17" i="39" s="1"/>
  <c r="K17" i="39"/>
  <c r="L17" i="39" s="1"/>
  <c r="I18" i="39"/>
  <c r="J18" i="39" s="1"/>
  <c r="K18" i="39"/>
  <c r="L18" i="39" s="1"/>
  <c r="I19" i="39"/>
  <c r="J19" i="39" s="1"/>
  <c r="K19" i="39"/>
  <c r="L19" i="39" s="1"/>
  <c r="I20" i="39"/>
  <c r="J20" i="39" s="1"/>
  <c r="K20" i="39"/>
  <c r="L20" i="39" s="1"/>
  <c r="I21" i="39"/>
  <c r="J21" i="39" s="1"/>
  <c r="K21" i="39"/>
  <c r="L21" i="39" s="1"/>
  <c r="I22" i="39"/>
  <c r="J22" i="39" s="1"/>
  <c r="K22" i="39"/>
  <c r="L22" i="39" s="1"/>
  <c r="I23" i="39"/>
  <c r="J23" i="39" s="1"/>
  <c r="K23" i="39"/>
  <c r="L23" i="39" s="1"/>
  <c r="I24" i="39"/>
  <c r="J24" i="39" s="1"/>
  <c r="K24" i="39"/>
  <c r="L24" i="39" s="1"/>
  <c r="I25" i="39"/>
  <c r="J25" i="39" s="1"/>
  <c r="K25" i="39"/>
  <c r="L25" i="39" s="1"/>
  <c r="I26" i="39"/>
  <c r="J26" i="39" s="1"/>
  <c r="K26" i="39"/>
  <c r="L26" i="39" s="1"/>
  <c r="I27" i="39"/>
  <c r="J27" i="39" s="1"/>
  <c r="K27" i="39"/>
  <c r="L27" i="39" s="1"/>
  <c r="I28" i="39"/>
  <c r="J28" i="39" s="1"/>
  <c r="K28" i="39"/>
  <c r="L28" i="39" s="1"/>
  <c r="I29" i="39"/>
  <c r="J29" i="39" s="1"/>
  <c r="K29" i="39"/>
  <c r="L29" i="39" s="1"/>
  <c r="I30" i="39"/>
  <c r="J30" i="39" s="1"/>
  <c r="K30" i="39"/>
  <c r="L30" i="39" s="1"/>
  <c r="I31" i="39"/>
  <c r="J31" i="39" s="1"/>
  <c r="K31" i="39"/>
  <c r="L31" i="39" s="1"/>
  <c r="I32" i="39"/>
  <c r="J32" i="39" s="1"/>
  <c r="K32" i="39"/>
  <c r="L32" i="39" s="1"/>
  <c r="I33" i="39"/>
  <c r="J33" i="39" s="1"/>
  <c r="K33" i="39"/>
  <c r="L33" i="39" s="1"/>
  <c r="I34" i="39"/>
  <c r="J34" i="39" s="1"/>
  <c r="K34" i="39"/>
  <c r="L34" i="39" s="1"/>
  <c r="I35" i="39"/>
  <c r="J35" i="39" s="1"/>
  <c r="K35" i="39"/>
  <c r="L35" i="39" s="1"/>
  <c r="I36" i="39"/>
  <c r="J36" i="39" s="1"/>
  <c r="K36" i="39"/>
  <c r="L36" i="39" s="1"/>
  <c r="I37" i="39"/>
  <c r="J37" i="39" s="1"/>
  <c r="K37" i="39"/>
  <c r="L37" i="39" s="1"/>
  <c r="I38" i="39"/>
  <c r="J38" i="39" s="1"/>
  <c r="K38" i="39"/>
  <c r="L38" i="39" s="1"/>
  <c r="I39" i="39"/>
  <c r="J39" i="39" s="1"/>
  <c r="K39" i="39"/>
  <c r="L39" i="39" s="1"/>
  <c r="I40" i="39"/>
  <c r="J40" i="39" s="1"/>
  <c r="K40" i="39"/>
  <c r="L40" i="39" s="1"/>
  <c r="I41" i="39"/>
  <c r="J41" i="39" s="1"/>
  <c r="K41" i="39"/>
  <c r="L41" i="39" s="1"/>
  <c r="I42" i="39"/>
  <c r="J42" i="39" s="1"/>
  <c r="K42" i="39"/>
  <c r="L42" i="39" s="1"/>
  <c r="I43" i="39"/>
  <c r="J43" i="39" s="1"/>
  <c r="K43" i="39"/>
  <c r="L43" i="39" s="1"/>
  <c r="I44" i="39"/>
  <c r="J44" i="39" s="1"/>
  <c r="K44" i="39"/>
  <c r="L44" i="39" s="1"/>
  <c r="I45" i="39"/>
  <c r="J45" i="39" s="1"/>
  <c r="K45" i="39"/>
  <c r="L45" i="39" s="1"/>
  <c r="I46" i="39"/>
  <c r="J46" i="39" s="1"/>
  <c r="K46" i="39"/>
  <c r="L46" i="39" s="1"/>
  <c r="I47" i="39"/>
  <c r="J47" i="39" s="1"/>
  <c r="K47" i="39"/>
  <c r="L47" i="39" s="1"/>
  <c r="I48" i="39"/>
  <c r="J48" i="39" s="1"/>
  <c r="K48" i="39"/>
  <c r="L48" i="39" s="1"/>
  <c r="I49" i="39"/>
  <c r="J49" i="39" s="1"/>
  <c r="K49" i="39"/>
  <c r="L49" i="39" s="1"/>
  <c r="I50" i="39"/>
  <c r="J50" i="39" s="1"/>
  <c r="K50" i="39"/>
  <c r="L50" i="39" s="1"/>
  <c r="I51" i="39"/>
  <c r="J51" i="39" s="1"/>
  <c r="K51" i="39"/>
  <c r="L51" i="39" s="1"/>
  <c r="I52" i="39"/>
  <c r="J52" i="39" s="1"/>
  <c r="K52" i="39"/>
  <c r="L52" i="39" s="1"/>
  <c r="I53" i="39"/>
  <c r="J53" i="39" s="1"/>
  <c r="K53" i="39"/>
  <c r="L53" i="39" s="1"/>
  <c r="I54" i="39"/>
  <c r="J54" i="39" s="1"/>
  <c r="K54" i="39"/>
  <c r="L54" i="39" s="1"/>
  <c r="I55" i="39"/>
  <c r="J55" i="39" s="1"/>
  <c r="K55" i="39"/>
  <c r="L55" i="39" s="1"/>
  <c r="I56" i="39"/>
  <c r="J56" i="39" s="1"/>
  <c r="K56" i="39"/>
  <c r="L56" i="39" s="1"/>
  <c r="I57" i="39"/>
  <c r="J57" i="39" s="1"/>
  <c r="K57" i="39"/>
  <c r="L57" i="39" s="1"/>
  <c r="I58" i="39"/>
  <c r="J58" i="39" s="1"/>
  <c r="K58" i="39"/>
  <c r="L58" i="39" s="1"/>
  <c r="I59" i="39"/>
  <c r="J59" i="39" s="1"/>
  <c r="K59" i="39"/>
  <c r="L59" i="39" s="1"/>
  <c r="I60" i="39"/>
  <c r="J60" i="39" s="1"/>
  <c r="K60" i="39"/>
  <c r="L60" i="39" s="1"/>
  <c r="I61" i="39"/>
  <c r="J61" i="39" s="1"/>
  <c r="K61" i="39"/>
  <c r="L61" i="39" s="1"/>
  <c r="I62" i="39"/>
  <c r="J62" i="39" s="1"/>
  <c r="K62" i="39"/>
  <c r="L62" i="39" s="1"/>
  <c r="I63" i="39"/>
  <c r="J63" i="39" s="1"/>
  <c r="K63" i="39"/>
  <c r="L63" i="39" s="1"/>
  <c r="I64" i="39"/>
  <c r="J64" i="39" s="1"/>
  <c r="K64" i="39"/>
  <c r="L64" i="39" s="1"/>
  <c r="I65" i="39"/>
  <c r="J65" i="39" s="1"/>
  <c r="K65" i="39"/>
  <c r="L65" i="39" s="1"/>
  <c r="I66" i="39"/>
  <c r="J66" i="39" s="1"/>
  <c r="K66" i="39"/>
  <c r="L66" i="39" s="1"/>
  <c r="I67" i="39"/>
  <c r="J67" i="39" s="1"/>
  <c r="K67" i="39"/>
  <c r="L67" i="39" s="1"/>
  <c r="I68" i="39"/>
  <c r="J68" i="39" s="1"/>
  <c r="K68" i="39"/>
  <c r="L68" i="39" s="1"/>
  <c r="I69" i="39"/>
  <c r="J69" i="39" s="1"/>
  <c r="K69" i="39"/>
  <c r="L69" i="39" s="1"/>
  <c r="I70" i="39"/>
  <c r="J70" i="39" s="1"/>
  <c r="K70" i="39"/>
  <c r="L70" i="39" s="1"/>
  <c r="I71" i="39"/>
  <c r="J71" i="39" s="1"/>
  <c r="K71" i="39"/>
  <c r="L71" i="39" s="1"/>
  <c r="I72" i="39"/>
  <c r="J72" i="39" s="1"/>
  <c r="K72" i="39"/>
  <c r="L72" i="39" s="1"/>
  <c r="I73" i="39"/>
  <c r="J73" i="39" s="1"/>
  <c r="K73" i="39"/>
  <c r="L73" i="39" s="1"/>
  <c r="I74" i="39"/>
  <c r="J74" i="39" s="1"/>
  <c r="K74" i="39"/>
  <c r="L74" i="39" s="1"/>
  <c r="I75" i="39"/>
  <c r="J75" i="39" s="1"/>
  <c r="K75" i="39"/>
  <c r="L75" i="39" s="1"/>
  <c r="I76" i="39"/>
  <c r="J76" i="39" s="1"/>
  <c r="K76" i="39"/>
  <c r="L76" i="39" s="1"/>
  <c r="I77" i="39"/>
  <c r="J77" i="39" s="1"/>
  <c r="K77" i="39"/>
  <c r="L77" i="39" s="1"/>
  <c r="I78" i="39"/>
  <c r="J78" i="39" s="1"/>
  <c r="K78" i="39"/>
  <c r="L78" i="39" s="1"/>
  <c r="I79" i="39"/>
  <c r="J79" i="39" s="1"/>
  <c r="K79" i="39"/>
  <c r="L79" i="39" s="1"/>
  <c r="I80" i="39"/>
  <c r="J80" i="39" s="1"/>
  <c r="K80" i="39"/>
  <c r="L80" i="39" s="1"/>
  <c r="I81" i="39"/>
  <c r="J81" i="39" s="1"/>
  <c r="K81" i="39"/>
  <c r="L81" i="39" s="1"/>
  <c r="I82" i="39"/>
  <c r="J82" i="39" s="1"/>
  <c r="K82" i="39"/>
  <c r="L82" i="39" s="1"/>
  <c r="I83" i="39"/>
  <c r="J83" i="39" s="1"/>
  <c r="K83" i="39"/>
  <c r="L83" i="39" s="1"/>
  <c r="I84" i="39"/>
  <c r="J84" i="39" s="1"/>
  <c r="K84" i="39"/>
  <c r="L84" i="39" s="1"/>
  <c r="I85" i="39"/>
  <c r="J85" i="39" s="1"/>
  <c r="K85" i="39"/>
  <c r="L85" i="39" s="1"/>
  <c r="I86" i="39"/>
  <c r="J86" i="39" s="1"/>
  <c r="K86" i="39"/>
  <c r="L86" i="39" s="1"/>
  <c r="I87" i="39"/>
  <c r="J87" i="39" s="1"/>
  <c r="K87" i="39"/>
  <c r="L87" i="39" s="1"/>
  <c r="I88" i="39"/>
  <c r="J88" i="39" s="1"/>
  <c r="K88" i="39"/>
  <c r="L88" i="39" s="1"/>
  <c r="I89" i="39"/>
  <c r="J89" i="39" s="1"/>
  <c r="K89" i="39"/>
  <c r="L89" i="39" s="1"/>
  <c r="I90" i="39"/>
  <c r="J90" i="39" s="1"/>
  <c r="K90" i="39"/>
  <c r="L90" i="39" s="1"/>
  <c r="I91" i="39"/>
  <c r="J91" i="39" s="1"/>
  <c r="K91" i="39"/>
  <c r="L91" i="39" s="1"/>
  <c r="I92" i="39"/>
  <c r="J92" i="39" s="1"/>
  <c r="K92" i="39"/>
  <c r="L92" i="39" s="1"/>
  <c r="I93" i="39"/>
  <c r="J93" i="39" s="1"/>
  <c r="K93" i="39"/>
  <c r="L93" i="39" s="1"/>
  <c r="I94" i="39"/>
  <c r="J94" i="39" s="1"/>
  <c r="K94" i="39"/>
  <c r="L94" i="39" s="1"/>
  <c r="I95" i="39"/>
  <c r="J95" i="39" s="1"/>
  <c r="K95" i="39"/>
  <c r="L95" i="39" s="1"/>
  <c r="I96" i="39"/>
  <c r="J96" i="39" s="1"/>
  <c r="K96" i="39"/>
  <c r="L96" i="39" s="1"/>
  <c r="I97" i="39"/>
  <c r="J97" i="39" s="1"/>
  <c r="K97" i="39"/>
  <c r="L97" i="39" s="1"/>
  <c r="I98" i="39"/>
  <c r="J98" i="39" s="1"/>
  <c r="K98" i="39"/>
  <c r="L98" i="39" s="1"/>
  <c r="I99" i="39"/>
  <c r="J99" i="39" s="1"/>
  <c r="K99" i="39"/>
  <c r="L99" i="39" s="1"/>
  <c r="I100" i="39"/>
  <c r="J100" i="39" s="1"/>
  <c r="K100" i="39"/>
  <c r="L100" i="39" s="1"/>
  <c r="I101" i="39"/>
  <c r="J101" i="39" s="1"/>
  <c r="K101" i="39"/>
  <c r="L101" i="39" s="1"/>
  <c r="I102" i="39"/>
  <c r="J102" i="39" s="1"/>
  <c r="K102" i="39"/>
  <c r="L102" i="39" s="1"/>
  <c r="I103" i="39"/>
  <c r="J103" i="39" s="1"/>
  <c r="K103" i="39"/>
  <c r="L103" i="39" s="1"/>
  <c r="I104" i="39"/>
  <c r="J104" i="39" s="1"/>
  <c r="K104" i="39"/>
  <c r="L104" i="39" s="1"/>
  <c r="I105" i="39"/>
  <c r="J105" i="39" s="1"/>
  <c r="K105" i="39"/>
  <c r="L105" i="39" s="1"/>
  <c r="I106" i="39"/>
  <c r="J106" i="39" s="1"/>
  <c r="K106" i="39"/>
  <c r="L106" i="39" s="1"/>
  <c r="I107" i="39"/>
  <c r="J107" i="39" s="1"/>
  <c r="K107" i="39"/>
  <c r="L107" i="39" s="1"/>
  <c r="I108" i="39"/>
  <c r="J108" i="39" s="1"/>
  <c r="K108" i="39"/>
  <c r="L108" i="39" s="1"/>
  <c r="I109" i="39"/>
  <c r="J109" i="39" s="1"/>
  <c r="K109" i="39"/>
  <c r="L109" i="39" s="1"/>
  <c r="I110" i="39"/>
  <c r="J110" i="39" s="1"/>
  <c r="K110" i="39"/>
  <c r="L110" i="39" s="1"/>
  <c r="I111" i="39"/>
  <c r="J111" i="39" s="1"/>
  <c r="K111" i="39"/>
  <c r="L111" i="39" s="1"/>
  <c r="I112" i="39"/>
  <c r="J112" i="39" s="1"/>
  <c r="K112" i="39"/>
  <c r="L112" i="39" s="1"/>
  <c r="I113" i="39"/>
  <c r="J113" i="39" s="1"/>
  <c r="K113" i="39"/>
  <c r="L113" i="39" s="1"/>
  <c r="I114" i="39"/>
  <c r="J114" i="39" s="1"/>
  <c r="K114" i="39"/>
  <c r="L114" i="39" s="1"/>
  <c r="I115" i="39"/>
  <c r="J115" i="39" s="1"/>
  <c r="K115" i="39"/>
  <c r="L115" i="39" s="1"/>
  <c r="I116" i="39"/>
  <c r="J116" i="39" s="1"/>
  <c r="K116" i="39"/>
  <c r="L116" i="39" s="1"/>
  <c r="I117" i="39"/>
  <c r="J117" i="39" s="1"/>
  <c r="K117" i="39"/>
  <c r="L117" i="39" s="1"/>
  <c r="I118" i="39"/>
  <c r="J118" i="39" s="1"/>
  <c r="K118" i="39"/>
  <c r="L118" i="39" s="1"/>
  <c r="I119" i="39"/>
  <c r="J119" i="39" s="1"/>
  <c r="K119" i="39"/>
  <c r="L119" i="39" s="1"/>
  <c r="I120" i="39"/>
  <c r="J120" i="39" s="1"/>
  <c r="K120" i="39"/>
  <c r="L120" i="39" s="1"/>
  <c r="I121" i="39"/>
  <c r="J121" i="39" s="1"/>
  <c r="K121" i="39"/>
  <c r="L121" i="39" s="1"/>
  <c r="I122" i="39"/>
  <c r="J122" i="39" s="1"/>
  <c r="K122" i="39"/>
  <c r="L122" i="39" s="1"/>
  <c r="I123" i="39"/>
  <c r="J123" i="39" s="1"/>
  <c r="K123" i="39"/>
  <c r="L123" i="39" s="1"/>
  <c r="I124" i="39"/>
  <c r="J124" i="39" s="1"/>
  <c r="K124" i="39"/>
  <c r="L124" i="39" s="1"/>
  <c r="I125" i="39"/>
  <c r="J125" i="39" s="1"/>
  <c r="K125" i="39"/>
  <c r="L125" i="39" s="1"/>
  <c r="I126" i="39"/>
  <c r="J126" i="39" s="1"/>
  <c r="K126" i="39"/>
  <c r="L126" i="39" s="1"/>
  <c r="I127" i="39"/>
  <c r="J127" i="39" s="1"/>
  <c r="K127" i="39"/>
  <c r="L127" i="39" s="1"/>
  <c r="I128" i="39"/>
  <c r="J128" i="39" s="1"/>
  <c r="K128" i="39"/>
  <c r="L128" i="39" s="1"/>
  <c r="I129" i="39"/>
  <c r="J129" i="39" s="1"/>
  <c r="K129" i="39"/>
  <c r="L129" i="39" s="1"/>
  <c r="I130" i="39"/>
  <c r="J130" i="39" s="1"/>
  <c r="K130" i="39"/>
  <c r="L130" i="39" s="1"/>
  <c r="I131" i="39"/>
  <c r="J131" i="39" s="1"/>
  <c r="K131" i="39"/>
  <c r="L131" i="39" s="1"/>
  <c r="I132" i="39"/>
  <c r="J132" i="39" s="1"/>
  <c r="K132" i="39"/>
  <c r="L132" i="39" s="1"/>
  <c r="I133" i="39"/>
  <c r="J133" i="39" s="1"/>
  <c r="K133" i="39"/>
  <c r="L133" i="39" s="1"/>
  <c r="I134" i="39"/>
  <c r="J134" i="39" s="1"/>
  <c r="K134" i="39"/>
  <c r="L134" i="39" s="1"/>
  <c r="I135" i="39"/>
  <c r="J135" i="39" s="1"/>
  <c r="K135" i="39"/>
  <c r="L135" i="39" s="1"/>
  <c r="I136" i="39"/>
  <c r="J136" i="39" s="1"/>
  <c r="K136" i="39"/>
  <c r="L136" i="39" s="1"/>
  <c r="I137" i="39"/>
  <c r="J137" i="39" s="1"/>
  <c r="K137" i="39"/>
  <c r="L137" i="39" s="1"/>
  <c r="I138" i="39"/>
  <c r="J138" i="39" s="1"/>
  <c r="K138" i="39"/>
  <c r="L138" i="39" s="1"/>
  <c r="I139" i="39"/>
  <c r="J139" i="39" s="1"/>
  <c r="K139" i="39"/>
  <c r="L139" i="39" s="1"/>
  <c r="I140" i="39"/>
  <c r="J140" i="39" s="1"/>
  <c r="K140" i="39"/>
  <c r="L140" i="39" s="1"/>
  <c r="I141" i="39"/>
  <c r="J141" i="39" s="1"/>
  <c r="K141" i="39"/>
  <c r="L141" i="39" s="1"/>
  <c r="I142" i="39"/>
  <c r="J142" i="39" s="1"/>
  <c r="K142" i="39"/>
  <c r="L142" i="39" s="1"/>
  <c r="I143" i="39"/>
  <c r="J143" i="39" s="1"/>
  <c r="K143" i="39"/>
  <c r="L143" i="39" s="1"/>
  <c r="I144" i="39"/>
  <c r="J144" i="39" s="1"/>
  <c r="K144" i="39"/>
  <c r="L144" i="39" s="1"/>
  <c r="I145" i="39"/>
  <c r="J145" i="39" s="1"/>
  <c r="K145" i="39"/>
  <c r="L145" i="39" s="1"/>
  <c r="I146" i="39"/>
  <c r="J146" i="39" s="1"/>
  <c r="K146" i="39"/>
  <c r="L146" i="39" s="1"/>
  <c r="I147" i="39"/>
  <c r="J147" i="39" s="1"/>
  <c r="K147" i="39"/>
  <c r="L147" i="39" s="1"/>
  <c r="I148" i="39"/>
  <c r="J148" i="39" s="1"/>
  <c r="K148" i="39"/>
  <c r="L148" i="39" s="1"/>
  <c r="I149" i="39"/>
  <c r="J149" i="39" s="1"/>
  <c r="K149" i="39"/>
  <c r="L149" i="39" s="1"/>
  <c r="I150" i="39"/>
  <c r="J150" i="39" s="1"/>
  <c r="K150" i="39"/>
  <c r="L150" i="39" s="1"/>
  <c r="I151" i="39"/>
  <c r="J151" i="39" s="1"/>
  <c r="K151" i="39"/>
  <c r="L151" i="39" s="1"/>
  <c r="I152" i="39"/>
  <c r="J152" i="39" s="1"/>
  <c r="K152" i="39"/>
  <c r="L152" i="39" s="1"/>
  <c r="I153" i="39"/>
  <c r="J153" i="39" s="1"/>
  <c r="K153" i="39"/>
  <c r="L153" i="39" s="1"/>
  <c r="I154" i="39"/>
  <c r="J154" i="39" s="1"/>
  <c r="K154" i="39"/>
  <c r="L154" i="39" s="1"/>
  <c r="I155" i="39"/>
  <c r="J155" i="39" s="1"/>
  <c r="K155" i="39"/>
  <c r="L155" i="39" s="1"/>
  <c r="I156" i="39"/>
  <c r="J156" i="39" s="1"/>
  <c r="K156" i="39"/>
  <c r="L156" i="39" s="1"/>
  <c r="I157" i="39"/>
  <c r="J157" i="39" s="1"/>
  <c r="K157" i="39"/>
  <c r="L157" i="39" s="1"/>
  <c r="I158" i="39"/>
  <c r="J158" i="39" s="1"/>
  <c r="K158" i="39"/>
  <c r="L158" i="39" s="1"/>
  <c r="I159" i="39"/>
  <c r="J159" i="39" s="1"/>
  <c r="K159" i="39"/>
  <c r="L159" i="39" s="1"/>
  <c r="I160" i="39"/>
  <c r="J160" i="39" s="1"/>
  <c r="K160" i="39"/>
  <c r="L160" i="39" s="1"/>
  <c r="I161" i="39"/>
  <c r="J161" i="39" s="1"/>
  <c r="K161" i="39"/>
  <c r="L161" i="39" s="1"/>
  <c r="I162" i="39"/>
  <c r="J162" i="39" s="1"/>
  <c r="K162" i="39"/>
  <c r="L162" i="39" s="1"/>
  <c r="I163" i="39"/>
  <c r="J163" i="39" s="1"/>
  <c r="K163" i="39"/>
  <c r="L163" i="39" s="1"/>
  <c r="I164" i="39"/>
  <c r="J164" i="39" s="1"/>
  <c r="K164" i="39"/>
  <c r="L164" i="39" s="1"/>
  <c r="I165" i="39"/>
  <c r="J165" i="39" s="1"/>
  <c r="K165" i="39"/>
  <c r="L165" i="39" s="1"/>
  <c r="I166" i="39"/>
  <c r="J166" i="39" s="1"/>
  <c r="K166" i="39"/>
  <c r="L166" i="39" s="1"/>
  <c r="I167" i="39"/>
  <c r="J167" i="39" s="1"/>
  <c r="K167" i="39"/>
  <c r="L167" i="39" s="1"/>
  <c r="I168" i="39"/>
  <c r="J168" i="39" s="1"/>
  <c r="K168" i="39"/>
  <c r="L168" i="39" s="1"/>
  <c r="I169" i="39"/>
  <c r="J169" i="39" s="1"/>
  <c r="K169" i="39"/>
  <c r="L169" i="39" s="1"/>
  <c r="I170" i="39"/>
  <c r="J170" i="39" s="1"/>
  <c r="K170" i="39"/>
  <c r="L170" i="39" s="1"/>
  <c r="I171" i="39"/>
  <c r="J171" i="39" s="1"/>
  <c r="K171" i="39"/>
  <c r="L171" i="39" s="1"/>
  <c r="I172" i="39"/>
  <c r="J172" i="39" s="1"/>
  <c r="K172" i="39"/>
  <c r="L172" i="39" s="1"/>
  <c r="I173" i="39"/>
  <c r="J173" i="39" s="1"/>
  <c r="K173" i="39"/>
  <c r="L173" i="39" s="1"/>
  <c r="I174" i="39"/>
  <c r="J174" i="39" s="1"/>
  <c r="K174" i="39"/>
  <c r="L174" i="39" s="1"/>
  <c r="I175" i="39"/>
  <c r="J175" i="39" s="1"/>
  <c r="K175" i="39"/>
  <c r="L175" i="39" s="1"/>
  <c r="I176" i="39"/>
  <c r="J176" i="39" s="1"/>
  <c r="K176" i="39"/>
  <c r="L176" i="39" s="1"/>
  <c r="I177" i="39"/>
  <c r="J177" i="39" s="1"/>
  <c r="K177" i="39"/>
  <c r="L177" i="39" s="1"/>
  <c r="I178" i="39"/>
  <c r="J178" i="39" s="1"/>
  <c r="K178" i="39"/>
  <c r="L178" i="39" s="1"/>
  <c r="I179" i="39"/>
  <c r="J179" i="39" s="1"/>
  <c r="K179" i="39"/>
  <c r="L179" i="39" s="1"/>
  <c r="I180" i="39"/>
  <c r="J180" i="39" s="1"/>
  <c r="K180" i="39"/>
  <c r="L180" i="39" s="1"/>
  <c r="I181" i="39"/>
  <c r="J181" i="39" s="1"/>
  <c r="K181" i="39"/>
  <c r="L181" i="39" s="1"/>
  <c r="I182" i="39"/>
  <c r="J182" i="39" s="1"/>
  <c r="K182" i="39"/>
  <c r="L182" i="39" s="1"/>
  <c r="I183" i="39"/>
  <c r="J183" i="39" s="1"/>
  <c r="K183" i="39"/>
  <c r="L183" i="39" s="1"/>
  <c r="I184" i="39"/>
  <c r="J184" i="39" s="1"/>
  <c r="K184" i="39"/>
  <c r="L184" i="39" s="1"/>
  <c r="I185" i="39"/>
  <c r="J185" i="39" s="1"/>
  <c r="K185" i="39"/>
  <c r="L185" i="39" s="1"/>
  <c r="I186" i="39"/>
  <c r="J186" i="39" s="1"/>
  <c r="K186" i="39"/>
  <c r="L186" i="39" s="1"/>
  <c r="I187" i="39"/>
  <c r="J187" i="39" s="1"/>
  <c r="K187" i="39"/>
  <c r="L187" i="39" s="1"/>
  <c r="I188" i="39"/>
  <c r="J188" i="39" s="1"/>
  <c r="K188" i="39"/>
  <c r="L188" i="39" s="1"/>
  <c r="I189" i="39"/>
  <c r="J189" i="39" s="1"/>
  <c r="K189" i="39"/>
  <c r="L189" i="39" s="1"/>
  <c r="I190" i="39"/>
  <c r="J190" i="39" s="1"/>
  <c r="K190" i="39"/>
  <c r="L190" i="39" s="1"/>
  <c r="I191" i="39"/>
  <c r="J191" i="39" s="1"/>
  <c r="K191" i="39"/>
  <c r="L191" i="39" s="1"/>
  <c r="I192" i="39"/>
  <c r="J192" i="39" s="1"/>
  <c r="K192" i="39"/>
  <c r="L192" i="39" s="1"/>
  <c r="I193" i="39"/>
  <c r="J193" i="39" s="1"/>
  <c r="K193" i="39"/>
  <c r="L193" i="39" s="1"/>
  <c r="I194" i="39"/>
  <c r="J194" i="39" s="1"/>
  <c r="K194" i="39"/>
  <c r="L194" i="39" s="1"/>
  <c r="I195" i="39"/>
  <c r="J195" i="39" s="1"/>
  <c r="K195" i="39"/>
  <c r="L195" i="39" s="1"/>
  <c r="I196" i="39"/>
  <c r="J196" i="39" s="1"/>
  <c r="K196" i="39"/>
  <c r="L196" i="39" s="1"/>
  <c r="I197" i="39"/>
  <c r="J197" i="39" s="1"/>
  <c r="K197" i="39"/>
  <c r="L197" i="39" s="1"/>
  <c r="I198" i="39"/>
  <c r="J198" i="39" s="1"/>
  <c r="K198" i="39"/>
  <c r="L198" i="39" s="1"/>
  <c r="I199" i="39"/>
  <c r="J199" i="39" s="1"/>
  <c r="K199" i="39"/>
  <c r="L199" i="39" s="1"/>
  <c r="I200" i="39"/>
  <c r="J200" i="39" s="1"/>
  <c r="K200" i="39"/>
  <c r="L200" i="39" s="1"/>
  <c r="I201" i="39"/>
  <c r="J201" i="39" s="1"/>
  <c r="K201" i="39"/>
  <c r="L201" i="39" s="1"/>
  <c r="I202" i="39"/>
  <c r="J202" i="39" s="1"/>
  <c r="K202" i="39"/>
  <c r="L202" i="39" s="1"/>
  <c r="I203" i="39"/>
  <c r="J203" i="39" s="1"/>
  <c r="K203" i="39"/>
  <c r="L203" i="39" s="1"/>
  <c r="I204" i="39"/>
  <c r="J204" i="39" s="1"/>
  <c r="K204" i="39"/>
  <c r="L204" i="39" s="1"/>
  <c r="I205" i="39"/>
  <c r="J205" i="39" s="1"/>
  <c r="K205" i="39"/>
  <c r="L205" i="39" s="1"/>
  <c r="I206" i="39"/>
  <c r="J206" i="39" s="1"/>
  <c r="K206" i="39"/>
  <c r="L206" i="39" s="1"/>
  <c r="I207" i="39"/>
  <c r="J207" i="39" s="1"/>
  <c r="K207" i="39"/>
  <c r="L207" i="39" s="1"/>
  <c r="I208" i="39"/>
  <c r="J208" i="39" s="1"/>
  <c r="K208" i="39"/>
  <c r="L208" i="39" s="1"/>
  <c r="I209" i="39"/>
  <c r="J209" i="39" s="1"/>
  <c r="K209" i="39"/>
  <c r="L209" i="39" s="1"/>
  <c r="I210" i="39"/>
  <c r="J210" i="39" s="1"/>
  <c r="K210" i="39"/>
  <c r="L210" i="39" s="1"/>
  <c r="I211" i="39"/>
  <c r="J211" i="39" s="1"/>
  <c r="K211" i="39"/>
  <c r="L211" i="39" s="1"/>
  <c r="I212" i="39"/>
  <c r="J212" i="39" s="1"/>
  <c r="K212" i="39"/>
  <c r="L212" i="39" s="1"/>
  <c r="I213" i="39"/>
  <c r="J213" i="39" s="1"/>
  <c r="K213" i="39"/>
  <c r="L213" i="39" s="1"/>
  <c r="I214" i="39"/>
  <c r="J214" i="39" s="1"/>
  <c r="K214" i="39"/>
  <c r="L214" i="39" s="1"/>
  <c r="I215" i="39"/>
  <c r="J215" i="39" s="1"/>
  <c r="K215" i="39"/>
  <c r="L215" i="39" s="1"/>
  <c r="I216" i="39"/>
  <c r="J216" i="39" s="1"/>
  <c r="K216" i="39"/>
  <c r="L216" i="39" s="1"/>
  <c r="I217" i="39"/>
  <c r="J217" i="39" s="1"/>
  <c r="K217" i="39"/>
  <c r="L217" i="39" s="1"/>
  <c r="I218" i="39"/>
  <c r="J218" i="39" s="1"/>
  <c r="K218" i="39"/>
  <c r="L218" i="39" s="1"/>
  <c r="I219" i="39"/>
  <c r="J219" i="39" s="1"/>
  <c r="K219" i="39"/>
  <c r="L219" i="39" s="1"/>
  <c r="I220" i="39"/>
  <c r="J220" i="39" s="1"/>
  <c r="K220" i="39"/>
  <c r="L220" i="39" s="1"/>
  <c r="I221" i="39"/>
  <c r="J221" i="39" s="1"/>
  <c r="K221" i="39"/>
  <c r="L221" i="39" s="1"/>
  <c r="I222" i="39"/>
  <c r="J222" i="39" s="1"/>
  <c r="K222" i="39"/>
  <c r="L222" i="39" s="1"/>
  <c r="I223" i="39"/>
  <c r="J223" i="39" s="1"/>
  <c r="K223" i="39"/>
  <c r="L223" i="39" s="1"/>
  <c r="I224" i="39"/>
  <c r="J224" i="39" s="1"/>
  <c r="K224" i="39"/>
  <c r="L224" i="39" s="1"/>
  <c r="I225" i="39"/>
  <c r="J225" i="39" s="1"/>
  <c r="K225" i="39"/>
  <c r="L225" i="39" s="1"/>
  <c r="I226" i="39"/>
  <c r="J226" i="39" s="1"/>
  <c r="K226" i="39"/>
  <c r="L226" i="39" s="1"/>
  <c r="I227" i="39"/>
  <c r="J227" i="39" s="1"/>
  <c r="K227" i="39"/>
  <c r="L227" i="39" s="1"/>
  <c r="I228" i="39"/>
  <c r="J228" i="39" s="1"/>
  <c r="K228" i="39"/>
  <c r="L228" i="39" s="1"/>
  <c r="I229" i="39"/>
  <c r="J229" i="39" s="1"/>
  <c r="K229" i="39"/>
  <c r="L229" i="39" s="1"/>
  <c r="I230" i="39"/>
  <c r="J230" i="39" s="1"/>
  <c r="K230" i="39"/>
  <c r="L230" i="39" s="1"/>
  <c r="I231" i="39"/>
  <c r="J231" i="39" s="1"/>
  <c r="K231" i="39"/>
  <c r="L231" i="39" s="1"/>
  <c r="I232" i="39"/>
  <c r="J232" i="39" s="1"/>
  <c r="K232" i="39"/>
  <c r="L232" i="39" s="1"/>
  <c r="I233" i="39"/>
  <c r="J233" i="39" s="1"/>
  <c r="K233" i="39"/>
  <c r="L233" i="39" s="1"/>
  <c r="I234" i="39"/>
  <c r="J234" i="39" s="1"/>
  <c r="K234" i="39"/>
  <c r="L234" i="39" s="1"/>
  <c r="I235" i="39"/>
  <c r="J235" i="39" s="1"/>
  <c r="K235" i="39"/>
  <c r="L235" i="39" s="1"/>
  <c r="I236" i="39"/>
  <c r="J236" i="39" s="1"/>
  <c r="K236" i="39"/>
  <c r="L236" i="39" s="1"/>
  <c r="I237" i="39"/>
  <c r="J237" i="39" s="1"/>
  <c r="K237" i="39"/>
  <c r="L237" i="39" s="1"/>
  <c r="I238" i="39"/>
  <c r="J238" i="39" s="1"/>
  <c r="K238" i="39"/>
  <c r="L238" i="39" s="1"/>
  <c r="I239" i="39"/>
  <c r="J239" i="39" s="1"/>
  <c r="K239" i="39"/>
  <c r="L239" i="39" s="1"/>
  <c r="I240" i="39"/>
  <c r="J240" i="39" s="1"/>
  <c r="K240" i="39"/>
  <c r="L240" i="39" s="1"/>
  <c r="I241" i="39"/>
  <c r="J241" i="39" s="1"/>
  <c r="K241" i="39"/>
  <c r="L241" i="39" s="1"/>
  <c r="I242" i="39"/>
  <c r="J242" i="39" s="1"/>
  <c r="K242" i="39"/>
  <c r="L242" i="39" s="1"/>
  <c r="I243" i="39"/>
  <c r="J243" i="39" s="1"/>
  <c r="K243" i="39"/>
  <c r="L243" i="39" s="1"/>
  <c r="I244" i="39"/>
  <c r="J244" i="39" s="1"/>
  <c r="K244" i="39"/>
  <c r="L244" i="39" s="1"/>
  <c r="I245" i="39"/>
  <c r="J245" i="39" s="1"/>
  <c r="K245" i="39"/>
  <c r="L245" i="39" s="1"/>
  <c r="I246" i="39"/>
  <c r="J246" i="39" s="1"/>
  <c r="K246" i="39"/>
  <c r="L246" i="39" s="1"/>
  <c r="I247" i="39"/>
  <c r="J247" i="39" s="1"/>
  <c r="K247" i="39"/>
  <c r="L247" i="39" s="1"/>
  <c r="I248" i="39"/>
  <c r="J248" i="39" s="1"/>
  <c r="K248" i="39"/>
  <c r="L248" i="39" s="1"/>
  <c r="I249" i="39"/>
  <c r="J249" i="39" s="1"/>
  <c r="K249" i="39"/>
  <c r="L249" i="39" s="1"/>
  <c r="I250" i="39"/>
  <c r="J250" i="39" s="1"/>
  <c r="K250" i="39"/>
  <c r="L250" i="39" s="1"/>
  <c r="I251" i="39"/>
  <c r="J251" i="39" s="1"/>
  <c r="K251" i="39"/>
  <c r="L251" i="39" s="1"/>
  <c r="I252" i="39"/>
  <c r="J252" i="39" s="1"/>
  <c r="K252" i="39"/>
  <c r="L252" i="39" s="1"/>
  <c r="I253" i="39"/>
  <c r="J253" i="39" s="1"/>
  <c r="K253" i="39"/>
  <c r="L253" i="39" s="1"/>
  <c r="I254" i="39"/>
  <c r="J254" i="39" s="1"/>
  <c r="K254" i="39"/>
  <c r="L254" i="39" s="1"/>
  <c r="I255" i="39"/>
  <c r="J255" i="39" s="1"/>
  <c r="K255" i="39"/>
  <c r="L255" i="39" s="1"/>
  <c r="I256" i="39"/>
  <c r="J256" i="39" s="1"/>
  <c r="K256" i="39"/>
  <c r="L256" i="39" s="1"/>
  <c r="I257" i="39"/>
  <c r="J257" i="39" s="1"/>
  <c r="K257" i="39"/>
  <c r="L257" i="39" s="1"/>
  <c r="I258" i="39"/>
  <c r="J258" i="39" s="1"/>
  <c r="K258" i="39"/>
  <c r="L258" i="39" s="1"/>
  <c r="I259" i="39"/>
  <c r="J259" i="39" s="1"/>
  <c r="K259" i="39"/>
  <c r="L259" i="39" s="1"/>
  <c r="I260" i="39"/>
  <c r="J260" i="39" s="1"/>
  <c r="K260" i="39"/>
  <c r="L260" i="39" s="1"/>
  <c r="I261" i="39"/>
  <c r="J261" i="39" s="1"/>
  <c r="K261" i="39"/>
  <c r="L261" i="39" s="1"/>
  <c r="I262" i="39"/>
  <c r="J262" i="39" s="1"/>
  <c r="K262" i="39"/>
  <c r="L262" i="39" s="1"/>
  <c r="I263" i="39"/>
  <c r="J263" i="39" s="1"/>
  <c r="K263" i="39"/>
  <c r="L263" i="39" s="1"/>
  <c r="I264" i="39"/>
  <c r="J264" i="39" s="1"/>
  <c r="K264" i="39"/>
  <c r="L264" i="39" s="1"/>
  <c r="I265" i="39"/>
  <c r="J265" i="39" s="1"/>
  <c r="K265" i="39"/>
  <c r="L265" i="39" s="1"/>
  <c r="I2" i="39"/>
  <c r="J2" i="39" s="1"/>
  <c r="K2" i="39"/>
  <c r="L2" i="39" s="1"/>
  <c r="AT47" i="47" l="1"/>
  <c r="AU47" i="47" s="1"/>
  <c r="HR47" i="47" s="1"/>
  <c r="AR48" i="47"/>
  <c r="B3" i="39"/>
  <c r="C3" i="39" s="1"/>
  <c r="D3" i="39"/>
  <c r="E3" i="39" s="1"/>
  <c r="B4" i="39"/>
  <c r="C4" i="39" s="1"/>
  <c r="D4" i="39"/>
  <c r="E4" i="39" s="1"/>
  <c r="B5" i="39"/>
  <c r="C5" i="39" s="1"/>
  <c r="D5" i="39"/>
  <c r="E5" i="39" s="1"/>
  <c r="B6" i="39"/>
  <c r="C6" i="39" s="1"/>
  <c r="D6" i="39"/>
  <c r="E6" i="39" s="1"/>
  <c r="B7" i="39"/>
  <c r="C7" i="39" s="1"/>
  <c r="D7" i="39"/>
  <c r="E7" i="39" s="1"/>
  <c r="B8" i="39"/>
  <c r="C8" i="39" s="1"/>
  <c r="D8" i="39"/>
  <c r="E8" i="39" s="1"/>
  <c r="B9" i="39"/>
  <c r="C9" i="39" s="1"/>
  <c r="D9" i="39"/>
  <c r="E9" i="39" s="1"/>
  <c r="B10" i="39"/>
  <c r="C10" i="39" s="1"/>
  <c r="D10" i="39"/>
  <c r="E10" i="39" s="1"/>
  <c r="B11" i="39"/>
  <c r="C11" i="39" s="1"/>
  <c r="D11" i="39"/>
  <c r="E11" i="39" s="1"/>
  <c r="B12" i="39"/>
  <c r="C12" i="39" s="1"/>
  <c r="D12" i="39"/>
  <c r="E12" i="39" s="1"/>
  <c r="B13" i="39"/>
  <c r="C13" i="39" s="1"/>
  <c r="D13" i="39"/>
  <c r="E13" i="39" s="1"/>
  <c r="B14" i="39"/>
  <c r="C14" i="39" s="1"/>
  <c r="D14" i="39"/>
  <c r="E14" i="39" s="1"/>
  <c r="B15" i="39"/>
  <c r="C15" i="39" s="1"/>
  <c r="D15" i="39"/>
  <c r="E15" i="39" s="1"/>
  <c r="B16" i="39"/>
  <c r="C16" i="39" s="1"/>
  <c r="D16" i="39"/>
  <c r="E16" i="39" s="1"/>
  <c r="B17" i="39"/>
  <c r="C17" i="39" s="1"/>
  <c r="D17" i="39"/>
  <c r="E17" i="39" s="1"/>
  <c r="B18" i="39"/>
  <c r="C18" i="39" s="1"/>
  <c r="D18" i="39"/>
  <c r="E18" i="39" s="1"/>
  <c r="B19" i="39"/>
  <c r="C19" i="39" s="1"/>
  <c r="D19" i="39"/>
  <c r="E19" i="39" s="1"/>
  <c r="B20" i="39"/>
  <c r="C20" i="39" s="1"/>
  <c r="D20" i="39"/>
  <c r="E20" i="39" s="1"/>
  <c r="B21" i="39"/>
  <c r="C21" i="39" s="1"/>
  <c r="D21" i="39"/>
  <c r="E21" i="39" s="1"/>
  <c r="B22" i="39"/>
  <c r="C22" i="39" s="1"/>
  <c r="D22" i="39"/>
  <c r="E22" i="39" s="1"/>
  <c r="B23" i="39"/>
  <c r="C23" i="39" s="1"/>
  <c r="D23" i="39"/>
  <c r="E23" i="39" s="1"/>
  <c r="B24" i="39"/>
  <c r="C24" i="39" s="1"/>
  <c r="D24" i="39"/>
  <c r="E24" i="39" s="1"/>
  <c r="B25" i="39"/>
  <c r="C25" i="39" s="1"/>
  <c r="D25" i="39"/>
  <c r="E25" i="39" s="1"/>
  <c r="B26" i="39"/>
  <c r="C26" i="39" s="1"/>
  <c r="D26" i="39"/>
  <c r="E26" i="39" s="1"/>
  <c r="B27" i="39"/>
  <c r="C27" i="39" s="1"/>
  <c r="D27" i="39"/>
  <c r="E27" i="39" s="1"/>
  <c r="B28" i="39"/>
  <c r="C28" i="39" s="1"/>
  <c r="D28" i="39"/>
  <c r="E28" i="39" s="1"/>
  <c r="B29" i="39"/>
  <c r="C29" i="39" s="1"/>
  <c r="D29" i="39"/>
  <c r="E29" i="39" s="1"/>
  <c r="B30" i="39"/>
  <c r="C30" i="39" s="1"/>
  <c r="D30" i="39"/>
  <c r="E30" i="39" s="1"/>
  <c r="B31" i="39"/>
  <c r="C31" i="39" s="1"/>
  <c r="D31" i="39"/>
  <c r="E31" i="39" s="1"/>
  <c r="B32" i="39"/>
  <c r="C32" i="39" s="1"/>
  <c r="D32" i="39"/>
  <c r="E32" i="39" s="1"/>
  <c r="B33" i="39"/>
  <c r="C33" i="39" s="1"/>
  <c r="D33" i="39"/>
  <c r="E33" i="39" s="1"/>
  <c r="B34" i="39"/>
  <c r="C34" i="39" s="1"/>
  <c r="D34" i="39"/>
  <c r="E34" i="39" s="1"/>
  <c r="B35" i="39"/>
  <c r="C35" i="39" s="1"/>
  <c r="D35" i="39"/>
  <c r="E35" i="39" s="1"/>
  <c r="B36" i="39"/>
  <c r="C36" i="39" s="1"/>
  <c r="D36" i="39"/>
  <c r="E36" i="39" s="1"/>
  <c r="B37" i="39"/>
  <c r="C37" i="39" s="1"/>
  <c r="D37" i="39"/>
  <c r="E37" i="39" s="1"/>
  <c r="B38" i="39"/>
  <c r="C38" i="39" s="1"/>
  <c r="D38" i="39"/>
  <c r="E38" i="39" s="1"/>
  <c r="B39" i="39"/>
  <c r="C39" i="39" s="1"/>
  <c r="D39" i="39"/>
  <c r="E39" i="39" s="1"/>
  <c r="B40" i="39"/>
  <c r="C40" i="39" s="1"/>
  <c r="D40" i="39"/>
  <c r="E40" i="39" s="1"/>
  <c r="B41" i="39"/>
  <c r="C41" i="39" s="1"/>
  <c r="D41" i="39"/>
  <c r="E41" i="39" s="1"/>
  <c r="B42" i="39"/>
  <c r="C42" i="39" s="1"/>
  <c r="D42" i="39"/>
  <c r="E42" i="39" s="1"/>
  <c r="B43" i="39"/>
  <c r="C43" i="39" s="1"/>
  <c r="D43" i="39"/>
  <c r="E43" i="39" s="1"/>
  <c r="B44" i="39"/>
  <c r="C44" i="39" s="1"/>
  <c r="D44" i="39"/>
  <c r="E44" i="39" s="1"/>
  <c r="B45" i="39"/>
  <c r="C45" i="39" s="1"/>
  <c r="D45" i="39"/>
  <c r="E45" i="39" s="1"/>
  <c r="B46" i="39"/>
  <c r="C46" i="39" s="1"/>
  <c r="D46" i="39"/>
  <c r="E46" i="39" s="1"/>
  <c r="B47" i="39"/>
  <c r="C47" i="39" s="1"/>
  <c r="D47" i="39"/>
  <c r="E47" i="39" s="1"/>
  <c r="B48" i="39"/>
  <c r="C48" i="39" s="1"/>
  <c r="D48" i="39"/>
  <c r="E48" i="39" s="1"/>
  <c r="B49" i="39"/>
  <c r="C49" i="39" s="1"/>
  <c r="D49" i="39"/>
  <c r="E49" i="39" s="1"/>
  <c r="B50" i="39"/>
  <c r="C50" i="39" s="1"/>
  <c r="D50" i="39"/>
  <c r="E50" i="39" s="1"/>
  <c r="B51" i="39"/>
  <c r="C51" i="39" s="1"/>
  <c r="D51" i="39"/>
  <c r="E51" i="39" s="1"/>
  <c r="B52" i="39"/>
  <c r="C52" i="39" s="1"/>
  <c r="D52" i="39"/>
  <c r="E52" i="39" s="1"/>
  <c r="B53" i="39"/>
  <c r="C53" i="39" s="1"/>
  <c r="D53" i="39"/>
  <c r="E53" i="39" s="1"/>
  <c r="B54" i="39"/>
  <c r="C54" i="39" s="1"/>
  <c r="D54" i="39"/>
  <c r="E54" i="39" s="1"/>
  <c r="B55" i="39"/>
  <c r="C55" i="39" s="1"/>
  <c r="D55" i="39"/>
  <c r="E55" i="39" s="1"/>
  <c r="B56" i="39"/>
  <c r="C56" i="39" s="1"/>
  <c r="D56" i="39"/>
  <c r="E56" i="39" s="1"/>
  <c r="B57" i="39"/>
  <c r="C57" i="39" s="1"/>
  <c r="D57" i="39"/>
  <c r="E57" i="39" s="1"/>
  <c r="B58" i="39"/>
  <c r="C58" i="39" s="1"/>
  <c r="D58" i="39"/>
  <c r="E58" i="39" s="1"/>
  <c r="B59" i="39"/>
  <c r="C59" i="39" s="1"/>
  <c r="D59" i="39"/>
  <c r="E59" i="39" s="1"/>
  <c r="B60" i="39"/>
  <c r="C60" i="39" s="1"/>
  <c r="D60" i="39"/>
  <c r="E60" i="39" s="1"/>
  <c r="B61" i="39"/>
  <c r="C61" i="39" s="1"/>
  <c r="D61" i="39"/>
  <c r="E61" i="39" s="1"/>
  <c r="B62" i="39"/>
  <c r="C62" i="39" s="1"/>
  <c r="D62" i="39"/>
  <c r="E62" i="39" s="1"/>
  <c r="B63" i="39"/>
  <c r="C63" i="39" s="1"/>
  <c r="D63" i="39"/>
  <c r="E63" i="39" s="1"/>
  <c r="B64" i="39"/>
  <c r="C64" i="39" s="1"/>
  <c r="D64" i="39"/>
  <c r="E64" i="39" s="1"/>
  <c r="B65" i="39"/>
  <c r="C65" i="39" s="1"/>
  <c r="D65" i="39"/>
  <c r="E65" i="39" s="1"/>
  <c r="B66" i="39"/>
  <c r="C66" i="39" s="1"/>
  <c r="D66" i="39"/>
  <c r="E66" i="39" s="1"/>
  <c r="B67" i="39"/>
  <c r="C67" i="39" s="1"/>
  <c r="D67" i="39"/>
  <c r="E67" i="39" s="1"/>
  <c r="B68" i="39"/>
  <c r="C68" i="39" s="1"/>
  <c r="D68" i="39"/>
  <c r="E68" i="39" s="1"/>
  <c r="B69" i="39"/>
  <c r="C69" i="39" s="1"/>
  <c r="D69" i="39"/>
  <c r="E69" i="39" s="1"/>
  <c r="B70" i="39"/>
  <c r="C70" i="39" s="1"/>
  <c r="D70" i="39"/>
  <c r="E70" i="39" s="1"/>
  <c r="B71" i="39"/>
  <c r="C71" i="39" s="1"/>
  <c r="D71" i="39"/>
  <c r="E71" i="39"/>
  <c r="B72" i="39"/>
  <c r="C72" i="39" s="1"/>
  <c r="D72" i="39"/>
  <c r="E72" i="39" s="1"/>
  <c r="B73" i="39"/>
  <c r="C73" i="39"/>
  <c r="D73" i="39"/>
  <c r="E73" i="39" s="1"/>
  <c r="B74" i="39"/>
  <c r="C74" i="39" s="1"/>
  <c r="D74" i="39"/>
  <c r="E74" i="39" s="1"/>
  <c r="B75" i="39"/>
  <c r="C75" i="39" s="1"/>
  <c r="D75" i="39"/>
  <c r="E75" i="39" s="1"/>
  <c r="B76" i="39"/>
  <c r="C76" i="39" s="1"/>
  <c r="D76" i="39"/>
  <c r="E76" i="39" s="1"/>
  <c r="B77" i="39"/>
  <c r="C77" i="39" s="1"/>
  <c r="D77" i="39"/>
  <c r="E77" i="39" s="1"/>
  <c r="B78" i="39"/>
  <c r="C78" i="39" s="1"/>
  <c r="D78" i="39"/>
  <c r="E78" i="39" s="1"/>
  <c r="B79" i="39"/>
  <c r="C79" i="39" s="1"/>
  <c r="D79" i="39"/>
  <c r="E79" i="39" s="1"/>
  <c r="B80" i="39"/>
  <c r="C80" i="39" s="1"/>
  <c r="D80" i="39"/>
  <c r="E80" i="39" s="1"/>
  <c r="B81" i="39"/>
  <c r="C81" i="39" s="1"/>
  <c r="D81" i="39"/>
  <c r="E81" i="39" s="1"/>
  <c r="B82" i="39"/>
  <c r="C82" i="39" s="1"/>
  <c r="D82" i="39"/>
  <c r="E82" i="39" s="1"/>
  <c r="B83" i="39"/>
  <c r="C83" i="39" s="1"/>
  <c r="D83" i="39"/>
  <c r="E83" i="39" s="1"/>
  <c r="B84" i="39"/>
  <c r="C84" i="39" s="1"/>
  <c r="D84" i="39"/>
  <c r="E84" i="39" s="1"/>
  <c r="B85" i="39"/>
  <c r="C85" i="39" s="1"/>
  <c r="D85" i="39"/>
  <c r="E85" i="39" s="1"/>
  <c r="B86" i="39"/>
  <c r="C86" i="39" s="1"/>
  <c r="D86" i="39"/>
  <c r="E86" i="39" s="1"/>
  <c r="B87" i="39"/>
  <c r="C87" i="39" s="1"/>
  <c r="D87" i="39"/>
  <c r="E87" i="39"/>
  <c r="B88" i="39"/>
  <c r="C88" i="39" s="1"/>
  <c r="D88" i="39"/>
  <c r="E88" i="39" s="1"/>
  <c r="B89" i="39"/>
  <c r="C89" i="39"/>
  <c r="D89" i="39"/>
  <c r="E89" i="39" s="1"/>
  <c r="B90" i="39"/>
  <c r="C90" i="39" s="1"/>
  <c r="D90" i="39"/>
  <c r="E90" i="39" s="1"/>
  <c r="B91" i="39"/>
  <c r="C91" i="39" s="1"/>
  <c r="D91" i="39"/>
  <c r="E91" i="39" s="1"/>
  <c r="B92" i="39"/>
  <c r="C92" i="39" s="1"/>
  <c r="D92" i="39"/>
  <c r="E92" i="39" s="1"/>
  <c r="B93" i="39"/>
  <c r="C93" i="39" s="1"/>
  <c r="D93" i="39"/>
  <c r="E93" i="39" s="1"/>
  <c r="B94" i="39"/>
  <c r="C94" i="39" s="1"/>
  <c r="D94" i="39"/>
  <c r="E94" i="39" s="1"/>
  <c r="B95" i="39"/>
  <c r="C95" i="39" s="1"/>
  <c r="D95" i="39"/>
  <c r="E95" i="39" s="1"/>
  <c r="B96" i="39"/>
  <c r="C96" i="39" s="1"/>
  <c r="D96" i="39"/>
  <c r="E96" i="39" s="1"/>
  <c r="B97" i="39"/>
  <c r="C97" i="39" s="1"/>
  <c r="D97" i="39"/>
  <c r="E97" i="39" s="1"/>
  <c r="B98" i="39"/>
  <c r="C98" i="39" s="1"/>
  <c r="D98" i="39"/>
  <c r="E98" i="39" s="1"/>
  <c r="B99" i="39"/>
  <c r="C99" i="39" s="1"/>
  <c r="D99" i="39"/>
  <c r="E99" i="39" s="1"/>
  <c r="B100" i="39"/>
  <c r="C100" i="39" s="1"/>
  <c r="D100" i="39"/>
  <c r="E100" i="39" s="1"/>
  <c r="B101" i="39"/>
  <c r="C101" i="39" s="1"/>
  <c r="D101" i="39"/>
  <c r="E101" i="39" s="1"/>
  <c r="B102" i="39"/>
  <c r="C102" i="39" s="1"/>
  <c r="D102" i="39"/>
  <c r="E102" i="39" s="1"/>
  <c r="B103" i="39"/>
  <c r="C103" i="39" s="1"/>
  <c r="D103" i="39"/>
  <c r="E103" i="39"/>
  <c r="B104" i="39"/>
  <c r="C104" i="39" s="1"/>
  <c r="D104" i="39"/>
  <c r="E104" i="39" s="1"/>
  <c r="B105" i="39"/>
  <c r="C105" i="39"/>
  <c r="D105" i="39"/>
  <c r="E105" i="39" s="1"/>
  <c r="B106" i="39"/>
  <c r="C106" i="39" s="1"/>
  <c r="D106" i="39"/>
  <c r="E106" i="39" s="1"/>
  <c r="B107" i="39"/>
  <c r="C107" i="39" s="1"/>
  <c r="D107" i="39"/>
  <c r="E107" i="39" s="1"/>
  <c r="B108" i="39"/>
  <c r="C108" i="39" s="1"/>
  <c r="D108" i="39"/>
  <c r="E108" i="39" s="1"/>
  <c r="B109" i="39"/>
  <c r="C109" i="39" s="1"/>
  <c r="D109" i="39"/>
  <c r="E109" i="39" s="1"/>
  <c r="B110" i="39"/>
  <c r="C110" i="39" s="1"/>
  <c r="D110" i="39"/>
  <c r="E110" i="39" s="1"/>
  <c r="B111" i="39"/>
  <c r="C111" i="39" s="1"/>
  <c r="D111" i="39"/>
  <c r="E111" i="39" s="1"/>
  <c r="B112" i="39"/>
  <c r="C112" i="39" s="1"/>
  <c r="D112" i="39"/>
  <c r="E112" i="39" s="1"/>
  <c r="B113" i="39"/>
  <c r="C113" i="39" s="1"/>
  <c r="D113" i="39"/>
  <c r="E113" i="39" s="1"/>
  <c r="B114" i="39"/>
  <c r="C114" i="39" s="1"/>
  <c r="D114" i="39"/>
  <c r="E114" i="39" s="1"/>
  <c r="B115" i="39"/>
  <c r="C115" i="39" s="1"/>
  <c r="D115" i="39"/>
  <c r="E115" i="39" s="1"/>
  <c r="B116" i="39"/>
  <c r="C116" i="39" s="1"/>
  <c r="D116" i="39"/>
  <c r="E116" i="39" s="1"/>
  <c r="B117" i="39"/>
  <c r="C117" i="39" s="1"/>
  <c r="D117" i="39"/>
  <c r="E117" i="39" s="1"/>
  <c r="B118" i="39"/>
  <c r="C118" i="39" s="1"/>
  <c r="D118" i="39"/>
  <c r="E118" i="39" s="1"/>
  <c r="B119" i="39"/>
  <c r="C119" i="39" s="1"/>
  <c r="D119" i="39"/>
  <c r="E119" i="39"/>
  <c r="B120" i="39"/>
  <c r="C120" i="39" s="1"/>
  <c r="D120" i="39"/>
  <c r="E120" i="39" s="1"/>
  <c r="B121" i="39"/>
  <c r="C121" i="39"/>
  <c r="D121" i="39"/>
  <c r="E121" i="39" s="1"/>
  <c r="B122" i="39"/>
  <c r="C122" i="39" s="1"/>
  <c r="D122" i="39"/>
  <c r="E122" i="39" s="1"/>
  <c r="B123" i="39"/>
  <c r="C123" i="39" s="1"/>
  <c r="D123" i="39"/>
  <c r="E123" i="39" s="1"/>
  <c r="B124" i="39"/>
  <c r="C124" i="39" s="1"/>
  <c r="D124" i="39"/>
  <c r="E124" i="39" s="1"/>
  <c r="B125" i="39"/>
  <c r="C125" i="39" s="1"/>
  <c r="D125" i="39"/>
  <c r="E125" i="39" s="1"/>
  <c r="B126" i="39"/>
  <c r="C126" i="39" s="1"/>
  <c r="D126" i="39"/>
  <c r="E126" i="39" s="1"/>
  <c r="B127" i="39"/>
  <c r="C127" i="39" s="1"/>
  <c r="D127" i="39"/>
  <c r="E127" i="39" s="1"/>
  <c r="B128" i="39"/>
  <c r="C128" i="39" s="1"/>
  <c r="D128" i="39"/>
  <c r="E128" i="39" s="1"/>
  <c r="B129" i="39"/>
  <c r="C129" i="39" s="1"/>
  <c r="D129" i="39"/>
  <c r="E129" i="39" s="1"/>
  <c r="B130" i="39"/>
  <c r="C130" i="39" s="1"/>
  <c r="D130" i="39"/>
  <c r="E130" i="39" s="1"/>
  <c r="B131" i="39"/>
  <c r="C131" i="39" s="1"/>
  <c r="D131" i="39"/>
  <c r="E131" i="39" s="1"/>
  <c r="B132" i="39"/>
  <c r="C132" i="39" s="1"/>
  <c r="D132" i="39"/>
  <c r="E132" i="39" s="1"/>
  <c r="B133" i="39"/>
  <c r="C133" i="39" s="1"/>
  <c r="D133" i="39"/>
  <c r="E133" i="39" s="1"/>
  <c r="B134" i="39"/>
  <c r="C134" i="39" s="1"/>
  <c r="D134" i="39"/>
  <c r="E134" i="39" s="1"/>
  <c r="B135" i="39"/>
  <c r="C135" i="39" s="1"/>
  <c r="D135" i="39"/>
  <c r="E135" i="39"/>
  <c r="B136" i="39"/>
  <c r="C136" i="39" s="1"/>
  <c r="D136" i="39"/>
  <c r="E136" i="39" s="1"/>
  <c r="B137" i="39"/>
  <c r="C137" i="39"/>
  <c r="D137" i="39"/>
  <c r="E137" i="39" s="1"/>
  <c r="B138" i="39"/>
  <c r="C138" i="39" s="1"/>
  <c r="D138" i="39"/>
  <c r="E138" i="39" s="1"/>
  <c r="B139" i="39"/>
  <c r="C139" i="39" s="1"/>
  <c r="D139" i="39"/>
  <c r="E139" i="39" s="1"/>
  <c r="B140" i="39"/>
  <c r="C140" i="39" s="1"/>
  <c r="D140" i="39"/>
  <c r="E140" i="39" s="1"/>
  <c r="B141" i="39"/>
  <c r="C141" i="39" s="1"/>
  <c r="D141" i="39"/>
  <c r="E141" i="39" s="1"/>
  <c r="B142" i="39"/>
  <c r="C142" i="39" s="1"/>
  <c r="D142" i="39"/>
  <c r="E142" i="39" s="1"/>
  <c r="B143" i="39"/>
  <c r="C143" i="39" s="1"/>
  <c r="D143" i="39"/>
  <c r="E143" i="39" s="1"/>
  <c r="B144" i="39"/>
  <c r="C144" i="39" s="1"/>
  <c r="D144" i="39"/>
  <c r="E144" i="39" s="1"/>
  <c r="B145" i="39"/>
  <c r="C145" i="39" s="1"/>
  <c r="D145" i="39"/>
  <c r="E145" i="39" s="1"/>
  <c r="B146" i="39"/>
  <c r="C146" i="39" s="1"/>
  <c r="D146" i="39"/>
  <c r="E146" i="39" s="1"/>
  <c r="B147" i="39"/>
  <c r="C147" i="39" s="1"/>
  <c r="D147" i="39"/>
  <c r="E147" i="39" s="1"/>
  <c r="B148" i="39"/>
  <c r="C148" i="39" s="1"/>
  <c r="D148" i="39"/>
  <c r="E148" i="39" s="1"/>
  <c r="B149" i="39"/>
  <c r="C149" i="39" s="1"/>
  <c r="D149" i="39"/>
  <c r="E149" i="39" s="1"/>
  <c r="B150" i="39"/>
  <c r="C150" i="39" s="1"/>
  <c r="D150" i="39"/>
  <c r="E150" i="39" s="1"/>
  <c r="B151" i="39"/>
  <c r="C151" i="39" s="1"/>
  <c r="D151" i="39"/>
  <c r="E151" i="39" s="1"/>
  <c r="B152" i="39"/>
  <c r="C152" i="39" s="1"/>
  <c r="D152" i="39"/>
  <c r="E152" i="39" s="1"/>
  <c r="B153" i="39"/>
  <c r="C153" i="39" s="1"/>
  <c r="D153" i="39"/>
  <c r="E153" i="39" s="1"/>
  <c r="B154" i="39"/>
  <c r="C154" i="39" s="1"/>
  <c r="D154" i="39"/>
  <c r="E154" i="39" s="1"/>
  <c r="B155" i="39"/>
  <c r="C155" i="39" s="1"/>
  <c r="D155" i="39"/>
  <c r="E155" i="39" s="1"/>
  <c r="B156" i="39"/>
  <c r="C156" i="39" s="1"/>
  <c r="D156" i="39"/>
  <c r="E156" i="39" s="1"/>
  <c r="B157" i="39"/>
  <c r="C157" i="39" s="1"/>
  <c r="D157" i="39"/>
  <c r="E157" i="39" s="1"/>
  <c r="B158" i="39"/>
  <c r="C158" i="39" s="1"/>
  <c r="D158" i="39"/>
  <c r="E158" i="39" s="1"/>
  <c r="B159" i="39"/>
  <c r="C159" i="39" s="1"/>
  <c r="D159" i="39"/>
  <c r="E159" i="39" s="1"/>
  <c r="B160" i="39"/>
  <c r="C160" i="39" s="1"/>
  <c r="D160" i="39"/>
  <c r="E160" i="39" s="1"/>
  <c r="B161" i="39"/>
  <c r="C161" i="39" s="1"/>
  <c r="D161" i="39"/>
  <c r="E161" i="39" s="1"/>
  <c r="B162" i="39"/>
  <c r="C162" i="39" s="1"/>
  <c r="D162" i="39"/>
  <c r="E162" i="39" s="1"/>
  <c r="B163" i="39"/>
  <c r="C163" i="39" s="1"/>
  <c r="D163" i="39"/>
  <c r="E163" i="39" s="1"/>
  <c r="B164" i="39"/>
  <c r="C164" i="39" s="1"/>
  <c r="D164" i="39"/>
  <c r="E164" i="39" s="1"/>
  <c r="B165" i="39"/>
  <c r="C165" i="39" s="1"/>
  <c r="D165" i="39"/>
  <c r="E165" i="39" s="1"/>
  <c r="B166" i="39"/>
  <c r="C166" i="39" s="1"/>
  <c r="D166" i="39"/>
  <c r="E166" i="39" s="1"/>
  <c r="B167" i="39"/>
  <c r="C167" i="39" s="1"/>
  <c r="D167" i="39"/>
  <c r="E167" i="39" s="1"/>
  <c r="B168" i="39"/>
  <c r="C168" i="39" s="1"/>
  <c r="D168" i="39"/>
  <c r="E168" i="39" s="1"/>
  <c r="B169" i="39"/>
  <c r="C169" i="39" s="1"/>
  <c r="D169" i="39"/>
  <c r="E169" i="39" s="1"/>
  <c r="B170" i="39"/>
  <c r="C170" i="39" s="1"/>
  <c r="D170" i="39"/>
  <c r="E170" i="39" s="1"/>
  <c r="B171" i="39"/>
  <c r="C171" i="39" s="1"/>
  <c r="D171" i="39"/>
  <c r="E171" i="39" s="1"/>
  <c r="B172" i="39"/>
  <c r="C172" i="39" s="1"/>
  <c r="D172" i="39"/>
  <c r="E172" i="39" s="1"/>
  <c r="B173" i="39"/>
  <c r="C173" i="39" s="1"/>
  <c r="D173" i="39"/>
  <c r="E173" i="39" s="1"/>
  <c r="B174" i="39"/>
  <c r="C174" i="39" s="1"/>
  <c r="D174" i="39"/>
  <c r="E174" i="39" s="1"/>
  <c r="B175" i="39"/>
  <c r="C175" i="39" s="1"/>
  <c r="D175" i="39"/>
  <c r="E175" i="39" s="1"/>
  <c r="B176" i="39"/>
  <c r="C176" i="39" s="1"/>
  <c r="D176" i="39"/>
  <c r="E176" i="39" s="1"/>
  <c r="B177" i="39"/>
  <c r="C177" i="39" s="1"/>
  <c r="D177" i="39"/>
  <c r="E177" i="39" s="1"/>
  <c r="B178" i="39"/>
  <c r="C178" i="39" s="1"/>
  <c r="D178" i="39"/>
  <c r="E178" i="39" s="1"/>
  <c r="B179" i="39"/>
  <c r="C179" i="39" s="1"/>
  <c r="D179" i="39"/>
  <c r="E179" i="39" s="1"/>
  <c r="B180" i="39"/>
  <c r="C180" i="39" s="1"/>
  <c r="D180" i="39"/>
  <c r="E180" i="39" s="1"/>
  <c r="B181" i="39"/>
  <c r="C181" i="39" s="1"/>
  <c r="D181" i="39"/>
  <c r="E181" i="39" s="1"/>
  <c r="B182" i="39"/>
  <c r="C182" i="39" s="1"/>
  <c r="D182" i="39"/>
  <c r="E182" i="39" s="1"/>
  <c r="B183" i="39"/>
  <c r="C183" i="39" s="1"/>
  <c r="D183" i="39"/>
  <c r="E183" i="39" s="1"/>
  <c r="B184" i="39"/>
  <c r="C184" i="39" s="1"/>
  <c r="D184" i="39"/>
  <c r="E184" i="39" s="1"/>
  <c r="B185" i="39"/>
  <c r="C185" i="39" s="1"/>
  <c r="D185" i="39"/>
  <c r="E185" i="39" s="1"/>
  <c r="B186" i="39"/>
  <c r="C186" i="39" s="1"/>
  <c r="D186" i="39"/>
  <c r="E186" i="39" s="1"/>
  <c r="B187" i="39"/>
  <c r="C187" i="39" s="1"/>
  <c r="D187" i="39"/>
  <c r="E187" i="39" s="1"/>
  <c r="B188" i="39"/>
  <c r="C188" i="39" s="1"/>
  <c r="D188" i="39"/>
  <c r="E188" i="39" s="1"/>
  <c r="B189" i="39"/>
  <c r="C189" i="39" s="1"/>
  <c r="D189" i="39"/>
  <c r="E189" i="39" s="1"/>
  <c r="B190" i="39"/>
  <c r="C190" i="39" s="1"/>
  <c r="D190" i="39"/>
  <c r="E190" i="39" s="1"/>
  <c r="B191" i="39"/>
  <c r="C191" i="39" s="1"/>
  <c r="D191" i="39"/>
  <c r="E191" i="39" s="1"/>
  <c r="B192" i="39"/>
  <c r="C192" i="39" s="1"/>
  <c r="D192" i="39"/>
  <c r="E192" i="39" s="1"/>
  <c r="B193" i="39"/>
  <c r="C193" i="39" s="1"/>
  <c r="D193" i="39"/>
  <c r="E193" i="39" s="1"/>
  <c r="B194" i="39"/>
  <c r="C194" i="39" s="1"/>
  <c r="D194" i="39"/>
  <c r="E194" i="39" s="1"/>
  <c r="B195" i="39"/>
  <c r="C195" i="39" s="1"/>
  <c r="D195" i="39"/>
  <c r="E195" i="39" s="1"/>
  <c r="B196" i="39"/>
  <c r="C196" i="39" s="1"/>
  <c r="D196" i="39"/>
  <c r="E196" i="39" s="1"/>
  <c r="B197" i="39"/>
  <c r="C197" i="39" s="1"/>
  <c r="D197" i="39"/>
  <c r="E197" i="39" s="1"/>
  <c r="B198" i="39"/>
  <c r="C198" i="39" s="1"/>
  <c r="D198" i="39"/>
  <c r="E198" i="39" s="1"/>
  <c r="B199" i="39"/>
  <c r="C199" i="39" s="1"/>
  <c r="D199" i="39"/>
  <c r="E199" i="39" s="1"/>
  <c r="B200" i="39"/>
  <c r="C200" i="39" s="1"/>
  <c r="D200" i="39"/>
  <c r="E200" i="39" s="1"/>
  <c r="B201" i="39"/>
  <c r="C201" i="39" s="1"/>
  <c r="D201" i="39"/>
  <c r="E201" i="39" s="1"/>
  <c r="B202" i="39"/>
  <c r="C202" i="39" s="1"/>
  <c r="D202" i="39"/>
  <c r="E202" i="39" s="1"/>
  <c r="B203" i="39"/>
  <c r="C203" i="39" s="1"/>
  <c r="D203" i="39"/>
  <c r="E203" i="39" s="1"/>
  <c r="B204" i="39"/>
  <c r="C204" i="39" s="1"/>
  <c r="D204" i="39"/>
  <c r="E204" i="39" s="1"/>
  <c r="B205" i="39"/>
  <c r="C205" i="39" s="1"/>
  <c r="D205" i="39"/>
  <c r="E205" i="39" s="1"/>
  <c r="B206" i="39"/>
  <c r="C206" i="39" s="1"/>
  <c r="D206" i="39"/>
  <c r="E206" i="39" s="1"/>
  <c r="B207" i="39"/>
  <c r="C207" i="39" s="1"/>
  <c r="D207" i="39"/>
  <c r="E207" i="39" s="1"/>
  <c r="B208" i="39"/>
  <c r="C208" i="39" s="1"/>
  <c r="D208" i="39"/>
  <c r="E208" i="39" s="1"/>
  <c r="B209" i="39"/>
  <c r="C209" i="39" s="1"/>
  <c r="D209" i="39"/>
  <c r="E209" i="39" s="1"/>
  <c r="B210" i="39"/>
  <c r="C210" i="39" s="1"/>
  <c r="D210" i="39"/>
  <c r="E210" i="39" s="1"/>
  <c r="B211" i="39"/>
  <c r="C211" i="39" s="1"/>
  <c r="D211" i="39"/>
  <c r="E211" i="39" s="1"/>
  <c r="B212" i="39"/>
  <c r="C212" i="39" s="1"/>
  <c r="D212" i="39"/>
  <c r="E212" i="39" s="1"/>
  <c r="B213" i="39"/>
  <c r="C213" i="39" s="1"/>
  <c r="D213" i="39"/>
  <c r="E213" i="39" s="1"/>
  <c r="B214" i="39"/>
  <c r="C214" i="39" s="1"/>
  <c r="D214" i="39"/>
  <c r="E214" i="39" s="1"/>
  <c r="B215" i="39"/>
  <c r="C215" i="39" s="1"/>
  <c r="D215" i="39"/>
  <c r="E215" i="39" s="1"/>
  <c r="B216" i="39"/>
  <c r="C216" i="39" s="1"/>
  <c r="D216" i="39"/>
  <c r="E216" i="39" s="1"/>
  <c r="B217" i="39"/>
  <c r="C217" i="39" s="1"/>
  <c r="D217" i="39"/>
  <c r="E217" i="39" s="1"/>
  <c r="B218" i="39"/>
  <c r="C218" i="39" s="1"/>
  <c r="D218" i="39"/>
  <c r="E218" i="39" s="1"/>
  <c r="B219" i="39"/>
  <c r="C219" i="39" s="1"/>
  <c r="D219" i="39"/>
  <c r="E219" i="39" s="1"/>
  <c r="B220" i="39"/>
  <c r="C220" i="39" s="1"/>
  <c r="D220" i="39"/>
  <c r="E220" i="39" s="1"/>
  <c r="B221" i="39"/>
  <c r="C221" i="39" s="1"/>
  <c r="D221" i="39"/>
  <c r="E221" i="39" s="1"/>
  <c r="B222" i="39"/>
  <c r="C222" i="39" s="1"/>
  <c r="D222" i="39"/>
  <c r="E222" i="39" s="1"/>
  <c r="B223" i="39"/>
  <c r="C223" i="39" s="1"/>
  <c r="D223" i="39"/>
  <c r="E223" i="39" s="1"/>
  <c r="B224" i="39"/>
  <c r="C224" i="39" s="1"/>
  <c r="D224" i="39"/>
  <c r="E224" i="39" s="1"/>
  <c r="B225" i="39"/>
  <c r="C225" i="39" s="1"/>
  <c r="D225" i="39"/>
  <c r="E225" i="39" s="1"/>
  <c r="B226" i="39"/>
  <c r="C226" i="39" s="1"/>
  <c r="D226" i="39"/>
  <c r="E226" i="39" s="1"/>
  <c r="B227" i="39"/>
  <c r="C227" i="39" s="1"/>
  <c r="D227" i="39"/>
  <c r="E227" i="39" s="1"/>
  <c r="B228" i="39"/>
  <c r="C228" i="39" s="1"/>
  <c r="D228" i="39"/>
  <c r="E228" i="39" s="1"/>
  <c r="B229" i="39"/>
  <c r="C229" i="39" s="1"/>
  <c r="D229" i="39"/>
  <c r="E229" i="39" s="1"/>
  <c r="B230" i="39"/>
  <c r="C230" i="39" s="1"/>
  <c r="D230" i="39"/>
  <c r="E230" i="39" s="1"/>
  <c r="B231" i="39"/>
  <c r="C231" i="39" s="1"/>
  <c r="D231" i="39"/>
  <c r="E231" i="39" s="1"/>
  <c r="B232" i="39"/>
  <c r="C232" i="39" s="1"/>
  <c r="D232" i="39"/>
  <c r="E232" i="39" s="1"/>
  <c r="B233" i="39"/>
  <c r="C233" i="39" s="1"/>
  <c r="D233" i="39"/>
  <c r="E233" i="39" s="1"/>
  <c r="B234" i="39"/>
  <c r="C234" i="39" s="1"/>
  <c r="D234" i="39"/>
  <c r="E234" i="39" s="1"/>
  <c r="B235" i="39"/>
  <c r="C235" i="39" s="1"/>
  <c r="D235" i="39"/>
  <c r="E235" i="39" s="1"/>
  <c r="B236" i="39"/>
  <c r="C236" i="39" s="1"/>
  <c r="D236" i="39"/>
  <c r="E236" i="39" s="1"/>
  <c r="B237" i="39"/>
  <c r="C237" i="39" s="1"/>
  <c r="D237" i="39"/>
  <c r="E237" i="39" s="1"/>
  <c r="B238" i="39"/>
  <c r="C238" i="39" s="1"/>
  <c r="D238" i="39"/>
  <c r="E238" i="39" s="1"/>
  <c r="B239" i="39"/>
  <c r="C239" i="39" s="1"/>
  <c r="D239" i="39"/>
  <c r="E239" i="39" s="1"/>
  <c r="B240" i="39"/>
  <c r="C240" i="39" s="1"/>
  <c r="D240" i="39"/>
  <c r="E240" i="39" s="1"/>
  <c r="B241" i="39"/>
  <c r="C241" i="39" s="1"/>
  <c r="D241" i="39"/>
  <c r="E241" i="39" s="1"/>
  <c r="B242" i="39"/>
  <c r="C242" i="39" s="1"/>
  <c r="D242" i="39"/>
  <c r="E242" i="39" s="1"/>
  <c r="B243" i="39"/>
  <c r="C243" i="39" s="1"/>
  <c r="D243" i="39"/>
  <c r="E243" i="39" s="1"/>
  <c r="B244" i="39"/>
  <c r="C244" i="39" s="1"/>
  <c r="D244" i="39"/>
  <c r="E244" i="39" s="1"/>
  <c r="B245" i="39"/>
  <c r="C245" i="39" s="1"/>
  <c r="D245" i="39"/>
  <c r="E245" i="39" s="1"/>
  <c r="B246" i="39"/>
  <c r="C246" i="39" s="1"/>
  <c r="D246" i="39"/>
  <c r="E246" i="39" s="1"/>
  <c r="B247" i="39"/>
  <c r="C247" i="39" s="1"/>
  <c r="D247" i="39"/>
  <c r="E247" i="39" s="1"/>
  <c r="B248" i="39"/>
  <c r="C248" i="39" s="1"/>
  <c r="D248" i="39"/>
  <c r="E248" i="39" s="1"/>
  <c r="B249" i="39"/>
  <c r="C249" i="39" s="1"/>
  <c r="D249" i="39"/>
  <c r="E249" i="39" s="1"/>
  <c r="B250" i="39"/>
  <c r="C250" i="39" s="1"/>
  <c r="D250" i="39"/>
  <c r="E250" i="39" s="1"/>
  <c r="B251" i="39"/>
  <c r="C251" i="39" s="1"/>
  <c r="D251" i="39"/>
  <c r="E251" i="39" s="1"/>
  <c r="B252" i="39"/>
  <c r="C252" i="39" s="1"/>
  <c r="D252" i="39"/>
  <c r="E252" i="39" s="1"/>
  <c r="B253" i="39"/>
  <c r="C253" i="39" s="1"/>
  <c r="D253" i="39"/>
  <c r="E253" i="39" s="1"/>
  <c r="B254" i="39"/>
  <c r="C254" i="39" s="1"/>
  <c r="D254" i="39"/>
  <c r="E254" i="39" s="1"/>
  <c r="B255" i="39"/>
  <c r="C255" i="39" s="1"/>
  <c r="D255" i="39"/>
  <c r="E255" i="39" s="1"/>
  <c r="B256" i="39"/>
  <c r="C256" i="39" s="1"/>
  <c r="D256" i="39"/>
  <c r="E256" i="39" s="1"/>
  <c r="B257" i="39"/>
  <c r="C257" i="39" s="1"/>
  <c r="D257" i="39"/>
  <c r="E257" i="39" s="1"/>
  <c r="B258" i="39"/>
  <c r="C258" i="39" s="1"/>
  <c r="D258" i="39"/>
  <c r="E258" i="39" s="1"/>
  <c r="B259" i="39"/>
  <c r="C259" i="39" s="1"/>
  <c r="D259" i="39"/>
  <c r="E259" i="39" s="1"/>
  <c r="B260" i="39"/>
  <c r="C260" i="39" s="1"/>
  <c r="D260" i="39"/>
  <c r="E260" i="39" s="1"/>
  <c r="B261" i="39"/>
  <c r="C261" i="39" s="1"/>
  <c r="D261" i="39"/>
  <c r="E261" i="39" s="1"/>
  <c r="B262" i="39"/>
  <c r="C262" i="39" s="1"/>
  <c r="D262" i="39"/>
  <c r="E262" i="39" s="1"/>
  <c r="B263" i="39"/>
  <c r="C263" i="39" s="1"/>
  <c r="D263" i="39"/>
  <c r="E263" i="39" s="1"/>
  <c r="B264" i="39"/>
  <c r="C264" i="39" s="1"/>
  <c r="D264" i="39"/>
  <c r="E264" i="39" s="1"/>
  <c r="B265" i="39"/>
  <c r="C265" i="39" s="1"/>
  <c r="D265" i="39"/>
  <c r="E265" i="39" s="1"/>
  <c r="D2" i="39"/>
  <c r="E2" i="39" s="1"/>
  <c r="B2" i="39"/>
  <c r="C2" i="39" s="1"/>
  <c r="B3" i="38"/>
  <c r="C3" i="38" s="1"/>
  <c r="D3" i="38"/>
  <c r="E3" i="38" s="1"/>
  <c r="B4" i="38"/>
  <c r="C4" i="38" s="1"/>
  <c r="D4" i="38"/>
  <c r="E4" i="38" s="1"/>
  <c r="B5" i="38"/>
  <c r="C5" i="38" s="1"/>
  <c r="D5" i="38"/>
  <c r="E5" i="38" s="1"/>
  <c r="B6" i="38"/>
  <c r="C6" i="38" s="1"/>
  <c r="D6" i="38"/>
  <c r="E6" i="38" s="1"/>
  <c r="B7" i="38"/>
  <c r="C7" i="38" s="1"/>
  <c r="D7" i="38"/>
  <c r="E7" i="38" s="1"/>
  <c r="B8" i="38"/>
  <c r="C8" i="38" s="1"/>
  <c r="D8" i="38"/>
  <c r="E8" i="38" s="1"/>
  <c r="B9" i="38"/>
  <c r="C9" i="38" s="1"/>
  <c r="D9" i="38"/>
  <c r="E9" i="38" s="1"/>
  <c r="B10" i="38"/>
  <c r="C10" i="38" s="1"/>
  <c r="D10" i="38"/>
  <c r="E10" i="38" s="1"/>
  <c r="B11" i="38"/>
  <c r="C11" i="38" s="1"/>
  <c r="D11" i="38"/>
  <c r="E11" i="38" s="1"/>
  <c r="B12" i="38"/>
  <c r="C12" i="38" s="1"/>
  <c r="D12" i="38"/>
  <c r="E12" i="38" s="1"/>
  <c r="B13" i="38"/>
  <c r="C13" i="38" s="1"/>
  <c r="D13" i="38"/>
  <c r="E13" i="38" s="1"/>
  <c r="B14" i="38"/>
  <c r="C14" i="38" s="1"/>
  <c r="D14" i="38"/>
  <c r="E14" i="38" s="1"/>
  <c r="B15" i="38"/>
  <c r="C15" i="38" s="1"/>
  <c r="D15" i="38"/>
  <c r="E15" i="38" s="1"/>
  <c r="B16" i="38"/>
  <c r="C16" i="38" s="1"/>
  <c r="D16" i="38"/>
  <c r="E16" i="38" s="1"/>
  <c r="B17" i="38"/>
  <c r="C17" i="38" s="1"/>
  <c r="D17" i="38"/>
  <c r="E17" i="38" s="1"/>
  <c r="B18" i="38"/>
  <c r="C18" i="38" s="1"/>
  <c r="D18" i="38"/>
  <c r="E18" i="38" s="1"/>
  <c r="B19" i="38"/>
  <c r="C19" i="38" s="1"/>
  <c r="D19" i="38"/>
  <c r="E19" i="38" s="1"/>
  <c r="B20" i="38"/>
  <c r="C20" i="38" s="1"/>
  <c r="D20" i="38"/>
  <c r="E20" i="38" s="1"/>
  <c r="B21" i="38"/>
  <c r="C21" i="38" s="1"/>
  <c r="D21" i="38"/>
  <c r="E21" i="38" s="1"/>
  <c r="B22" i="38"/>
  <c r="C22" i="38" s="1"/>
  <c r="D22" i="38"/>
  <c r="E22" i="38" s="1"/>
  <c r="B23" i="38"/>
  <c r="C23" i="38" s="1"/>
  <c r="D23" i="38"/>
  <c r="E23" i="38" s="1"/>
  <c r="B24" i="38"/>
  <c r="C24" i="38" s="1"/>
  <c r="D24" i="38"/>
  <c r="E24" i="38" s="1"/>
  <c r="D2" i="38"/>
  <c r="E2" i="38" s="1"/>
  <c r="B2" i="38"/>
  <c r="C2" i="38" s="1"/>
  <c r="AT48" i="47" l="1"/>
  <c r="AU48" i="47" s="1"/>
  <c r="HR48" i="47" s="1"/>
  <c r="AR49" i="47"/>
  <c r="F156" i="39"/>
  <c r="F51" i="39"/>
  <c r="F47" i="39"/>
  <c r="F154" i="39"/>
  <c r="F152" i="39"/>
  <c r="F42" i="39"/>
  <c r="F38" i="39"/>
  <c r="F36" i="39"/>
  <c r="F34" i="39"/>
  <c r="F32" i="39"/>
  <c r="F30" i="39"/>
  <c r="F28" i="39"/>
  <c r="F26" i="39"/>
  <c r="F24" i="39"/>
  <c r="F22" i="39"/>
  <c r="F20" i="39"/>
  <c r="F18" i="39"/>
  <c r="F16" i="39"/>
  <c r="F14" i="39"/>
  <c r="F12" i="39"/>
  <c r="F10" i="39"/>
  <c r="F8" i="39"/>
  <c r="F6" i="39"/>
  <c r="F24" i="38"/>
  <c r="F23" i="38"/>
  <c r="F22" i="38"/>
  <c r="F21" i="38"/>
  <c r="F20" i="38"/>
  <c r="F19" i="38"/>
  <c r="F18" i="38"/>
  <c r="F17" i="38"/>
  <c r="F16" i="38"/>
  <c r="F15" i="38"/>
  <c r="F14" i="38"/>
  <c r="F13" i="38"/>
  <c r="F12" i="38"/>
  <c r="F11" i="38"/>
  <c r="F10" i="38"/>
  <c r="F9" i="38"/>
  <c r="F8" i="38"/>
  <c r="F7" i="38"/>
  <c r="F6" i="38"/>
  <c r="F5" i="38"/>
  <c r="F3" i="38"/>
  <c r="F265" i="39"/>
  <c r="F263" i="39"/>
  <c r="F261" i="39"/>
  <c r="F259" i="39"/>
  <c r="F257" i="39"/>
  <c r="F255" i="39"/>
  <c r="F253" i="39"/>
  <c r="F251" i="39"/>
  <c r="F249" i="39"/>
  <c r="F247" i="39"/>
  <c r="F245" i="39"/>
  <c r="F243" i="39"/>
  <c r="F241" i="39"/>
  <c r="F239" i="39"/>
  <c r="F237" i="39"/>
  <c r="F235" i="39"/>
  <c r="F233" i="39"/>
  <c r="F231" i="39"/>
  <c r="F229" i="39"/>
  <c r="F227" i="39"/>
  <c r="F225" i="39"/>
  <c r="F223" i="39"/>
  <c r="F221" i="39"/>
  <c r="F219" i="39"/>
  <c r="F217" i="39"/>
  <c r="F215" i="39"/>
  <c r="F213" i="39"/>
  <c r="F211" i="39"/>
  <c r="F209" i="39"/>
  <c r="F207" i="39"/>
  <c r="F206" i="39"/>
  <c r="F205" i="39"/>
  <c r="F203" i="39"/>
  <c r="F201" i="39"/>
  <c r="F199" i="39"/>
  <c r="F194" i="39"/>
  <c r="F193" i="39"/>
  <c r="F191" i="39"/>
  <c r="F189" i="39"/>
  <c r="F187" i="39"/>
  <c r="F185" i="39"/>
  <c r="F183" i="39"/>
  <c r="F181" i="39"/>
  <c r="F179" i="39"/>
  <c r="F177" i="39"/>
  <c r="F175" i="39"/>
  <c r="F173" i="39"/>
  <c r="F171" i="39"/>
  <c r="F169" i="39"/>
  <c r="F167" i="39"/>
  <c r="F138" i="39"/>
  <c r="F136" i="39"/>
  <c r="F110" i="39"/>
  <c r="F78" i="39"/>
  <c r="F65" i="39"/>
  <c r="F57" i="39"/>
  <c r="F55" i="39"/>
  <c r="F4" i="38"/>
  <c r="F264" i="39"/>
  <c r="F262" i="39"/>
  <c r="F260" i="39"/>
  <c r="F258" i="39"/>
  <c r="F256" i="39"/>
  <c r="F254" i="39"/>
  <c r="F252" i="39"/>
  <c r="F250" i="39"/>
  <c r="F248" i="39"/>
  <c r="F246" i="39"/>
  <c r="F244" i="39"/>
  <c r="F242" i="39"/>
  <c r="F240" i="39"/>
  <c r="F238" i="39"/>
  <c r="F236" i="39"/>
  <c r="F234" i="39"/>
  <c r="F232" i="39"/>
  <c r="F230" i="39"/>
  <c r="F228" i="39"/>
  <c r="F226" i="39"/>
  <c r="F224" i="39"/>
  <c r="F222" i="39"/>
  <c r="F220" i="39"/>
  <c r="F218" i="39"/>
  <c r="F216" i="39"/>
  <c r="F214" i="39"/>
  <c r="F212" i="39"/>
  <c r="F210" i="39"/>
  <c r="F208" i="39"/>
  <c r="F204" i="39"/>
  <c r="F202" i="39"/>
  <c r="F160" i="39"/>
  <c r="F146" i="39"/>
  <c r="F144" i="39"/>
  <c r="F49" i="39"/>
  <c r="F158" i="39"/>
  <c r="F43" i="39"/>
  <c r="F140" i="39"/>
  <c r="F148" i="39"/>
  <c r="F164" i="39"/>
  <c r="F200" i="39"/>
  <c r="F198" i="39"/>
  <c r="F196" i="39"/>
  <c r="F192" i="39"/>
  <c r="F190" i="39"/>
  <c r="F188" i="39"/>
  <c r="F186" i="39"/>
  <c r="F184" i="39"/>
  <c r="F182" i="39"/>
  <c r="F180" i="39"/>
  <c r="F178" i="39"/>
  <c r="F176" i="39"/>
  <c r="F174" i="39"/>
  <c r="F172" i="39"/>
  <c r="F170" i="39"/>
  <c r="F168" i="39"/>
  <c r="F166" i="39"/>
  <c r="F150" i="39"/>
  <c r="F142" i="39"/>
  <c r="F134" i="39"/>
  <c r="F131" i="39"/>
  <c r="F129" i="39"/>
  <c r="F127" i="39"/>
  <c r="F125" i="39"/>
  <c r="F123" i="39"/>
  <c r="F121" i="39"/>
  <c r="F119" i="39"/>
  <c r="F117" i="39"/>
  <c r="F115" i="39"/>
  <c r="F113" i="39"/>
  <c r="F111" i="39"/>
  <c r="F109" i="39"/>
  <c r="F107" i="39"/>
  <c r="F105" i="39"/>
  <c r="F103" i="39"/>
  <c r="F101" i="39"/>
  <c r="F99" i="39"/>
  <c r="F97" i="39"/>
  <c r="F95" i="39"/>
  <c r="F93" i="39"/>
  <c r="F91" i="39"/>
  <c r="F89" i="39"/>
  <c r="F87" i="39"/>
  <c r="F85" i="39"/>
  <c r="F83" i="39"/>
  <c r="F81" i="39"/>
  <c r="F79" i="39"/>
  <c r="F77" i="39"/>
  <c r="F75" i="39"/>
  <c r="F73" i="39"/>
  <c r="F71" i="39"/>
  <c r="F69" i="39"/>
  <c r="F67" i="39"/>
  <c r="F63" i="39"/>
  <c r="F61" i="39"/>
  <c r="F59" i="39"/>
  <c r="F53" i="39"/>
  <c r="F48" i="39"/>
  <c r="F45" i="39"/>
  <c r="F41" i="39"/>
  <c r="F40" i="39"/>
  <c r="F39" i="39"/>
  <c r="F37" i="39"/>
  <c r="F35" i="39"/>
  <c r="F33" i="39"/>
  <c r="F31" i="39"/>
  <c r="F29" i="39"/>
  <c r="F27" i="39"/>
  <c r="F25" i="39"/>
  <c r="F23" i="39"/>
  <c r="F21" i="39"/>
  <c r="F19" i="39"/>
  <c r="F17" i="39"/>
  <c r="F15" i="39"/>
  <c r="F13" i="39"/>
  <c r="F11" i="39"/>
  <c r="F9" i="39"/>
  <c r="F7" i="39"/>
  <c r="F5" i="39"/>
  <c r="F4" i="39"/>
  <c r="F3" i="39"/>
  <c r="F162" i="39"/>
  <c r="M175" i="39"/>
  <c r="M183" i="39"/>
  <c r="M191" i="39"/>
  <c r="M99" i="39"/>
  <c r="M187" i="39"/>
  <c r="M195" i="39"/>
  <c r="M256" i="39"/>
  <c r="M248" i="39"/>
  <c r="M240" i="39"/>
  <c r="M214" i="39"/>
  <c r="M189" i="39"/>
  <c r="M150" i="39"/>
  <c r="M146" i="39"/>
  <c r="M142" i="39"/>
  <c r="M134" i="39"/>
  <c r="M130" i="39"/>
  <c r="M122" i="39"/>
  <c r="M41" i="39"/>
  <c r="M37" i="39"/>
  <c r="M33" i="39"/>
  <c r="M29" i="39"/>
  <c r="M25" i="39"/>
  <c r="M21" i="39"/>
  <c r="M17" i="39"/>
  <c r="M9" i="39"/>
  <c r="M5" i="39"/>
  <c r="M264" i="39"/>
  <c r="M246" i="39"/>
  <c r="M201" i="39"/>
  <c r="M90" i="39"/>
  <c r="M78" i="39"/>
  <c r="M74" i="39"/>
  <c r="M70" i="39"/>
  <c r="M62" i="39"/>
  <c r="M59" i="39"/>
  <c r="M55" i="39"/>
  <c r="M51" i="39"/>
  <c r="M47" i="39"/>
  <c r="M43" i="39"/>
  <c r="M34" i="39"/>
  <c r="M30" i="39"/>
  <c r="M26" i="39"/>
  <c r="M14" i="39"/>
  <c r="M10" i="39"/>
  <c r="M6" i="39"/>
  <c r="M265" i="39"/>
  <c r="M257" i="39"/>
  <c r="M260" i="39"/>
  <c r="M216" i="39"/>
  <c r="M181" i="39"/>
  <c r="M168" i="39"/>
  <c r="M152" i="39"/>
  <c r="M148" i="39"/>
  <c r="M144" i="39"/>
  <c r="M140" i="39"/>
  <c r="M136" i="39"/>
  <c r="M132" i="39"/>
  <c r="M124" i="39"/>
  <c r="M116" i="39"/>
  <c r="M112" i="39"/>
  <c r="M101" i="39"/>
  <c r="M35" i="39"/>
  <c r="M31" i="39"/>
  <c r="M27" i="39"/>
  <c r="M23" i="39"/>
  <c r="M15" i="39"/>
  <c r="M11" i="39"/>
  <c r="M258" i="39"/>
  <c r="M250" i="39"/>
  <c r="M242" i="39"/>
  <c r="M232" i="39"/>
  <c r="M241" i="39"/>
  <c r="M193" i="39"/>
  <c r="M105" i="39"/>
  <c r="M88" i="39"/>
  <c r="M84" i="39"/>
  <c r="M80" i="39"/>
  <c r="M76" i="39"/>
  <c r="M72" i="39"/>
  <c r="M68" i="39"/>
  <c r="M64" i="39"/>
  <c r="M60" i="39"/>
  <c r="M49" i="39"/>
  <c r="M45" i="39"/>
  <c r="M40" i="39"/>
  <c r="M36" i="39"/>
  <c r="M32" i="39"/>
  <c r="M28" i="39"/>
  <c r="M24" i="39"/>
  <c r="M20" i="39"/>
  <c r="M12" i="39"/>
  <c r="M8" i="39"/>
  <c r="M263" i="39"/>
  <c r="M259" i="39"/>
  <c r="M247" i="39"/>
  <c r="M243" i="39"/>
  <c r="M233" i="39"/>
  <c r="M253" i="39"/>
  <c r="M245" i="39"/>
  <c r="M190" i="39"/>
  <c r="M161" i="39"/>
  <c r="M143" i="39"/>
  <c r="M139" i="39"/>
  <c r="M135" i="39"/>
  <c r="M127" i="39"/>
  <c r="M119" i="39"/>
  <c r="M111" i="39"/>
  <c r="M192" i="39"/>
  <c r="M104" i="39"/>
  <c r="M95" i="39"/>
  <c r="M91" i="39"/>
  <c r="M83" i="39"/>
  <c r="M79" i="39"/>
  <c r="M249" i="39"/>
  <c r="M215" i="39"/>
  <c r="M194" i="39"/>
  <c r="M178" i="39"/>
  <c r="M171" i="39"/>
  <c r="M145" i="39"/>
  <c r="M141" i="39"/>
  <c r="M137" i="39"/>
  <c r="M129" i="39"/>
  <c r="M125" i="39"/>
  <c r="M188" i="39"/>
  <c r="M108" i="39"/>
  <c r="M100" i="39"/>
  <c r="M106" i="39"/>
  <c r="M98" i="39"/>
  <c r="M89" i="39"/>
  <c r="M85" i="39"/>
  <c r="M81" i="39"/>
  <c r="M77" i="39"/>
  <c r="M73" i="39"/>
  <c r="M65" i="39"/>
  <c r="M46" i="39"/>
  <c r="M48" i="39"/>
  <c r="M2" i="39"/>
  <c r="M63" i="39"/>
  <c r="M50" i="39"/>
  <c r="M42" i="39"/>
  <c r="M44" i="39"/>
  <c r="M157" i="39"/>
  <c r="M156" i="39"/>
  <c r="M103" i="39"/>
  <c r="M199" i="39"/>
  <c r="M107" i="39"/>
  <c r="M179" i="39"/>
  <c r="M203" i="39"/>
  <c r="M262" i="39"/>
  <c r="M234" i="39"/>
  <c r="M226" i="39"/>
  <c r="M218" i="39"/>
  <c r="M210" i="39"/>
  <c r="M205" i="39"/>
  <c r="M173" i="39"/>
  <c r="M170" i="39"/>
  <c r="M166" i="39"/>
  <c r="M162" i="39"/>
  <c r="M158" i="39"/>
  <c r="M154" i="39"/>
  <c r="M138" i="39"/>
  <c r="M126" i="39"/>
  <c r="M118" i="39"/>
  <c r="M114" i="39"/>
  <c r="M109" i="39"/>
  <c r="M13" i="39"/>
  <c r="M254" i="39"/>
  <c r="M236" i="39"/>
  <c r="M228" i="39"/>
  <c r="M220" i="39"/>
  <c r="M185" i="39"/>
  <c r="M97" i="39"/>
  <c r="M94" i="39"/>
  <c r="M86" i="39"/>
  <c r="M82" i="39"/>
  <c r="M66" i="39"/>
  <c r="M38" i="39"/>
  <c r="M22" i="39"/>
  <c r="M18" i="39"/>
  <c r="M261" i="39"/>
  <c r="M252" i="39"/>
  <c r="M244" i="39"/>
  <c r="M238" i="39"/>
  <c r="M230" i="39"/>
  <c r="M222" i="39"/>
  <c r="M212" i="39"/>
  <c r="M208" i="39"/>
  <c r="M197" i="39"/>
  <c r="M172" i="39"/>
  <c r="M164" i="39"/>
  <c r="M160" i="39"/>
  <c r="M128" i="39"/>
  <c r="M120" i="39"/>
  <c r="M39" i="39"/>
  <c r="M19" i="39"/>
  <c r="M7" i="39"/>
  <c r="M3" i="39"/>
  <c r="M224" i="39"/>
  <c r="M177" i="39"/>
  <c r="M96" i="39"/>
  <c r="M92" i="39"/>
  <c r="M57" i="39"/>
  <c r="M53" i="39"/>
  <c r="M16" i="39"/>
  <c r="M4" i="39"/>
  <c r="M255" i="39"/>
  <c r="M251" i="39"/>
  <c r="M237" i="39"/>
  <c r="M229" i="39"/>
  <c r="M225" i="39"/>
  <c r="M221" i="39"/>
  <c r="M217" i="39"/>
  <c r="M213" i="39"/>
  <c r="M209" i="39"/>
  <c r="M235" i="39"/>
  <c r="M227" i="39"/>
  <c r="M219" i="39"/>
  <c r="M211" i="39"/>
  <c r="M206" i="39"/>
  <c r="M198" i="39"/>
  <c r="M182" i="39"/>
  <c r="M174" i="39"/>
  <c r="M169" i="39"/>
  <c r="M165" i="39"/>
  <c r="M155" i="39"/>
  <c r="M151" i="39"/>
  <c r="M147" i="39"/>
  <c r="M131" i="39"/>
  <c r="M123" i="39"/>
  <c r="M115" i="39"/>
  <c r="M200" i="39"/>
  <c r="M184" i="39"/>
  <c r="M176" i="39"/>
  <c r="M110" i="39"/>
  <c r="M102" i="39"/>
  <c r="M87" i="39"/>
  <c r="M75" i="39"/>
  <c r="M71" i="39"/>
  <c r="M67" i="39"/>
  <c r="M58" i="39"/>
  <c r="M52" i="39"/>
  <c r="M239" i="39"/>
  <c r="M231" i="39"/>
  <c r="M223" i="39"/>
  <c r="M207" i="39"/>
  <c r="M202" i="39"/>
  <c r="M186" i="39"/>
  <c r="M167" i="39"/>
  <c r="M163" i="39"/>
  <c r="M159" i="39"/>
  <c r="M153" i="39"/>
  <c r="M149" i="39"/>
  <c r="M133" i="39"/>
  <c r="M121" i="39"/>
  <c r="M117" i="39"/>
  <c r="M113" i="39"/>
  <c r="M204" i="39"/>
  <c r="M196" i="39"/>
  <c r="M180" i="39"/>
  <c r="M93" i="39"/>
  <c r="M69" i="39"/>
  <c r="M61" i="39"/>
  <c r="M54" i="39"/>
  <c r="M56" i="39"/>
  <c r="F197" i="39"/>
  <c r="F195" i="39"/>
  <c r="F163" i="39"/>
  <c r="F159" i="39"/>
  <c r="F155" i="39"/>
  <c r="F151" i="39"/>
  <c r="F147" i="39"/>
  <c r="F143" i="39"/>
  <c r="F139" i="39"/>
  <c r="F135" i="39"/>
  <c r="F132" i="39"/>
  <c r="F130" i="39"/>
  <c r="F128" i="39"/>
  <c r="F126" i="39"/>
  <c r="F124" i="39"/>
  <c r="F122" i="39"/>
  <c r="F120" i="39"/>
  <c r="F118" i="39"/>
  <c r="F116" i="39"/>
  <c r="F114" i="39"/>
  <c r="F112" i="39"/>
  <c r="F108" i="39"/>
  <c r="F106" i="39"/>
  <c r="F104" i="39"/>
  <c r="F102" i="39"/>
  <c r="F100" i="39"/>
  <c r="F98" i="39"/>
  <c r="F96" i="39"/>
  <c r="F94" i="39"/>
  <c r="F92" i="39"/>
  <c r="F90" i="39"/>
  <c r="F88" i="39"/>
  <c r="F86" i="39"/>
  <c r="F84" i="39"/>
  <c r="F82" i="39"/>
  <c r="F80" i="39"/>
  <c r="F76" i="39"/>
  <c r="F74" i="39"/>
  <c r="F72" i="39"/>
  <c r="F70" i="39"/>
  <c r="F68" i="39"/>
  <c r="F66" i="39"/>
  <c r="F64" i="39"/>
  <c r="F62" i="39"/>
  <c r="F60" i="39"/>
  <c r="F165" i="39"/>
  <c r="F161" i="39"/>
  <c r="F157" i="39"/>
  <c r="F153" i="39"/>
  <c r="F149" i="39"/>
  <c r="F145" i="39"/>
  <c r="F141" i="39"/>
  <c r="F137" i="39"/>
  <c r="F133" i="39"/>
  <c r="F58" i="39"/>
  <c r="F54" i="39"/>
  <c r="F50" i="39"/>
  <c r="F46" i="39"/>
  <c r="F56" i="39"/>
  <c r="F52" i="39"/>
  <c r="F44" i="39"/>
  <c r="F2" i="39"/>
  <c r="F2" i="38"/>
  <c r="AT49" i="47" l="1"/>
  <c r="AU49" i="47" s="1"/>
  <c r="HR49" i="47" s="1"/>
  <c r="AR50" i="47"/>
  <c r="G133" i="15"/>
  <c r="O96" i="16" s="1"/>
  <c r="F26" i="38"/>
  <c r="M267" i="39"/>
  <c r="F267" i="39"/>
  <c r="GI12" i="35"/>
  <c r="GI14" i="35"/>
  <c r="GI18" i="35"/>
  <c r="GI22" i="35"/>
  <c r="GI36" i="35"/>
  <c r="B95" i="15"/>
  <c r="B96" i="15" s="1"/>
  <c r="B97" i="15" s="1"/>
  <c r="B98" i="15" s="1"/>
  <c r="B99" i="15" s="1"/>
  <c r="B100" i="15" s="1"/>
  <c r="B101" i="15" s="1"/>
  <c r="B102" i="15" s="1"/>
  <c r="B103" i="15" s="1"/>
  <c r="B104" i="15" s="1"/>
  <c r="CM9" i="35"/>
  <c r="CM10" i="35"/>
  <c r="CM11" i="35"/>
  <c r="CM12" i="35"/>
  <c r="CM13" i="35"/>
  <c r="CM14" i="35"/>
  <c r="CM15" i="35"/>
  <c r="CM16" i="35"/>
  <c r="CM17" i="35"/>
  <c r="CM18" i="35"/>
  <c r="CM19" i="35"/>
  <c r="CM20" i="35"/>
  <c r="CM21" i="35"/>
  <c r="CM22" i="35"/>
  <c r="CM23" i="35"/>
  <c r="CM24" i="35"/>
  <c r="CM25" i="35"/>
  <c r="CM26" i="35"/>
  <c r="CM27" i="35"/>
  <c r="CM28" i="35"/>
  <c r="CM29" i="35"/>
  <c r="CM30" i="35"/>
  <c r="CM31" i="35"/>
  <c r="CM32" i="35"/>
  <c r="CM33" i="35"/>
  <c r="CM34" i="35"/>
  <c r="CM35" i="35"/>
  <c r="CM36" i="35"/>
  <c r="CM37" i="35"/>
  <c r="CM38" i="35"/>
  <c r="CM39" i="35"/>
  <c r="CM40" i="35"/>
  <c r="CM8" i="35"/>
  <c r="JA8" i="35"/>
  <c r="JB8" i="35" s="1"/>
  <c r="IV11" i="35"/>
  <c r="BK53" i="53" s="1"/>
  <c r="IV12" i="35"/>
  <c r="BK54" i="53" s="1"/>
  <c r="IV13" i="35"/>
  <c r="BK55" i="53" s="1"/>
  <c r="IV14" i="35"/>
  <c r="BK56" i="53" s="1"/>
  <c r="IV15" i="35"/>
  <c r="BK57" i="53" s="1"/>
  <c r="IV16" i="35"/>
  <c r="BK58" i="53" s="1"/>
  <c r="IV17" i="35"/>
  <c r="BK59" i="53" s="1"/>
  <c r="IV18" i="35"/>
  <c r="BK60" i="53" s="1"/>
  <c r="IV19" i="35"/>
  <c r="BK61" i="53" s="1"/>
  <c r="IV20" i="35"/>
  <c r="BK62" i="53" s="1"/>
  <c r="IV21" i="35"/>
  <c r="BK63" i="53" s="1"/>
  <c r="IV22" i="35"/>
  <c r="BK64" i="53" s="1"/>
  <c r="IV23" i="35"/>
  <c r="BK65" i="53" s="1"/>
  <c r="IV24" i="35"/>
  <c r="BK66" i="53" s="1"/>
  <c r="IV25" i="35"/>
  <c r="BK67" i="53" s="1"/>
  <c r="IV26" i="35"/>
  <c r="BK68" i="53" s="1"/>
  <c r="IV27" i="35"/>
  <c r="BK69" i="53" s="1"/>
  <c r="IV28" i="35"/>
  <c r="BK70" i="53" s="1"/>
  <c r="IV29" i="35"/>
  <c r="BK71" i="53" s="1"/>
  <c r="IV30" i="35"/>
  <c r="BK72" i="53" s="1"/>
  <c r="IV31" i="35"/>
  <c r="BK73" i="53" s="1"/>
  <c r="IV32" i="35"/>
  <c r="BK74" i="53" s="1"/>
  <c r="IV33" i="35"/>
  <c r="BK75" i="53" s="1"/>
  <c r="IV34" i="35"/>
  <c r="BK76" i="53" s="1"/>
  <c r="IV35" i="35"/>
  <c r="BK77" i="53" s="1"/>
  <c r="IV36" i="35"/>
  <c r="BK78" i="53" s="1"/>
  <c r="IV37" i="35"/>
  <c r="BK79" i="53" s="1"/>
  <c r="IV38" i="35"/>
  <c r="BK80" i="53" s="1"/>
  <c r="IV39" i="35"/>
  <c r="BK81" i="53" s="1"/>
  <c r="IV40" i="35"/>
  <c r="BK82" i="53" s="1"/>
  <c r="IW9" i="35"/>
  <c r="IX8" i="35"/>
  <c r="HZ8" i="35"/>
  <c r="HN9" i="35"/>
  <c r="HN10" i="35"/>
  <c r="HN11" i="35"/>
  <c r="HN12" i="35"/>
  <c r="HN13" i="35"/>
  <c r="HN14" i="35"/>
  <c r="HN15" i="35"/>
  <c r="HN16" i="35"/>
  <c r="HN17" i="35"/>
  <c r="HN18" i="35"/>
  <c r="HN19" i="35"/>
  <c r="HN20" i="35"/>
  <c r="HN21" i="35"/>
  <c r="HN22" i="35"/>
  <c r="HN23" i="35"/>
  <c r="HN24" i="35"/>
  <c r="HN25" i="35"/>
  <c r="HN26" i="35"/>
  <c r="HN27" i="35"/>
  <c r="HN28" i="35"/>
  <c r="HN29" i="35"/>
  <c r="HN30" i="35"/>
  <c r="HN31" i="35"/>
  <c r="HN32" i="35"/>
  <c r="HN33" i="35"/>
  <c r="HN34" i="35"/>
  <c r="HN35" i="35"/>
  <c r="HN36" i="35"/>
  <c r="HN37" i="35"/>
  <c r="HN38" i="35"/>
  <c r="HN39" i="35"/>
  <c r="HN40" i="35"/>
  <c r="HN8" i="35"/>
  <c r="HD9" i="35"/>
  <c r="HE9" i="35" s="1"/>
  <c r="HD10" i="35"/>
  <c r="HE10" i="35" s="1"/>
  <c r="HD11" i="35"/>
  <c r="HE11" i="35" s="1"/>
  <c r="HD12" i="35"/>
  <c r="HE12" i="35" s="1"/>
  <c r="HD13" i="35"/>
  <c r="HE13" i="35" s="1"/>
  <c r="HD14" i="35"/>
  <c r="HE14" i="35" s="1"/>
  <c r="HD15" i="35"/>
  <c r="HE15" i="35" s="1"/>
  <c r="HD16" i="35"/>
  <c r="HE16" i="35" s="1"/>
  <c r="HD17" i="35"/>
  <c r="HE17" i="35" s="1"/>
  <c r="HD18" i="35"/>
  <c r="HE18" i="35" s="1"/>
  <c r="HD19" i="35"/>
  <c r="HE19" i="35" s="1"/>
  <c r="HD20" i="35"/>
  <c r="HE20" i="35" s="1"/>
  <c r="HD21" i="35"/>
  <c r="HE21" i="35" s="1"/>
  <c r="HD22" i="35"/>
  <c r="HE22" i="35" s="1"/>
  <c r="HD23" i="35"/>
  <c r="HE23" i="35" s="1"/>
  <c r="HD24" i="35"/>
  <c r="HE24" i="35" s="1"/>
  <c r="HD25" i="35"/>
  <c r="HE25" i="35" s="1"/>
  <c r="HD26" i="35"/>
  <c r="HE26" i="35" s="1"/>
  <c r="HD27" i="35"/>
  <c r="HE27" i="35" s="1"/>
  <c r="HD28" i="35"/>
  <c r="HE28" i="35" s="1"/>
  <c r="HD29" i="35"/>
  <c r="HE29" i="35" s="1"/>
  <c r="HD30" i="35"/>
  <c r="HE30" i="35" s="1"/>
  <c r="HD31" i="35"/>
  <c r="HE31" i="35" s="1"/>
  <c r="HD32" i="35"/>
  <c r="HE32" i="35" s="1"/>
  <c r="HD33" i="35"/>
  <c r="HE33" i="35" s="1"/>
  <c r="HD34" i="35"/>
  <c r="HE34" i="35" s="1"/>
  <c r="HD35" i="35"/>
  <c r="HE35" i="35" s="1"/>
  <c r="HD36" i="35"/>
  <c r="HE36" i="35" s="1"/>
  <c r="HD37" i="35"/>
  <c r="HE37" i="35" s="1"/>
  <c r="HD38" i="35"/>
  <c r="HE38" i="35" s="1"/>
  <c r="HD39" i="35"/>
  <c r="HE39" i="35" s="1"/>
  <c r="HD40" i="35"/>
  <c r="HE40" i="35" s="1"/>
  <c r="HD8" i="35"/>
  <c r="HE8" i="35" s="1"/>
  <c r="GB9" i="35"/>
  <c r="GB10" i="35"/>
  <c r="GB11" i="35"/>
  <c r="GB12" i="35"/>
  <c r="GB13" i="35"/>
  <c r="GB14" i="35"/>
  <c r="GB15" i="35"/>
  <c r="GB16" i="35"/>
  <c r="GB17" i="35"/>
  <c r="GB18" i="35"/>
  <c r="GB19" i="35"/>
  <c r="GB20" i="35"/>
  <c r="GB21" i="35"/>
  <c r="GB22" i="35"/>
  <c r="GB23" i="35"/>
  <c r="GB24" i="35"/>
  <c r="GB25" i="35"/>
  <c r="GB26" i="35"/>
  <c r="GB27" i="35"/>
  <c r="GB28" i="35"/>
  <c r="GB29" i="35"/>
  <c r="GB30" i="35"/>
  <c r="GB31" i="35"/>
  <c r="GB32" i="35"/>
  <c r="GB33" i="35"/>
  <c r="GB34" i="35"/>
  <c r="GB35" i="35"/>
  <c r="GB36" i="35"/>
  <c r="GB37" i="35"/>
  <c r="GB38" i="35"/>
  <c r="GB39" i="35"/>
  <c r="GB40" i="35"/>
  <c r="GB8" i="35"/>
  <c r="DC9" i="35"/>
  <c r="DC10" i="35"/>
  <c r="DC13" i="35"/>
  <c r="DC16" i="35"/>
  <c r="DC17" i="35"/>
  <c r="DC18" i="35"/>
  <c r="DC19" i="35"/>
  <c r="DC20" i="35"/>
  <c r="DC21" i="35"/>
  <c r="DC23" i="35"/>
  <c r="DC24" i="35"/>
  <c r="DC25" i="35"/>
  <c r="DC26" i="35"/>
  <c r="DC27" i="35"/>
  <c r="DC30" i="35"/>
  <c r="DC32" i="35"/>
  <c r="DC35" i="35"/>
  <c r="DC36" i="35"/>
  <c r="DC40" i="35"/>
  <c r="CY9" i="35"/>
  <c r="CY10" i="35"/>
  <c r="CY13" i="35"/>
  <c r="CY16" i="35"/>
  <c r="CY17" i="35"/>
  <c r="CY18" i="35"/>
  <c r="CY19" i="35"/>
  <c r="CY20" i="35"/>
  <c r="CY21" i="35"/>
  <c r="CY23" i="35"/>
  <c r="CY24" i="35"/>
  <c r="CY25" i="35"/>
  <c r="CY26" i="35"/>
  <c r="CY27" i="35"/>
  <c r="CY30" i="35"/>
  <c r="CY32" i="35"/>
  <c r="CY35" i="35"/>
  <c r="CY36" i="35"/>
  <c r="CY40" i="35"/>
  <c r="CT9" i="35"/>
  <c r="CU9" i="35" s="1"/>
  <c r="CT10" i="35"/>
  <c r="CU10" i="35" s="1"/>
  <c r="CT12" i="35"/>
  <c r="CU12" i="35" s="1"/>
  <c r="CT13" i="35"/>
  <c r="CU13" i="35" s="1"/>
  <c r="CT16" i="35"/>
  <c r="CU16" i="35" s="1"/>
  <c r="CT17" i="35"/>
  <c r="CU17" i="35" s="1"/>
  <c r="CT18" i="35"/>
  <c r="CU18" i="35" s="1"/>
  <c r="CT19" i="35"/>
  <c r="CU19" i="35" s="1"/>
  <c r="CT20" i="35"/>
  <c r="CU20" i="35" s="1"/>
  <c r="CT21" i="35"/>
  <c r="CU21" i="35" s="1"/>
  <c r="CT23" i="35"/>
  <c r="CU23" i="35" s="1"/>
  <c r="CT24" i="35"/>
  <c r="CU24" i="35" s="1"/>
  <c r="CT25" i="35"/>
  <c r="CU25" i="35" s="1"/>
  <c r="CT26" i="35"/>
  <c r="CU26" i="35" s="1"/>
  <c r="CT27" i="35"/>
  <c r="CU27" i="35" s="1"/>
  <c r="CT29" i="35"/>
  <c r="CU29" i="35" s="1"/>
  <c r="CT30" i="35"/>
  <c r="CU30" i="35" s="1"/>
  <c r="CT31" i="35"/>
  <c r="CU31" i="35" s="1"/>
  <c r="CT32" i="35"/>
  <c r="CU32" i="35" s="1"/>
  <c r="CT33" i="35"/>
  <c r="CU33" i="35" s="1"/>
  <c r="CT34" i="35"/>
  <c r="CU34" i="35" s="1"/>
  <c r="CT35" i="35"/>
  <c r="CU35" i="35" s="1"/>
  <c r="CT36" i="35"/>
  <c r="CU36" i="35" s="1"/>
  <c r="CT38" i="35"/>
  <c r="CU38" i="35" s="1"/>
  <c r="CT39" i="35"/>
  <c r="CU39" i="35" s="1"/>
  <c r="CT40" i="35"/>
  <c r="CU40" i="35" s="1"/>
  <c r="CC18" i="35"/>
  <c r="CC19" i="35"/>
  <c r="CC24" i="35"/>
  <c r="CC25" i="35"/>
  <c r="CC9" i="35"/>
  <c r="CC10" i="35"/>
  <c r="AX8" i="35"/>
  <c r="AY8" i="35" s="1"/>
  <c r="AE8" i="35"/>
  <c r="AP17" i="35"/>
  <c r="AQ17" i="35" s="1"/>
  <c r="AP18" i="35"/>
  <c r="AQ18" i="35" s="1"/>
  <c r="AP19" i="35"/>
  <c r="AQ19" i="35" s="1"/>
  <c r="AP20" i="35"/>
  <c r="AQ20" i="35" s="1"/>
  <c r="AP21" i="35"/>
  <c r="AQ21" i="35" s="1"/>
  <c r="AP22" i="35"/>
  <c r="AQ22" i="35" s="1"/>
  <c r="AP23" i="35"/>
  <c r="AQ23" i="35" s="1"/>
  <c r="AP24" i="35"/>
  <c r="AQ24" i="35" s="1"/>
  <c r="AP25" i="35"/>
  <c r="AQ25" i="35" s="1"/>
  <c r="AP26" i="35"/>
  <c r="AQ26" i="35" s="1"/>
  <c r="AP27" i="35"/>
  <c r="AQ27" i="35" s="1"/>
  <c r="AP28" i="35"/>
  <c r="AQ28" i="35" s="1"/>
  <c r="AP29" i="35"/>
  <c r="AQ29" i="35" s="1"/>
  <c r="AP30" i="35"/>
  <c r="AQ30" i="35" s="1"/>
  <c r="AP31" i="35"/>
  <c r="AQ31" i="35" s="1"/>
  <c r="AP32" i="35"/>
  <c r="AQ32" i="35" s="1"/>
  <c r="AP33" i="35"/>
  <c r="AQ33" i="35" s="1"/>
  <c r="AP34" i="35"/>
  <c r="AQ34" i="35" s="1"/>
  <c r="AP35" i="35"/>
  <c r="AQ35" i="35" s="1"/>
  <c r="AP36" i="35"/>
  <c r="AQ36" i="35" s="1"/>
  <c r="AP37" i="35"/>
  <c r="AQ37" i="35" s="1"/>
  <c r="AP38" i="35"/>
  <c r="AQ38" i="35" s="1"/>
  <c r="AP39" i="35"/>
  <c r="AQ39" i="35" s="1"/>
  <c r="AP40" i="35"/>
  <c r="AQ40" i="35" s="1"/>
  <c r="AQ9" i="35"/>
  <c r="AP10" i="35"/>
  <c r="AQ10" i="35" s="1"/>
  <c r="AP11" i="35"/>
  <c r="AQ11" i="35" s="1"/>
  <c r="AP12" i="35"/>
  <c r="AQ12" i="35" s="1"/>
  <c r="AP13" i="35"/>
  <c r="AQ13" i="35" s="1"/>
  <c r="AP14" i="35"/>
  <c r="AQ14" i="35" s="1"/>
  <c r="AP15" i="35"/>
  <c r="AQ15" i="35" s="1"/>
  <c r="AP16" i="35"/>
  <c r="AQ16" i="35" s="1"/>
  <c r="AQ8" i="35"/>
  <c r="AD9" i="35"/>
  <c r="AE9" i="35" s="1"/>
  <c r="AD10" i="35"/>
  <c r="AE10" i="35" s="1"/>
  <c r="AD11" i="35"/>
  <c r="AE11" i="35" s="1"/>
  <c r="AD12" i="35"/>
  <c r="AE12" i="35" s="1"/>
  <c r="AD13" i="35"/>
  <c r="AE13" i="35" s="1"/>
  <c r="AD14" i="35"/>
  <c r="AE14" i="35" s="1"/>
  <c r="AD15" i="35"/>
  <c r="AE15" i="35" s="1"/>
  <c r="AD16" i="35"/>
  <c r="AE16" i="35" s="1"/>
  <c r="AD17" i="35"/>
  <c r="AE17" i="35" s="1"/>
  <c r="AD18" i="35"/>
  <c r="AE18" i="35" s="1"/>
  <c r="AD19" i="35"/>
  <c r="AE19" i="35" s="1"/>
  <c r="AD20" i="35"/>
  <c r="AE20" i="35" s="1"/>
  <c r="AD21" i="35"/>
  <c r="AE21" i="35" s="1"/>
  <c r="AD22" i="35"/>
  <c r="AE22" i="35" s="1"/>
  <c r="AD23" i="35"/>
  <c r="AE23" i="35" s="1"/>
  <c r="AD24" i="35"/>
  <c r="AE24" i="35" s="1"/>
  <c r="AD25" i="35"/>
  <c r="AE25" i="35" s="1"/>
  <c r="AD26" i="35"/>
  <c r="AE26" i="35" s="1"/>
  <c r="AD27" i="35"/>
  <c r="AE27" i="35" s="1"/>
  <c r="AD28" i="35"/>
  <c r="AE28" i="35" s="1"/>
  <c r="AD29" i="35"/>
  <c r="AE29" i="35" s="1"/>
  <c r="AD30" i="35"/>
  <c r="AE30" i="35" s="1"/>
  <c r="AD31" i="35"/>
  <c r="AE31" i="35" s="1"/>
  <c r="AD32" i="35"/>
  <c r="AE32" i="35" s="1"/>
  <c r="AD33" i="35"/>
  <c r="AE33" i="35" s="1"/>
  <c r="AD34" i="35"/>
  <c r="AE34" i="35" s="1"/>
  <c r="AD35" i="35"/>
  <c r="AE35" i="35" s="1"/>
  <c r="AD36" i="35"/>
  <c r="AE36" i="35" s="1"/>
  <c r="AD37" i="35"/>
  <c r="AE37" i="35" s="1"/>
  <c r="AD38" i="35"/>
  <c r="AE38" i="35" s="1"/>
  <c r="AD39" i="35"/>
  <c r="AE39" i="35" s="1"/>
  <c r="AD40" i="35"/>
  <c r="AE40" i="35" s="1"/>
  <c r="AM44" i="15"/>
  <c r="AM45" i="15" s="1"/>
  <c r="AM46" i="15" s="1"/>
  <c r="AM47" i="15" s="1"/>
  <c r="W30" i="15"/>
  <c r="W31" i="15" s="1"/>
  <c r="W32" i="15" s="1"/>
  <c r="W33" i="15" s="1"/>
  <c r="IV43" i="35" l="1"/>
  <c r="O88" i="16" s="1"/>
  <c r="L136" i="48" s="1"/>
  <c r="AR51" i="47"/>
  <c r="AT50" i="47"/>
  <c r="AU50" i="47" s="1"/>
  <c r="HR50" i="47" s="1"/>
  <c r="E130" i="15"/>
  <c r="GI9" i="35"/>
  <c r="GI10" i="35"/>
  <c r="GI13" i="35"/>
  <c r="GI15" i="35"/>
  <c r="GI21" i="35"/>
  <c r="GI39" i="35"/>
  <c r="GI38" i="35"/>
  <c r="GI37" i="35"/>
  <c r="GI32" i="35"/>
  <c r="GI31" i="35"/>
  <c r="GI30" i="35"/>
  <c r="GI29" i="35"/>
  <c r="GI34" i="35"/>
  <c r="GI28" i="35"/>
  <c r="GI26" i="35"/>
  <c r="GI24" i="35"/>
  <c r="GI20" i="35"/>
  <c r="GI16" i="35"/>
  <c r="GI35" i="35"/>
  <c r="GI33" i="35"/>
  <c r="GI27" i="35"/>
  <c r="GI25" i="35"/>
  <c r="GI23" i="35"/>
  <c r="GI19" i="35"/>
  <c r="GI17" i="35"/>
  <c r="GI11" i="35"/>
  <c r="GI8" i="35"/>
  <c r="GI40" i="35"/>
  <c r="JA10" i="35"/>
  <c r="JB10" i="35" s="1"/>
  <c r="JA9" i="35"/>
  <c r="JB9" i="35" s="1"/>
  <c r="IX9" i="35"/>
  <c r="AR52" i="47" l="1"/>
  <c r="AT51" i="47"/>
  <c r="AU51" i="47" s="1"/>
  <c r="HR51" i="47" s="1"/>
  <c r="O98" i="16"/>
  <c r="IW10" i="35"/>
  <c r="IX10" i="35" s="1"/>
  <c r="JA11" i="35"/>
  <c r="JB11" i="35" s="1"/>
  <c r="AT52" i="47" l="1"/>
  <c r="AU52" i="47" s="1"/>
  <c r="HR52" i="47" s="1"/>
  <c r="AR53" i="47"/>
  <c r="IW11" i="35"/>
  <c r="IX11" i="35" s="1"/>
  <c r="JA12" i="35"/>
  <c r="JB12" i="35" s="1"/>
  <c r="BZ9" i="35"/>
  <c r="AV9" i="35"/>
  <c r="M9" i="53" s="1"/>
  <c r="BZ10" i="35" l="1"/>
  <c r="AE9" i="53"/>
  <c r="AT53" i="47"/>
  <c r="AU53" i="47" s="1"/>
  <c r="HR53" i="47" s="1"/>
  <c r="AR54" i="47"/>
  <c r="IW12" i="35"/>
  <c r="IX12" i="35" s="1"/>
  <c r="JA13" i="35"/>
  <c r="JB13" i="35" s="1"/>
  <c r="AV10" i="35"/>
  <c r="M10" i="53" s="1"/>
  <c r="AX9" i="35"/>
  <c r="AY9" i="35" s="1"/>
  <c r="BZ11" i="35" l="1"/>
  <c r="AE10" i="53"/>
  <c r="AR55" i="47"/>
  <c r="AT54" i="47"/>
  <c r="AU54" i="47" s="1"/>
  <c r="HR54" i="47" s="1"/>
  <c r="IW13" i="35"/>
  <c r="IX13" i="35" s="1"/>
  <c r="JA14" i="35"/>
  <c r="JB14" i="35" s="1"/>
  <c r="AV11" i="35"/>
  <c r="M11" i="53" s="1"/>
  <c r="AX10" i="35"/>
  <c r="AY10" i="35" s="1"/>
  <c r="HW9" i="35"/>
  <c r="HY9" i="35" l="1"/>
  <c r="HZ9" i="35" s="1"/>
  <c r="AX51" i="53"/>
  <c r="BZ12" i="35"/>
  <c r="AE11" i="53"/>
  <c r="AR56" i="47"/>
  <c r="AT55" i="47"/>
  <c r="AU55" i="47" s="1"/>
  <c r="HR55" i="47" s="1"/>
  <c r="IW14" i="35"/>
  <c r="IX14" i="35" s="1"/>
  <c r="JA15" i="35"/>
  <c r="JB15" i="35" s="1"/>
  <c r="AV12" i="35"/>
  <c r="M12" i="53" s="1"/>
  <c r="AX11" i="35"/>
  <c r="AY11" i="35" s="1"/>
  <c r="HW10" i="35"/>
  <c r="AX52" i="53" s="1"/>
  <c r="BZ13" i="35" l="1"/>
  <c r="AE13" i="53" s="1"/>
  <c r="AE12" i="53"/>
  <c r="AT56" i="47"/>
  <c r="AU56" i="47" s="1"/>
  <c r="HR56" i="47" s="1"/>
  <c r="AR57" i="47"/>
  <c r="IW15" i="35"/>
  <c r="IX15" i="35" s="1"/>
  <c r="JA16" i="35"/>
  <c r="JB16" i="35" s="1"/>
  <c r="HW11" i="35"/>
  <c r="AX53" i="53" s="1"/>
  <c r="HY10" i="35"/>
  <c r="HZ10" i="35" s="1"/>
  <c r="AV13" i="35"/>
  <c r="M13" i="53" s="1"/>
  <c r="AX12" i="35"/>
  <c r="AY12" i="35" s="1"/>
  <c r="AT57" i="47" l="1"/>
  <c r="AU57" i="47" s="1"/>
  <c r="HR57" i="47" s="1"/>
  <c r="AR58" i="47"/>
  <c r="IW16" i="35"/>
  <c r="IX16" i="35" s="1"/>
  <c r="JA17" i="35"/>
  <c r="JB17" i="35" s="1"/>
  <c r="HW12" i="35"/>
  <c r="AX54" i="53" s="1"/>
  <c r="HY11" i="35"/>
  <c r="HZ11" i="35" s="1"/>
  <c r="AV14" i="35"/>
  <c r="M14" i="53" s="1"/>
  <c r="AX13" i="35"/>
  <c r="AY13" i="35" s="1"/>
  <c r="AR59" i="47" l="1"/>
  <c r="AT58" i="47"/>
  <c r="AU58" i="47" s="1"/>
  <c r="HR58" i="47" s="1"/>
  <c r="IW17" i="35"/>
  <c r="IX17" i="35" s="1"/>
  <c r="JA18" i="35"/>
  <c r="JB18" i="35" s="1"/>
  <c r="HW13" i="35"/>
  <c r="AX55" i="53" s="1"/>
  <c r="HY12" i="35"/>
  <c r="HZ12" i="35" s="1"/>
  <c r="AV15" i="35"/>
  <c r="M15" i="53" s="1"/>
  <c r="AX14" i="35"/>
  <c r="AY14" i="35" s="1"/>
  <c r="AR60" i="47" l="1"/>
  <c r="AT59" i="47"/>
  <c r="AU59" i="47" s="1"/>
  <c r="HR59" i="47" s="1"/>
  <c r="IW18" i="35"/>
  <c r="IX18" i="35" s="1"/>
  <c r="JA19" i="35"/>
  <c r="JB19" i="35" s="1"/>
  <c r="HW14" i="35"/>
  <c r="AX56" i="53" s="1"/>
  <c r="HY13" i="35"/>
  <c r="HZ13" i="35" s="1"/>
  <c r="AV16" i="35"/>
  <c r="M16" i="53" s="1"/>
  <c r="AX15" i="35"/>
  <c r="AY15" i="35" s="1"/>
  <c r="AT60" i="47" l="1"/>
  <c r="AU60" i="47" s="1"/>
  <c r="HR60" i="47" s="1"/>
  <c r="AR61" i="47"/>
  <c r="IW19" i="35"/>
  <c r="IX19" i="35" s="1"/>
  <c r="JA20" i="35"/>
  <c r="JB20" i="35" s="1"/>
  <c r="HW15" i="35"/>
  <c r="AX57" i="53" s="1"/>
  <c r="HY14" i="35"/>
  <c r="HZ14" i="35" s="1"/>
  <c r="AV17" i="35"/>
  <c r="M17" i="53" s="1"/>
  <c r="AX16" i="35"/>
  <c r="AY16" i="35" s="1"/>
  <c r="AT61" i="47" l="1"/>
  <c r="AU61" i="47" s="1"/>
  <c r="HR61" i="47" s="1"/>
  <c r="AR62" i="47"/>
  <c r="IW20" i="35"/>
  <c r="IX20" i="35" s="1"/>
  <c r="JA21" i="35"/>
  <c r="JB21" i="35" s="1"/>
  <c r="HW16" i="35"/>
  <c r="AX58" i="53" s="1"/>
  <c r="HY15" i="35"/>
  <c r="HZ15" i="35" s="1"/>
  <c r="AV18" i="35"/>
  <c r="M18" i="53" s="1"/>
  <c r="AX17" i="35"/>
  <c r="AY17" i="35" s="1"/>
  <c r="AR63" i="47" l="1"/>
  <c r="AT62" i="47"/>
  <c r="AU62" i="47" s="1"/>
  <c r="HR62" i="47" s="1"/>
  <c r="IW21" i="35"/>
  <c r="IX21" i="35" s="1"/>
  <c r="JA22" i="35"/>
  <c r="JB22" i="35" s="1"/>
  <c r="HW17" i="35"/>
  <c r="AX59" i="53" s="1"/>
  <c r="HY16" i="35"/>
  <c r="HZ16" i="35" s="1"/>
  <c r="AV19" i="35"/>
  <c r="M19" i="53" s="1"/>
  <c r="AX18" i="35"/>
  <c r="AY18" i="35" s="1"/>
  <c r="AR64" i="47" l="1"/>
  <c r="AT63" i="47"/>
  <c r="AU63" i="47" s="1"/>
  <c r="HR63" i="47" s="1"/>
  <c r="IW22" i="35"/>
  <c r="IX22" i="35" s="1"/>
  <c r="JA23" i="35"/>
  <c r="JB23" i="35" s="1"/>
  <c r="HW18" i="35"/>
  <c r="AX60" i="53" s="1"/>
  <c r="HY17" i="35"/>
  <c r="HZ17" i="35" s="1"/>
  <c r="AV20" i="35"/>
  <c r="M20" i="53" s="1"/>
  <c r="AX19" i="35"/>
  <c r="AY19" i="35" s="1"/>
  <c r="AT64" i="47" l="1"/>
  <c r="AU64" i="47" s="1"/>
  <c r="HR64" i="47" s="1"/>
  <c r="AR65" i="47"/>
  <c r="IW23" i="35"/>
  <c r="IX23" i="35" s="1"/>
  <c r="JA24" i="35"/>
  <c r="JB24" i="35" s="1"/>
  <c r="HW19" i="35"/>
  <c r="AX61" i="53" s="1"/>
  <c r="HY18" i="35"/>
  <c r="HZ18" i="35" s="1"/>
  <c r="AV21" i="35"/>
  <c r="M21" i="53" s="1"/>
  <c r="AX20" i="35"/>
  <c r="AY20" i="35" s="1"/>
  <c r="AT65" i="47" l="1"/>
  <c r="AU65" i="47" s="1"/>
  <c r="HR65" i="47" s="1"/>
  <c r="AR66" i="47"/>
  <c r="IW24" i="35"/>
  <c r="IX24" i="35" s="1"/>
  <c r="JA25" i="35"/>
  <c r="JB25" i="35" s="1"/>
  <c r="HW20" i="35"/>
  <c r="AX62" i="53" s="1"/>
  <c r="HY19" i="35"/>
  <c r="HZ19" i="35" s="1"/>
  <c r="AV22" i="35"/>
  <c r="M22" i="53" s="1"/>
  <c r="AX21" i="35"/>
  <c r="AY21" i="35" s="1"/>
  <c r="AR67" i="47" l="1"/>
  <c r="AT66" i="47"/>
  <c r="AU66" i="47" s="1"/>
  <c r="HR66" i="47" s="1"/>
  <c r="IW25" i="35"/>
  <c r="IX25" i="35" s="1"/>
  <c r="JA26" i="35"/>
  <c r="JB26" i="35" s="1"/>
  <c r="HW21" i="35"/>
  <c r="AX63" i="53" s="1"/>
  <c r="HY20" i="35"/>
  <c r="HZ20" i="35" s="1"/>
  <c r="AV23" i="35"/>
  <c r="M23" i="53" s="1"/>
  <c r="AX22" i="35"/>
  <c r="AY22" i="35" s="1"/>
  <c r="AR68" i="47" l="1"/>
  <c r="AT67" i="47"/>
  <c r="AU67" i="47" s="1"/>
  <c r="HR67" i="47" s="1"/>
  <c r="IW26" i="35"/>
  <c r="IX26" i="35" s="1"/>
  <c r="JA27" i="35"/>
  <c r="JB27" i="35" s="1"/>
  <c r="HW22" i="35"/>
  <c r="AX64" i="53" s="1"/>
  <c r="HY21" i="35"/>
  <c r="HZ21" i="35" s="1"/>
  <c r="AV24" i="35"/>
  <c r="M24" i="53" s="1"/>
  <c r="AX23" i="35"/>
  <c r="AY23" i="35" s="1"/>
  <c r="AT68" i="47" l="1"/>
  <c r="AU68" i="47" s="1"/>
  <c r="HR68" i="47" s="1"/>
  <c r="AR69" i="47"/>
  <c r="IW27" i="35"/>
  <c r="IX27" i="35" s="1"/>
  <c r="JA28" i="35"/>
  <c r="JB28" i="35" s="1"/>
  <c r="HW23" i="35"/>
  <c r="AX65" i="53" s="1"/>
  <c r="HY22" i="35"/>
  <c r="HZ22" i="35" s="1"/>
  <c r="AV25" i="35"/>
  <c r="M25" i="53" s="1"/>
  <c r="AX24" i="35"/>
  <c r="AY24" i="35" s="1"/>
  <c r="AT69" i="47" l="1"/>
  <c r="AU69" i="47" s="1"/>
  <c r="HR69" i="47" s="1"/>
  <c r="AR70" i="47"/>
  <c r="IW28" i="35"/>
  <c r="IX28" i="35" s="1"/>
  <c r="JA29" i="35"/>
  <c r="JB29" i="35" s="1"/>
  <c r="HW24" i="35"/>
  <c r="AX66" i="53" s="1"/>
  <c r="HY23" i="35"/>
  <c r="HZ23" i="35" s="1"/>
  <c r="AV26" i="35"/>
  <c r="M26" i="53" s="1"/>
  <c r="AX25" i="35"/>
  <c r="AY25" i="35" s="1"/>
  <c r="AR71" i="47" l="1"/>
  <c r="AT70" i="47"/>
  <c r="AU70" i="47" s="1"/>
  <c r="HR70" i="47" s="1"/>
  <c r="IP10" i="35"/>
  <c r="IP12" i="35"/>
  <c r="IP14" i="35"/>
  <c r="IP16" i="35"/>
  <c r="IP18" i="35"/>
  <c r="IP20" i="35"/>
  <c r="IP22" i="35"/>
  <c r="IP24" i="35"/>
  <c r="IP26" i="35"/>
  <c r="IP28" i="35"/>
  <c r="IP30" i="35"/>
  <c r="IP32" i="35"/>
  <c r="IP34" i="35"/>
  <c r="IP36" i="35"/>
  <c r="IP38" i="35"/>
  <c r="IP40" i="35"/>
  <c r="IP8" i="35"/>
  <c r="IP9" i="35"/>
  <c r="IP11" i="35"/>
  <c r="IP13" i="35"/>
  <c r="IP15" i="35"/>
  <c r="IP17" i="35"/>
  <c r="IP19" i="35"/>
  <c r="IP21" i="35"/>
  <c r="IP23" i="35"/>
  <c r="IP25" i="35"/>
  <c r="IP27" i="35"/>
  <c r="IP29" i="35"/>
  <c r="IP31" i="35"/>
  <c r="IP33" i="35"/>
  <c r="IP35" i="35"/>
  <c r="IP37" i="35"/>
  <c r="IP39" i="35"/>
  <c r="IG10" i="35"/>
  <c r="IH10" i="35" s="1"/>
  <c r="IG12" i="35"/>
  <c r="IH12" i="35" s="1"/>
  <c r="IG14" i="35"/>
  <c r="IH14" i="35" s="1"/>
  <c r="IG16" i="35"/>
  <c r="IH16" i="35" s="1"/>
  <c r="IG18" i="35"/>
  <c r="IH18" i="35" s="1"/>
  <c r="IG20" i="35"/>
  <c r="IH20" i="35" s="1"/>
  <c r="IG22" i="35"/>
  <c r="IH22" i="35" s="1"/>
  <c r="IG24" i="35"/>
  <c r="IH24" i="35" s="1"/>
  <c r="IG26" i="35"/>
  <c r="IH26" i="35" s="1"/>
  <c r="IG28" i="35"/>
  <c r="IH28" i="35" s="1"/>
  <c r="IG30" i="35"/>
  <c r="IH30" i="35" s="1"/>
  <c r="IG32" i="35"/>
  <c r="IH32" i="35" s="1"/>
  <c r="IG34" i="35"/>
  <c r="IH34" i="35" s="1"/>
  <c r="IG36" i="35"/>
  <c r="IH36" i="35" s="1"/>
  <c r="IG38" i="35"/>
  <c r="IH38" i="35" s="1"/>
  <c r="IG40" i="35"/>
  <c r="IH40" i="35" s="1"/>
  <c r="IG8" i="35"/>
  <c r="IH8" i="35" s="1"/>
  <c r="IG9" i="35"/>
  <c r="IH9" i="35" s="1"/>
  <c r="IG11" i="35"/>
  <c r="IH11" i="35" s="1"/>
  <c r="IG13" i="35"/>
  <c r="IH13" i="35" s="1"/>
  <c r="IG15" i="35"/>
  <c r="IH15" i="35" s="1"/>
  <c r="IG17" i="35"/>
  <c r="IH17" i="35" s="1"/>
  <c r="IG19" i="35"/>
  <c r="IH19" i="35" s="1"/>
  <c r="IG21" i="35"/>
  <c r="IH21" i="35" s="1"/>
  <c r="IG23" i="35"/>
  <c r="IH23" i="35" s="1"/>
  <c r="IG25" i="35"/>
  <c r="IH25" i="35" s="1"/>
  <c r="IG27" i="35"/>
  <c r="IH27" i="35" s="1"/>
  <c r="IG29" i="35"/>
  <c r="IH29" i="35" s="1"/>
  <c r="IG31" i="35"/>
  <c r="IH31" i="35" s="1"/>
  <c r="IG33" i="35"/>
  <c r="IH33" i="35" s="1"/>
  <c r="IG35" i="35"/>
  <c r="IH35" i="35" s="1"/>
  <c r="IG37" i="35"/>
  <c r="IH37" i="35" s="1"/>
  <c r="IG39" i="35"/>
  <c r="IH39" i="35" s="1"/>
  <c r="IK9" i="35"/>
  <c r="IL9" i="35" s="1"/>
  <c r="IK11" i="35"/>
  <c r="IL11" i="35" s="1"/>
  <c r="IK13" i="35"/>
  <c r="IL13" i="35" s="1"/>
  <c r="IK15" i="35"/>
  <c r="IL15" i="35" s="1"/>
  <c r="IK17" i="35"/>
  <c r="IL17" i="35" s="1"/>
  <c r="IK19" i="35"/>
  <c r="IL19" i="35" s="1"/>
  <c r="IK21" i="35"/>
  <c r="IL21" i="35" s="1"/>
  <c r="IK23" i="35"/>
  <c r="IL23" i="35" s="1"/>
  <c r="IK25" i="35"/>
  <c r="IL25" i="35" s="1"/>
  <c r="IK27" i="35"/>
  <c r="IL27" i="35" s="1"/>
  <c r="IK29" i="35"/>
  <c r="IL29" i="35" s="1"/>
  <c r="IK31" i="35"/>
  <c r="IL31" i="35" s="1"/>
  <c r="IK33" i="35"/>
  <c r="IL33" i="35" s="1"/>
  <c r="IK35" i="35"/>
  <c r="IL35" i="35" s="1"/>
  <c r="IK37" i="35"/>
  <c r="IL37" i="35" s="1"/>
  <c r="IK39" i="35"/>
  <c r="IL39" i="35" s="1"/>
  <c r="IK10" i="35"/>
  <c r="IL10" i="35" s="1"/>
  <c r="IK12" i="35"/>
  <c r="IL12" i="35" s="1"/>
  <c r="IK14" i="35"/>
  <c r="IL14" i="35" s="1"/>
  <c r="IK16" i="35"/>
  <c r="IL16" i="35" s="1"/>
  <c r="IK18" i="35"/>
  <c r="IL18" i="35" s="1"/>
  <c r="IK20" i="35"/>
  <c r="IL20" i="35" s="1"/>
  <c r="IK22" i="35"/>
  <c r="IL22" i="35" s="1"/>
  <c r="IK24" i="35"/>
  <c r="IL24" i="35" s="1"/>
  <c r="IK26" i="35"/>
  <c r="IL26" i="35" s="1"/>
  <c r="IK28" i="35"/>
  <c r="IL28" i="35" s="1"/>
  <c r="IK30" i="35"/>
  <c r="IL30" i="35" s="1"/>
  <c r="IK32" i="35"/>
  <c r="IL32" i="35" s="1"/>
  <c r="IK34" i="35"/>
  <c r="IL34" i="35" s="1"/>
  <c r="IK36" i="35"/>
  <c r="IL36" i="35" s="1"/>
  <c r="IK38" i="35"/>
  <c r="IL38" i="35" s="1"/>
  <c r="IK40" i="35"/>
  <c r="IL40" i="35" s="1"/>
  <c r="IK8" i="35"/>
  <c r="IL8" i="35" s="1"/>
  <c r="JA30" i="35"/>
  <c r="JB30" i="35" s="1"/>
  <c r="IW29" i="35"/>
  <c r="IX29" i="35" s="1"/>
  <c r="HW25" i="35"/>
  <c r="AX67" i="53" s="1"/>
  <c r="HY24" i="35"/>
  <c r="HZ24" i="35" s="1"/>
  <c r="AV27" i="35"/>
  <c r="M27" i="53" s="1"/>
  <c r="AX26" i="35"/>
  <c r="AY26" i="35" s="1"/>
  <c r="AR72" i="47" l="1"/>
  <c r="AT71" i="47"/>
  <c r="AU71" i="47" s="1"/>
  <c r="HR71" i="47" s="1"/>
  <c r="IW30" i="35"/>
  <c r="IX30" i="35" s="1"/>
  <c r="JA31" i="35"/>
  <c r="JB31" i="35" s="1"/>
  <c r="HW26" i="35"/>
  <c r="AX68" i="53" s="1"/>
  <c r="HY25" i="35"/>
  <c r="HZ25" i="35" s="1"/>
  <c r="AV28" i="35"/>
  <c r="M28" i="53" s="1"/>
  <c r="AX27" i="35"/>
  <c r="AY27" i="35" s="1"/>
  <c r="AT72" i="47" l="1"/>
  <c r="AU72" i="47" s="1"/>
  <c r="HR72" i="47" s="1"/>
  <c r="AR73" i="47"/>
  <c r="AT73" i="47" s="1"/>
  <c r="AU73" i="47" s="1"/>
  <c r="HR73" i="47" s="1"/>
  <c r="JA32" i="35"/>
  <c r="JB32" i="35" s="1"/>
  <c r="IW31" i="35"/>
  <c r="IX31" i="35" s="1"/>
  <c r="HW27" i="35"/>
  <c r="AX69" i="53" s="1"/>
  <c r="HY26" i="35"/>
  <c r="HZ26" i="35" s="1"/>
  <c r="AV29" i="35"/>
  <c r="M29" i="53" s="1"/>
  <c r="AX28" i="35"/>
  <c r="AY28" i="35" s="1"/>
  <c r="JA33" i="35" l="1"/>
  <c r="JB33" i="35" s="1"/>
  <c r="IW32" i="35"/>
  <c r="IX32" i="35" s="1"/>
  <c r="HW28" i="35"/>
  <c r="AX70" i="53" s="1"/>
  <c r="HY27" i="35"/>
  <c r="HZ27" i="35" s="1"/>
  <c r="AV30" i="35"/>
  <c r="M30" i="53" s="1"/>
  <c r="AX29" i="35"/>
  <c r="AY29" i="35" s="1"/>
  <c r="JA34" i="35" l="1"/>
  <c r="JB34" i="35" s="1"/>
  <c r="IW33" i="35"/>
  <c r="IX33" i="35" s="1"/>
  <c r="HW29" i="35"/>
  <c r="AX71" i="53" s="1"/>
  <c r="HY28" i="35"/>
  <c r="HZ28" i="35" s="1"/>
  <c r="AV31" i="35"/>
  <c r="M31" i="53" s="1"/>
  <c r="AX30" i="35"/>
  <c r="AY30" i="35" s="1"/>
  <c r="JA35" i="35" l="1"/>
  <c r="JB35" i="35" s="1"/>
  <c r="IW34" i="35"/>
  <c r="IX34" i="35" s="1"/>
  <c r="HW30" i="35"/>
  <c r="AX72" i="53" s="1"/>
  <c r="HY29" i="35"/>
  <c r="HZ29" i="35" s="1"/>
  <c r="AV32" i="35"/>
  <c r="M32" i="53" s="1"/>
  <c r="AX31" i="35"/>
  <c r="AY31" i="35" s="1"/>
  <c r="JA36" i="35" l="1"/>
  <c r="JB36" i="35" s="1"/>
  <c r="IW35" i="35"/>
  <c r="IX35" i="35" s="1"/>
  <c r="HW31" i="35"/>
  <c r="AX73" i="53" s="1"/>
  <c r="HY30" i="35"/>
  <c r="HZ30" i="35" s="1"/>
  <c r="AV33" i="35"/>
  <c r="M33" i="53" s="1"/>
  <c r="AX32" i="35"/>
  <c r="AY32" i="35" s="1"/>
  <c r="IW36" i="35" l="1"/>
  <c r="IX36" i="35" s="1"/>
  <c r="JA37" i="35"/>
  <c r="JB37" i="35" s="1"/>
  <c r="HW32" i="35"/>
  <c r="AX74" i="53" s="1"/>
  <c r="HY31" i="35"/>
  <c r="HZ31" i="35" s="1"/>
  <c r="AV34" i="35"/>
  <c r="M34" i="53" s="1"/>
  <c r="AX33" i="35"/>
  <c r="AY33" i="35" s="1"/>
  <c r="JA38" i="35" l="1"/>
  <c r="JB38" i="35" s="1"/>
  <c r="IW37" i="35"/>
  <c r="IX37" i="35" s="1"/>
  <c r="HW33" i="35"/>
  <c r="AX75" i="53" s="1"/>
  <c r="HY32" i="35"/>
  <c r="HZ32" i="35" s="1"/>
  <c r="AV35" i="35"/>
  <c r="M35" i="53" s="1"/>
  <c r="AX34" i="35"/>
  <c r="AY34" i="35" s="1"/>
  <c r="JA39" i="35" l="1"/>
  <c r="JB39" i="35" s="1"/>
  <c r="IW38" i="35"/>
  <c r="IX38" i="35" s="1"/>
  <c r="HW34" i="35"/>
  <c r="AX76" i="53" s="1"/>
  <c r="HY33" i="35"/>
  <c r="HZ33" i="35" s="1"/>
  <c r="AV36" i="35"/>
  <c r="M36" i="53" s="1"/>
  <c r="AX35" i="35"/>
  <c r="AY35" i="35" s="1"/>
  <c r="JA40" i="35" l="1"/>
  <c r="JB40" i="35" s="1"/>
  <c r="IW39" i="35"/>
  <c r="IX39" i="35" s="1"/>
  <c r="HW35" i="35"/>
  <c r="AX77" i="53" s="1"/>
  <c r="HY34" i="35"/>
  <c r="HZ34" i="35" s="1"/>
  <c r="AV37" i="35"/>
  <c r="M37" i="53" s="1"/>
  <c r="AX36" i="35"/>
  <c r="AY36" i="35" s="1"/>
  <c r="IW40" i="35" l="1"/>
  <c r="IX40" i="35" s="1"/>
  <c r="HW36" i="35"/>
  <c r="AX78" i="53" s="1"/>
  <c r="HY35" i="35"/>
  <c r="HZ35" i="35" s="1"/>
  <c r="AV38" i="35"/>
  <c r="M38" i="53" s="1"/>
  <c r="AX37" i="35"/>
  <c r="AY37" i="35" s="1"/>
  <c r="HW37" i="35" l="1"/>
  <c r="AX79" i="53" s="1"/>
  <c r="HY36" i="35"/>
  <c r="HZ36" i="35" s="1"/>
  <c r="AV39" i="35"/>
  <c r="M39" i="53" s="1"/>
  <c r="AX38" i="35"/>
  <c r="AY38" i="35" s="1"/>
  <c r="HW38" i="35" l="1"/>
  <c r="AX80" i="53" s="1"/>
  <c r="HY37" i="35"/>
  <c r="HZ37" i="35" s="1"/>
  <c r="AV40" i="35"/>
  <c r="M40" i="53" s="1"/>
  <c r="AX39" i="35"/>
  <c r="AY39" i="35" s="1"/>
  <c r="HW39" i="35" l="1"/>
  <c r="AX81" i="53" s="1"/>
  <c r="HY38" i="35"/>
  <c r="HZ38" i="35" s="1"/>
  <c r="AX40" i="35"/>
  <c r="AY40" i="35" s="1"/>
  <c r="HW40" i="35" l="1"/>
  <c r="AX82" i="53" s="1"/>
  <c r="HY39" i="35"/>
  <c r="HZ39" i="35" s="1"/>
  <c r="HY40" i="35" l="1"/>
  <c r="HZ40" i="35" s="1"/>
  <c r="HR30" i="35" l="1"/>
  <c r="HR32" i="35"/>
  <c r="HR34" i="35"/>
  <c r="HR36" i="35"/>
  <c r="HR38" i="35"/>
  <c r="HR29" i="35"/>
  <c r="HR31" i="35"/>
  <c r="HR33" i="35"/>
  <c r="HR35" i="35"/>
  <c r="HR37" i="35"/>
  <c r="HR39" i="35"/>
  <c r="HR12" i="35"/>
  <c r="HR14" i="35"/>
  <c r="HR16" i="35"/>
  <c r="HR11" i="35"/>
  <c r="HR15" i="35"/>
  <c r="HR17" i="35"/>
  <c r="HR24" i="35"/>
  <c r="HR19" i="35"/>
  <c r="HR25" i="35"/>
  <c r="HR22" i="35"/>
  <c r="HR28" i="35"/>
  <c r="HR8" i="35"/>
  <c r="HR20" i="35"/>
  <c r="HR26" i="35"/>
  <c r="HR40" i="35"/>
  <c r="HR21" i="35"/>
  <c r="HR23" i="35"/>
  <c r="HR27" i="35"/>
  <c r="HR10" i="35"/>
  <c r="HR18" i="35"/>
  <c r="HR9" i="35"/>
  <c r="HR13" i="35"/>
  <c r="DS10" i="35" l="1"/>
  <c r="DS12" i="35"/>
  <c r="DS14" i="35"/>
  <c r="DS16" i="35"/>
  <c r="DS18" i="35"/>
  <c r="DS20" i="35"/>
  <c r="DS22" i="35"/>
  <c r="DS24" i="35"/>
  <c r="DS26" i="35"/>
  <c r="DS28" i="35"/>
  <c r="DS30" i="35"/>
  <c r="DS32" i="35"/>
  <c r="DS34" i="35"/>
  <c r="DS36" i="35"/>
  <c r="DS38" i="35"/>
  <c r="DS40" i="35"/>
  <c r="DS8" i="35"/>
  <c r="DO10" i="35"/>
  <c r="DO12" i="35"/>
  <c r="DO14" i="35"/>
  <c r="DO16" i="35"/>
  <c r="DO18" i="35"/>
  <c r="DO20" i="35"/>
  <c r="DO22" i="35"/>
  <c r="DO24" i="35"/>
  <c r="DO26" i="35"/>
  <c r="DO28" i="35"/>
  <c r="DO30" i="35"/>
  <c r="DO32" i="35"/>
  <c r="DO34" i="35"/>
  <c r="DO36" i="35"/>
  <c r="DO38" i="35"/>
  <c r="DO40" i="35"/>
  <c r="DG8" i="35"/>
  <c r="DC22" i="35"/>
  <c r="CY22" i="35"/>
  <c r="DS9" i="35"/>
  <c r="DS11" i="35"/>
  <c r="DS13" i="35"/>
  <c r="DS15" i="35"/>
  <c r="DS17" i="35"/>
  <c r="DS19" i="35"/>
  <c r="DS21" i="35"/>
  <c r="DS23" i="35"/>
  <c r="DS25" i="35"/>
  <c r="DS27" i="35"/>
  <c r="DS29" i="35"/>
  <c r="DS31" i="35"/>
  <c r="DS33" i="35"/>
  <c r="DS35" i="35"/>
  <c r="DS37" i="35"/>
  <c r="DS39" i="35"/>
  <c r="DO9" i="35"/>
  <c r="DO11" i="35"/>
  <c r="DO13" i="35"/>
  <c r="DO15" i="35"/>
  <c r="DO17" i="35"/>
  <c r="DO19" i="35"/>
  <c r="DO21" i="35"/>
  <c r="DO23" i="35"/>
  <c r="DO25" i="35"/>
  <c r="DO27" i="35"/>
  <c r="DO29" i="35"/>
  <c r="DO31" i="35"/>
  <c r="DO33" i="35"/>
  <c r="DO35" i="35"/>
  <c r="DO37" i="35"/>
  <c r="DO39" i="35"/>
  <c r="DG22" i="35"/>
  <c r="DG28" i="35"/>
  <c r="DO8" i="35"/>
  <c r="EH22" i="35"/>
  <c r="EI22" i="35" s="1"/>
  <c r="EH28" i="35"/>
  <c r="EI28" i="35" s="1"/>
  <c r="EI8" i="35"/>
  <c r="EH14" i="35"/>
  <c r="EI14" i="35" s="1"/>
  <c r="EH11" i="35"/>
  <c r="EI11" i="35" s="1"/>
  <c r="EH15" i="35"/>
  <c r="EI15" i="35" s="1"/>
  <c r="EH37" i="35"/>
  <c r="EI37" i="35" s="1"/>
  <c r="EH12" i="35"/>
  <c r="EI12" i="35" s="1"/>
  <c r="EH16" i="35"/>
  <c r="EI16" i="35" s="1"/>
  <c r="EH20" i="35"/>
  <c r="EI20" i="35" s="1"/>
  <c r="EH26" i="35"/>
  <c r="EI26" i="35" s="1"/>
  <c r="EH30" i="35"/>
  <c r="EI30" i="35" s="1"/>
  <c r="EH32" i="35"/>
  <c r="EI32" i="35" s="1"/>
  <c r="EH34" i="35"/>
  <c r="EI34" i="35" s="1"/>
  <c r="EH36" i="35"/>
  <c r="EI36" i="35" s="1"/>
  <c r="EH38" i="35"/>
  <c r="EI38" i="35" s="1"/>
  <c r="EH40" i="35"/>
  <c r="EI40" i="35" s="1"/>
  <c r="EH13" i="35"/>
  <c r="EI13" i="35" s="1"/>
  <c r="EH17" i="35"/>
  <c r="EI17" i="35" s="1"/>
  <c r="EH21" i="35"/>
  <c r="EI21" i="35" s="1"/>
  <c r="EH23" i="35"/>
  <c r="EI23" i="35" s="1"/>
  <c r="EH27" i="35"/>
  <c r="EI27" i="35" s="1"/>
  <c r="EH29" i="35"/>
  <c r="EI29" i="35" s="1"/>
  <c r="EH31" i="35"/>
  <c r="EI31" i="35" s="1"/>
  <c r="EH33" i="35"/>
  <c r="EI33" i="35" s="1"/>
  <c r="EH35" i="35"/>
  <c r="EI35" i="35" s="1"/>
  <c r="EH39" i="35"/>
  <c r="EI39" i="35" s="1"/>
  <c r="EX22" i="35"/>
  <c r="EY22" i="35" s="1"/>
  <c r="EX12" i="35"/>
  <c r="EY12" i="35" s="1"/>
  <c r="EX14" i="35"/>
  <c r="EY14" i="35" s="1"/>
  <c r="EX34" i="35"/>
  <c r="EY34" i="35" s="1"/>
  <c r="EX38" i="35"/>
  <c r="EY38" i="35" s="1"/>
  <c r="EX11" i="35"/>
  <c r="EY11" i="35" s="1"/>
  <c r="EX15" i="35"/>
  <c r="EY15" i="35" s="1"/>
  <c r="EX29" i="35"/>
  <c r="EY29" i="35" s="1"/>
  <c r="EX31" i="35"/>
  <c r="EY31" i="35" s="1"/>
  <c r="EX33" i="35"/>
  <c r="EY33" i="35" s="1"/>
  <c r="EX37" i="35"/>
  <c r="EY37" i="35" s="1"/>
  <c r="EX39" i="35"/>
  <c r="EY39" i="35" s="1"/>
  <c r="EX24" i="35"/>
  <c r="EY24" i="35" s="1"/>
  <c r="EX19" i="35"/>
  <c r="EY19" i="35" s="1"/>
  <c r="GV28" i="35"/>
  <c r="GV8" i="35"/>
  <c r="GV10" i="35"/>
  <c r="GV16" i="35"/>
  <c r="GV20" i="35"/>
  <c r="GV24" i="35"/>
  <c r="GV26" i="35"/>
  <c r="GV30" i="35"/>
  <c r="GV32" i="35"/>
  <c r="GV36" i="35"/>
  <c r="GV38" i="35"/>
  <c r="GV40" i="35"/>
  <c r="GV13" i="35"/>
  <c r="GV17" i="35"/>
  <c r="GV21" i="35"/>
  <c r="GV23" i="35"/>
  <c r="GV27" i="35"/>
  <c r="GV29" i="35"/>
  <c r="GV31" i="35"/>
  <c r="GV35" i="35"/>
  <c r="GV39" i="35"/>
  <c r="DG9" i="35"/>
  <c r="DG11" i="35"/>
  <c r="DG13" i="35"/>
  <c r="DG15" i="35"/>
  <c r="DG17" i="35"/>
  <c r="DG19" i="35"/>
  <c r="DG21" i="35"/>
  <c r="DG23" i="35"/>
  <c r="DG25" i="35"/>
  <c r="DG27" i="35"/>
  <c r="DG29" i="35"/>
  <c r="DG31" i="35"/>
  <c r="DG33" i="35"/>
  <c r="DG35" i="35"/>
  <c r="DG37" i="35"/>
  <c r="DG39" i="35"/>
  <c r="DC28" i="35"/>
  <c r="DC8" i="35"/>
  <c r="CY28" i="35"/>
  <c r="CY8" i="35"/>
  <c r="CT22" i="35"/>
  <c r="CU22" i="35" s="1"/>
  <c r="CT28" i="35"/>
  <c r="CU28" i="35" s="1"/>
  <c r="CT8" i="35"/>
  <c r="CU8" i="35" s="1"/>
  <c r="DG10" i="35"/>
  <c r="DG12" i="35"/>
  <c r="DG14" i="35"/>
  <c r="DG16" i="35"/>
  <c r="DG18" i="35"/>
  <c r="DG20" i="35"/>
  <c r="DG24" i="35"/>
  <c r="DG26" i="35"/>
  <c r="DG30" i="35"/>
  <c r="DG32" i="35"/>
  <c r="DG34" i="35"/>
  <c r="DG36" i="35"/>
  <c r="DG38" i="35"/>
  <c r="DG40" i="35"/>
  <c r="DC12" i="35"/>
  <c r="DC14" i="35"/>
  <c r="DC34" i="35"/>
  <c r="DC38" i="35"/>
  <c r="CY12" i="35"/>
  <c r="CY14" i="35"/>
  <c r="CY34" i="35"/>
  <c r="CY38" i="35"/>
  <c r="CT14" i="35"/>
  <c r="CU14" i="35" s="1"/>
  <c r="DC11" i="35"/>
  <c r="DC15" i="35"/>
  <c r="DC29" i="35"/>
  <c r="DC31" i="35"/>
  <c r="DC33" i="35"/>
  <c r="DC37" i="35"/>
  <c r="DC39" i="35"/>
  <c r="CY11" i="35"/>
  <c r="CY15" i="35"/>
  <c r="CY29" i="35"/>
  <c r="CY31" i="35"/>
  <c r="CY33" i="35"/>
  <c r="CY37" i="35"/>
  <c r="CY39" i="35"/>
  <c r="CT11" i="35"/>
  <c r="CU11" i="35" s="1"/>
  <c r="CT15" i="35"/>
  <c r="CU15" i="35" s="1"/>
  <c r="CT37" i="35"/>
  <c r="CU37" i="35" s="1"/>
  <c r="EH10" i="35"/>
  <c r="EI10" i="35" s="1"/>
  <c r="EH18" i="35"/>
  <c r="EI18" i="35" s="1"/>
  <c r="EH24" i="35"/>
  <c r="EI24" i="35" s="1"/>
  <c r="EH9" i="35"/>
  <c r="EI9" i="35" s="1"/>
  <c r="EH19" i="35"/>
  <c r="EI19" i="35" s="1"/>
  <c r="EH25" i="35"/>
  <c r="EI25" i="35" s="1"/>
  <c r="EX28" i="35"/>
  <c r="EY28" i="35" s="1"/>
  <c r="EX8" i="35"/>
  <c r="EY8" i="35" s="1"/>
  <c r="EX10" i="35"/>
  <c r="EY10" i="35" s="1"/>
  <c r="EX16" i="35"/>
  <c r="EY16" i="35" s="1"/>
  <c r="EX18" i="35"/>
  <c r="EY18" i="35" s="1"/>
  <c r="EX20" i="35"/>
  <c r="EY20" i="35" s="1"/>
  <c r="EX26" i="35"/>
  <c r="EY26" i="35" s="1"/>
  <c r="EX30" i="35"/>
  <c r="EY30" i="35" s="1"/>
  <c r="EX32" i="35"/>
  <c r="EY32" i="35" s="1"/>
  <c r="EX36" i="35"/>
  <c r="EY36" i="35" s="1"/>
  <c r="EX40" i="35"/>
  <c r="EY40" i="35" s="1"/>
  <c r="EX9" i="35"/>
  <c r="EY9" i="35" s="1"/>
  <c r="EX13" i="35"/>
  <c r="EY13" i="35" s="1"/>
  <c r="EX17" i="35"/>
  <c r="EY17" i="35" s="1"/>
  <c r="EX21" i="35"/>
  <c r="EY21" i="35" s="1"/>
  <c r="EX23" i="35"/>
  <c r="EY23" i="35" s="1"/>
  <c r="EX25" i="35"/>
  <c r="EY25" i="35" s="1"/>
  <c r="EX27" i="35"/>
  <c r="EY27" i="35" s="1"/>
  <c r="EX35" i="35"/>
  <c r="EY35" i="35" s="1"/>
  <c r="GV22" i="35"/>
  <c r="GV12" i="35"/>
  <c r="GV14" i="35"/>
  <c r="GV34" i="35"/>
  <c r="GV11" i="35"/>
  <c r="GV15" i="35"/>
  <c r="GV33" i="35"/>
  <c r="GV37" i="35"/>
  <c r="GV18" i="35"/>
  <c r="GV9" i="35"/>
  <c r="GV19" i="35"/>
  <c r="GV25" i="35"/>
  <c r="BD11" i="35"/>
  <c r="BD15" i="35"/>
  <c r="BD29" i="35"/>
  <c r="BD31" i="35"/>
  <c r="BD33" i="35"/>
  <c r="BD37" i="35"/>
  <c r="BD12" i="35"/>
  <c r="BD14" i="35"/>
  <c r="BD34" i="35"/>
  <c r="BD9" i="35"/>
  <c r="BD19" i="35"/>
  <c r="BD25" i="35"/>
  <c r="BD10" i="35"/>
  <c r="BD18" i="35"/>
  <c r="BD24" i="35"/>
  <c r="BD22" i="35"/>
  <c r="BD28" i="35"/>
  <c r="BD8" i="35"/>
  <c r="BD13" i="35"/>
  <c r="BD17" i="35"/>
  <c r="BD21" i="35"/>
  <c r="BD23" i="35"/>
  <c r="BD27" i="35"/>
  <c r="BD35" i="35"/>
  <c r="BD39" i="35"/>
  <c r="BD16" i="35"/>
  <c r="BD20" i="35"/>
  <c r="BD26" i="35"/>
  <c r="BD30" i="35"/>
  <c r="BD32" i="35"/>
  <c r="BD36" i="35"/>
  <c r="BD38" i="35"/>
  <c r="BD40" i="35"/>
  <c r="AL8" i="35"/>
  <c r="AM8" i="35" s="1"/>
  <c r="AL10" i="35"/>
  <c r="AM10" i="35" s="1"/>
  <c r="AL18" i="35"/>
  <c r="AM18" i="35" s="1"/>
  <c r="AL20" i="35"/>
  <c r="AM20" i="35" s="1"/>
  <c r="AL30" i="35"/>
  <c r="AM30" i="35" s="1"/>
  <c r="AL32" i="35"/>
  <c r="AM32" i="35" s="1"/>
  <c r="AL36" i="35"/>
  <c r="AM36" i="35" s="1"/>
  <c r="AL40" i="35"/>
  <c r="AM40" i="35" s="1"/>
  <c r="AL9" i="35"/>
  <c r="AM9" i="35" s="1"/>
  <c r="AL13" i="35"/>
  <c r="AM13" i="35" s="1"/>
  <c r="AL21" i="35"/>
  <c r="AM21" i="35" s="1"/>
  <c r="AL23" i="35"/>
  <c r="AM23" i="35" s="1"/>
  <c r="AL35" i="35"/>
  <c r="AM35" i="35" s="1"/>
  <c r="AL22" i="35"/>
  <c r="AM22" i="35" s="1"/>
  <c r="AL28" i="35"/>
  <c r="AM28" i="35" s="1"/>
  <c r="AL12" i="35"/>
  <c r="AM12" i="35" s="1"/>
  <c r="AL14" i="35"/>
  <c r="AM14" i="35" s="1"/>
  <c r="AL16" i="35"/>
  <c r="AM16" i="35" s="1"/>
  <c r="AL26" i="35"/>
  <c r="AM26" i="35" s="1"/>
  <c r="AL34" i="35"/>
  <c r="AM34" i="35" s="1"/>
  <c r="AL38" i="35"/>
  <c r="AM38" i="35" s="1"/>
  <c r="AL11" i="35"/>
  <c r="AM11" i="35" s="1"/>
  <c r="AL15" i="35"/>
  <c r="AM15" i="35" s="1"/>
  <c r="AL17" i="35"/>
  <c r="AM17" i="35" s="1"/>
  <c r="AL27" i="35"/>
  <c r="AM27" i="35" s="1"/>
  <c r="AL29" i="35"/>
  <c r="AM29" i="35" s="1"/>
  <c r="AL31" i="35"/>
  <c r="AM31" i="35" s="1"/>
  <c r="AL33" i="35"/>
  <c r="AM33" i="35" s="1"/>
  <c r="AL37" i="35"/>
  <c r="AM37" i="35" s="1"/>
  <c r="AL39" i="35"/>
  <c r="AM39" i="35" s="1"/>
  <c r="AL24" i="35"/>
  <c r="AM24" i="35" s="1"/>
  <c r="AL19" i="35"/>
  <c r="AM19" i="35" s="1"/>
  <c r="AL25" i="35"/>
  <c r="AM25" i="35" s="1"/>
  <c r="JD10" i="35" l="1"/>
  <c r="JD25" i="35"/>
  <c r="JD9" i="35"/>
  <c r="JD19" i="35"/>
  <c r="JD24" i="35"/>
  <c r="JD18" i="35"/>
  <c r="CC13" i="35" l="1"/>
  <c r="JD13" i="35" s="1"/>
  <c r="CC15" i="35"/>
  <c r="JD15" i="35" s="1"/>
  <c r="CC17" i="35"/>
  <c r="JD17" i="35" s="1"/>
  <c r="CC21" i="35"/>
  <c r="JD21" i="35" s="1"/>
  <c r="CC23" i="35"/>
  <c r="JD23" i="35" s="1"/>
  <c r="CC27" i="35"/>
  <c r="JD27" i="35" s="1"/>
  <c r="CC33" i="35"/>
  <c r="JD33" i="35" s="1"/>
  <c r="CC35" i="35"/>
  <c r="JD35" i="35" s="1"/>
  <c r="CC37" i="35"/>
  <c r="JD37" i="35" s="1"/>
  <c r="CC39" i="35"/>
  <c r="JD39" i="35" s="1"/>
  <c r="CC12" i="35"/>
  <c r="JD12" i="35" s="1"/>
  <c r="CC14" i="35"/>
  <c r="JD14" i="35" s="1"/>
  <c r="CC16" i="35"/>
  <c r="JD16" i="35" s="1"/>
  <c r="CC20" i="35"/>
  <c r="JD20" i="35" s="1"/>
  <c r="CC26" i="35"/>
  <c r="JD26" i="35" s="1"/>
  <c r="CC30" i="35"/>
  <c r="JD30" i="35" s="1"/>
  <c r="CC32" i="35"/>
  <c r="JD32" i="35" s="1"/>
  <c r="CC34" i="35"/>
  <c r="JD34" i="35" s="1"/>
  <c r="CC36" i="35"/>
  <c r="JD36" i="35" s="1"/>
  <c r="CC38" i="35"/>
  <c r="JD38" i="35" s="1"/>
  <c r="CC40" i="35"/>
  <c r="JD40" i="35" s="1"/>
  <c r="CC11" i="35"/>
  <c r="JD11" i="35" s="1"/>
  <c r="CC29" i="35"/>
  <c r="JD29" i="35" s="1"/>
  <c r="CC31" i="35"/>
  <c r="JD31" i="35" s="1"/>
  <c r="CC22" i="35"/>
  <c r="JD22" i="35" s="1"/>
  <c r="CC28" i="35"/>
  <c r="JD28" i="35" s="1"/>
  <c r="CC8" i="35"/>
  <c r="JD8" i="35" s="1"/>
  <c r="JU25" i="35" l="1"/>
  <c r="JU14" i="35"/>
  <c r="JU28" i="35"/>
  <c r="JU12" i="35"/>
  <c r="JU23" i="35"/>
  <c r="JU18" i="35"/>
  <c r="JU20" i="35"/>
  <c r="JU31" i="35"/>
  <c r="JU15" i="35"/>
  <c r="JU24" i="35" l="1"/>
  <c r="JU11" i="35"/>
  <c r="JU21" i="35"/>
  <c r="JU29" i="35"/>
  <c r="JU32" i="35"/>
  <c r="JU33" i="35"/>
  <c r="JU16" i="35"/>
  <c r="JU26" i="35"/>
  <c r="JU10" i="35"/>
  <c r="JU13" i="35"/>
  <c r="JU30" i="35"/>
  <c r="JU9" i="35"/>
  <c r="JU17" i="35"/>
  <c r="JU40" i="35"/>
  <c r="JU22" i="35"/>
  <c r="JU37" i="35"/>
  <c r="JU36" i="35"/>
  <c r="JU19" i="35"/>
  <c r="JU27" i="35"/>
  <c r="JU39" i="35"/>
  <c r="JU38" i="35"/>
  <c r="JU35" i="35"/>
  <c r="JU34" i="35"/>
  <c r="JU8" i="35" l="1"/>
  <c r="JK28" i="35" l="1"/>
  <c r="HY67" i="47" l="1"/>
  <c r="JK33" i="35"/>
  <c r="JK37" i="35"/>
  <c r="HY39" i="47"/>
  <c r="HY55" i="47"/>
  <c r="HY71" i="47"/>
  <c r="JK35" i="35"/>
  <c r="HY51" i="47"/>
  <c r="ES10" i="46"/>
  <c r="HY70" i="47"/>
  <c r="HY66" i="47"/>
  <c r="HY62" i="47"/>
  <c r="HY58" i="47"/>
  <c r="HY54" i="47"/>
  <c r="HY50" i="47"/>
  <c r="HY46" i="47"/>
  <c r="HY42" i="47"/>
  <c r="HY38" i="47"/>
  <c r="JK32" i="35"/>
  <c r="JK36" i="35"/>
  <c r="JK40" i="35"/>
  <c r="HY41" i="47"/>
  <c r="HY49" i="47"/>
  <c r="HY57" i="47"/>
  <c r="HY65" i="47"/>
  <c r="HY73" i="47"/>
  <c r="JK29" i="35"/>
  <c r="HY47" i="47"/>
  <c r="HY63" i="47"/>
  <c r="JK31" i="35"/>
  <c r="JK39" i="35"/>
  <c r="HY43" i="47"/>
  <c r="HY59" i="47"/>
  <c r="HY72" i="47"/>
  <c r="HY68" i="47"/>
  <c r="HY64" i="47"/>
  <c r="HY60" i="47"/>
  <c r="HY56" i="47"/>
  <c r="HY52" i="47"/>
  <c r="HY48" i="47"/>
  <c r="HY44" i="47"/>
  <c r="HY40" i="47"/>
  <c r="JK30" i="35"/>
  <c r="JK34" i="35"/>
  <c r="JK38" i="35"/>
  <c r="HY45" i="47"/>
  <c r="HY53" i="47"/>
  <c r="HY61" i="47"/>
  <c r="HY69" i="47"/>
  <c r="ES11" i="46"/>
  <c r="JM28" i="35" l="1"/>
  <c r="JM40" i="35" l="1"/>
  <c r="IA73" i="47"/>
  <c r="IA69" i="47"/>
  <c r="IA65" i="47"/>
  <c r="IA61" i="47"/>
  <c r="IA57" i="47"/>
  <c r="IA53" i="47"/>
  <c r="IA49" i="47"/>
  <c r="IA45" i="47"/>
  <c r="IA41" i="47"/>
  <c r="IA38" i="47"/>
  <c r="IA46" i="47"/>
  <c r="IA54" i="47"/>
  <c r="IA62" i="47"/>
  <c r="IA70" i="47"/>
  <c r="IA44" i="47"/>
  <c r="IA52" i="47"/>
  <c r="IA60" i="47"/>
  <c r="IA68" i="47"/>
  <c r="JM29" i="35"/>
  <c r="JM33" i="35"/>
  <c r="JM37" i="35"/>
  <c r="JM30" i="35"/>
  <c r="JM34" i="35"/>
  <c r="JM38" i="35"/>
  <c r="EU10" i="46"/>
  <c r="IA71" i="47"/>
  <c r="IA67" i="47"/>
  <c r="IA63" i="47"/>
  <c r="IA59" i="47"/>
  <c r="IA55" i="47"/>
  <c r="IA51" i="47"/>
  <c r="IA47" i="47"/>
  <c r="IA43" i="47"/>
  <c r="IA39" i="47"/>
  <c r="IA42" i="47"/>
  <c r="IA50" i="47"/>
  <c r="IA58" i="47"/>
  <c r="IA66" i="47"/>
  <c r="EU11" i="46"/>
  <c r="IA40" i="47"/>
  <c r="IA48" i="47"/>
  <c r="IA56" i="47"/>
  <c r="IA64" i="47"/>
  <c r="IA72" i="47"/>
  <c r="JM31" i="35"/>
  <c r="JM35" i="35"/>
  <c r="JM39" i="35"/>
  <c r="JM32" i="35"/>
  <c r="JM36" i="35"/>
  <c r="JL8" i="35"/>
  <c r="JL28" i="35" l="1"/>
  <c r="JL32" i="35"/>
  <c r="JL36" i="35"/>
  <c r="JL40" i="35"/>
  <c r="HZ41" i="47"/>
  <c r="HZ45" i="47"/>
  <c r="HZ49" i="47"/>
  <c r="HZ53" i="47"/>
  <c r="HZ57" i="47"/>
  <c r="HZ61" i="47"/>
  <c r="HZ65" i="47"/>
  <c r="HZ69" i="47"/>
  <c r="HZ73" i="47"/>
  <c r="ET10" i="46"/>
  <c r="HZ43" i="47"/>
  <c r="HZ51" i="47"/>
  <c r="HZ63" i="47"/>
  <c r="HZ71" i="47"/>
  <c r="JL31" i="35"/>
  <c r="JL35" i="35"/>
  <c r="HZ40" i="47"/>
  <c r="HZ48" i="47"/>
  <c r="HZ56" i="47"/>
  <c r="HZ68" i="47"/>
  <c r="JL29" i="35"/>
  <c r="JL33" i="35"/>
  <c r="JL37" i="35"/>
  <c r="HZ38" i="47"/>
  <c r="HZ42" i="47"/>
  <c r="HZ46" i="47"/>
  <c r="HZ50" i="47"/>
  <c r="HZ54" i="47"/>
  <c r="HZ58" i="47"/>
  <c r="HZ62" i="47"/>
  <c r="HZ66" i="47"/>
  <c r="HZ70" i="47"/>
  <c r="JL30" i="35"/>
  <c r="JL34" i="35"/>
  <c r="JL38" i="35"/>
  <c r="HZ39" i="47"/>
  <c r="HZ47" i="47"/>
  <c r="HZ55" i="47"/>
  <c r="HZ59" i="47"/>
  <c r="HZ67" i="47"/>
  <c r="ET11" i="46"/>
  <c r="JL39" i="35"/>
  <c r="HZ44" i="47"/>
  <c r="HZ52" i="47"/>
  <c r="HZ60" i="47"/>
  <c r="HZ64" i="47"/>
  <c r="HZ72" i="47"/>
  <c r="ET9" i="46"/>
  <c r="HZ12" i="47"/>
  <c r="HZ23" i="47"/>
  <c r="JL15" i="35"/>
  <c r="JL23" i="35"/>
  <c r="JL9" i="35"/>
  <c r="JL17" i="35"/>
  <c r="JL25" i="35"/>
  <c r="HZ10" i="47"/>
  <c r="HZ19" i="47"/>
  <c r="HZ35" i="47"/>
  <c r="ET8" i="46"/>
  <c r="HZ34" i="47"/>
  <c r="HZ30" i="47"/>
  <c r="HZ26" i="47"/>
  <c r="HZ22" i="47"/>
  <c r="HZ18" i="47"/>
  <c r="JL12" i="35"/>
  <c r="JL16" i="35"/>
  <c r="JL20" i="35"/>
  <c r="JL24" i="35"/>
  <c r="HZ11" i="47"/>
  <c r="HZ15" i="47"/>
  <c r="HZ21" i="47"/>
  <c r="HZ29" i="47"/>
  <c r="HZ37" i="47"/>
  <c r="HZ8" i="47"/>
  <c r="HZ16" i="47"/>
  <c r="HZ31" i="47"/>
  <c r="JL11" i="35"/>
  <c r="JL19" i="35"/>
  <c r="JL27" i="35"/>
  <c r="JL13" i="35"/>
  <c r="JL21" i="35"/>
  <c r="HZ14" i="47"/>
  <c r="HZ27" i="47"/>
  <c r="HZ36" i="47"/>
  <c r="HZ32" i="47"/>
  <c r="HZ28" i="47"/>
  <c r="HZ24" i="47"/>
  <c r="HZ20" i="47"/>
  <c r="JL10" i="35"/>
  <c r="JL14" i="35"/>
  <c r="JL18" i="35"/>
  <c r="JL22" i="35"/>
  <c r="JL26" i="35"/>
  <c r="HZ9" i="47"/>
  <c r="HZ13" i="47"/>
  <c r="HZ17" i="47"/>
  <c r="HZ25" i="47"/>
  <c r="HZ33" i="47"/>
  <c r="D111" i="51" l="1"/>
  <c r="E111" i="51" s="1"/>
  <c r="JG8" i="35" l="1"/>
  <c r="EO8" i="46"/>
  <c r="JH8" i="35" l="1"/>
  <c r="HV57" i="47" s="1"/>
  <c r="EO11" i="46"/>
  <c r="EO10" i="46"/>
  <c r="EO9" i="46"/>
  <c r="EL15" i="46" s="1"/>
  <c r="HU73" i="47"/>
  <c r="JG13" i="35"/>
  <c r="JG21" i="35"/>
  <c r="JG29" i="35"/>
  <c r="JG37" i="35"/>
  <c r="HU12" i="47"/>
  <c r="HU20" i="47"/>
  <c r="HU28" i="47"/>
  <c r="HU36" i="47"/>
  <c r="HU44" i="47"/>
  <c r="HU52" i="47"/>
  <c r="HU60" i="47"/>
  <c r="HU68" i="47"/>
  <c r="JG12" i="35"/>
  <c r="JG20" i="35"/>
  <c r="JG28" i="35"/>
  <c r="JG36" i="35"/>
  <c r="HU11" i="47"/>
  <c r="HU19" i="47"/>
  <c r="HU27" i="47"/>
  <c r="HU35" i="47"/>
  <c r="HU43" i="47"/>
  <c r="HU51" i="47"/>
  <c r="HU59" i="47"/>
  <c r="HU67" i="47"/>
  <c r="JG17" i="35"/>
  <c r="JG25" i="35"/>
  <c r="JG33" i="35"/>
  <c r="HU16" i="47"/>
  <c r="HU32" i="47"/>
  <c r="HU48" i="47"/>
  <c r="HU64" i="47"/>
  <c r="JG16" i="35"/>
  <c r="JG40" i="35"/>
  <c r="HU23" i="47"/>
  <c r="HU39" i="47"/>
  <c r="HU55" i="47"/>
  <c r="HU71" i="47"/>
  <c r="JG11" i="35"/>
  <c r="JG27" i="35"/>
  <c r="HU10" i="47"/>
  <c r="HU26" i="47"/>
  <c r="HU42" i="47"/>
  <c r="HU58" i="47"/>
  <c r="JG10" i="35"/>
  <c r="JG26" i="35"/>
  <c r="HU9" i="47"/>
  <c r="HU25" i="47"/>
  <c r="HU41" i="47"/>
  <c r="HU57" i="47"/>
  <c r="JG15" i="35"/>
  <c r="JG23" i="35"/>
  <c r="JG31" i="35"/>
  <c r="JG39" i="35"/>
  <c r="HU14" i="47"/>
  <c r="HU22" i="47"/>
  <c r="HU30" i="47"/>
  <c r="HU38" i="47"/>
  <c r="HU46" i="47"/>
  <c r="HU54" i="47"/>
  <c r="HU62" i="47"/>
  <c r="HU70" i="47"/>
  <c r="JG14" i="35"/>
  <c r="JG22" i="35"/>
  <c r="JG30" i="35"/>
  <c r="JG38" i="35"/>
  <c r="HU13" i="47"/>
  <c r="HU21" i="47"/>
  <c r="HU29" i="47"/>
  <c r="HU37" i="47"/>
  <c r="HU45" i="47"/>
  <c r="HU53" i="47"/>
  <c r="HU61" i="47"/>
  <c r="HU69" i="47"/>
  <c r="JG9" i="35"/>
  <c r="HU8" i="47"/>
  <c r="HU24" i="47"/>
  <c r="HU40" i="47"/>
  <c r="HU56" i="47"/>
  <c r="HU72" i="47"/>
  <c r="JG24" i="35"/>
  <c r="JG32" i="35"/>
  <c r="HU15" i="47"/>
  <c r="HU31" i="47"/>
  <c r="HU47" i="47"/>
  <c r="HU63" i="47"/>
  <c r="JG19" i="35"/>
  <c r="JG35" i="35"/>
  <c r="HU18" i="47"/>
  <c r="HU34" i="47"/>
  <c r="HU50" i="47"/>
  <c r="HU66" i="47"/>
  <c r="JG18" i="35"/>
  <c r="JG34" i="35"/>
  <c r="HU17" i="47"/>
  <c r="HU33" i="47"/>
  <c r="HU49" i="47"/>
  <c r="HU65" i="47"/>
  <c r="JO8" i="35"/>
  <c r="JP8" i="35"/>
  <c r="HV73" i="47"/>
  <c r="HV41" i="47"/>
  <c r="HV25" i="47"/>
  <c r="HV9" i="47"/>
  <c r="JH10" i="35"/>
  <c r="HV58" i="47"/>
  <c r="HV42" i="47"/>
  <c r="HV10" i="47"/>
  <c r="JH27" i="35"/>
  <c r="JH11" i="35"/>
  <c r="HV43" i="47"/>
  <c r="HV27" i="47"/>
  <c r="HV11" i="47"/>
  <c r="JH12" i="35"/>
  <c r="HV60" i="47"/>
  <c r="HV44" i="47"/>
  <c r="HV12" i="47"/>
  <c r="JH29" i="35"/>
  <c r="JH13" i="35"/>
  <c r="HV33" i="47"/>
  <c r="JH18" i="35"/>
  <c r="HV50" i="47"/>
  <c r="JH19" i="35"/>
  <c r="HV51" i="47"/>
  <c r="HV19" i="47"/>
  <c r="HV52" i="47"/>
  <c r="HV20" i="47"/>
  <c r="JH21" i="35"/>
  <c r="HV61" i="47"/>
  <c r="HV13" i="47"/>
  <c r="JH14" i="35"/>
  <c r="HV46" i="47"/>
  <c r="HV14" i="47"/>
  <c r="JH15" i="35"/>
  <c r="HV47" i="47"/>
  <c r="HV15" i="47"/>
  <c r="JH16" i="35"/>
  <c r="HV48" i="47"/>
  <c r="HV16" i="47"/>
  <c r="JH17" i="35"/>
  <c r="HV69" i="47"/>
  <c r="HV53" i="47"/>
  <c r="HV37" i="47"/>
  <c r="HV21" i="47"/>
  <c r="JH38" i="35"/>
  <c r="JH22" i="35"/>
  <c r="HV70" i="47"/>
  <c r="HV54" i="47"/>
  <c r="HV38" i="47"/>
  <c r="HV22" i="47"/>
  <c r="JH39" i="35"/>
  <c r="JH23" i="35"/>
  <c r="HV71" i="47"/>
  <c r="HV55" i="47"/>
  <c r="HV39" i="47"/>
  <c r="HV23" i="47"/>
  <c r="JH40" i="35"/>
  <c r="JH24" i="35"/>
  <c r="HV72" i="47"/>
  <c r="HV56" i="47"/>
  <c r="HV40" i="47"/>
  <c r="HV24" i="47"/>
  <c r="HV8" i="47"/>
  <c r="JH25" i="35"/>
  <c r="JH9" i="35"/>
  <c r="HV49" i="47"/>
  <c r="HV17" i="47"/>
  <c r="JH34" i="35"/>
  <c r="HV66" i="47"/>
  <c r="HV34" i="47"/>
  <c r="JH35" i="35"/>
  <c r="HV67" i="47"/>
  <c r="HV35" i="47"/>
  <c r="JH36" i="35"/>
  <c r="HV68" i="47"/>
  <c r="HV36" i="47"/>
  <c r="JH37" i="35"/>
  <c r="HV45" i="47"/>
  <c r="HV29" i="47"/>
  <c r="JH30" i="35"/>
  <c r="HV62" i="47"/>
  <c r="HV30" i="47"/>
  <c r="JH31" i="35"/>
  <c r="HV63" i="47"/>
  <c r="HV31" i="47"/>
  <c r="JH32" i="35"/>
  <c r="HV64" i="47"/>
  <c r="HV32" i="47"/>
  <c r="JH33" i="35"/>
  <c r="EP10" i="46" l="1"/>
  <c r="EP9" i="46"/>
  <c r="EP8" i="46"/>
  <c r="EP11" i="46"/>
  <c r="JH20" i="35"/>
  <c r="HV18" i="47"/>
  <c r="HV65" i="47"/>
  <c r="ID65" i="47" s="1"/>
  <c r="HV28" i="47"/>
  <c r="JH28" i="35"/>
  <c r="HV59" i="47"/>
  <c r="ID59" i="47" s="1"/>
  <c r="HV26" i="47"/>
  <c r="ID26" i="47" s="1"/>
  <c r="JH26" i="35"/>
  <c r="ID33" i="47"/>
  <c r="IC33" i="47"/>
  <c r="JO35" i="35"/>
  <c r="JP35" i="35"/>
  <c r="IC31" i="47"/>
  <c r="ID31" i="47"/>
  <c r="HR77" i="47"/>
  <c r="ID8" i="47"/>
  <c r="IC8" i="47"/>
  <c r="ID53" i="47"/>
  <c r="IC53" i="47"/>
  <c r="JO22" i="35"/>
  <c r="JP22" i="35"/>
  <c r="ID22" i="47"/>
  <c r="IC22" i="47"/>
  <c r="ID25" i="47"/>
  <c r="IC25" i="47"/>
  <c r="JO27" i="35"/>
  <c r="JP27" i="35"/>
  <c r="ID64" i="47"/>
  <c r="IC64" i="47"/>
  <c r="JO33" i="35"/>
  <c r="JP33" i="35"/>
  <c r="IC27" i="47"/>
  <c r="ID27" i="47"/>
  <c r="IC60" i="47"/>
  <c r="ID60" i="47"/>
  <c r="IC28" i="47"/>
  <c r="ID28" i="47"/>
  <c r="JP29" i="35"/>
  <c r="JO29" i="35"/>
  <c r="JD50" i="35"/>
  <c r="IC50" i="47"/>
  <c r="ID50" i="47"/>
  <c r="IC56" i="47"/>
  <c r="ID56" i="47"/>
  <c r="JP9" i="35"/>
  <c r="JO9" i="35"/>
  <c r="IC13" i="47"/>
  <c r="ID13" i="47"/>
  <c r="JO14" i="35"/>
  <c r="JP14" i="35"/>
  <c r="ID14" i="47"/>
  <c r="IC14" i="47"/>
  <c r="JO15" i="35"/>
  <c r="JP15" i="35"/>
  <c r="IC9" i="47"/>
  <c r="ID9" i="47"/>
  <c r="ID42" i="47"/>
  <c r="IC42" i="47"/>
  <c r="JO11" i="35"/>
  <c r="JP11" i="35"/>
  <c r="IC48" i="47"/>
  <c r="ID48" i="47"/>
  <c r="JO25" i="35"/>
  <c r="JP25" i="35"/>
  <c r="IC51" i="47"/>
  <c r="ID51" i="47"/>
  <c r="IC19" i="47"/>
  <c r="ID19" i="47"/>
  <c r="JP20" i="35"/>
  <c r="JO20" i="35"/>
  <c r="IC52" i="47"/>
  <c r="ID52" i="47"/>
  <c r="ID20" i="47"/>
  <c r="IC20" i="47"/>
  <c r="JO21" i="35"/>
  <c r="JP21" i="35"/>
  <c r="JQ8" i="35"/>
  <c r="IC65" i="47"/>
  <c r="JO34" i="35"/>
  <c r="JP34" i="35"/>
  <c r="ID34" i="47"/>
  <c r="IC34" i="47"/>
  <c r="ID63" i="47"/>
  <c r="IC63" i="47"/>
  <c r="JO32" i="35"/>
  <c r="JP32" i="35"/>
  <c r="ID40" i="47"/>
  <c r="IC40" i="47"/>
  <c r="ID69" i="47"/>
  <c r="IC69" i="47"/>
  <c r="IC37" i="47"/>
  <c r="ID37" i="47"/>
  <c r="JP38" i="35"/>
  <c r="JO38" i="35"/>
  <c r="ID70" i="47"/>
  <c r="IC70" i="47"/>
  <c r="IC38" i="47"/>
  <c r="ID38" i="47"/>
  <c r="JP39" i="35"/>
  <c r="JO39" i="35"/>
  <c r="IC57" i="47"/>
  <c r="ID57" i="47"/>
  <c r="JP26" i="35"/>
  <c r="JO26" i="35"/>
  <c r="IC26" i="47"/>
  <c r="IC71" i="47"/>
  <c r="ID71" i="47"/>
  <c r="JO40" i="35"/>
  <c r="JP40" i="35"/>
  <c r="IC32" i="47"/>
  <c r="ID32" i="47"/>
  <c r="JO17" i="35"/>
  <c r="JP17" i="35"/>
  <c r="ID43" i="47"/>
  <c r="IC43" i="47"/>
  <c r="IC11" i="47"/>
  <c r="ID11" i="47"/>
  <c r="JP12" i="35"/>
  <c r="JO12" i="35"/>
  <c r="ID44" i="47"/>
  <c r="IC44" i="47"/>
  <c r="IC12" i="47"/>
  <c r="ID12" i="47"/>
  <c r="JP13" i="35"/>
  <c r="JO13" i="35"/>
  <c r="IC66" i="47"/>
  <c r="ID66" i="47"/>
  <c r="IC72" i="47"/>
  <c r="ID72" i="47"/>
  <c r="IC21" i="47"/>
  <c r="ID21" i="47"/>
  <c r="ID54" i="47"/>
  <c r="IC54" i="47"/>
  <c r="JP23" i="35"/>
  <c r="JO23" i="35"/>
  <c r="ID58" i="47"/>
  <c r="IC58" i="47"/>
  <c r="ID39" i="47"/>
  <c r="IC39" i="47"/>
  <c r="IC59" i="47"/>
  <c r="JP28" i="35"/>
  <c r="JO28" i="35"/>
  <c r="EW11" i="46"/>
  <c r="EX9" i="46"/>
  <c r="EX10" i="46"/>
  <c r="ID17" i="47"/>
  <c r="IC17" i="47"/>
  <c r="JP19" i="35"/>
  <c r="JO19" i="35"/>
  <c r="IC15" i="47"/>
  <c r="ID15" i="47"/>
  <c r="IC45" i="47"/>
  <c r="ID45" i="47"/>
  <c r="IC46" i="47"/>
  <c r="ID46" i="47"/>
  <c r="IC23" i="47"/>
  <c r="ID23" i="47"/>
  <c r="ID49" i="47"/>
  <c r="IC49" i="47"/>
  <c r="JP18" i="35"/>
  <c r="JO18" i="35"/>
  <c r="IC18" i="47"/>
  <c r="ID18" i="47"/>
  <c r="ID47" i="47"/>
  <c r="IC47" i="47"/>
  <c r="JO24" i="35"/>
  <c r="JP24" i="35"/>
  <c r="ID24" i="47"/>
  <c r="IC24" i="47"/>
  <c r="ID61" i="47"/>
  <c r="IC61" i="47"/>
  <c r="IC29" i="47"/>
  <c r="ID29" i="47"/>
  <c r="JP30" i="35"/>
  <c r="JO30" i="35"/>
  <c r="IC62" i="47"/>
  <c r="ID62" i="47"/>
  <c r="ID30" i="47"/>
  <c r="IC30" i="47"/>
  <c r="JO31" i="35"/>
  <c r="JP31" i="35"/>
  <c r="IC41" i="47"/>
  <c r="ID41" i="47"/>
  <c r="JP10" i="35"/>
  <c r="JO10" i="35"/>
  <c r="ID10" i="47"/>
  <c r="IC10" i="47"/>
  <c r="IC55" i="47"/>
  <c r="ID55" i="47"/>
  <c r="JP16" i="35"/>
  <c r="JO16" i="35"/>
  <c r="ID16" i="47"/>
  <c r="IC16" i="47"/>
  <c r="ID67" i="47"/>
  <c r="IC67" i="47"/>
  <c r="IC35" i="47"/>
  <c r="ID35" i="47"/>
  <c r="JO36" i="35"/>
  <c r="JP36" i="35"/>
  <c r="IC68" i="47"/>
  <c r="ID68" i="47"/>
  <c r="ID36" i="47"/>
  <c r="IC36" i="47"/>
  <c r="JP37" i="35"/>
  <c r="JO37" i="35"/>
  <c r="ID73" i="47"/>
  <c r="IC73" i="47"/>
  <c r="IE44" i="47" l="1"/>
  <c r="JQ40" i="35"/>
  <c r="IE22" i="47"/>
  <c r="IE53" i="47"/>
  <c r="IE21" i="47"/>
  <c r="JQ35" i="35"/>
  <c r="IE18" i="47"/>
  <c r="IE47" i="47"/>
  <c r="IE59" i="47"/>
  <c r="IE19" i="47"/>
  <c r="IE49" i="47"/>
  <c r="IE27" i="47"/>
  <c r="IE14" i="47"/>
  <c r="IE8" i="47"/>
  <c r="EW10" i="46"/>
  <c r="EY10" i="46" s="1"/>
  <c r="JQ12" i="35"/>
  <c r="JQ26" i="35"/>
  <c r="JQ39" i="35"/>
  <c r="IE40" i="47"/>
  <c r="JQ14" i="35"/>
  <c r="JQ9" i="35"/>
  <c r="IE23" i="47"/>
  <c r="IE45" i="47"/>
  <c r="IE72" i="47"/>
  <c r="IE51" i="47"/>
  <c r="IE48" i="47"/>
  <c r="JQ15" i="35"/>
  <c r="IE60" i="47"/>
  <c r="IE30" i="47"/>
  <c r="JQ21" i="35"/>
  <c r="IE16" i="47"/>
  <c r="IE62" i="47"/>
  <c r="IE24" i="47"/>
  <c r="IE54" i="47"/>
  <c r="IE26" i="47"/>
  <c r="IE38" i="47"/>
  <c r="JQ32" i="35"/>
  <c r="IE20" i="47"/>
  <c r="JQ20" i="35"/>
  <c r="IE31" i="47"/>
  <c r="IE33" i="47"/>
  <c r="IE68" i="47"/>
  <c r="IE35" i="47"/>
  <c r="IE55" i="47"/>
  <c r="JQ31" i="35"/>
  <c r="IE65" i="47"/>
  <c r="IE52" i="47"/>
  <c r="JQ33" i="35"/>
  <c r="JQ27" i="35"/>
  <c r="IE46" i="47"/>
  <c r="IE15" i="47"/>
  <c r="IE66" i="47"/>
  <c r="IE70" i="47"/>
  <c r="IE37" i="47"/>
  <c r="JQ25" i="35"/>
  <c r="JQ11" i="35"/>
  <c r="IE9" i="47"/>
  <c r="IE73" i="47"/>
  <c r="JQ36" i="35"/>
  <c r="JQ16" i="35"/>
  <c r="IE41" i="47"/>
  <c r="JQ30" i="35"/>
  <c r="IE61" i="47"/>
  <c r="JQ18" i="35"/>
  <c r="JQ28" i="35"/>
  <c r="IE11" i="47"/>
  <c r="JQ34" i="35"/>
  <c r="IE42" i="47"/>
  <c r="IE13" i="47"/>
  <c r="JQ22" i="35"/>
  <c r="JQ37" i="35"/>
  <c r="IE67" i="47"/>
  <c r="JQ10" i="35"/>
  <c r="IE29" i="47"/>
  <c r="JQ19" i="35"/>
  <c r="IE58" i="47"/>
  <c r="JQ13" i="35"/>
  <c r="IE43" i="47"/>
  <c r="IE34" i="47"/>
  <c r="IE56" i="47"/>
  <c r="JQ29" i="35"/>
  <c r="IE64" i="47"/>
  <c r="IE25" i="47"/>
  <c r="JP43" i="35"/>
  <c r="IE36" i="47"/>
  <c r="IE10" i="47"/>
  <c r="IE17" i="47"/>
  <c r="IE39" i="47"/>
  <c r="JQ23" i="35"/>
  <c r="IE71" i="47"/>
  <c r="IE57" i="47"/>
  <c r="JQ38" i="35"/>
  <c r="IE69" i="47"/>
  <c r="IE63" i="47"/>
  <c r="IE50" i="47"/>
  <c r="EW8" i="46"/>
  <c r="EX8" i="46"/>
  <c r="EX11" i="46"/>
  <c r="EY11" i="46" s="1"/>
  <c r="JQ24" i="35"/>
  <c r="IE12" i="47"/>
  <c r="JQ17" i="35"/>
  <c r="IE32" i="47"/>
  <c r="EW9" i="46"/>
  <c r="EY9" i="46" s="1"/>
  <c r="IE28" i="47"/>
  <c r="ID78" i="47"/>
  <c r="EY8" i="46" l="1"/>
  <c r="EX15" i="46"/>
  <c r="EX20" i="46" s="1"/>
  <c r="O108" i="51" l="1"/>
  <c r="P108" i="51" s="1"/>
  <c r="O104" i="51"/>
  <c r="P104" i="51" s="1"/>
  <c r="O100" i="51"/>
  <c r="P100" i="51" s="1"/>
  <c r="O96" i="51"/>
  <c r="P96" i="51" s="1"/>
  <c r="O92" i="51"/>
  <c r="P92" i="51" s="1"/>
  <c r="O88" i="51"/>
  <c r="P88" i="51" s="1"/>
  <c r="O84" i="51"/>
  <c r="P84" i="51" s="1"/>
  <c r="O80" i="51"/>
  <c r="P80" i="51" s="1"/>
  <c r="O76" i="51"/>
  <c r="P76" i="51" s="1"/>
  <c r="O72" i="51"/>
  <c r="P72" i="51" s="1"/>
  <c r="O68" i="51"/>
  <c r="P68" i="51" s="1"/>
  <c r="O64" i="51"/>
  <c r="P64" i="51" s="1"/>
  <c r="O60" i="51"/>
  <c r="P60" i="51" s="1"/>
  <c r="O56" i="51"/>
  <c r="P56" i="51" s="1"/>
  <c r="O52" i="51"/>
  <c r="P52" i="51" s="1"/>
  <c r="O48" i="51"/>
  <c r="P48" i="51" s="1"/>
  <c r="O44" i="51"/>
  <c r="P44" i="51" s="1"/>
  <c r="O40" i="51"/>
  <c r="P40" i="51" s="1"/>
  <c r="O36" i="51"/>
  <c r="P36" i="51" s="1"/>
  <c r="O32" i="51"/>
  <c r="P32" i="51" s="1"/>
  <c r="O28" i="51"/>
  <c r="P28" i="51" s="1"/>
  <c r="O24" i="51"/>
  <c r="P24" i="51" s="1"/>
  <c r="O20" i="51"/>
  <c r="P20" i="51" s="1"/>
  <c r="O16" i="51"/>
  <c r="P16" i="51" s="1"/>
  <c r="O12" i="51"/>
  <c r="P12" i="51" s="1"/>
  <c r="O8" i="51"/>
  <c r="P8" i="51" s="1"/>
  <c r="O107" i="51"/>
  <c r="P107" i="51" s="1"/>
  <c r="O102" i="51"/>
  <c r="P102" i="51" s="1"/>
  <c r="O97" i="51"/>
  <c r="P97" i="51" s="1"/>
  <c r="O91" i="51"/>
  <c r="P91" i="51" s="1"/>
  <c r="O86" i="51"/>
  <c r="P86" i="51" s="1"/>
  <c r="O81" i="51"/>
  <c r="P81" i="51" s="1"/>
  <c r="O75" i="51"/>
  <c r="P75" i="51" s="1"/>
  <c r="O70" i="51"/>
  <c r="P70" i="51" s="1"/>
  <c r="O65" i="51"/>
  <c r="P65" i="51" s="1"/>
  <c r="O59" i="51"/>
  <c r="P59" i="51" s="1"/>
  <c r="O54" i="51"/>
  <c r="P54" i="51" s="1"/>
  <c r="O49" i="51"/>
  <c r="P49" i="51" s="1"/>
  <c r="O43" i="51"/>
  <c r="P43" i="51" s="1"/>
  <c r="O38" i="51"/>
  <c r="P38" i="51" s="1"/>
  <c r="O33" i="51"/>
  <c r="P33" i="51" s="1"/>
  <c r="O27" i="51"/>
  <c r="P27" i="51" s="1"/>
  <c r="O22" i="51"/>
  <c r="P22" i="51" s="1"/>
  <c r="O17" i="51"/>
  <c r="P17" i="51" s="1"/>
  <c r="O11" i="51"/>
  <c r="P11" i="51" s="1"/>
  <c r="O106" i="51"/>
  <c r="P106" i="51" s="1"/>
  <c r="O101" i="51"/>
  <c r="P101" i="51" s="1"/>
  <c r="O95" i="51"/>
  <c r="P95" i="51" s="1"/>
  <c r="O90" i="51"/>
  <c r="P90" i="51" s="1"/>
  <c r="O85" i="51"/>
  <c r="P85" i="51" s="1"/>
  <c r="O79" i="51"/>
  <c r="P79" i="51" s="1"/>
  <c r="O74" i="51"/>
  <c r="P74" i="51" s="1"/>
  <c r="O69" i="51"/>
  <c r="P69" i="51" s="1"/>
  <c r="O63" i="51"/>
  <c r="P63" i="51" s="1"/>
  <c r="O58" i="51"/>
  <c r="P58" i="51" s="1"/>
  <c r="O53" i="51"/>
  <c r="P53" i="51" s="1"/>
  <c r="O47" i="51"/>
  <c r="P47" i="51" s="1"/>
  <c r="O42" i="51"/>
  <c r="P42" i="51" s="1"/>
  <c r="O37" i="51"/>
  <c r="P37" i="51" s="1"/>
  <c r="O31" i="51"/>
  <c r="P31" i="51" s="1"/>
  <c r="O26" i="51"/>
  <c r="P26" i="51" s="1"/>
  <c r="O21" i="51"/>
  <c r="P21" i="51" s="1"/>
  <c r="O15" i="51"/>
  <c r="P15" i="51" s="1"/>
  <c r="O10" i="51"/>
  <c r="P10" i="51" s="1"/>
  <c r="O105" i="51"/>
  <c r="P105" i="51" s="1"/>
  <c r="O94" i="51"/>
  <c r="P94" i="51" s="1"/>
  <c r="O83" i="51"/>
  <c r="P83" i="51" s="1"/>
  <c r="O73" i="51"/>
  <c r="P73" i="51" s="1"/>
  <c r="O62" i="51"/>
  <c r="P62" i="51" s="1"/>
  <c r="O51" i="51"/>
  <c r="P51" i="51" s="1"/>
  <c r="O41" i="51"/>
  <c r="P41" i="51" s="1"/>
  <c r="O30" i="51"/>
  <c r="P30" i="51" s="1"/>
  <c r="O19" i="51"/>
  <c r="P19" i="51" s="1"/>
  <c r="O9" i="51"/>
  <c r="P9" i="51" s="1"/>
  <c r="O109" i="51"/>
  <c r="P109" i="51" s="1"/>
  <c r="O87" i="51"/>
  <c r="P87" i="51" s="1"/>
  <c r="O66" i="51"/>
  <c r="P66" i="51" s="1"/>
  <c r="O34" i="51"/>
  <c r="P34" i="51" s="1"/>
  <c r="O23" i="51"/>
  <c r="P23" i="51" s="1"/>
  <c r="O103" i="51"/>
  <c r="P103" i="51" s="1"/>
  <c r="O93" i="51"/>
  <c r="P93" i="51" s="1"/>
  <c r="O82" i="51"/>
  <c r="P82" i="51" s="1"/>
  <c r="O71" i="51"/>
  <c r="P71" i="51" s="1"/>
  <c r="O61" i="51"/>
  <c r="P61" i="51" s="1"/>
  <c r="O50" i="51"/>
  <c r="P50" i="51" s="1"/>
  <c r="O39" i="51"/>
  <c r="P39" i="51" s="1"/>
  <c r="O29" i="51"/>
  <c r="P29" i="51" s="1"/>
  <c r="O18" i="51"/>
  <c r="P18" i="51" s="1"/>
  <c r="O110" i="51"/>
  <c r="P110" i="51" s="1"/>
  <c r="O99" i="51"/>
  <c r="P99" i="51" s="1"/>
  <c r="O89" i="51"/>
  <c r="P89" i="51" s="1"/>
  <c r="O78" i="51"/>
  <c r="P78" i="51" s="1"/>
  <c r="O67" i="51"/>
  <c r="P67" i="51" s="1"/>
  <c r="O57" i="51"/>
  <c r="P57" i="51" s="1"/>
  <c r="O46" i="51"/>
  <c r="P46" i="51" s="1"/>
  <c r="O35" i="51"/>
  <c r="P35" i="51" s="1"/>
  <c r="O25" i="51"/>
  <c r="P25" i="51" s="1"/>
  <c r="O14" i="51"/>
  <c r="P14" i="51" s="1"/>
  <c r="O98" i="51"/>
  <c r="P98" i="51" s="1"/>
  <c r="O77" i="51"/>
  <c r="P77" i="51" s="1"/>
  <c r="O55" i="51"/>
  <c r="P55" i="51" s="1"/>
  <c r="O45" i="51"/>
  <c r="P45" i="51" s="1"/>
  <c r="O13" i="51"/>
  <c r="P13" i="51" s="1"/>
  <c r="JR8" i="35" l="1"/>
  <c r="JR15" i="35" l="1"/>
  <c r="JS15" i="35" s="1"/>
  <c r="JR31" i="35"/>
  <c r="JS31" i="35" s="1"/>
  <c r="IF14" i="47"/>
  <c r="IG14" i="47" s="1"/>
  <c r="IF30" i="47"/>
  <c r="IG30" i="47" s="1"/>
  <c r="IF46" i="47"/>
  <c r="IG46" i="47" s="1"/>
  <c r="IF62" i="47"/>
  <c r="IG62" i="47" s="1"/>
  <c r="JR10" i="35"/>
  <c r="JS10" i="35" s="1"/>
  <c r="JR26" i="35"/>
  <c r="JS26" i="35" s="1"/>
  <c r="IF9" i="47"/>
  <c r="IG9" i="47" s="1"/>
  <c r="IF25" i="47"/>
  <c r="IG25" i="47" s="1"/>
  <c r="IF41" i="47"/>
  <c r="IG41" i="47" s="1"/>
  <c r="IF57" i="47"/>
  <c r="IG57" i="47" s="1"/>
  <c r="IF73" i="47"/>
  <c r="IG73" i="47" s="1"/>
  <c r="JR21" i="35"/>
  <c r="JS21" i="35" s="1"/>
  <c r="JR37" i="35"/>
  <c r="JS37" i="35" s="1"/>
  <c r="IF20" i="47"/>
  <c r="IG20" i="47" s="1"/>
  <c r="IF36" i="47"/>
  <c r="IG36" i="47" s="1"/>
  <c r="IF52" i="47"/>
  <c r="IG52" i="47" s="1"/>
  <c r="IF68" i="47"/>
  <c r="IG68" i="47" s="1"/>
  <c r="JR16" i="35"/>
  <c r="JS16" i="35" s="1"/>
  <c r="JR32" i="35"/>
  <c r="JS32" i="35" s="1"/>
  <c r="IF15" i="47"/>
  <c r="IG15" i="47" s="1"/>
  <c r="IF31" i="47"/>
  <c r="IG31" i="47" s="1"/>
  <c r="IF47" i="47"/>
  <c r="IG47" i="47" s="1"/>
  <c r="IF63" i="47"/>
  <c r="IG63" i="47" s="1"/>
  <c r="EZ11" i="46"/>
  <c r="FA11" i="46" s="1"/>
  <c r="IF22" i="47"/>
  <c r="IG22" i="47" s="1"/>
  <c r="IF54" i="47"/>
  <c r="IG54" i="47" s="1"/>
  <c r="JR18" i="35"/>
  <c r="JS18" i="35" s="1"/>
  <c r="JR34" i="35"/>
  <c r="JS34" i="35" s="1"/>
  <c r="IF17" i="47"/>
  <c r="IG17" i="47" s="1"/>
  <c r="IF49" i="47"/>
  <c r="IG49" i="47" s="1"/>
  <c r="JR13" i="35"/>
  <c r="JS13" i="35" s="1"/>
  <c r="IF12" i="47"/>
  <c r="IG12" i="47" s="1"/>
  <c r="IF44" i="47"/>
  <c r="IG44" i="47" s="1"/>
  <c r="EZ10" i="46"/>
  <c r="FA10" i="46" s="1"/>
  <c r="JR40" i="35"/>
  <c r="JS40" i="35" s="1"/>
  <c r="IF39" i="47"/>
  <c r="IG39" i="47" s="1"/>
  <c r="IF71" i="47"/>
  <c r="IG71" i="47" s="1"/>
  <c r="JR11" i="35"/>
  <c r="JS11" i="35" s="1"/>
  <c r="JR27" i="35"/>
  <c r="JS27" i="35" s="1"/>
  <c r="IF26" i="47"/>
  <c r="IG26" i="47" s="1"/>
  <c r="IF58" i="47"/>
  <c r="IG58" i="47" s="1"/>
  <c r="JR22" i="35"/>
  <c r="JS22" i="35" s="1"/>
  <c r="IF21" i="47"/>
  <c r="IG21" i="47" s="1"/>
  <c r="IF53" i="47"/>
  <c r="IG53" i="47" s="1"/>
  <c r="JR17" i="35"/>
  <c r="JS17" i="35" s="1"/>
  <c r="IF16" i="47"/>
  <c r="IG16" i="47" s="1"/>
  <c r="IF48" i="47"/>
  <c r="IG48" i="47" s="1"/>
  <c r="JR12" i="35"/>
  <c r="JS12" i="35" s="1"/>
  <c r="IF11" i="47"/>
  <c r="IG11" i="47" s="1"/>
  <c r="IF43" i="47"/>
  <c r="IG43" i="47" s="1"/>
  <c r="EZ9" i="46"/>
  <c r="FA9" i="46" s="1"/>
  <c r="JR19" i="35"/>
  <c r="JS19" i="35" s="1"/>
  <c r="JR35" i="35"/>
  <c r="JS35" i="35" s="1"/>
  <c r="IF18" i="47"/>
  <c r="IG18" i="47" s="1"/>
  <c r="IF34" i="47"/>
  <c r="IG34" i="47" s="1"/>
  <c r="IF50" i="47"/>
  <c r="IG50" i="47" s="1"/>
  <c r="IF66" i="47"/>
  <c r="IG66" i="47" s="1"/>
  <c r="JR14" i="35"/>
  <c r="JS14" i="35" s="1"/>
  <c r="JR30" i="35"/>
  <c r="JS30" i="35" s="1"/>
  <c r="IF13" i="47"/>
  <c r="IG13" i="47" s="1"/>
  <c r="IF29" i="47"/>
  <c r="IG29" i="47" s="1"/>
  <c r="IF45" i="47"/>
  <c r="IG45" i="47" s="1"/>
  <c r="IF61" i="47"/>
  <c r="IG61" i="47" s="1"/>
  <c r="JR9" i="35"/>
  <c r="JS9" i="35" s="1"/>
  <c r="JR25" i="35"/>
  <c r="JS25" i="35" s="1"/>
  <c r="IF8" i="47"/>
  <c r="IG8" i="47" s="1"/>
  <c r="IF24" i="47"/>
  <c r="IG24" i="47" s="1"/>
  <c r="IF40" i="47"/>
  <c r="IG40" i="47" s="1"/>
  <c r="IF56" i="47"/>
  <c r="IG56" i="47" s="1"/>
  <c r="IF72" i="47"/>
  <c r="IG72" i="47" s="1"/>
  <c r="JR20" i="35"/>
  <c r="JS20" i="35" s="1"/>
  <c r="JR36" i="35"/>
  <c r="JS36" i="35" s="1"/>
  <c r="IF19" i="47"/>
  <c r="IG19" i="47" s="1"/>
  <c r="IF35" i="47"/>
  <c r="IG35" i="47" s="1"/>
  <c r="IF51" i="47"/>
  <c r="IG51" i="47" s="1"/>
  <c r="IF67" i="47"/>
  <c r="IG67" i="47" s="1"/>
  <c r="JR23" i="35"/>
  <c r="JS23" i="35" s="1"/>
  <c r="JR39" i="35"/>
  <c r="JS39" i="35" s="1"/>
  <c r="IF38" i="47"/>
  <c r="IG38" i="47" s="1"/>
  <c r="IF70" i="47"/>
  <c r="IG70" i="47" s="1"/>
  <c r="IF33" i="47"/>
  <c r="IG33" i="47" s="1"/>
  <c r="IF65" i="47"/>
  <c r="IG65" i="47" s="1"/>
  <c r="JR29" i="35"/>
  <c r="JS29" i="35" s="1"/>
  <c r="IF28" i="47"/>
  <c r="IG28" i="47" s="1"/>
  <c r="IF60" i="47"/>
  <c r="IG60" i="47" s="1"/>
  <c r="JR24" i="35"/>
  <c r="JS24" i="35" s="1"/>
  <c r="IF23" i="47"/>
  <c r="IG23" i="47" s="1"/>
  <c r="IF55" i="47"/>
  <c r="IG55" i="47" s="1"/>
  <c r="IF10" i="47"/>
  <c r="IG10" i="47" s="1"/>
  <c r="IF42" i="47"/>
  <c r="IG42" i="47" s="1"/>
  <c r="EZ8" i="46"/>
  <c r="FA8" i="46" s="1"/>
  <c r="JR38" i="35"/>
  <c r="JS38" i="35" s="1"/>
  <c r="IF37" i="47"/>
  <c r="IG37" i="47" s="1"/>
  <c r="IF69" i="47"/>
  <c r="IG69" i="47" s="1"/>
  <c r="JR33" i="35"/>
  <c r="JS33" i="35" s="1"/>
  <c r="IF32" i="47"/>
  <c r="IG32" i="47" s="1"/>
  <c r="IF64" i="47"/>
  <c r="IG64" i="47" s="1"/>
  <c r="JR28" i="35"/>
  <c r="JS28" i="35" s="1"/>
  <c r="IF27" i="47"/>
  <c r="IG27" i="47" s="1"/>
  <c r="IF59" i="47"/>
  <c r="IG59" i="47" s="1"/>
  <c r="JS8" i="35"/>
  <c r="I82" i="51" l="1"/>
  <c r="D82" i="51" s="1"/>
  <c r="E82" i="51" s="1"/>
  <c r="N82" i="51" s="1"/>
  <c r="R82" i="51" s="1"/>
  <c r="JV28" i="35"/>
  <c r="JW28" i="35" s="1"/>
  <c r="H81" i="50"/>
  <c r="H64" i="50"/>
  <c r="I65" i="51"/>
  <c r="D65" i="51" s="1"/>
  <c r="E65" i="51" s="1"/>
  <c r="N65" i="51" s="1"/>
  <c r="R65" i="51" s="1"/>
  <c r="I102" i="51"/>
  <c r="D102" i="51" s="1"/>
  <c r="E102" i="51" s="1"/>
  <c r="N102" i="51" s="1"/>
  <c r="R102" i="51" s="1"/>
  <c r="H101" i="50"/>
  <c r="I58" i="51"/>
  <c r="IJ35" i="47"/>
  <c r="IK35" i="47" s="1"/>
  <c r="IJ8" i="47"/>
  <c r="IK8" i="47" s="1"/>
  <c r="I12" i="51"/>
  <c r="IG78" i="47"/>
  <c r="I15" i="51"/>
  <c r="JV14" i="35"/>
  <c r="JW14" i="35" s="1"/>
  <c r="H65" i="50"/>
  <c r="I66" i="51"/>
  <c r="D66" i="51" s="1"/>
  <c r="E66" i="51" s="1"/>
  <c r="N66" i="51" s="1"/>
  <c r="R66" i="51" s="1"/>
  <c r="JV22" i="35"/>
  <c r="JW22" i="35" s="1"/>
  <c r="I33" i="51"/>
  <c r="I29" i="51"/>
  <c r="D29" i="51" s="1"/>
  <c r="E29" i="51" s="1"/>
  <c r="N29" i="51" s="1"/>
  <c r="R29" i="51" s="1"/>
  <c r="FD10" i="46"/>
  <c r="FE10" i="46" s="1"/>
  <c r="H28" i="50"/>
  <c r="H71" i="50"/>
  <c r="I72" i="51"/>
  <c r="D72" i="51" s="1"/>
  <c r="E72" i="51" s="1"/>
  <c r="N72" i="51" s="1"/>
  <c r="R72" i="51" s="1"/>
  <c r="I70" i="51"/>
  <c r="D70" i="51" s="1"/>
  <c r="E70" i="51" s="1"/>
  <c r="N70" i="51" s="1"/>
  <c r="R70" i="51" s="1"/>
  <c r="H69" i="50"/>
  <c r="I43" i="51"/>
  <c r="IJ20" i="47"/>
  <c r="IK20" i="47" s="1"/>
  <c r="I37" i="51"/>
  <c r="JV26" i="35"/>
  <c r="JW26" i="35" s="1"/>
  <c r="JV8" i="35"/>
  <c r="JW8" i="35" s="1"/>
  <c r="I8" i="51"/>
  <c r="JS43" i="35"/>
  <c r="IJ37" i="47"/>
  <c r="IK37" i="47" s="1"/>
  <c r="I60" i="51"/>
  <c r="H95" i="50"/>
  <c r="I96" i="51"/>
  <c r="D96" i="51" s="1"/>
  <c r="E96" i="51" s="1"/>
  <c r="N96" i="51" s="1"/>
  <c r="R96" i="51" s="1"/>
  <c r="JV23" i="35"/>
  <c r="JW23" i="35" s="1"/>
  <c r="I34" i="51"/>
  <c r="IJ19" i="47"/>
  <c r="IK19" i="47" s="1"/>
  <c r="I42" i="51"/>
  <c r="I36" i="51"/>
  <c r="JV25" i="35"/>
  <c r="JW25" i="35" s="1"/>
  <c r="H102" i="50"/>
  <c r="I103" i="51"/>
  <c r="D103" i="51" s="1"/>
  <c r="E103" i="51" s="1"/>
  <c r="N103" i="51" s="1"/>
  <c r="R103" i="51" s="1"/>
  <c r="I22" i="51"/>
  <c r="IJ11" i="47"/>
  <c r="IK11" i="47" s="1"/>
  <c r="I81" i="51"/>
  <c r="D81" i="51" s="1"/>
  <c r="E81" i="51" s="1"/>
  <c r="N81" i="51" s="1"/>
  <c r="R81" i="51" s="1"/>
  <c r="H80" i="50"/>
  <c r="H66" i="50"/>
  <c r="I67" i="51"/>
  <c r="D67" i="51" s="1"/>
  <c r="E67" i="51" s="1"/>
  <c r="N67" i="51" s="1"/>
  <c r="R67" i="51" s="1"/>
  <c r="I45" i="51"/>
  <c r="IJ22" i="47"/>
  <c r="IK22" i="47" s="1"/>
  <c r="I105" i="51"/>
  <c r="D105" i="51" s="1"/>
  <c r="E105" i="51" s="1"/>
  <c r="N105" i="51" s="1"/>
  <c r="R105" i="51" s="1"/>
  <c r="H104" i="50"/>
  <c r="H90" i="50"/>
  <c r="I91" i="51"/>
  <c r="D91" i="51" s="1"/>
  <c r="E91" i="51" s="1"/>
  <c r="N91" i="51" s="1"/>
  <c r="R91" i="51" s="1"/>
  <c r="JV37" i="35"/>
  <c r="JW37" i="35" s="1"/>
  <c r="JV10" i="35"/>
  <c r="JW10" i="35" s="1"/>
  <c r="I10" i="51"/>
  <c r="I25" i="51"/>
  <c r="IJ14" i="47"/>
  <c r="IK14" i="47" s="1"/>
  <c r="I95" i="51"/>
  <c r="D95" i="51" s="1"/>
  <c r="E95" i="51" s="1"/>
  <c r="N95" i="51" s="1"/>
  <c r="R95" i="51" s="1"/>
  <c r="H94" i="50"/>
  <c r="I55" i="51"/>
  <c r="IJ32" i="47"/>
  <c r="IK32" i="47" s="1"/>
  <c r="JV38" i="35"/>
  <c r="JW38" i="35" s="1"/>
  <c r="I92" i="51"/>
  <c r="D92" i="51" s="1"/>
  <c r="E92" i="51" s="1"/>
  <c r="N92" i="51" s="1"/>
  <c r="R92" i="51" s="1"/>
  <c r="H91" i="50"/>
  <c r="I78" i="51"/>
  <c r="D78" i="51" s="1"/>
  <c r="E78" i="51" s="1"/>
  <c r="N78" i="51" s="1"/>
  <c r="R78" i="51" s="1"/>
  <c r="H77" i="50"/>
  <c r="I51" i="51"/>
  <c r="IJ28" i="47"/>
  <c r="IK28" i="47" s="1"/>
  <c r="I107" i="51"/>
  <c r="D107" i="51" s="1"/>
  <c r="E107" i="51" s="1"/>
  <c r="N107" i="51" s="1"/>
  <c r="R107" i="51" s="1"/>
  <c r="H106" i="50"/>
  <c r="H103" i="50"/>
  <c r="I104" i="51"/>
  <c r="D104" i="51" s="1"/>
  <c r="E104" i="51" s="1"/>
  <c r="N104" i="51" s="1"/>
  <c r="R104" i="51" s="1"/>
  <c r="JV36" i="35"/>
  <c r="JW36" i="35" s="1"/>
  <c r="H89" i="50"/>
  <c r="I90" i="51"/>
  <c r="D90" i="51" s="1"/>
  <c r="E90" i="51" s="1"/>
  <c r="N90" i="51" s="1"/>
  <c r="R90" i="51" s="1"/>
  <c r="I63" i="51"/>
  <c r="D63" i="51" s="1"/>
  <c r="E63" i="51" s="1"/>
  <c r="N63" i="51" s="1"/>
  <c r="R63" i="51" s="1"/>
  <c r="IJ40" i="47"/>
  <c r="IK40" i="47" s="1"/>
  <c r="H62" i="50"/>
  <c r="JV9" i="35"/>
  <c r="JW9" i="35" s="1"/>
  <c r="I9" i="51"/>
  <c r="IJ13" i="47"/>
  <c r="IK13" i="47" s="1"/>
  <c r="I24" i="51"/>
  <c r="H72" i="50"/>
  <c r="I73" i="51"/>
  <c r="D73" i="51" s="1"/>
  <c r="E73" i="51" s="1"/>
  <c r="N73" i="51" s="1"/>
  <c r="R73" i="51" s="1"/>
  <c r="JV19" i="35"/>
  <c r="JW19" i="35" s="1"/>
  <c r="I30" i="51"/>
  <c r="JV12" i="35"/>
  <c r="JW12" i="35" s="1"/>
  <c r="I13" i="51"/>
  <c r="I76" i="51"/>
  <c r="D76" i="51" s="1"/>
  <c r="E76" i="51" s="1"/>
  <c r="N76" i="51" s="1"/>
  <c r="R76" i="51" s="1"/>
  <c r="H75" i="50"/>
  <c r="I49" i="51"/>
  <c r="IJ26" i="47"/>
  <c r="IK26" i="47" s="1"/>
  <c r="H61" i="50"/>
  <c r="IJ39" i="47"/>
  <c r="IK39" i="47" s="1"/>
  <c r="I62" i="51"/>
  <c r="D62" i="51" s="1"/>
  <c r="E62" i="51" s="1"/>
  <c r="N62" i="51" s="1"/>
  <c r="R62" i="51" s="1"/>
  <c r="I23" i="51"/>
  <c r="IJ12" i="47"/>
  <c r="IK12" i="47" s="1"/>
  <c r="H87" i="50"/>
  <c r="JV34" i="35"/>
  <c r="JW34" i="35" s="1"/>
  <c r="I88" i="51"/>
  <c r="D88" i="51" s="1"/>
  <c r="E88" i="51" s="1"/>
  <c r="N88" i="51" s="1"/>
  <c r="R88" i="51" s="1"/>
  <c r="FD11" i="46"/>
  <c r="FE11" i="46" s="1"/>
  <c r="H100" i="50"/>
  <c r="I101" i="51"/>
  <c r="D101" i="51" s="1"/>
  <c r="E101" i="51" s="1"/>
  <c r="N101" i="51" s="1"/>
  <c r="R101" i="51" s="1"/>
  <c r="IJ15" i="47"/>
  <c r="IK15" i="47" s="1"/>
  <c r="I26" i="51"/>
  <c r="H74" i="50"/>
  <c r="I75" i="51"/>
  <c r="D75" i="51" s="1"/>
  <c r="E75" i="51" s="1"/>
  <c r="N75" i="51" s="1"/>
  <c r="R75" i="51" s="1"/>
  <c r="JV21" i="35"/>
  <c r="JW21" i="35" s="1"/>
  <c r="I32" i="51"/>
  <c r="IJ25" i="47"/>
  <c r="IK25" i="47" s="1"/>
  <c r="I48" i="51"/>
  <c r="I98" i="51"/>
  <c r="D98" i="51" s="1"/>
  <c r="E98" i="51" s="1"/>
  <c r="N98" i="51" s="1"/>
  <c r="R98" i="51" s="1"/>
  <c r="H97" i="50"/>
  <c r="I85" i="51"/>
  <c r="D85" i="51" s="1"/>
  <c r="E85" i="51" s="1"/>
  <c r="N85" i="51" s="1"/>
  <c r="R85" i="51" s="1"/>
  <c r="JV31" i="35"/>
  <c r="JW31" i="35" s="1"/>
  <c r="H84" i="50"/>
  <c r="I106" i="51"/>
  <c r="D106" i="51" s="1"/>
  <c r="E106" i="51" s="1"/>
  <c r="N106" i="51" s="1"/>
  <c r="R106" i="51" s="1"/>
  <c r="H105" i="50"/>
  <c r="I35" i="51"/>
  <c r="JV24" i="35"/>
  <c r="JW24" i="35" s="1"/>
  <c r="I93" i="51"/>
  <c r="D93" i="51" s="1"/>
  <c r="E93" i="51" s="1"/>
  <c r="N93" i="51" s="1"/>
  <c r="R93" i="51" s="1"/>
  <c r="JV39" i="35"/>
  <c r="JW39" i="35" s="1"/>
  <c r="H92" i="50"/>
  <c r="H108" i="50"/>
  <c r="I109" i="51"/>
  <c r="D109" i="51" s="1"/>
  <c r="E109" i="51" s="1"/>
  <c r="N109" i="51" s="1"/>
  <c r="R109" i="51" s="1"/>
  <c r="I68" i="51"/>
  <c r="D68" i="51" s="1"/>
  <c r="E68" i="51" s="1"/>
  <c r="N68" i="51" s="1"/>
  <c r="R68" i="51" s="1"/>
  <c r="H67" i="50"/>
  <c r="I41" i="51"/>
  <c r="IJ18" i="47"/>
  <c r="IK18" i="47" s="1"/>
  <c r="I39" i="51"/>
  <c r="IJ16" i="47"/>
  <c r="IK16" i="47" s="1"/>
  <c r="JV11" i="35"/>
  <c r="JW11" i="35" s="1"/>
  <c r="I11" i="51"/>
  <c r="H76" i="50"/>
  <c r="I77" i="51"/>
  <c r="D77" i="51" s="1"/>
  <c r="E77" i="51" s="1"/>
  <c r="N77" i="51" s="1"/>
  <c r="R77" i="51" s="1"/>
  <c r="I17" i="51"/>
  <c r="JV16" i="35"/>
  <c r="JW16" i="35" s="1"/>
  <c r="I80" i="51"/>
  <c r="D80" i="51" s="1"/>
  <c r="E80" i="51" s="1"/>
  <c r="N80" i="51" s="1"/>
  <c r="R80" i="51" s="1"/>
  <c r="H79" i="50"/>
  <c r="IJ30" i="47"/>
  <c r="IK30" i="47" s="1"/>
  <c r="I53" i="51"/>
  <c r="I100" i="51"/>
  <c r="D100" i="51" s="1"/>
  <c r="E100" i="51" s="1"/>
  <c r="N100" i="51" s="1"/>
  <c r="R100" i="51" s="1"/>
  <c r="H99" i="50"/>
  <c r="IJ10" i="47"/>
  <c r="IK10" i="47" s="1"/>
  <c r="I21" i="51"/>
  <c r="IJ33" i="47"/>
  <c r="IK33" i="47" s="1"/>
  <c r="I56" i="51"/>
  <c r="I79" i="51"/>
  <c r="D79" i="51" s="1"/>
  <c r="E79" i="51" s="1"/>
  <c r="N79" i="51" s="1"/>
  <c r="R79" i="51" s="1"/>
  <c r="H78" i="50"/>
  <c r="I52" i="51"/>
  <c r="IJ29" i="47"/>
  <c r="IK29" i="47" s="1"/>
  <c r="H88" i="50"/>
  <c r="I89" i="51"/>
  <c r="D89" i="51" s="1"/>
  <c r="E89" i="51" s="1"/>
  <c r="N89" i="51" s="1"/>
  <c r="R89" i="51" s="1"/>
  <c r="JV35" i="35"/>
  <c r="JW35" i="35" s="1"/>
  <c r="JV17" i="35"/>
  <c r="JW17" i="35" s="1"/>
  <c r="I18" i="51"/>
  <c r="H107" i="50"/>
  <c r="I108" i="51"/>
  <c r="D108" i="51" s="1"/>
  <c r="E108" i="51" s="1"/>
  <c r="N108" i="51" s="1"/>
  <c r="R108" i="51" s="1"/>
  <c r="IJ17" i="47"/>
  <c r="IK17" i="47" s="1"/>
  <c r="I40" i="51"/>
  <c r="IJ31" i="47"/>
  <c r="IK31" i="47" s="1"/>
  <c r="I54" i="51"/>
  <c r="I64" i="51"/>
  <c r="D64" i="51" s="1"/>
  <c r="E64" i="51" s="1"/>
  <c r="N64" i="51" s="1"/>
  <c r="R64" i="51" s="1"/>
  <c r="H63" i="50"/>
  <c r="I50" i="51"/>
  <c r="IJ27" i="47"/>
  <c r="IK27" i="47" s="1"/>
  <c r="JV33" i="35"/>
  <c r="JW33" i="35" s="1"/>
  <c r="I87" i="51"/>
  <c r="D87" i="51" s="1"/>
  <c r="E87" i="51" s="1"/>
  <c r="N87" i="51" s="1"/>
  <c r="R87" i="51" s="1"/>
  <c r="H86" i="50"/>
  <c r="FA15" i="46"/>
  <c r="I27" i="51"/>
  <c r="FD8" i="46"/>
  <c r="FE8" i="46" s="1"/>
  <c r="IJ23" i="47"/>
  <c r="IK23" i="47" s="1"/>
  <c r="I46" i="51"/>
  <c r="H82" i="50"/>
  <c r="I83" i="51"/>
  <c r="D83" i="51" s="1"/>
  <c r="E83" i="51" s="1"/>
  <c r="N83" i="51" s="1"/>
  <c r="R83" i="51" s="1"/>
  <c r="JV29" i="35"/>
  <c r="JW29" i="35" s="1"/>
  <c r="IJ38" i="47"/>
  <c r="IK38" i="47" s="1"/>
  <c r="I61" i="51"/>
  <c r="D61" i="51" s="1"/>
  <c r="E61" i="51" s="1"/>
  <c r="N61" i="51" s="1"/>
  <c r="R61" i="51" s="1"/>
  <c r="H60" i="50"/>
  <c r="H73" i="50"/>
  <c r="I74" i="51"/>
  <c r="D74" i="51" s="1"/>
  <c r="E74" i="51" s="1"/>
  <c r="N74" i="51" s="1"/>
  <c r="R74" i="51" s="1"/>
  <c r="JV20" i="35"/>
  <c r="JW20" i="35" s="1"/>
  <c r="I31" i="51"/>
  <c r="I47" i="51"/>
  <c r="IJ24" i="47"/>
  <c r="IK24" i="47" s="1"/>
  <c r="I97" i="51"/>
  <c r="D97" i="51" s="1"/>
  <c r="E97" i="51" s="1"/>
  <c r="N97" i="51" s="1"/>
  <c r="R97" i="51" s="1"/>
  <c r="H96" i="50"/>
  <c r="JV30" i="35"/>
  <c r="JW30" i="35" s="1"/>
  <c r="H83" i="50"/>
  <c r="I84" i="51"/>
  <c r="D84" i="51" s="1"/>
  <c r="E84" i="51" s="1"/>
  <c r="N84" i="51" s="1"/>
  <c r="R84" i="51" s="1"/>
  <c r="I57" i="51"/>
  <c r="IJ34" i="47"/>
  <c r="IK34" i="47" s="1"/>
  <c r="I28" i="51"/>
  <c r="FD9" i="46"/>
  <c r="FE9" i="46" s="1"/>
  <c r="H70" i="50"/>
  <c r="I71" i="51"/>
  <c r="D71" i="51" s="1"/>
  <c r="E71" i="51" s="1"/>
  <c r="N71" i="51" s="1"/>
  <c r="R71" i="51" s="1"/>
  <c r="IJ21" i="47"/>
  <c r="IK21" i="47" s="1"/>
  <c r="I44" i="51"/>
  <c r="JV27" i="35"/>
  <c r="JW27" i="35" s="1"/>
  <c r="I38" i="51"/>
  <c r="JV40" i="35"/>
  <c r="JW40" i="35" s="1"/>
  <c r="H93" i="50"/>
  <c r="I94" i="51"/>
  <c r="D94" i="51" s="1"/>
  <c r="E94" i="51" s="1"/>
  <c r="N94" i="51" s="1"/>
  <c r="R94" i="51" s="1"/>
  <c r="I14" i="51"/>
  <c r="JV13" i="35"/>
  <c r="JW13" i="35" s="1"/>
  <c r="I19" i="51"/>
  <c r="JV18" i="35"/>
  <c r="JW18" i="35" s="1"/>
  <c r="H98" i="50"/>
  <c r="I99" i="51"/>
  <c r="D99" i="51" s="1"/>
  <c r="E99" i="51" s="1"/>
  <c r="N99" i="51" s="1"/>
  <c r="R99" i="51" s="1"/>
  <c r="I86" i="51"/>
  <c r="D86" i="51" s="1"/>
  <c r="E86" i="51" s="1"/>
  <c r="N86" i="51" s="1"/>
  <c r="R86" i="51" s="1"/>
  <c r="H85" i="50"/>
  <c r="JV32" i="35"/>
  <c r="JW32" i="35" s="1"/>
  <c r="IJ36" i="47"/>
  <c r="IK36" i="47" s="1"/>
  <c r="I59" i="51"/>
  <c r="I110" i="51"/>
  <c r="D110" i="51" s="1"/>
  <c r="E110" i="51" s="1"/>
  <c r="N110" i="51" s="1"/>
  <c r="R110" i="51" s="1"/>
  <c r="H109" i="50"/>
  <c r="I20" i="51"/>
  <c r="IJ9" i="47"/>
  <c r="IK9" i="47" s="1"/>
  <c r="I69" i="51"/>
  <c r="D69" i="51" s="1"/>
  <c r="E69" i="51" s="1"/>
  <c r="N69" i="51" s="1"/>
  <c r="R69" i="51" s="1"/>
  <c r="H68" i="50"/>
  <c r="JV15" i="35"/>
  <c r="JW15" i="35" s="1"/>
  <c r="I16" i="51"/>
  <c r="K86" i="51" l="1"/>
  <c r="I85" i="50"/>
  <c r="K71" i="51"/>
  <c r="I70" i="50"/>
  <c r="F111" i="50" s="1"/>
  <c r="K97" i="51"/>
  <c r="I96" i="50"/>
  <c r="D31" i="51"/>
  <c r="E31" i="51" s="1"/>
  <c r="N31" i="51" s="1"/>
  <c r="R31" i="51" s="1"/>
  <c r="L31" i="51"/>
  <c r="I60" i="50"/>
  <c r="K61" i="51"/>
  <c r="K64" i="51"/>
  <c r="I63" i="50"/>
  <c r="L40" i="51"/>
  <c r="D40" i="51"/>
  <c r="E40" i="51" s="1"/>
  <c r="N40" i="51" s="1"/>
  <c r="R40" i="51" s="1"/>
  <c r="L18" i="51"/>
  <c r="D18" i="51"/>
  <c r="E18" i="51" s="1"/>
  <c r="N18" i="51" s="1"/>
  <c r="R18" i="51" s="1"/>
  <c r="I88" i="50"/>
  <c r="K89" i="51"/>
  <c r="D17" i="51"/>
  <c r="E17" i="51" s="1"/>
  <c r="N17" i="51" s="1"/>
  <c r="R17" i="51" s="1"/>
  <c r="L17" i="51"/>
  <c r="L41" i="51"/>
  <c r="D41" i="51"/>
  <c r="E41" i="51" s="1"/>
  <c r="N41" i="51" s="1"/>
  <c r="R41" i="51" s="1"/>
  <c r="K109" i="51"/>
  <c r="I108" i="50"/>
  <c r="D9" i="51"/>
  <c r="E9" i="51" s="1"/>
  <c r="L9" i="51"/>
  <c r="K92" i="51"/>
  <c r="I91" i="50"/>
  <c r="D55" i="51"/>
  <c r="E55" i="51" s="1"/>
  <c r="N55" i="51" s="1"/>
  <c r="R55" i="51" s="1"/>
  <c r="L55" i="51"/>
  <c r="L25" i="51"/>
  <c r="D25" i="51"/>
  <c r="E25" i="51" s="1"/>
  <c r="N25" i="51" s="1"/>
  <c r="R25" i="51" s="1"/>
  <c r="K81" i="51"/>
  <c r="I80" i="50"/>
  <c r="L42" i="51"/>
  <c r="D42" i="51"/>
  <c r="E42" i="51" s="1"/>
  <c r="N42" i="51" s="1"/>
  <c r="R42" i="51" s="1"/>
  <c r="L37" i="51"/>
  <c r="D37" i="51"/>
  <c r="E37" i="51" s="1"/>
  <c r="N37" i="51" s="1"/>
  <c r="R37" i="51" s="1"/>
  <c r="K65" i="51"/>
  <c r="I64" i="50"/>
  <c r="L16" i="51"/>
  <c r="D16" i="51"/>
  <c r="E16" i="51" s="1"/>
  <c r="N16" i="51" s="1"/>
  <c r="R16" i="51" s="1"/>
  <c r="D59" i="51"/>
  <c r="E59" i="51" s="1"/>
  <c r="N59" i="51" s="1"/>
  <c r="R59" i="51" s="1"/>
  <c r="L59" i="51"/>
  <c r="L19" i="51"/>
  <c r="D19" i="51"/>
  <c r="E19" i="51" s="1"/>
  <c r="N19" i="51" s="1"/>
  <c r="R19" i="51" s="1"/>
  <c r="L27" i="51"/>
  <c r="D27" i="51"/>
  <c r="E27" i="51" s="1"/>
  <c r="L56" i="51"/>
  <c r="D56" i="51"/>
  <c r="E56" i="51" s="1"/>
  <c r="N56" i="51" s="1"/>
  <c r="R56" i="51" s="1"/>
  <c r="I79" i="50"/>
  <c r="K80" i="51"/>
  <c r="I92" i="50"/>
  <c r="K93" i="51"/>
  <c r="L35" i="51"/>
  <c r="D35" i="51"/>
  <c r="E35" i="51" s="1"/>
  <c r="N35" i="51" s="1"/>
  <c r="R35" i="51" s="1"/>
  <c r="L48" i="51"/>
  <c r="D48" i="51"/>
  <c r="E48" i="51" s="1"/>
  <c r="N48" i="51" s="1"/>
  <c r="R48" i="51" s="1"/>
  <c r="L49" i="51"/>
  <c r="D49" i="51"/>
  <c r="E49" i="51" s="1"/>
  <c r="N49" i="51" s="1"/>
  <c r="R49" i="51" s="1"/>
  <c r="K73" i="51"/>
  <c r="I72" i="50"/>
  <c r="I103" i="50"/>
  <c r="K104" i="51"/>
  <c r="D51" i="51"/>
  <c r="E51" i="51" s="1"/>
  <c r="N51" i="51" s="1"/>
  <c r="R51" i="51" s="1"/>
  <c r="L51" i="51"/>
  <c r="I94" i="50"/>
  <c r="K95" i="51"/>
  <c r="K91" i="51"/>
  <c r="I90" i="50"/>
  <c r="K96" i="51"/>
  <c r="I95" i="50"/>
  <c r="L8" i="51"/>
  <c r="E8" i="51"/>
  <c r="K66" i="51"/>
  <c r="I65" i="50"/>
  <c r="D12" i="51"/>
  <c r="E12" i="51" s="1"/>
  <c r="L12" i="51"/>
  <c r="I101" i="50"/>
  <c r="K102" i="51"/>
  <c r="I81" i="50"/>
  <c r="K82" i="51"/>
  <c r="L20" i="51"/>
  <c r="D20" i="51"/>
  <c r="E20" i="51" s="1"/>
  <c r="D28" i="51"/>
  <c r="E28" i="51" s="1"/>
  <c r="N28" i="51" s="1"/>
  <c r="R28" i="51" s="1"/>
  <c r="L28" i="51"/>
  <c r="K84" i="51"/>
  <c r="I83" i="50"/>
  <c r="D46" i="51"/>
  <c r="E46" i="51" s="1"/>
  <c r="N46" i="51" s="1"/>
  <c r="R46" i="51" s="1"/>
  <c r="L46" i="51"/>
  <c r="E128" i="51"/>
  <c r="D54" i="51"/>
  <c r="E54" i="51" s="1"/>
  <c r="N54" i="51" s="1"/>
  <c r="R54" i="51" s="1"/>
  <c r="L54" i="51"/>
  <c r="D52" i="51"/>
  <c r="E52" i="51" s="1"/>
  <c r="N52" i="51" s="1"/>
  <c r="R52" i="51" s="1"/>
  <c r="L52" i="51"/>
  <c r="I76" i="50"/>
  <c r="K77" i="51"/>
  <c r="D39" i="51"/>
  <c r="E39" i="51" s="1"/>
  <c r="N39" i="51" s="1"/>
  <c r="R39" i="51" s="1"/>
  <c r="L39" i="51"/>
  <c r="I105" i="50"/>
  <c r="K106" i="51"/>
  <c r="I74" i="50"/>
  <c r="K75" i="51"/>
  <c r="I100" i="50"/>
  <c r="K101" i="51"/>
  <c r="I87" i="50"/>
  <c r="K88" i="51"/>
  <c r="I75" i="50"/>
  <c r="K76" i="51"/>
  <c r="L30" i="51"/>
  <c r="D30" i="51"/>
  <c r="E30" i="51" s="1"/>
  <c r="N30" i="51" s="1"/>
  <c r="R30" i="51" s="1"/>
  <c r="L24" i="51"/>
  <c r="D24" i="51"/>
  <c r="E24" i="51" s="1"/>
  <c r="N24" i="51" s="1"/>
  <c r="R24" i="51" s="1"/>
  <c r="K63" i="51"/>
  <c r="I62" i="50"/>
  <c r="K90" i="51"/>
  <c r="I89" i="50"/>
  <c r="K107" i="51"/>
  <c r="I106" i="50"/>
  <c r="I77" i="50"/>
  <c r="K78" i="51"/>
  <c r="K105" i="51"/>
  <c r="I104" i="50"/>
  <c r="L34" i="51"/>
  <c r="D34" i="51"/>
  <c r="E34" i="51" s="1"/>
  <c r="N34" i="51" s="1"/>
  <c r="R34" i="51" s="1"/>
  <c r="D60" i="51"/>
  <c r="E60" i="51" s="1"/>
  <c r="N60" i="51" s="1"/>
  <c r="R60" i="51" s="1"/>
  <c r="L60" i="51"/>
  <c r="D43" i="51"/>
  <c r="E43" i="51" s="1"/>
  <c r="N43" i="51" s="1"/>
  <c r="R43" i="51" s="1"/>
  <c r="L43" i="51"/>
  <c r="I71" i="50"/>
  <c r="K72" i="51"/>
  <c r="D33" i="51"/>
  <c r="E33" i="51" s="1"/>
  <c r="N33" i="51" s="1"/>
  <c r="R33" i="51" s="1"/>
  <c r="L33" i="51"/>
  <c r="L57" i="51"/>
  <c r="D57" i="51"/>
  <c r="E57" i="51" s="1"/>
  <c r="N57" i="51" s="1"/>
  <c r="R57" i="51" s="1"/>
  <c r="K85" i="51"/>
  <c r="I84" i="50"/>
  <c r="D23" i="51"/>
  <c r="E23" i="51" s="1"/>
  <c r="N23" i="51" s="1"/>
  <c r="R23" i="51" s="1"/>
  <c r="L23" i="51"/>
  <c r="L13" i="51"/>
  <c r="D13" i="51"/>
  <c r="E13" i="51" s="1"/>
  <c r="N13" i="51" s="1"/>
  <c r="R13" i="51" s="1"/>
  <c r="D58" i="51"/>
  <c r="E58" i="51" s="1"/>
  <c r="N58" i="51" s="1"/>
  <c r="R58" i="51" s="1"/>
  <c r="L58" i="51"/>
  <c r="K94" i="51"/>
  <c r="I93" i="50"/>
  <c r="L44" i="51"/>
  <c r="D44" i="51"/>
  <c r="E44" i="51" s="1"/>
  <c r="N44" i="51" s="1"/>
  <c r="R44" i="51" s="1"/>
  <c r="I82" i="50"/>
  <c r="K83" i="51"/>
  <c r="K100" i="51"/>
  <c r="I99" i="50"/>
  <c r="I67" i="50"/>
  <c r="K68" i="51"/>
  <c r="L10" i="51"/>
  <c r="D10" i="51"/>
  <c r="E10" i="51" s="1"/>
  <c r="N10" i="51" s="1"/>
  <c r="R10" i="51" s="1"/>
  <c r="L45" i="51"/>
  <c r="D45" i="51"/>
  <c r="E45" i="51" s="1"/>
  <c r="N45" i="51" s="1"/>
  <c r="R45" i="51" s="1"/>
  <c r="I102" i="50"/>
  <c r="K103" i="51"/>
  <c r="K69" i="51"/>
  <c r="I68" i="50"/>
  <c r="I109" i="50"/>
  <c r="K110" i="51"/>
  <c r="I98" i="50"/>
  <c r="K99" i="51"/>
  <c r="D14" i="51"/>
  <c r="E14" i="51" s="1"/>
  <c r="N14" i="51" s="1"/>
  <c r="R14" i="51" s="1"/>
  <c r="L14" i="51"/>
  <c r="D38" i="51"/>
  <c r="E38" i="51" s="1"/>
  <c r="N38" i="51" s="1"/>
  <c r="R38" i="51" s="1"/>
  <c r="L38" i="51"/>
  <c r="D47" i="51"/>
  <c r="E47" i="51" s="1"/>
  <c r="N47" i="51" s="1"/>
  <c r="R47" i="51" s="1"/>
  <c r="L47" i="51"/>
  <c r="I73" i="50"/>
  <c r="K74" i="51"/>
  <c r="I86" i="50"/>
  <c r="K87" i="51"/>
  <c r="D50" i="51"/>
  <c r="E50" i="51" s="1"/>
  <c r="N50" i="51" s="1"/>
  <c r="R50" i="51" s="1"/>
  <c r="L50" i="51"/>
  <c r="I107" i="50"/>
  <c r="K108" i="51"/>
  <c r="I78" i="50"/>
  <c r="K79" i="51"/>
  <c r="L21" i="51"/>
  <c r="D21" i="51"/>
  <c r="E21" i="51" s="1"/>
  <c r="N21" i="51" s="1"/>
  <c r="R21" i="51" s="1"/>
  <c r="L53" i="51"/>
  <c r="D53" i="51"/>
  <c r="E53" i="51" s="1"/>
  <c r="N53" i="51" s="1"/>
  <c r="R53" i="51" s="1"/>
  <c r="L11" i="51"/>
  <c r="D11" i="51"/>
  <c r="E11" i="51" s="1"/>
  <c r="N11" i="51" s="1"/>
  <c r="R11" i="51" s="1"/>
  <c r="K98" i="51"/>
  <c r="I97" i="50"/>
  <c r="D32" i="51"/>
  <c r="E32" i="51" s="1"/>
  <c r="N32" i="51" s="1"/>
  <c r="R32" i="51" s="1"/>
  <c r="L32" i="51"/>
  <c r="D26" i="51"/>
  <c r="E26" i="51" s="1"/>
  <c r="N26" i="51" s="1"/>
  <c r="R26" i="51" s="1"/>
  <c r="L26" i="51"/>
  <c r="K62" i="51"/>
  <c r="I61" i="50"/>
  <c r="I66" i="50"/>
  <c r="K67" i="51"/>
  <c r="D22" i="51"/>
  <c r="E22" i="51" s="1"/>
  <c r="N22" i="51" s="1"/>
  <c r="R22" i="51" s="1"/>
  <c r="L22" i="51"/>
  <c r="L36" i="51"/>
  <c r="D36" i="51"/>
  <c r="E36" i="51" s="1"/>
  <c r="N36" i="51" s="1"/>
  <c r="R36" i="51" s="1"/>
  <c r="K70" i="51"/>
  <c r="I69" i="50"/>
  <c r="K29" i="51"/>
  <c r="I28" i="50"/>
  <c r="D15" i="51"/>
  <c r="E15" i="51" s="1"/>
  <c r="N15" i="51" s="1"/>
  <c r="R15" i="51" s="1"/>
  <c r="L15" i="51"/>
  <c r="N20" i="51" l="1"/>
  <c r="R20" i="51" s="1"/>
  <c r="N8" i="51"/>
  <c r="R8" i="51" s="1"/>
  <c r="N27" i="51"/>
  <c r="R27" i="51" s="1"/>
  <c r="N12" i="51"/>
  <c r="R12" i="51" s="1"/>
  <c r="N9" i="51"/>
  <c r="R9" i="51" s="1"/>
  <c r="E112" i="51"/>
  <c r="E129" i="51"/>
  <c r="E113" i="51" l="1"/>
</calcChain>
</file>

<file path=xl/comments1.xml><?xml version="1.0" encoding="utf-8"?>
<comments xmlns="http://schemas.openxmlformats.org/spreadsheetml/2006/main">
  <authors>
    <author>Жердочкін Артем Вікторович</author>
  </authors>
  <commentList>
    <comment ref="FY8" authorId="0">
      <text>
        <r>
          <rPr>
            <b/>
            <sz val="9"/>
            <color indexed="81"/>
            <rFont val="Tahoma"/>
            <family val="2"/>
            <charset val="204"/>
          </rPr>
          <t>Жердочкін Артем Вікторович:</t>
        </r>
        <r>
          <rPr>
            <sz val="9"/>
            <color indexed="81"/>
            <rFont val="Tahoma"/>
            <family val="2"/>
            <charset val="204"/>
          </rPr>
          <t xml:space="preserve">
Вводити вручну</t>
        </r>
      </text>
    </comment>
    <comment ref="GR8" authorId="0">
      <text>
        <r>
          <rPr>
            <b/>
            <sz val="9"/>
            <color indexed="81"/>
            <rFont val="Tahoma"/>
            <family val="2"/>
            <charset val="204"/>
          </rPr>
          <t>Жердочкін Артем Вікторович:</t>
        </r>
        <r>
          <rPr>
            <sz val="9"/>
            <color indexed="81"/>
            <rFont val="Tahoma"/>
            <family val="2"/>
            <charset val="204"/>
          </rPr>
          <t xml:space="preserve">
Вводити вручну</t>
        </r>
      </text>
    </comment>
    <comment ref="GT8" authorId="0">
      <text>
        <r>
          <rPr>
            <b/>
            <sz val="9"/>
            <color indexed="81"/>
            <rFont val="Tahoma"/>
            <family val="2"/>
            <charset val="204"/>
          </rPr>
          <t>Жердочкін Артем Вікторович:</t>
        </r>
        <r>
          <rPr>
            <sz val="9"/>
            <color indexed="81"/>
            <rFont val="Tahoma"/>
            <family val="2"/>
            <charset val="204"/>
          </rPr>
          <t xml:space="preserve">
Вводити вручну</t>
        </r>
      </text>
    </comment>
  </commentList>
</comments>
</file>

<file path=xl/comments2.xml><?xml version="1.0" encoding="utf-8"?>
<comments xmlns="http://schemas.openxmlformats.org/spreadsheetml/2006/main">
  <authors>
    <author>Жердочкін Артем Вікторович</author>
  </authors>
  <commentList>
    <comment ref="FA8" authorId="0">
      <text>
        <r>
          <rPr>
            <b/>
            <sz val="9"/>
            <color indexed="81"/>
            <rFont val="Tahoma"/>
            <family val="2"/>
            <charset val="204"/>
          </rPr>
          <t>Жердочкін Артем Вікторович:</t>
        </r>
        <r>
          <rPr>
            <sz val="9"/>
            <color indexed="81"/>
            <rFont val="Tahoma"/>
            <family val="2"/>
            <charset val="204"/>
          </rPr>
          <t xml:space="preserve">
Вводити вручну</t>
        </r>
      </text>
    </comment>
  </commentList>
</comments>
</file>

<file path=xl/comments3.xml><?xml version="1.0" encoding="utf-8"?>
<comments xmlns="http://schemas.openxmlformats.org/spreadsheetml/2006/main">
  <authors>
    <author>Жердочкін Артем Вікторович</author>
  </authors>
  <commentList>
    <comment ref="CK8" authorId="0">
      <text>
        <r>
          <rPr>
            <b/>
            <sz val="9"/>
            <color indexed="81"/>
            <rFont val="Tahoma"/>
            <family val="2"/>
            <charset val="204"/>
          </rPr>
          <t>Жердочкін Артем Вікторович:</t>
        </r>
        <r>
          <rPr>
            <sz val="9"/>
            <color indexed="81"/>
            <rFont val="Tahoma"/>
            <family val="2"/>
            <charset val="204"/>
          </rPr>
          <t xml:space="preserve">
Вводити вручну</t>
        </r>
      </text>
    </comment>
  </commentList>
</comments>
</file>

<file path=xl/sharedStrings.xml><?xml version="1.0" encoding="utf-8"?>
<sst xmlns="http://schemas.openxmlformats.org/spreadsheetml/2006/main" count="7578" uniqueCount="1431">
  <si>
    <t>Ду</t>
  </si>
  <si>
    <t>м3/год</t>
  </si>
  <si>
    <t>мм</t>
  </si>
  <si>
    <t>тип</t>
  </si>
  <si>
    <t>л</t>
  </si>
  <si>
    <t>Qном</t>
  </si>
  <si>
    <t>Qmin</t>
  </si>
  <si>
    <t>Ціна</t>
  </si>
  <si>
    <t>Електропривід</t>
  </si>
  <si>
    <t>Кількість</t>
  </si>
  <si>
    <t>Сума</t>
  </si>
  <si>
    <t>924</t>
  </si>
  <si>
    <t xml:space="preserve">Фільтр муфтовий </t>
  </si>
  <si>
    <t>FP110S</t>
  </si>
  <si>
    <t>Фільтр фланцевий</t>
  </si>
  <si>
    <t>№</t>
  </si>
  <si>
    <t>п.п.</t>
  </si>
  <si>
    <t>Нйменування та технічна характеристика</t>
  </si>
  <si>
    <t>IVR (Італія)</t>
  </si>
  <si>
    <t>LDM (Чехія)</t>
  </si>
  <si>
    <t>Завод- виробник</t>
  </si>
  <si>
    <t xml:space="preserve">Кvs, </t>
  </si>
  <si>
    <t>DN</t>
  </si>
  <si>
    <t>Є.з ПДВ</t>
  </si>
  <si>
    <t>марка</t>
  </si>
  <si>
    <t>Таблиця вибору фільтрів для системи теплопостачання (вторинний контур)</t>
  </si>
  <si>
    <t>Кран кульовий муфтовий</t>
  </si>
  <si>
    <t>Кран кульовий фланцевий</t>
  </si>
  <si>
    <t>Таблиця вибору зворотніх клапанів для системи теплопостачання, (вторинний контур)</t>
  </si>
  <si>
    <t>Клапан зворотній муфтовий</t>
  </si>
  <si>
    <t>999/H</t>
  </si>
  <si>
    <t>Клапан зворотній міжфланцевий</t>
  </si>
  <si>
    <t>Таблиця вибору розширювальних баків для системи теплопостачання, (вторинний контур)</t>
  </si>
  <si>
    <t>Розширювальний бак</t>
  </si>
  <si>
    <t>V</t>
  </si>
  <si>
    <t xml:space="preserve">ROZ-NAVI </t>
  </si>
  <si>
    <t>Найменування та технічна характеристика</t>
  </si>
  <si>
    <t>Лічильник гарячої води з імп. виходом</t>
  </si>
  <si>
    <t>Apator (Польща)</t>
  </si>
  <si>
    <t>Qн</t>
  </si>
  <si>
    <t xml:space="preserve">Таблиця  для вибору теплолічильника (1-но канальний) </t>
  </si>
  <si>
    <t>Таблиця вибору фільтрів для мережевої води (первинний контур)</t>
  </si>
  <si>
    <t>Danfoss (Данія)</t>
  </si>
  <si>
    <t xml:space="preserve">Регулятор температури фланцевий </t>
  </si>
  <si>
    <t>Регулятор температури фланцевий</t>
  </si>
  <si>
    <t>VB2</t>
  </si>
  <si>
    <t>Таблиця вибору електроприводів для регулюючих клапанів</t>
  </si>
  <si>
    <t>Таблиця вибору манометрів</t>
  </si>
  <si>
    <t>Манометр показуючий</t>
  </si>
  <si>
    <t>Склоприбор (Україна)</t>
  </si>
  <si>
    <t>Таблиця вибору термометрів</t>
  </si>
  <si>
    <t>Таблиця вибору антивібраційних вставок</t>
  </si>
  <si>
    <t>АB-E</t>
  </si>
  <si>
    <t>Антивібраційна вставка муфтова</t>
  </si>
  <si>
    <t>АB-G</t>
  </si>
  <si>
    <t>Антивібраційна вставка фланцева</t>
  </si>
  <si>
    <t>Zetkama (Польща)</t>
  </si>
  <si>
    <t>Таблиця вибору засобів автоматизації</t>
  </si>
  <si>
    <t>Датчик темпер. зовніш. повітря</t>
  </si>
  <si>
    <t xml:space="preserve">Датчик темпер. води врізний </t>
  </si>
  <si>
    <t>Таблиця вибору клапану запобіжного для системи опалення</t>
  </si>
  <si>
    <t>Клапан запобіжний 1-12бар</t>
  </si>
  <si>
    <t>1831</t>
  </si>
  <si>
    <t>js90-1.5NK</t>
  </si>
  <si>
    <t>js90-2.5NK</t>
  </si>
  <si>
    <t>js130-3.5NK</t>
  </si>
  <si>
    <t>Таблиця лічильників  для системи підживлення (гаряча вода)</t>
  </si>
  <si>
    <t>AMV33</t>
  </si>
  <si>
    <t>5.1</t>
  </si>
  <si>
    <t>Таблиця лічильників  для системи ГВП (холодна вода)</t>
  </si>
  <si>
    <t>Кран кульовий фланцевий чугунний</t>
  </si>
  <si>
    <t>77</t>
  </si>
  <si>
    <t>Таблиця вибору зворотніх клапанів для системи ГВП, (споживач)</t>
  </si>
  <si>
    <t>Таблиця вибору приладів для магнітної обробки води системи ГВП, (споживач)</t>
  </si>
  <si>
    <t>EZV (Словакия)</t>
  </si>
  <si>
    <t>EZV 15D</t>
  </si>
  <si>
    <t>EZV 20D</t>
  </si>
  <si>
    <t>EZV 25D</t>
  </si>
  <si>
    <t>EZV 32D</t>
  </si>
  <si>
    <t>EZV 40D</t>
  </si>
  <si>
    <t>EZV 50D</t>
  </si>
  <si>
    <t>KPI35</t>
  </si>
  <si>
    <t>Реле тиску 0,2-8 бар</t>
  </si>
  <si>
    <t>ТЭРА</t>
  </si>
  <si>
    <t>ІТП</t>
  </si>
  <si>
    <t>5.2</t>
  </si>
  <si>
    <t>js-1.5NK</t>
  </si>
  <si>
    <t>js-2.5NK</t>
  </si>
  <si>
    <t>js-3.5NK</t>
  </si>
  <si>
    <t>js-6NK</t>
  </si>
  <si>
    <t>js-10NK</t>
  </si>
  <si>
    <t>MWN-50NK</t>
  </si>
  <si>
    <t>MWN-65NK</t>
  </si>
  <si>
    <t>шт.</t>
  </si>
  <si>
    <t>Kv</t>
  </si>
  <si>
    <t>AMV30</t>
  </si>
  <si>
    <t>DN, мм</t>
  </si>
  <si>
    <t>50/40</t>
  </si>
  <si>
    <t>32/16</t>
  </si>
  <si>
    <t>15/2,5</t>
  </si>
  <si>
    <t>40/25</t>
  </si>
  <si>
    <t>25/10</t>
  </si>
  <si>
    <t>15/4</t>
  </si>
  <si>
    <t>20/6,3</t>
  </si>
  <si>
    <t>20/2,5</t>
  </si>
  <si>
    <t>15/1,5</t>
  </si>
  <si>
    <t>0-1,0</t>
  </si>
  <si>
    <t>0-2,5</t>
  </si>
  <si>
    <t>0-1,6</t>
  </si>
  <si>
    <t>0-120</t>
  </si>
  <si>
    <t>65/25</t>
  </si>
  <si>
    <t>40/10</t>
  </si>
  <si>
    <t>50/15</t>
  </si>
  <si>
    <t>25/3,5</t>
  </si>
  <si>
    <t>65/63</t>
  </si>
  <si>
    <t>-</t>
  </si>
  <si>
    <t>25/6,0</t>
  </si>
  <si>
    <t>80/40</t>
  </si>
  <si>
    <t>Yonos MAXO 80/0,5-12 PN 10</t>
  </si>
  <si>
    <t>Yonos MAXO 50/0,5-12 PN 6/10</t>
  </si>
  <si>
    <t>Yonos MAXO 25/0,5-10 PN 10</t>
  </si>
  <si>
    <t>Yonos MAXO 25/0,5-12 PN10</t>
  </si>
  <si>
    <t>Yonos MAXO 30/0,5-12 PN 10</t>
  </si>
  <si>
    <t>Yonos MAXO 40/0,5-12 PN 6/10</t>
  </si>
  <si>
    <t>Yonos MAXO 50/0,5-16 PN 6/10</t>
  </si>
  <si>
    <t>Yonos MAXO 65/0,5-12 PN 6/10</t>
  </si>
  <si>
    <t>Yonos MAXO 65/0,5-16 PN 6/10</t>
  </si>
  <si>
    <t>Yonos MAXO 30/0,5-10 PN 10</t>
  </si>
  <si>
    <t>TOP-S 25/7  PN 10</t>
  </si>
  <si>
    <t>TOP-S 25/10  PN 6/10</t>
  </si>
  <si>
    <t>Pt500</t>
  </si>
  <si>
    <t>Stratos-Z 30/1-12 PN 10</t>
  </si>
  <si>
    <t>Stratos-Z 25/1-8 PN 10</t>
  </si>
  <si>
    <t xml:space="preserve">EI-TO-08+019A00HS-105 </t>
  </si>
  <si>
    <t xml:space="preserve">EI-TO-16+035M50HS-315 </t>
  </si>
  <si>
    <t xml:space="preserve">EI-TO-16+027M50HS-267 </t>
  </si>
  <si>
    <t xml:space="preserve">EI-TO-08+023A00HS-133 </t>
  </si>
  <si>
    <t>EI-TO-08+029A00HS-166</t>
  </si>
  <si>
    <t xml:space="preserve">EI-TO-16+021M656S-250 </t>
  </si>
  <si>
    <t xml:space="preserve">EI-TO-08+027A00HS-164 </t>
  </si>
  <si>
    <t xml:space="preserve">EI-TO-08+033A00HS-189 </t>
  </si>
  <si>
    <t xml:space="preserve">EI-TO-08+049A00HS-284 </t>
  </si>
  <si>
    <t xml:space="preserve">EI-TO-16+035M50HS-341 </t>
  </si>
  <si>
    <t xml:space="preserve">EI-TO-08+039A00HS-228 </t>
  </si>
  <si>
    <t xml:space="preserve">EI-TO-08+051A00HS-289 </t>
  </si>
  <si>
    <t>EІ-ТО-16+009M50HS-75</t>
  </si>
  <si>
    <t>EI-TO-08+039A00HS-225</t>
  </si>
  <si>
    <t xml:space="preserve">EI-TO-16+037M50HS-373 </t>
  </si>
  <si>
    <t xml:space="preserve">EI-TO-16+035M50HS-353 </t>
  </si>
  <si>
    <t xml:space="preserve">EI-TO-08+037A00HS-212 </t>
  </si>
  <si>
    <t xml:space="preserve">EІ-ТО-16+009M50HS-68 </t>
  </si>
  <si>
    <t xml:space="preserve">EI-TO-08+023A00HS-137 </t>
  </si>
  <si>
    <t xml:space="preserve">EI-TO-08+035A00HS-205 </t>
  </si>
  <si>
    <t xml:space="preserve">EI-TO-08+035A00HS-203 </t>
  </si>
  <si>
    <t xml:space="preserve">EI-TO-08+023A00HS-136 </t>
  </si>
  <si>
    <t xml:space="preserve">EI-TO-08+033A00HS-196 </t>
  </si>
  <si>
    <t xml:space="preserve">EI-TO-08+023A00HS-131 </t>
  </si>
  <si>
    <t xml:space="preserve">EI-TO-08+035A00HS-206 </t>
  </si>
  <si>
    <t xml:space="preserve">EI-TO-08+039A00HS-226 </t>
  </si>
  <si>
    <t xml:space="preserve">EI-TO-08+039A00HS-224 </t>
  </si>
  <si>
    <t xml:space="preserve">EI-TO-16+043M50HS-427 </t>
  </si>
  <si>
    <t xml:space="preserve">EІ-ТО-16+009M50HS-71 </t>
  </si>
  <si>
    <t xml:space="preserve">EI-TO-08+019A00HS-107 </t>
  </si>
  <si>
    <t xml:space="preserve">EI-TO-08+037A00HS-213 </t>
  </si>
  <si>
    <t xml:space="preserve">EI-TO-08+031A00HS-178 </t>
  </si>
  <si>
    <t xml:space="preserve">EI-TO-08+013A00HS-63 </t>
  </si>
  <si>
    <t xml:space="preserve">EI-TO-08+017A00HS-95 </t>
  </si>
  <si>
    <t xml:space="preserve">EI-TO-08+027A00HS-158 </t>
  </si>
  <si>
    <t xml:space="preserve">EI-TO-08+039A00HS-229 </t>
  </si>
  <si>
    <t xml:space="preserve">EI-ТО-08+033A00HS-197 </t>
  </si>
  <si>
    <t xml:space="preserve">EI-ТО-08+017A00HS-98 </t>
  </si>
  <si>
    <t xml:space="preserve">EI-TO-08+013A00HS-66 </t>
  </si>
  <si>
    <t xml:space="preserve">EI-ТО-08+035A00HS-209 </t>
  </si>
  <si>
    <t xml:space="preserve">EI-TO-16+051M50HS-494 </t>
  </si>
  <si>
    <t xml:space="preserve">EI-TO-16+051M50HS-488 </t>
  </si>
  <si>
    <t xml:space="preserve">EI-TO-16+037M50HS-375 </t>
  </si>
  <si>
    <t xml:space="preserve">EI-ТО-08+045A00HS-265 </t>
  </si>
  <si>
    <t xml:space="preserve">EI-TO-16+037M50HS-358 </t>
  </si>
  <si>
    <t xml:space="preserve">EI-TO-16+047M50HS-451 </t>
  </si>
  <si>
    <t xml:space="preserve">EI-TO-16+033M50HS-317 </t>
  </si>
  <si>
    <t xml:space="preserve">EI-ТО-08+043A00HS-255 </t>
  </si>
  <si>
    <t xml:space="preserve">EI-ТО-08+025A00HS-143 </t>
  </si>
  <si>
    <t xml:space="preserve">EI-TO-16+043M50HS-423 </t>
  </si>
  <si>
    <t xml:space="preserve">EI-ТО-08+045A00HS-260 </t>
  </si>
  <si>
    <t xml:space="preserve">EI-ТО-08+039A00HS-227 </t>
  </si>
  <si>
    <t xml:space="preserve">EI-ТО-08+035A00HS-201 </t>
  </si>
  <si>
    <t xml:space="preserve">EI-TO-16+043M50HS-420 </t>
  </si>
  <si>
    <t xml:space="preserve">EI-TO-16+029M50HS-279 </t>
  </si>
  <si>
    <t xml:space="preserve">EI-ТО-08+031A00HS-186 </t>
  </si>
  <si>
    <t xml:space="preserve">EI-TO-16+029M50HS-281 </t>
  </si>
  <si>
    <t xml:space="preserve">EI-ТО-08+031A00HS-187 </t>
  </si>
  <si>
    <t xml:space="preserve">EI-TO-16+031M50HS-276 </t>
  </si>
  <si>
    <t xml:space="preserve">EI-ТО-08+023A00HS-138 </t>
  </si>
  <si>
    <t xml:space="preserve">EI-ТО-08+041A00HS-240 </t>
  </si>
  <si>
    <t xml:space="preserve">EI-ТО-08+027A00HS-160 </t>
  </si>
  <si>
    <t xml:space="preserve">EI-TO-16+027M50HS-257 </t>
  </si>
  <si>
    <t xml:space="preserve">EI-ТО-08+029A00HS-171 </t>
  </si>
  <si>
    <t xml:space="preserve">EI-ТО-08+039A00HS-229 </t>
  </si>
  <si>
    <t xml:space="preserve">EI-ТО-08+027A00HS-153 </t>
  </si>
  <si>
    <t xml:space="preserve">EI-ТО-08+035A00HS-204 </t>
  </si>
  <si>
    <t xml:space="preserve">EI-ТО-08+023A00HS-136 </t>
  </si>
  <si>
    <t xml:space="preserve">EI-ТО-08+031A00HS-183 </t>
  </si>
  <si>
    <t xml:space="preserve">EI-TO-16+031M50HS-305 </t>
  </si>
  <si>
    <t xml:space="preserve">EI-TO-08+017A00HS-99 </t>
  </si>
  <si>
    <t xml:space="preserve">EI-TO-16+029M50HS-254 </t>
  </si>
  <si>
    <t xml:space="preserve">EI-TO-16+035M50HS-339 </t>
  </si>
  <si>
    <t xml:space="preserve">EI-TO-08+037A00HS-217 </t>
  </si>
  <si>
    <t xml:space="preserve">EI-TO-08+029A00HS-176 </t>
  </si>
  <si>
    <t xml:space="preserve">EI-TO-08+033A00HS-191 </t>
  </si>
  <si>
    <t xml:space="preserve">EI-TO-160+045M50HS-444 </t>
  </si>
  <si>
    <t xml:space="preserve">EI-TO-16+029M50HS-278 </t>
  </si>
  <si>
    <t xml:space="preserve">EI-TO-16+025M50HS-237 </t>
  </si>
  <si>
    <t xml:space="preserve">EI-TO-08+025A00HS-147 </t>
  </si>
  <si>
    <t xml:space="preserve">EI-TO-08+037A00HS-221 </t>
  </si>
  <si>
    <t xml:space="preserve">EI-TO-16+039M50HS-393 </t>
  </si>
  <si>
    <t xml:space="preserve">EI-TO-16+041M50HS-395 </t>
  </si>
  <si>
    <t xml:space="preserve">EI-TO-08+027A00HS-163 </t>
  </si>
  <si>
    <t xml:space="preserve">EI-TO-16+037M50HS-363 </t>
  </si>
  <si>
    <t xml:space="preserve">EI-TO-08+031A00HS-181 </t>
  </si>
  <si>
    <t xml:space="preserve">EI-TO-16+045M50HS-438 </t>
  </si>
  <si>
    <t xml:space="preserve">EI-TO-16+031M50HS-302 </t>
  </si>
  <si>
    <t xml:space="preserve">EI-TO-08+019A00HS-115 </t>
  </si>
  <si>
    <t xml:space="preserve">EI-TO-16+041M50HS-396 </t>
  </si>
  <si>
    <t xml:space="preserve">EI-TO-16+039M50HS-380 </t>
  </si>
  <si>
    <t xml:space="preserve">EI-TO-16+033M50HS-334 </t>
  </si>
  <si>
    <t xml:space="preserve">EI-TO-08+029A00HS-167 </t>
  </si>
  <si>
    <t xml:space="preserve">EI-TO-16+027M50HS-260 </t>
  </si>
  <si>
    <t xml:space="preserve">EI-TO-16+031M50HS-308 </t>
  </si>
  <si>
    <t xml:space="preserve">EI-TO-08+039A00HS-231 </t>
  </si>
  <si>
    <t xml:space="preserve">EI-TO-16+031M50HS-306 </t>
  </si>
  <si>
    <t xml:space="preserve">EI-TO-08+035A00HS-200 </t>
  </si>
  <si>
    <t xml:space="preserve">EI-TO-08+037A00HS-218 </t>
  </si>
  <si>
    <t xml:space="preserve">EI-TO-16+031M50HS-299 </t>
  </si>
  <si>
    <t xml:space="preserve">EI-TO-08+025A00HS-142 </t>
  </si>
  <si>
    <t xml:space="preserve">EI-TO-08+035A00HS-209 </t>
  </si>
  <si>
    <t xml:space="preserve">EI-TO-16+029M50HS-295 </t>
  </si>
  <si>
    <t xml:space="preserve">EI-TO-08+027A00HS-155 </t>
  </si>
  <si>
    <t xml:space="preserve">EI-TO-16+033M50HS-323 </t>
  </si>
  <si>
    <t xml:space="preserve">EI-TO-08+039A00HS-227 </t>
  </si>
  <si>
    <t xml:space="preserve">EI-ТО-08+031A00HS-188 </t>
  </si>
  <si>
    <t xml:space="preserve">EI-TO-08+037A00HS-219 </t>
  </si>
  <si>
    <t xml:space="preserve">EI-TO-08+029A00HS-170 </t>
  </si>
  <si>
    <t xml:space="preserve">EI-TO-08+033A00HS-190 </t>
  </si>
  <si>
    <t xml:space="preserve">EI-TO-08+033A00HS-194 </t>
  </si>
  <si>
    <t xml:space="preserve">EI-TO-08+031A00HS-187 </t>
  </si>
  <si>
    <t xml:space="preserve">EI-TO-08+017A00HS-94 </t>
  </si>
  <si>
    <t xml:space="preserve">EI-TO-08+023A00HS-134 </t>
  </si>
  <si>
    <t xml:space="preserve">EI-TO-08+033A00HS-192 </t>
  </si>
  <si>
    <t xml:space="preserve">EI-TO-16+039M50HS-382 </t>
  </si>
  <si>
    <t xml:space="preserve">EI-TO-08+023A00HS-138 </t>
  </si>
  <si>
    <t xml:space="preserve">EI-TO-16+043M50HS-414 </t>
  </si>
  <si>
    <t xml:space="preserve">EI-TO-16+041M50HS-410 </t>
  </si>
  <si>
    <t xml:space="preserve">EI-TO-08+031A00HS-183 </t>
  </si>
  <si>
    <t xml:space="preserve">EI-TO-16+049M50HS-475 </t>
  </si>
  <si>
    <t xml:space="preserve">EI-TO-16+037M50HS-364 </t>
  </si>
  <si>
    <t xml:space="preserve">EI-TO-16+051M50HS-493 </t>
  </si>
  <si>
    <t xml:space="preserve">EI-TO-30+041A00HS-584 </t>
  </si>
  <si>
    <t xml:space="preserve">EI-TO-30+041A00HS-601 </t>
  </si>
  <si>
    <t xml:space="preserve">EI-TO-16+049M50HS-472 </t>
  </si>
  <si>
    <t xml:space="preserve">EI-TO-16+047M50HS-459 </t>
  </si>
  <si>
    <t xml:space="preserve">EI-ТО-08+037A00HS-215 </t>
  </si>
  <si>
    <t xml:space="preserve">EI-TO-16+043M50HS-429 </t>
  </si>
  <si>
    <t xml:space="preserve">EI-TO-16+029M50HS-291 </t>
  </si>
  <si>
    <t xml:space="preserve">EI-TO-16+035M50HS-312 </t>
  </si>
  <si>
    <t xml:space="preserve">EI-TO-16+029M50HS-250 </t>
  </si>
  <si>
    <t xml:space="preserve">EI-TO-16+029M50HS-277 </t>
  </si>
  <si>
    <t xml:space="preserve">EI-TO-16+039M50HS-377 </t>
  </si>
  <si>
    <t>EI-TO-08+025A00HS-151</t>
  </si>
  <si>
    <t xml:space="preserve">EI-TO-16+031M50HS-270 </t>
  </si>
  <si>
    <t xml:space="preserve">EI-TO-08+029A00HS-165 </t>
  </si>
  <si>
    <t xml:space="preserve">EI-TO-16+029M50HS-252 </t>
  </si>
  <si>
    <t xml:space="preserve">EI-TO-16+033M50HS-316 </t>
  </si>
  <si>
    <t xml:space="preserve">EI-TO-16+033M50HS-315 </t>
  </si>
  <si>
    <t xml:space="preserve">EI-TO-08+031A00HS-180 </t>
  </si>
  <si>
    <t xml:space="preserve">EI-TO-16+039M50HS-379 </t>
  </si>
  <si>
    <t xml:space="preserve">EI-TO-08+035A00HS-201 </t>
  </si>
  <si>
    <t xml:space="preserve">EI-TO-16+039M50HS-376 </t>
  </si>
  <si>
    <t>EI-TO-08+033A00HS-190</t>
  </si>
  <si>
    <t xml:space="preserve">EI-TO-16+031M50HS-294 </t>
  </si>
  <si>
    <t xml:space="preserve">EI-TO-08+039A00HS-230 </t>
  </si>
  <si>
    <t xml:space="preserve">EI-TO-16+037M50HS-356 </t>
  </si>
  <si>
    <t xml:space="preserve">EI-TO-16+029M50HS-285 </t>
  </si>
  <si>
    <t xml:space="preserve">EI-TO-16+031M50HS-310 </t>
  </si>
  <si>
    <t xml:space="preserve">EI-TO-08+029A00HS-164 </t>
  </si>
  <si>
    <t xml:space="preserve">EI-TO-08+023A00HS-135 </t>
  </si>
  <si>
    <t xml:space="preserve">EI-TO-08+027A00HS-162 </t>
  </si>
  <si>
    <t xml:space="preserve">EI-TO-08+031A00HS-186 </t>
  </si>
  <si>
    <t xml:space="preserve">EI-TO-08+023A00HS-140 </t>
  </si>
  <si>
    <t xml:space="preserve">EI-TO-16+047A00HS-442 </t>
  </si>
  <si>
    <t xml:space="preserve">EI-TO-16+027M50HS-245 </t>
  </si>
  <si>
    <t xml:space="preserve">EI-TO-16+027M50HS-265 </t>
  </si>
  <si>
    <t>EI-TO-16+033M50HS-321</t>
  </si>
  <si>
    <t xml:space="preserve">EI-TO-08+015A00HS-89 </t>
  </si>
  <si>
    <t xml:space="preserve">EI-TO-16+041M50HS-409 </t>
  </si>
  <si>
    <t xml:space="preserve">EI-TO-16+025M50HS-238 </t>
  </si>
  <si>
    <t xml:space="preserve">EI-TO-160+047M50HS-455 </t>
  </si>
  <si>
    <t xml:space="preserve">EI-TO-16+029M50HS-273 </t>
  </si>
  <si>
    <t xml:space="preserve">EI-TO-16+043M50HS-430 </t>
  </si>
  <si>
    <t xml:space="preserve">EI-TO-16+033M50HS-322 </t>
  </si>
  <si>
    <t xml:space="preserve">EI-TO-16+037M50HS-365 </t>
  </si>
  <si>
    <t xml:space="preserve">EI-TO-16+029M50HS-283 </t>
  </si>
  <si>
    <t xml:space="preserve">EI-TO-16+027M50HS-251 </t>
  </si>
  <si>
    <t xml:space="preserve">EI-TO-08+031A00HS-177 </t>
  </si>
  <si>
    <t xml:space="preserve">EI-TO-08+019A00HS-106 </t>
  </si>
  <si>
    <t>EI-TO-16+031M50HS-299</t>
  </si>
  <si>
    <t xml:space="preserve">EI-TO-16+035M50HS-340 </t>
  </si>
  <si>
    <t xml:space="preserve">EI-TO-16+037M50HS-371 </t>
  </si>
  <si>
    <t xml:space="preserve">EI-TO-16+051M50HS-496 </t>
  </si>
  <si>
    <t xml:space="preserve">EI-TO-16+025M50HS-232 </t>
  </si>
  <si>
    <t xml:space="preserve">EI-TO-16+033M50HS-328 </t>
  </si>
  <si>
    <t xml:space="preserve">EI-TO-16+029M50HS-275 </t>
  </si>
  <si>
    <t xml:space="preserve">EI-TO-16+027M50HS-266 </t>
  </si>
  <si>
    <t xml:space="preserve">EI-TO-16+031M50HS-292 </t>
  </si>
  <si>
    <t xml:space="preserve">EI-TO-08+019A00HS-114 </t>
  </si>
  <si>
    <t xml:space="preserve">EI-TO-16+029M50HS-271 </t>
  </si>
  <si>
    <t xml:space="preserve">EI-TO-16+023M50HS-203 </t>
  </si>
  <si>
    <t xml:space="preserve">EI-TO-16+029M50HS-284 </t>
  </si>
  <si>
    <t xml:space="preserve">EI-TO-16+041M50HS-406 </t>
  </si>
  <si>
    <t xml:space="preserve">EI-TO-16+023M50HS-207 </t>
  </si>
  <si>
    <t xml:space="preserve">EI-TO-08+025A00HS-146 </t>
  </si>
  <si>
    <t xml:space="preserve">EI-TO-08+019A00HS-104 </t>
  </si>
  <si>
    <t xml:space="preserve">EI-TO-08+029A00HS-166 </t>
  </si>
  <si>
    <t xml:space="preserve">EI-TO-16+027M50HS-250 </t>
  </si>
  <si>
    <t xml:space="preserve">EI-TO-08+017A00HS-96 </t>
  </si>
  <si>
    <t xml:space="preserve">EI-TO-08+029A00HS-169 </t>
  </si>
  <si>
    <t xml:space="preserve">EI-TO-16+027M50HS-254 </t>
  </si>
  <si>
    <t xml:space="preserve">EI-TO-16+037M50HS-372 </t>
  </si>
  <si>
    <t xml:space="preserve">EI-TO-08+027A00HS-159 </t>
  </si>
  <si>
    <t xml:space="preserve">EI-TO-08+021A00HS-122 </t>
  </si>
  <si>
    <t xml:space="preserve">EI-TO-08+017A00HS-92 </t>
  </si>
  <si>
    <t xml:space="preserve">EI-TO-16+029M50HS-280 </t>
  </si>
  <si>
    <t xml:space="preserve">EI-TO-16+027M50HS-259 </t>
  </si>
  <si>
    <t xml:space="preserve">EI-TO-08+029A00HS-173 </t>
  </si>
  <si>
    <t xml:space="preserve">ЕІ-ТО-26+093M55HS-602  </t>
  </si>
  <si>
    <t xml:space="preserve">ЕІ-ТО-16+065A00HS-265  </t>
  </si>
  <si>
    <t xml:space="preserve">EI-TO-08+023A00HS-32  </t>
  </si>
  <si>
    <t xml:space="preserve">EI-TO-16+061A00HS-248  </t>
  </si>
  <si>
    <t xml:space="preserve">EI-TO-16+061A00HS-244  </t>
  </si>
  <si>
    <t xml:space="preserve">EI-TO-16+065A00HS-242  </t>
  </si>
  <si>
    <t xml:space="preserve">EI-TO-16+063A00HS-258  </t>
  </si>
  <si>
    <t xml:space="preserve">EI-TO-16+047A00HS-191  </t>
  </si>
  <si>
    <t xml:space="preserve">EI-TO-16+043A00HS-173  </t>
  </si>
  <si>
    <t xml:space="preserve">EI-TO-16+071A00HS-296  </t>
  </si>
  <si>
    <t xml:space="preserve">EI-TO-16+057A00HS-231  </t>
  </si>
  <si>
    <t xml:space="preserve">EI-TO-16+059A00HS-227  </t>
  </si>
  <si>
    <t xml:space="preserve">EI-TO-16+071A00HS-304  </t>
  </si>
  <si>
    <t xml:space="preserve">EI-TO-16+043A00HS-171  </t>
  </si>
  <si>
    <t xml:space="preserve">EI-TO-16+053A00HS-212  </t>
  </si>
  <si>
    <t xml:space="preserve">EI-TO-16+069A00HS-286  </t>
  </si>
  <si>
    <t xml:space="preserve">EI-TO-16+035A00HS-130  </t>
  </si>
  <si>
    <t xml:space="preserve">EI-TO-16+081A00HS-341  </t>
  </si>
  <si>
    <t xml:space="preserve">EI-TO-16+015A00HS-44  </t>
  </si>
  <si>
    <t xml:space="preserve">EI-TO-16+027A00HS-99  </t>
  </si>
  <si>
    <t xml:space="preserve">EI-TO-16+021A00HS-73  </t>
  </si>
  <si>
    <t>SKS-3-К6-2-0-49-00-00-00-00-4-3-1-02-0</t>
  </si>
  <si>
    <t xml:space="preserve">ЕКСІС ІНДАСТРІЗ </t>
  </si>
  <si>
    <t>SKS-3-К6-2-0-51-00-00-00-00-4-3-1-02-0</t>
  </si>
  <si>
    <t>SKS-3-К6-2-0-17-00-00-00-00-4-3-1-02-0</t>
  </si>
  <si>
    <t>SKS-3-К6-2-0-18-00-00-00-00-4-3-1-02-0</t>
  </si>
  <si>
    <t>SKS-3-К6-2-0-19-00-00-00-00-4-3-1-02-0</t>
  </si>
  <si>
    <t>SKS-3-К6-2-0-20-00-00-00-00-4-3-1-02-0</t>
  </si>
  <si>
    <t>SKS-3-К6-2-0-21-00-00-00-00-4-3-1-02-0</t>
  </si>
  <si>
    <t>SKS-3-К6-2-0-23-00-00-00-00-4-3-1-02-0</t>
  </si>
  <si>
    <t>Регулятор тиску після себе</t>
  </si>
  <si>
    <t>BREEZE (Україна)</t>
  </si>
  <si>
    <t>11с38п</t>
  </si>
  <si>
    <t>656</t>
  </si>
  <si>
    <t>тип 68</t>
  </si>
  <si>
    <t>Термометр біметалічний з нерж. сталі</t>
  </si>
  <si>
    <t>Комплект з вим. трубки  та 1 трьохх. кран.</t>
  </si>
  <si>
    <t>Кран для манометрів</t>
  </si>
  <si>
    <t>Манометр електроконтактний</t>
  </si>
  <si>
    <t>MBT 5250</t>
  </si>
  <si>
    <t>954,956</t>
  </si>
  <si>
    <t>Вартість</t>
  </si>
  <si>
    <t>од. прод.</t>
  </si>
  <si>
    <t>15/0,63</t>
  </si>
  <si>
    <t>15/1,6</t>
  </si>
  <si>
    <t>Спускник повітря</t>
  </si>
  <si>
    <t>тип 832</t>
  </si>
  <si>
    <t>заг. прод.</t>
  </si>
  <si>
    <t>0-1,6 E</t>
  </si>
  <si>
    <t>T</t>
  </si>
  <si>
    <t>ТСП 2-10Г</t>
  </si>
  <si>
    <t>Т1</t>
  </si>
  <si>
    <t>Загальна вартість</t>
  </si>
  <si>
    <t>ІТП згідно специфікації</t>
  </si>
  <si>
    <t>п.п</t>
  </si>
  <si>
    <t>СО+ГВП+П</t>
  </si>
  <si>
    <t>виготовлення модульного</t>
  </si>
  <si>
    <t>блоку системи опалення</t>
  </si>
  <si>
    <t>блоку системи ГВП</t>
  </si>
  <si>
    <t>трубної обвязки</t>
  </si>
  <si>
    <t>для обєкту</t>
  </si>
  <si>
    <t>обєкту ІТП</t>
  </si>
  <si>
    <t xml:space="preserve"> Ввід цін</t>
  </si>
  <si>
    <t>Таблиці із специфікаціями не переміщати, нічого крім цін не видаляти!!!!!!!!!!!!!!!</t>
  </si>
  <si>
    <t xml:space="preserve">EI-TO-16+025A00HS-96  </t>
  </si>
  <si>
    <t xml:space="preserve">EI-TO-16+071A00HS-287  </t>
  </si>
  <si>
    <t xml:space="preserve">EI-TO-16+037A00HS-146  </t>
  </si>
  <si>
    <t xml:space="preserve">EI-TO-16+041A00HS-161  </t>
  </si>
  <si>
    <t xml:space="preserve">EI-TO-16+059A00HS-241  </t>
  </si>
  <si>
    <t xml:space="preserve">EI-TO-16+035A00HS-137  </t>
  </si>
  <si>
    <t xml:space="preserve">EI-TO-16+053A00HS-213  </t>
  </si>
  <si>
    <t xml:space="preserve">EI-TO-16+077A00HS-319  </t>
  </si>
  <si>
    <t xml:space="preserve">EI-TO-16+057A00HS-232  </t>
  </si>
  <si>
    <t xml:space="preserve">EI-TO-16+065A00HS-261  </t>
  </si>
  <si>
    <t xml:space="preserve">EI-TO-16+055A00HS-218  </t>
  </si>
  <si>
    <t xml:space="preserve">EI-TO-16+087A00HS-370  </t>
  </si>
  <si>
    <t xml:space="preserve">EI-TO-16+071A00HS-294  </t>
  </si>
  <si>
    <t xml:space="preserve">EI-TO-16+057A00HS-224  </t>
  </si>
  <si>
    <t xml:space="preserve">EI-TO-16+023A00HS-84  </t>
  </si>
  <si>
    <t xml:space="preserve">EI-TO-16+061A00HS-252  </t>
  </si>
  <si>
    <t xml:space="preserve">EI-TO-16+059A00HS-243  </t>
  </si>
  <si>
    <t xml:space="preserve">EI-TO-16+043A00HS-162  </t>
  </si>
  <si>
    <t xml:space="preserve">EI-TO-16+057A00HS-233  </t>
  </si>
  <si>
    <t xml:space="preserve">EI-TO-16+039A00HS-155  </t>
  </si>
  <si>
    <t xml:space="preserve">EI-TO-16+049A00HS-196  </t>
  </si>
  <si>
    <t xml:space="preserve">EI-TO-16+055A00HS-217  </t>
  </si>
  <si>
    <t xml:space="preserve">EI-TO-16+045A00HS-183  </t>
  </si>
  <si>
    <t xml:space="preserve">EI-TO-16+093A00HS-389  </t>
  </si>
  <si>
    <t xml:space="preserve">EI-TO-16+023A00HS-81  </t>
  </si>
  <si>
    <t xml:space="preserve">EI-TO-16+059A00HS-244  </t>
  </si>
  <si>
    <t xml:space="preserve">EI-TO-16+051A00HS-203  </t>
  </si>
  <si>
    <t xml:space="preserve">EI-TO-16+019A00HS-69  </t>
  </si>
  <si>
    <t xml:space="preserve">EI-TO-16+027A00HS-103  </t>
  </si>
  <si>
    <t xml:space="preserve">EI-TO-16+035A00HS-207  </t>
  </si>
  <si>
    <t xml:space="preserve">EI-TO-16+043A00HS-172  </t>
  </si>
  <si>
    <t xml:space="preserve">EI-TO-16+065A00HS-270  </t>
  </si>
  <si>
    <t xml:space="preserve">EI-TO-16+031A00HS-116  </t>
  </si>
  <si>
    <t xml:space="preserve">EI-TO-16+021A00HS-77  </t>
  </si>
  <si>
    <t xml:space="preserve">EI-TO-45+077M85HS-907 </t>
  </si>
  <si>
    <t xml:space="preserve">EI-TO-16+095A00HS-394  </t>
  </si>
  <si>
    <t xml:space="preserve">EI-TO-16+095A00HS-395   </t>
  </si>
  <si>
    <t xml:space="preserve">EI-TO-16+081A00HS-337  </t>
  </si>
  <si>
    <t xml:space="preserve">EІ-ТО-16+095A00HS-392  </t>
  </si>
  <si>
    <t xml:space="preserve">EI-TO-16+109A00HS-452 </t>
  </si>
  <si>
    <t xml:space="preserve">EІ-ТО-16+065A00HS-264  </t>
  </si>
  <si>
    <t xml:space="preserve">EІ-ТО-16+065A00HS-266  </t>
  </si>
  <si>
    <t xml:space="preserve">EІ-ТО-16+027A00HS-100  </t>
  </si>
  <si>
    <t xml:space="preserve">EІ-ТО-16+093A00HS-387  </t>
  </si>
  <si>
    <t xml:space="preserve">EІ-ТО-16+055A00HS-221  </t>
  </si>
  <si>
    <t xml:space="preserve">EІ-ТО-16+045A00HS-180  </t>
  </si>
  <si>
    <t xml:space="preserve">EІ-ТО-16+049A00HS-199  </t>
  </si>
  <si>
    <t xml:space="preserve">EІ-ТО-16+081A00HS-343  </t>
  </si>
  <si>
    <t xml:space="preserve">EІ-ТО-16+065A00HS-272  </t>
  </si>
  <si>
    <t xml:space="preserve">EІ-ТО-16+045A00HS-181  </t>
  </si>
  <si>
    <t xml:space="preserve">EІ-ТО-16+061A00HS-253  </t>
  </si>
  <si>
    <t xml:space="preserve">EІ-ТО-16+043A00HS-169  </t>
  </si>
  <si>
    <t xml:space="preserve">EI-TO-16+065A00HS-264  </t>
  </si>
  <si>
    <t xml:space="preserve">EI-TO-16+035A00HS-132  </t>
  </si>
  <si>
    <t xml:space="preserve">EI-TO-16+057A00HS-234  </t>
  </si>
  <si>
    <t xml:space="preserve">EI-TO-16+039A00HS-156 </t>
  </si>
  <si>
    <t xml:space="preserve">EI-TO-16+059A00HS-246  </t>
  </si>
  <si>
    <t xml:space="preserve">EI-TO-16+041A00HS-164  </t>
  </si>
  <si>
    <t xml:space="preserve">EI-TO-16+047A00HS-189  </t>
  </si>
  <si>
    <t xml:space="preserve">EI-TO-16+033A00HS-126 </t>
  </si>
  <si>
    <t xml:space="preserve">EI-TO-16+031A00HS-121  </t>
  </si>
  <si>
    <t xml:space="preserve">EI-TO-16+063A00HS-256  </t>
  </si>
  <si>
    <t xml:space="preserve">EI-TO-16+037A00HS-142  </t>
  </si>
  <si>
    <t xml:space="preserve">EI-TO-16+049A00HS-195  </t>
  </si>
  <si>
    <t xml:space="preserve">EI-TO-16+077A00HS-310  </t>
  </si>
  <si>
    <t xml:space="preserve">EI-TO-16+041A00HS-166  </t>
  </si>
  <si>
    <t xml:space="preserve">EI-TO-16+037A00HS-144  </t>
  </si>
  <si>
    <t xml:space="preserve">EI-TO-16+031A00HS-118  </t>
  </si>
  <si>
    <t xml:space="preserve">EI-TO-16+029A00HS-111  </t>
  </si>
  <si>
    <t>EI-TO-16+113A00HS-487</t>
  </si>
  <si>
    <t xml:space="preserve">EI-TO-16+077A00HS-316  </t>
  </si>
  <si>
    <t xml:space="preserve">EI-TO-16+037A00HS-143  </t>
  </si>
  <si>
    <t xml:space="preserve">EI-TO-16+057A00HS-237  </t>
  </si>
  <si>
    <t xml:space="preserve">EI-TO-16+045A00HS-182  </t>
  </si>
  <si>
    <t xml:space="preserve">EI-TO-16+067A00HS-274  </t>
  </si>
  <si>
    <t xml:space="preserve">EI-TO-16+041A00HS-163  </t>
  </si>
  <si>
    <t xml:space="preserve">EI-TO-16+101A00HS-416  </t>
  </si>
  <si>
    <t xml:space="preserve">EI-TO-16+101A00HS-420   </t>
  </si>
  <si>
    <t xml:space="preserve">EІ-ТО-16+041A00HS-160  </t>
  </si>
  <si>
    <t xml:space="preserve">EІ-ТО-16+043A00HS-168  </t>
  </si>
  <si>
    <t xml:space="preserve">EI-TO-16+113A00HS-463  </t>
  </si>
  <si>
    <t xml:space="preserve">EI-TO-16+025A00HS-96 </t>
  </si>
  <si>
    <t xml:space="preserve">EI-TO-16+103A00HS-432 </t>
  </si>
  <si>
    <t xml:space="preserve">EІ-ТО-16+077A00HS-317  </t>
  </si>
  <si>
    <t xml:space="preserve">EІ-ТО-16+081A00HS-336  </t>
  </si>
  <si>
    <t xml:space="preserve">EІ-ТО-16+049A00HS-201  </t>
  </si>
  <si>
    <t xml:space="preserve">EІ-ТО-16+087A00HS-359  </t>
  </si>
  <si>
    <t xml:space="preserve">EІ-ТО-16+067A00HS-270  </t>
  </si>
  <si>
    <t xml:space="preserve">EІ-ТО-16+071A00HS-294  </t>
  </si>
  <si>
    <t xml:space="preserve">EI-TO-16+115A00HS-491 </t>
  </si>
  <si>
    <t xml:space="preserve">EI-TO-16+083A00HS-341  </t>
  </si>
  <si>
    <t xml:space="preserve">EI-TO-16+039A00HS-158  </t>
  </si>
  <si>
    <t xml:space="preserve">EI-TO-16+037A00HS-145  </t>
  </si>
  <si>
    <t xml:space="preserve">EI-TO-16+057A00HS-227 </t>
  </si>
  <si>
    <t xml:space="preserve">EI-TO-16+023A00HS-86  </t>
  </si>
  <si>
    <t xml:space="preserve">EI-TO-16+039A00HS-154  </t>
  </si>
  <si>
    <t xml:space="preserve">EI-TO-16+027A00HS-98  </t>
  </si>
  <si>
    <t xml:space="preserve">ЕІ-ТО-16+067A00HS-266  </t>
  </si>
  <si>
    <t xml:space="preserve">ЕІ-ТО-16+037A00HS-141  </t>
  </si>
  <si>
    <t xml:space="preserve">ЕІ-ТО-16+031A00HS-122  </t>
  </si>
  <si>
    <t xml:space="preserve">ЕІ-ТО-16+049A00HS-194  </t>
  </si>
  <si>
    <t xml:space="preserve">EI-TO-16+101A00HS-426   </t>
  </si>
  <si>
    <t xml:space="preserve">ЕІ-ТО-16+039A00HS-152  </t>
  </si>
  <si>
    <t xml:space="preserve">ЕІ-ТО-16+021A00HS-76 </t>
  </si>
  <si>
    <t xml:space="preserve">ЕІ-ТО-16+029A00HS-114  </t>
  </si>
  <si>
    <t xml:space="preserve">ЕІ-ТО-16+037A00HS-144  </t>
  </si>
  <si>
    <t xml:space="preserve">ЕІ-ТО-16+021A00HS-72  </t>
  </si>
  <si>
    <t xml:space="preserve">ЕІ-ТО-16+033A00HS-130  </t>
  </si>
  <si>
    <t xml:space="preserve">ЕІ-ТО-16+023A00HS-80 </t>
  </si>
  <si>
    <t xml:space="preserve">ЕІ-ТО-16+041A00HS-159  </t>
  </si>
  <si>
    <t xml:space="preserve">ЕІ-ТО-16+063A00HS-261  </t>
  </si>
  <si>
    <t xml:space="preserve">ЕІ-ТО-16+039A00HS-156  </t>
  </si>
  <si>
    <t xml:space="preserve">EI-TO-16+113A00HS-468 </t>
  </si>
  <si>
    <t xml:space="preserve">ЕІ-ТО-16+039A00HS-158  </t>
  </si>
  <si>
    <t xml:space="preserve">EI-TO-16+113A00HS-475   </t>
  </si>
  <si>
    <t xml:space="preserve">ЕІ-ТО-16+051A00HS-207  </t>
  </si>
  <si>
    <t xml:space="preserve">EI-TO-26+081M55HS-537 </t>
  </si>
  <si>
    <t xml:space="preserve">ЕІ-ТО-16+073A00HS-305  </t>
  </si>
  <si>
    <t xml:space="preserve">ЕІ-ТО-26+089M55HS-579 </t>
  </si>
  <si>
    <t xml:space="preserve">ЕІ-ТО-26+109M50HS-697 </t>
  </si>
  <si>
    <t xml:space="preserve">ЕІ-ТО-26+109M50HS-692 </t>
  </si>
  <si>
    <t xml:space="preserve">ЕІ-ТО-26+093M55HS-608 </t>
  </si>
  <si>
    <t xml:space="preserve">ЕІ-ТО-16+081A00HS-336  </t>
  </si>
  <si>
    <t xml:space="preserve">EI-TO-16+103A00HS-430 </t>
  </si>
  <si>
    <t xml:space="preserve">ЕІ-ТО-16+071A00HS-290  </t>
  </si>
  <si>
    <t xml:space="preserve">ЕІ-ТО-26+089M55HS-581   </t>
  </si>
  <si>
    <t xml:space="preserve">ЕІ-ТО-16+057A00HS-234 </t>
  </si>
  <si>
    <t xml:space="preserve">ЕІ-ТО-16+073A00HS-293  </t>
  </si>
  <si>
    <t xml:space="preserve">ЕІ-ТО-16+059A00HS-242  </t>
  </si>
  <si>
    <t xml:space="preserve">ЕІ-ТО-16+055A00HS-218  </t>
  </si>
  <si>
    <t xml:space="preserve">ЕІ-ТО-16+089A00HS-379 </t>
  </si>
  <si>
    <t xml:space="preserve">ЕІ-ТО-16+103A00HS-439 </t>
  </si>
  <si>
    <t xml:space="preserve">ЕІ-ТО-16+067A00HS-272 </t>
  </si>
  <si>
    <t xml:space="preserve">ЕІ-ТО-16+033A00HS-127  </t>
  </si>
  <si>
    <t xml:space="preserve">ЕІ-ТО-16+089A00HS-378  </t>
  </si>
  <si>
    <t xml:space="preserve">ЕІ-ТО-16+113A00HS-473   </t>
  </si>
  <si>
    <t xml:space="preserve">ЕІ-ТО-16+067A00HS-279  </t>
  </si>
  <si>
    <t xml:space="preserve">ЕІ-ТО-16+063A00HS-255  </t>
  </si>
  <si>
    <t xml:space="preserve">ЕІ-ТО-16+063A00HS-264 </t>
  </si>
  <si>
    <t xml:space="preserve">ЕІ-ТО-16+043A00HS-174  </t>
  </si>
  <si>
    <t xml:space="preserve">ЕІ-ТО-16+057A00HS-223  </t>
  </si>
  <si>
    <t xml:space="preserve">ЕІ-ТО-16+071A00HS-292  </t>
  </si>
  <si>
    <t xml:space="preserve">ЕІ-ТО-16+041A00HS-162  </t>
  </si>
  <si>
    <t xml:space="preserve">ЕІ-ТО-16+071A00HS-288  </t>
  </si>
  <si>
    <t xml:space="preserve">ЕІ-ТО-16+055A00HS-219  </t>
  </si>
  <si>
    <t xml:space="preserve">ЕІ-ТО-16+079A00HS-328  </t>
  </si>
  <si>
    <t xml:space="preserve">ЕІ-ТО-16+077A00HS-310 </t>
  </si>
  <si>
    <t xml:space="preserve">ЕІ-ТО-16+025A00HS-94  </t>
  </si>
  <si>
    <t xml:space="preserve">ЕІ-ТО-16+023A00HS-86  </t>
  </si>
  <si>
    <t xml:space="preserve">ЕІ-ТО-16+029A00HS-111  </t>
  </si>
  <si>
    <t xml:space="preserve">ЕІ-ТО-16+037A00HS-148  </t>
  </si>
  <si>
    <t xml:space="preserve">ЕІ-ТО-16+021A00HS-78  </t>
  </si>
  <si>
    <t>EI-TO-16+025A00HS-90</t>
  </si>
  <si>
    <t xml:space="preserve">EI-TO-16+025A00HS-93  </t>
  </si>
  <si>
    <t xml:space="preserve">EI-TO-16+073A00HS-301  </t>
  </si>
  <si>
    <t xml:space="preserve">EI-TO-16+039A00HS-153  </t>
  </si>
  <si>
    <t xml:space="preserve">EI-TO-16+043A00HS-175  </t>
  </si>
  <si>
    <t xml:space="preserve">EI-TO-16+081A00HS-339  </t>
  </si>
  <si>
    <t xml:space="preserve">ЕІ-ТО-16+095A00HS-402   </t>
  </si>
  <si>
    <t xml:space="preserve">EI-TO-16+051A00HS-204  </t>
  </si>
  <si>
    <t xml:space="preserve">ЕІ-ТО-16+101A00HS-419   </t>
  </si>
  <si>
    <t xml:space="preserve">EI-TO-16+073A00HS-308  </t>
  </si>
  <si>
    <t xml:space="preserve">EI-TO-16+085A00HS-354  </t>
  </si>
  <si>
    <t xml:space="preserve">EI-TO-16+063A00HS-257  </t>
  </si>
  <si>
    <t xml:space="preserve">EI-TO-16+069A00HS-280  </t>
  </si>
  <si>
    <t xml:space="preserve">EI-TO-16+055A00HS-222  </t>
  </si>
  <si>
    <t xml:space="preserve">EI-TO-16+037A00HS-148  </t>
  </si>
  <si>
    <t xml:space="preserve">EI-TO-16+059A00HS-240 </t>
  </si>
  <si>
    <t xml:space="preserve">EI-TO-16+041A00HS-160  </t>
  </si>
  <si>
    <t xml:space="preserve">EI-TO-16+037A00HS-141  </t>
  </si>
  <si>
    <t xml:space="preserve">EI-TO-16+023A00HS-85  </t>
  </si>
  <si>
    <t xml:space="preserve">EI-TO-16+077A00HS-318  </t>
  </si>
  <si>
    <t xml:space="preserve">EI-TO-16+095A00HS-393  </t>
  </si>
  <si>
    <t xml:space="preserve">EI-TO-16+101A00HS-428 </t>
  </si>
  <si>
    <t xml:space="preserve">EI-TO-16+095A00HS-394   </t>
  </si>
  <si>
    <t xml:space="preserve">EI-TO-16+041A00HS-165 </t>
  </si>
  <si>
    <t xml:space="preserve">EI-TO-16+075A00HS-293  </t>
  </si>
  <si>
    <t xml:space="preserve">EI-TO-16+063A00HS-255   </t>
  </si>
  <si>
    <t xml:space="preserve">EI-TO-16+063A00HS-256 </t>
  </si>
  <si>
    <t xml:space="preserve">EI-TO-16+065A00HS-272  </t>
  </si>
  <si>
    <t xml:space="preserve">EI-TO-16+061A00HS-246  </t>
  </si>
  <si>
    <t xml:space="preserve">EI-TO-16+049A00HS-200  </t>
  </si>
  <si>
    <t xml:space="preserve">EI-TO-16+067A00HS-273  </t>
  </si>
  <si>
    <t xml:space="preserve">EI-TO-16+067A00HS-262  </t>
  </si>
  <si>
    <t xml:space="preserve">EI-TO-16+067A00HS-267  </t>
  </si>
  <si>
    <t xml:space="preserve">EI-TO-16+019A00HS-67  </t>
  </si>
  <si>
    <t xml:space="preserve">ЕІ-ТО-16+095A00HS-401 </t>
  </si>
  <si>
    <t xml:space="preserve">EI-TO-16+061A00HS-243  </t>
  </si>
  <si>
    <t xml:space="preserve">ЕІ-ТО-16+097A00HS-408  </t>
  </si>
  <si>
    <t xml:space="preserve">EI-TO-16+045A00HS-168  </t>
  </si>
  <si>
    <t xml:space="preserve">EI-TO-16+037A00HS-137  </t>
  </si>
  <si>
    <t xml:space="preserve">EI-TO-16+035A00HS-117  </t>
  </si>
  <si>
    <t xml:space="preserve">EI-TO-16+029A00HS-98  </t>
  </si>
  <si>
    <t xml:space="preserve">EI-TO-16+059A00HS-242  </t>
  </si>
  <si>
    <t xml:space="preserve">EI-TO-16+047A00HS-193  </t>
  </si>
  <si>
    <t xml:space="preserve">EI-TO-16+021A00HS-73   </t>
  </si>
  <si>
    <t xml:space="preserve">EI-TO-16+037A00HS-147  </t>
  </si>
  <si>
    <t xml:space="preserve">EI-TO-16+043A00HS-168  </t>
  </si>
  <si>
    <t xml:space="preserve">ЕІ-ТО-16+101A00HS-420 </t>
  </si>
  <si>
    <t xml:space="preserve">EI-TO-16+045A00HS-178  </t>
  </si>
  <si>
    <t xml:space="preserve">EI-TO-16+057A00HS-267  </t>
  </si>
  <si>
    <t xml:space="preserve">EI-TO-16+055A00HS-225  </t>
  </si>
  <si>
    <t xml:space="preserve">EI-TO-16+039A00HS-150  </t>
  </si>
  <si>
    <t xml:space="preserve">EI-TO-16+025A00HS-92  </t>
  </si>
  <si>
    <t xml:space="preserve">EI-TO-16+069A00HS-288  </t>
  </si>
  <si>
    <t xml:space="preserve">EI-TO-16+057A00HS-230  </t>
  </si>
  <si>
    <t xml:space="preserve">EI-TO-16+041A00HS-162  </t>
  </si>
  <si>
    <t xml:space="preserve">EI-TO-16+041A00HS-162 </t>
  </si>
  <si>
    <t>Циркуляційні насоси</t>
  </si>
  <si>
    <t xml:space="preserve">WILO </t>
  </si>
  <si>
    <t>Qty.</t>
  </si>
  <si>
    <t>16</t>
  </si>
  <si>
    <t>EZV 65D</t>
  </si>
  <si>
    <t>Насос</t>
  </si>
  <si>
    <t>Лічильник холодної води з імп. виходом</t>
  </si>
  <si>
    <t>Модель</t>
  </si>
  <si>
    <t>26</t>
  </si>
  <si>
    <t>Тип пластини</t>
  </si>
  <si>
    <t>Коеф доставки</t>
  </si>
  <si>
    <t>ПДВ</t>
  </si>
  <si>
    <t>08</t>
  </si>
  <si>
    <t>45</t>
  </si>
  <si>
    <t xml:space="preserve">EI-TO-16+047A00HS-187 </t>
  </si>
  <si>
    <t xml:space="preserve">EI-TO-16+057A00HS-232 </t>
  </si>
  <si>
    <t xml:space="preserve">EI-TO-16+077A00HS-324 </t>
  </si>
  <si>
    <t xml:space="preserve">EI-TO-16+103A00HS-433  </t>
  </si>
  <si>
    <t>EI-TO-16+019A00HS-68</t>
  </si>
  <si>
    <t xml:space="preserve">EI-TO-16+045A00HS-183 </t>
  </si>
  <si>
    <t xml:space="preserve">EI-TO-16+033A00HS-128 </t>
  </si>
  <si>
    <t xml:space="preserve">EI-TO-16+055A00HS-217 </t>
  </si>
  <si>
    <t xml:space="preserve">EІ-ТО-16+049A00HS-199 </t>
  </si>
  <si>
    <t xml:space="preserve">EI-TO-16+057A00HS-231 </t>
  </si>
  <si>
    <t xml:space="preserve">EI-TO-16+031A00HS-122 </t>
  </si>
  <si>
    <t xml:space="preserve">EI-TO-16+043A00HS-168 </t>
  </si>
  <si>
    <t xml:space="preserve">EI-TO-16+085A00HS-348  </t>
  </si>
  <si>
    <t xml:space="preserve">EI-TO-16+071A00HS-292  </t>
  </si>
  <si>
    <t>Ціна пластини, ЄВРО без ПДВ</t>
  </si>
  <si>
    <t>Курс НБУ на 16.09</t>
  </si>
  <si>
    <t>ТЕПЛООБМІННИКИ</t>
  </si>
  <si>
    <t>Тип пластин</t>
  </si>
  <si>
    <t>Кількість пластин</t>
  </si>
  <si>
    <t xml:space="preserve">EI-TO-08+021A00HS-125 </t>
  </si>
  <si>
    <t>со</t>
  </si>
  <si>
    <t>гвп</t>
  </si>
  <si>
    <t>30</t>
  </si>
  <si>
    <t>ЄВРО</t>
  </si>
  <si>
    <t>AVD</t>
  </si>
  <si>
    <t>AXIS (Литва)</t>
  </si>
  <si>
    <t>Енерго-Інвест (Україна)</t>
  </si>
  <si>
    <t>VALTEC</t>
  </si>
  <si>
    <t>Danfoss</t>
  </si>
  <si>
    <t>BREEZE</t>
  </si>
  <si>
    <t>EZV (Словакія)</t>
  </si>
  <si>
    <t>Ціна комплектуючих, грн. з ПДВ</t>
  </si>
  <si>
    <t>ЄВРО з ПДВ</t>
  </si>
  <si>
    <t>всего единиц</t>
  </si>
  <si>
    <t>ВСЕГО</t>
  </si>
  <si>
    <t>ВСЕГО по расчету</t>
  </si>
  <si>
    <t>Ціна комплектуючих, ЕВРО з ПДВ</t>
  </si>
  <si>
    <t>Вартість ТО, ЄВРО без ПДВ</t>
  </si>
  <si>
    <r>
      <t>TМW</t>
    </r>
    <r>
      <rPr>
        <sz val="11"/>
        <color rgb="FFFF0000"/>
        <rFont val="Calibri"/>
        <family val="2"/>
        <charset val="204"/>
        <scheme val="minor"/>
      </rPr>
      <t>32</t>
    </r>
    <r>
      <rPr>
        <sz val="11"/>
        <color theme="1"/>
        <rFont val="Calibri"/>
        <family val="2"/>
        <charset val="204"/>
        <scheme val="minor"/>
      </rPr>
      <t>/8</t>
    </r>
  </si>
  <si>
    <t>VFM2</t>
  </si>
  <si>
    <t>AMV655</t>
  </si>
  <si>
    <t>Названия строк</t>
  </si>
  <si>
    <t>Общий итог</t>
  </si>
  <si>
    <t>Сумма по полю Сума, ЄВРО з ПДВ</t>
  </si>
  <si>
    <t>Сумма по полю % від загальної суми</t>
  </si>
  <si>
    <t>оборуд.+работы</t>
  </si>
  <si>
    <t>шафи автоматики та електрика</t>
  </si>
  <si>
    <t>дренажних насосів</t>
  </si>
  <si>
    <t xml:space="preserve">Обовязкові </t>
  </si>
  <si>
    <t>запасні</t>
  </si>
  <si>
    <t>частини</t>
  </si>
  <si>
    <t>запасные прокладки</t>
  </si>
  <si>
    <t>насосы</t>
  </si>
  <si>
    <t>клапаны</t>
  </si>
  <si>
    <t>приводы</t>
  </si>
  <si>
    <t>расходомеры</t>
  </si>
  <si>
    <t>1 на 10 шт. каждого типоразмера</t>
  </si>
  <si>
    <t>контроллеры</t>
  </si>
  <si>
    <t>вычислители теплосчетчика</t>
  </si>
  <si>
    <t>немеханич. Расходомеры</t>
  </si>
  <si>
    <t>баки расширительные</t>
  </si>
  <si>
    <t>1 на 20 шт. каждого типоразмера</t>
  </si>
  <si>
    <t>каждый тип оборудования</t>
  </si>
  <si>
    <t>2% от общего кол-ва</t>
  </si>
  <si>
    <t>1 компл. Каждого типаоборуд/розмера</t>
  </si>
  <si>
    <t>Требуемое кол-во</t>
  </si>
  <si>
    <t>TOTAL</t>
  </si>
  <si>
    <t>ЭИ</t>
  </si>
  <si>
    <t>Item</t>
  </si>
  <si>
    <t>Description</t>
  </si>
  <si>
    <t>Пункт</t>
  </si>
  <si>
    <t>Курсові ризики</t>
  </si>
  <si>
    <t>різниця курсу НБУ-міжбанк</t>
  </si>
  <si>
    <t>Накладные расходы</t>
  </si>
  <si>
    <t>Прибыль</t>
  </si>
  <si>
    <t>Сумма вход, ЕВРО с НДС</t>
  </si>
  <si>
    <t>Цена прайс, грн. с НДС</t>
  </si>
  <si>
    <t>Цена прайс ЕВРО с НДС</t>
  </si>
  <si>
    <t>шт. расчет Слободянюка</t>
  </si>
  <si>
    <t>Теплолічильник</t>
  </si>
  <si>
    <t>AXIS</t>
  </si>
  <si>
    <t>Прилад магнітної обробки води</t>
  </si>
  <si>
    <t>80 л</t>
  </si>
  <si>
    <t>100 л</t>
  </si>
  <si>
    <t>150 л</t>
  </si>
  <si>
    <t>200 л</t>
  </si>
  <si>
    <t>300 л</t>
  </si>
  <si>
    <t>500 л</t>
  </si>
  <si>
    <t>750 л</t>
  </si>
  <si>
    <t>1000 л</t>
  </si>
  <si>
    <t>з зарубіжжя (СІР)</t>
  </si>
  <si>
    <t>Нйменування</t>
  </si>
  <si>
    <t>Найменування</t>
  </si>
  <si>
    <t>з країни походження покупця (EXW)</t>
  </si>
  <si>
    <t>(1х2х3)</t>
  </si>
  <si>
    <t>Apator</t>
  </si>
  <si>
    <t>IVR</t>
  </si>
  <si>
    <t>EZV</t>
  </si>
  <si>
    <t>Склоприбор</t>
  </si>
  <si>
    <t>LDM</t>
  </si>
  <si>
    <t>From within Employer‟s country (EXW)</t>
  </si>
  <si>
    <t>From abroad (CIP)</t>
  </si>
  <si>
    <t>PRICE (1 x 2 x 3)</t>
  </si>
  <si>
    <t>UNIT PRICE</t>
  </si>
  <si>
    <t>Total amount</t>
  </si>
  <si>
    <t>Flanged full bore ball valve</t>
  </si>
  <si>
    <t>Flanged screen filter</t>
  </si>
  <si>
    <t xml:space="preserve">Heat meter </t>
  </si>
  <si>
    <t>Electrical drive of the control valve</t>
  </si>
  <si>
    <t>Two-way control valve, pressure balanced</t>
  </si>
  <si>
    <t>Expansion tank with replaceable membrane</t>
  </si>
  <si>
    <t>Threaded ball valve</t>
  </si>
  <si>
    <t>Safety valve,  adjustment range 0,1-1,2 Мpa</t>
  </si>
  <si>
    <t>Pump</t>
  </si>
  <si>
    <t xml:space="preserve">Hot water flow meter, threaded with pulsed output </t>
  </si>
  <si>
    <t>Threaded check valve</t>
  </si>
  <si>
    <t xml:space="preserve"> Electric-contact manometer 0-1,6 МPa, accuracy class 1,5</t>
  </si>
  <si>
    <t>Flanged or threaded vibration damper</t>
  </si>
  <si>
    <t>Indicating pressure gauge</t>
  </si>
  <si>
    <t>Pressure relay (0,2…8bar)</t>
  </si>
  <si>
    <t>Bimetallic thermometer, stainless steel</t>
  </si>
  <si>
    <t xml:space="preserve">Flood pump </t>
  </si>
  <si>
    <t>Насос дренажний</t>
  </si>
  <si>
    <t xml:space="preserve">Cold water flow meter, threaded with pulsed output </t>
  </si>
  <si>
    <t>Automatic air vent, DN 15, completed with check valve</t>
  </si>
  <si>
    <t>Threaded ball valve for pressure gauge</t>
  </si>
  <si>
    <t>Ambient air temperature sensor</t>
  </si>
  <si>
    <t>Water temperature sensor, embedded</t>
  </si>
  <si>
    <t>Electromagnetic water treatment device</t>
  </si>
  <si>
    <t>Set of measuring tube and 1 Three-way valve</t>
  </si>
  <si>
    <t>Self-acting pressure reduction controller</t>
  </si>
  <si>
    <t>Threaded screen filter</t>
  </si>
  <si>
    <t>Flanged check valve</t>
  </si>
  <si>
    <t>Flanged  ball valve, cast iron</t>
  </si>
  <si>
    <t>Flanged ball valve, cast iron</t>
  </si>
  <si>
    <t>ЦІНА</t>
  </si>
  <si>
    <t>СУМА</t>
  </si>
  <si>
    <t>ВСЕГО ЕВРО без НДС</t>
  </si>
  <si>
    <t>ВСЕГО, грн. с НДС</t>
  </si>
  <si>
    <t>Работы ЕВРО без НДС</t>
  </si>
  <si>
    <t>Требуемое кол-во обязат. Зап. Частей</t>
  </si>
  <si>
    <t>Всього</t>
  </si>
  <si>
    <t>Tomáš Král</t>
  </si>
  <si>
    <t>Signature  __________________</t>
  </si>
  <si>
    <t>Підпис ______________________</t>
  </si>
  <si>
    <t>Томаш Крал</t>
  </si>
  <si>
    <t>Від імені та за дорученням товариства «ТЕНЗА – ЕНЕРГО-ІНВЕСТ»</t>
  </si>
  <si>
    <t>For and on behalf of JV “TENZA – ENERGO-INVEST”</t>
  </si>
  <si>
    <t>16 Korabelov Avenue</t>
  </si>
  <si>
    <t>18а Korabelov Avenue</t>
  </si>
  <si>
    <t>20/1 Korabelov Avenue</t>
  </si>
  <si>
    <t>20/2 Korabelov Avenue</t>
  </si>
  <si>
    <t>323/2 Bogoyavlenskiy Avenue (Oktyabrskiy)</t>
  </si>
  <si>
    <t>323/3 Bogoyavlenskiy Avenue (Oktyabrskiy)</t>
  </si>
  <si>
    <t>(input 1) 325/1 Bogoyavlenskiy Avenue (Oktyabrskiy)</t>
  </si>
  <si>
    <t>(input 2) 325/1 Bogoyavlenskiy Avenue (Oktyabrskiy)</t>
  </si>
  <si>
    <t>(input 3) 325/1 Bogoyavlenskiy Avenue (Oktyabrskiy)</t>
  </si>
  <si>
    <t>325/2 Bogoyavlenskiy Avenue (Oktyabrskiy)</t>
  </si>
  <si>
    <t>325/3 Bogoyavlenskiy Avenue (Oktyabrskiy)</t>
  </si>
  <si>
    <t xml:space="preserve">11а (a) Aivazovky Street </t>
  </si>
  <si>
    <t xml:space="preserve">11b (б) Aivazovky Street </t>
  </si>
  <si>
    <t xml:space="preserve">11v (в) Aivazovky Street </t>
  </si>
  <si>
    <t xml:space="preserve">13 Aivazovky Street </t>
  </si>
  <si>
    <t xml:space="preserve">3 Aivazovky Street </t>
  </si>
  <si>
    <t xml:space="preserve">4 Aivazovky Street </t>
  </si>
  <si>
    <t xml:space="preserve">5а/1 Aivazovky Street </t>
  </si>
  <si>
    <t xml:space="preserve">5а/2 Aivazovky Street </t>
  </si>
  <si>
    <t xml:space="preserve">6 Aivazovky Street </t>
  </si>
  <si>
    <t>24b (Б) Korotkaya Street</t>
  </si>
  <si>
    <t>1a (а) Leningradskaya Street</t>
  </si>
  <si>
    <t>1b (б) Leningradskaya Street</t>
  </si>
  <si>
    <t>1v (в) Leningradskaya Street</t>
  </si>
  <si>
    <t>3a (а) Leningradskaya Street</t>
  </si>
  <si>
    <t>3b (б) Leningradskaya Street</t>
  </si>
  <si>
    <t>3v (в) Leningradskaya Street</t>
  </si>
  <si>
    <t>3g (г) Leningradskaya Street</t>
  </si>
  <si>
    <t>3d (д) Leningradskaya Street</t>
  </si>
  <si>
    <t>5a (а) Leningradskaya Street</t>
  </si>
  <si>
    <t>5b (б) Leningradskaya Street</t>
  </si>
  <si>
    <t>5v (в) Leningradskaya Street</t>
  </si>
  <si>
    <t>7а Leningradskaya Street</t>
  </si>
  <si>
    <t>Qцо, Гкал/год</t>
  </si>
  <si>
    <t>Qгвп, Гкал/год</t>
  </si>
  <si>
    <t>Внутрішній контур ЦО</t>
  </si>
  <si>
    <t>Внутрішній контур ГВП</t>
  </si>
  <si>
    <t>Загальний ввід</t>
  </si>
  <si>
    <t>Гріючий контур ЦО</t>
  </si>
  <si>
    <t>Гріючий контур ГВП</t>
  </si>
  <si>
    <t>Циркуляційний контур ГВП</t>
  </si>
  <si>
    <t>Витрата теплоносія + діаметри трубопроводів</t>
  </si>
  <si>
    <t>11с36п</t>
  </si>
  <si>
    <t>Таблиця вибору кульових кранів на вводі тепломережі в ІТП , PN16</t>
  </si>
  <si>
    <t>Таблиця вибору грязьовиків на первинному контурі, PN16</t>
  </si>
  <si>
    <t>ЕНЕРГО-ІНВЕСТ (Україна)</t>
  </si>
  <si>
    <t>Грязьовик фланцевий</t>
  </si>
  <si>
    <t>821A</t>
  </si>
  <si>
    <t>AMV20</t>
  </si>
  <si>
    <t>Kv СО</t>
  </si>
  <si>
    <t>Kv ГВП</t>
  </si>
  <si>
    <t>Клапан регулюючий</t>
  </si>
  <si>
    <t>Таблиця вибору регулюючих клапанів СО та ГВП</t>
  </si>
  <si>
    <t>Таблиця вибору регуляторів перепаду тиску</t>
  </si>
  <si>
    <t>AVP</t>
  </si>
  <si>
    <t>Регулятор перепаду тиску</t>
  </si>
  <si>
    <t>RV113R</t>
  </si>
  <si>
    <t>Belimo</t>
  </si>
  <si>
    <t>SKS-3-К6-2-0-49-00-00-00-00-4-3-1-02-0 (муфтовий)</t>
  </si>
  <si>
    <t>SKS-3-К6-2-0-51-00-00-00-00-4-3-1-02-0 (муфтовий)</t>
  </si>
  <si>
    <t>SKS-3-К6-2-0-17-00-00-00-00-4-3-1-02-0 (муфтовий)</t>
  </si>
  <si>
    <t>SKS-3-К6-2-0-18-00-00-00-00-4-3-1-02-0 (муфтовий)</t>
  </si>
  <si>
    <t>SKS-3-К6-2-0-19-00-00-00-00-4-3-1-02-0 (фланцевий)</t>
  </si>
  <si>
    <t>SKS-3-К6-2-0-20-00-00-00-00-4-3-1-02-0 (фланцевий)</t>
  </si>
  <si>
    <t>SKS-3-К6-2-0-21-00-00-00-00-4-3-1-02-0 (фланцевий)</t>
  </si>
  <si>
    <t>SKS-3-К6-2-0-23-00-00-00-00-4-3-1-02-0 (фланцевий)</t>
  </si>
  <si>
    <t>EVOLUTION</t>
  </si>
  <si>
    <t>F.I.V.</t>
  </si>
  <si>
    <t>Кран кульовий фланцевий чавунний</t>
  </si>
  <si>
    <t>Україна</t>
  </si>
  <si>
    <t>КЗК 41нж</t>
  </si>
  <si>
    <t>Таблиця вибору кульових кранів для системи ГВП (споживач)</t>
  </si>
  <si>
    <t>Відгалуження на ЦО</t>
  </si>
  <si>
    <t>Кількість відгалужень</t>
  </si>
  <si>
    <t>Витрата на 1 відгал.</t>
  </si>
  <si>
    <t>Діаметр 1 відгал.</t>
  </si>
  <si>
    <t>Таблиця вибору кульових кранів на первинному контурі, PN16</t>
  </si>
  <si>
    <t>Підживлення+розширювальний бак</t>
  </si>
  <si>
    <t>Об'єм системи, м3</t>
  </si>
  <si>
    <t>Витрата на підживл.</t>
  </si>
  <si>
    <t>DN підживл.</t>
  </si>
  <si>
    <t>821А</t>
  </si>
  <si>
    <t xml:space="preserve">Клапан зворотній міжфланцевий </t>
  </si>
  <si>
    <t>Висота будинку</t>
  </si>
  <si>
    <t>Клапан балансувальний муфтовий</t>
  </si>
  <si>
    <t>Клапан балансувальний фланцевий</t>
  </si>
  <si>
    <t>Zetkama</t>
  </si>
  <si>
    <t>221H</t>
  </si>
  <si>
    <t>Таблиця вибору болансувальних клапанів</t>
  </si>
  <si>
    <t>js130-6NK</t>
  </si>
  <si>
    <t>MWN-40NK</t>
  </si>
  <si>
    <t>MWN-80NK</t>
  </si>
  <si>
    <t>Електромагнітна обробка води</t>
  </si>
  <si>
    <t>EZV 80M</t>
  </si>
  <si>
    <t>EZV 100M</t>
  </si>
  <si>
    <t>Таблиця вибору кульових кранів з електроприводом для системи підживлення, (вторинний контур)</t>
  </si>
  <si>
    <t>Кран кульовий з електроприводом</t>
  </si>
  <si>
    <t>0-150</t>
  </si>
  <si>
    <t>Датчик тиску</t>
  </si>
  <si>
    <t>Р</t>
  </si>
  <si>
    <t>Склоприлад</t>
  </si>
  <si>
    <t>Кран для манометрів трьохходовий</t>
  </si>
  <si>
    <t>28.2</t>
  </si>
  <si>
    <t>28.1</t>
  </si>
  <si>
    <t>7</t>
  </si>
  <si>
    <t>27</t>
  </si>
  <si>
    <t>17, 41</t>
  </si>
  <si>
    <t>38</t>
  </si>
  <si>
    <t xml:space="preserve">91 Ostapa Vyshni Street </t>
  </si>
  <si>
    <t xml:space="preserve">93А Ostapa Vyshni Street </t>
  </si>
  <si>
    <t xml:space="preserve">93/1 Ostapa Vyshni Street </t>
  </si>
  <si>
    <t xml:space="preserve">80А Stanislavskogo Street </t>
  </si>
  <si>
    <t>13</t>
  </si>
  <si>
    <t>20/3 Korabelov Avenue</t>
  </si>
  <si>
    <t>203 Torgovaya Street</t>
  </si>
  <si>
    <t>203а (input 1) Torgovaya Street</t>
  </si>
  <si>
    <t>203а (input2) Torgovaya Street</t>
  </si>
  <si>
    <t>205 Torgovaya Street</t>
  </si>
  <si>
    <t>254 Torgovaya Street</t>
  </si>
  <si>
    <t>(input 1) 327/2 Bogoyavlenskiy Avenue (Oktyabrskiy)</t>
  </si>
  <si>
    <t>(input 2) 327/2 Bogoyavlenskiy Avenue (Oktyabrskiy)</t>
  </si>
  <si>
    <t>(input 3) 327/2 Bogoyavlenskiy Avenue (Oktyabrskiy)</t>
  </si>
  <si>
    <t>338 Bogoyavlenskiy Avenue (Oktyabrskiy)</t>
  </si>
  <si>
    <t>340 Bogoyavlenskiy Avenue (Oktyabrskiy)</t>
  </si>
  <si>
    <t>340/1 Bogoyavlenskiy Avenue (Oktyabrskiy)</t>
  </si>
  <si>
    <t>340/2 Bogoyavlenskiy Avenue (Oktyabrskiy)</t>
  </si>
  <si>
    <t xml:space="preserve">22 Okeanovskaya (Artema) Street </t>
  </si>
  <si>
    <t xml:space="preserve">24 (entrance 1 and 2) Okeanovskaya (Artema) Street </t>
  </si>
  <si>
    <t xml:space="preserve">24 (entrance 3) Okeanovskaya (Artema) Street </t>
  </si>
  <si>
    <t xml:space="preserve">26 Okeanovskaya (Artema) Street </t>
  </si>
  <si>
    <t xml:space="preserve">28 Okeanovskaya (Artema) Street </t>
  </si>
  <si>
    <t xml:space="preserve">30 Okeanovskaya (Artema) Street </t>
  </si>
  <si>
    <t xml:space="preserve">30а (entrance 2-4) Okeanovskaya (Artema) Street </t>
  </si>
  <si>
    <t xml:space="preserve">30а (entrance 1) Okeanovskaya (Artema) Street </t>
  </si>
  <si>
    <t xml:space="preserve">32 Okeanovskaya (Artema) Street </t>
  </si>
  <si>
    <t xml:space="preserve">32a (а) Okeanovskaya (Artema) Street </t>
  </si>
  <si>
    <t xml:space="preserve">32b (б) Okeanovskaya (Artema) Street </t>
  </si>
  <si>
    <t xml:space="preserve">32v (в) Okeanovskaya (Artema) Street </t>
  </si>
  <si>
    <t xml:space="preserve">34 (entrance 1 and 2) Okeanovskaya (Artema) Street </t>
  </si>
  <si>
    <t xml:space="preserve">34 (entrance 3) Okeanovskaya (Artema) Street </t>
  </si>
  <si>
    <t xml:space="preserve">36 (entrance 1-3) Okeanovskaya (Artema) Street </t>
  </si>
  <si>
    <t xml:space="preserve">36 (entrance 4) Okeanovskaya (Artema) Street </t>
  </si>
  <si>
    <t xml:space="preserve">38 (entrance 1 and 3) Okeanovskaya (Artema) Street </t>
  </si>
  <si>
    <t xml:space="preserve">38 (entrance 4 and 5) Okeanovskaya (Artema) Street </t>
  </si>
  <si>
    <t xml:space="preserve">38a (а) Okeanovskaya (Artema) Street </t>
  </si>
  <si>
    <t xml:space="preserve">38b (б) Okeanovskaya (Artema) Street </t>
  </si>
  <si>
    <t xml:space="preserve">40 Okeanovskaya (Artema) Street </t>
  </si>
  <si>
    <t xml:space="preserve">40a (а) Okeanovskaya (Artema) Street </t>
  </si>
  <si>
    <t xml:space="preserve">40b (б) Okeanovskaya (Artema) Street </t>
  </si>
  <si>
    <t xml:space="preserve">40v (в) Okeanovskaya (Artema) Street </t>
  </si>
  <si>
    <t xml:space="preserve">45 Okeanovskaya (Artema) Street </t>
  </si>
  <si>
    <t xml:space="preserve">46 Okeanovskaya (Artema) Street </t>
  </si>
  <si>
    <t xml:space="preserve">47 Okeanovskaya (Artema) Street </t>
  </si>
  <si>
    <t xml:space="preserve">48 Okeanovskaya (Artema) Street </t>
  </si>
  <si>
    <t xml:space="preserve">50 Okeanovskaya (Artema) Street </t>
  </si>
  <si>
    <t xml:space="preserve">52 Okeanovskaya (Artema) Street </t>
  </si>
  <si>
    <t xml:space="preserve">54 Okeanovskaya (Artema) Street </t>
  </si>
  <si>
    <t xml:space="preserve">56 Okeanovskaya (Artema) Street </t>
  </si>
  <si>
    <t xml:space="preserve">56А Okeanovskaya (Artema) Street </t>
  </si>
  <si>
    <t xml:space="preserve">58 Okeanovskaya (Artema) Street </t>
  </si>
  <si>
    <t xml:space="preserve">58А Okeanovskaya (Artema) Street </t>
  </si>
  <si>
    <t xml:space="preserve">60 Okeanovskaya (Artema) Street </t>
  </si>
  <si>
    <t xml:space="preserve">60А Okeanovskaya (Artema) Street </t>
  </si>
  <si>
    <t xml:space="preserve">62 Okeanovskaya (Artema) Street </t>
  </si>
  <si>
    <t xml:space="preserve">62А Okeanovskaya (Artema) Street </t>
  </si>
  <si>
    <t xml:space="preserve">64 Okeanovskaya (Artema) Street </t>
  </si>
  <si>
    <t>20 Korotkaya Street</t>
  </si>
  <si>
    <t>24а (input 1) Korotkaya Street</t>
  </si>
  <si>
    <t>24а (input 2) Korotkaya Street</t>
  </si>
  <si>
    <t>170 Popelya Street</t>
  </si>
  <si>
    <t>162 Popelya Street</t>
  </si>
  <si>
    <t>30 Samoylovicha Street</t>
  </si>
  <si>
    <t>30A (А) Samoylovicha Street</t>
  </si>
  <si>
    <t>30B (Б) Samoylovicha Street</t>
  </si>
  <si>
    <t xml:space="preserve">80 Stanislavskogo Street </t>
  </si>
  <si>
    <t>12 Khodareva Street</t>
  </si>
  <si>
    <t>14 Khodareva Street</t>
  </si>
  <si>
    <t>318а Yantarnaya Street</t>
  </si>
  <si>
    <t>16 Khodareva Street</t>
  </si>
  <si>
    <t>20.1</t>
  </si>
  <si>
    <t>20.2</t>
  </si>
  <si>
    <t>21</t>
  </si>
  <si>
    <t>19</t>
  </si>
  <si>
    <t>Туреччина</t>
  </si>
  <si>
    <t>T-0520</t>
  </si>
  <si>
    <t>Flanged screen filter, PN16, type 821А</t>
  </si>
  <si>
    <t>Flanged full bore ball valve, PN16, type 11с36п</t>
  </si>
  <si>
    <t>Flanged full bore ball valve (heating system), PN16, type 11с36п</t>
  </si>
  <si>
    <t>Flanged full bore ball valve (HWS), PN16,type  11с36п</t>
  </si>
  <si>
    <t>Two-way control valve, pressure balanced (HWS) VB2 (DN15-DN50) or RV113R (DN65 and above)</t>
  </si>
  <si>
    <t>Heat meter (HWS), SKS</t>
  </si>
  <si>
    <t>Plate-type heat exchanger of the heating system</t>
  </si>
  <si>
    <t>Plate-type heat exchanger of the HWS system</t>
  </si>
  <si>
    <t>Threaded ball valve type FIV (DN15-32) or flanged valve type T-0520 (for DN40) or КЗК 41нж, PN16 (DN50 and above)</t>
  </si>
  <si>
    <t>Threaded ball valve, type FIV (DN15-32) or flanged full-bore valve, type 11с36п, PN16 (DN40 and above)</t>
  </si>
  <si>
    <t>Threaded ball valve, type FIV</t>
  </si>
  <si>
    <t>Threaded ball valve DN20, type FIV</t>
  </si>
  <si>
    <t>Threaded ball valve DN15, type FIV</t>
  </si>
  <si>
    <t>Threaded three-way valve DN15 (Art.101112) Skloplylad (for manometers)</t>
  </si>
  <si>
    <t xml:space="preserve">Threaded screen filter IVR 924 (DN15-32) or flanged screen filter Zetkama 821A (DN40 and above) </t>
  </si>
  <si>
    <t>Threaded screen filter IVR 924</t>
  </si>
  <si>
    <t>Threaded check valve type 999/H (DN15-32)or interflanged check valve type 656 (DN40 and above)</t>
  </si>
  <si>
    <t>Threaded check valve type 999/H</t>
  </si>
  <si>
    <t>Threaded vibration damper type AB-G (DN15 - 32) or flanged vibration damper type АВ-Е (DN40 and above)</t>
  </si>
  <si>
    <t>Threaded safety valve IVR 369, 1-12 bar</t>
  </si>
  <si>
    <t>Circulation pump of the heating system</t>
  </si>
  <si>
    <t>Circulation pump of the HWS system</t>
  </si>
  <si>
    <t>Expansion tank with replaceable membrane, ROZ-NAVI</t>
  </si>
  <si>
    <t>Threaded balancing valve Zetkama 221Н (DN15-32) or flanged balancing valve Zetkama 447 (DN40 and above)</t>
  </si>
  <si>
    <t>Automatic air vent, DN15</t>
  </si>
  <si>
    <t>Threaded hot water flow meter with pulsed output, type JS 90 NK</t>
  </si>
  <si>
    <t xml:space="preserve">Threaded cold water flow meter with pulsed output type JS NK (DN15 - 32) or flanged type MWN NK (DN40 and above)  </t>
  </si>
  <si>
    <t>Electromagnetic water treatment device, EZV</t>
  </si>
  <si>
    <t>Bimetallic thermometer, type ТБ 80 (0-120°С)</t>
  </si>
  <si>
    <t>Indicating pressure gauge (0-1,6 МPa)</t>
  </si>
  <si>
    <t>Indicating pressure gauge (0-1,0 MPa)</t>
  </si>
  <si>
    <t>Pressure sensor</t>
  </si>
  <si>
    <t>DN, mm</t>
  </si>
  <si>
    <t>pcs.</t>
  </si>
  <si>
    <t>number</t>
  </si>
  <si>
    <t>type</t>
  </si>
  <si>
    <t>Qн, m3/h</t>
  </si>
  <si>
    <t>Kvs, m3/h</t>
  </si>
  <si>
    <t>type of</t>
  </si>
  <si>
    <t>drive</t>
  </si>
  <si>
    <t>model</t>
  </si>
  <si>
    <t>heat exchanger</t>
  </si>
  <si>
    <t>DN calc., mm</t>
  </si>
  <si>
    <t>G, m3/h</t>
  </si>
  <si>
    <t>Number of floors</t>
  </si>
  <si>
    <t>H, m.w.c.</t>
  </si>
  <si>
    <t>pump model</t>
  </si>
  <si>
    <t>V calc, l</t>
  </si>
  <si>
    <t>V, l</t>
  </si>
  <si>
    <t>measurement</t>
  </si>
  <si>
    <t>range, MPa</t>
  </si>
  <si>
    <t>Adress</t>
  </si>
  <si>
    <t>Heat meter (heating system), SKS or existed</t>
  </si>
  <si>
    <t>Heat meter (heating system),existed</t>
  </si>
  <si>
    <t>set.</t>
  </si>
  <si>
    <t>7.2</t>
  </si>
  <si>
    <t>27.2</t>
  </si>
  <si>
    <t>19.2</t>
  </si>
  <si>
    <t>Threaded screen filter IVR 924 (DN15-32) or flanged screen filter Zetkama 821A (DN40 and above)</t>
  </si>
  <si>
    <t>Bimetallic thermometer, type ТБ 80 (0-150°С)</t>
  </si>
  <si>
    <t>Pressure relay PSM01</t>
  </si>
  <si>
    <t>PSM01</t>
  </si>
  <si>
    <t>Реле тиску</t>
  </si>
  <si>
    <t>A-10</t>
  </si>
  <si>
    <t>ТСП 1-5</t>
  </si>
  <si>
    <t>Сума:</t>
  </si>
  <si>
    <t>Electrical drive of the control valve (HWS) AMV33 for Danfoss or Belimo NV 230-3 for LDM</t>
  </si>
  <si>
    <t>NV 230-3</t>
  </si>
  <si>
    <t xml:space="preserve">Pressure difference regulating valve with impulse tubes (HWS) AVP (DN15-DN50) or AFP-9 VFG 2 (DN65 and above) </t>
  </si>
  <si>
    <t>AFP-9 VFG 2</t>
  </si>
  <si>
    <t>Two-way control valve, pressure balanced (heating system) VB2</t>
  </si>
  <si>
    <t>Electrical drive of the control valve (heating system) AMV20</t>
  </si>
  <si>
    <t>Pressure difference regulating valve with impulse tubes (heating system) AVP</t>
  </si>
  <si>
    <t>existed</t>
  </si>
  <si>
    <t>Manufacturer</t>
  </si>
  <si>
    <t>Type, model</t>
  </si>
  <si>
    <t>Name</t>
  </si>
  <si>
    <t>Загальна кількість по всім ІТП, шт</t>
  </si>
  <si>
    <t>Number, pcs</t>
  </si>
  <si>
    <t>Вартість од. прод., ЄВРО</t>
  </si>
  <si>
    <t>Сума заг. прод., ЄВРО</t>
  </si>
  <si>
    <t>TМW32/8</t>
  </si>
  <si>
    <t>Таблиця вибору кульових кранів для системи теплопостачання PN16 (вторинний контур)</t>
  </si>
  <si>
    <t>Interflanged check valve</t>
  </si>
  <si>
    <t>300 l</t>
  </si>
  <si>
    <t>500 l</t>
  </si>
  <si>
    <t>750 l</t>
  </si>
  <si>
    <t>1000 l</t>
  </si>
  <si>
    <t>Кульовий кран з електроприводом</t>
  </si>
  <si>
    <t>Threaded vibration damper</t>
  </si>
  <si>
    <t>Flanged vibration damper</t>
  </si>
  <si>
    <t>Threaded balancing valve</t>
  </si>
  <si>
    <t>Flanged balancing valve</t>
  </si>
  <si>
    <t>447</t>
  </si>
  <si>
    <t>Two-way control valve, pressure balanced, Кvs = 0,63</t>
  </si>
  <si>
    <t>Two-way control valve, pressure balanced, Кvs = 1,0</t>
  </si>
  <si>
    <t>Two-way control valve, pressure balanced, Кvs = 1,6</t>
  </si>
  <si>
    <t>Two-way control valve, pressure balanced, Кvs = 2,5</t>
  </si>
  <si>
    <t>Two-way control valve, pressure balanced, Кvs = 4,0</t>
  </si>
  <si>
    <t>Регулятор температури фланцевий, Кvs = 0,63</t>
  </si>
  <si>
    <t>Регулятор температури фланцевий , Кvs = 1,0</t>
  </si>
  <si>
    <t>Регулятор температури фланцевий, Кvs = 1,6</t>
  </si>
  <si>
    <t>Регулятор температури фланцевий, Кvs = 2,5</t>
  </si>
  <si>
    <t>Регулятор температури фланцевий, Кvs = 4,0</t>
  </si>
  <si>
    <t>Two-way control valve, pressure balanced, Кvs = 6,3</t>
  </si>
  <si>
    <t>Регулятор температури фланцевий, Кvs = 6,3</t>
  </si>
  <si>
    <t>Two-way control valve, pressure balanced, Кvs = 10,0</t>
  </si>
  <si>
    <t>Регулятор температури фланцевий, Кvs = 10,0</t>
  </si>
  <si>
    <t>Two-way control valve, pressure balanced, Кvs = 16,0</t>
  </si>
  <si>
    <t>Регулятор температури фланцевий, Кvs = 16,0</t>
  </si>
  <si>
    <t>Two-way control valve, pressure balanced, Кvs = 25,0</t>
  </si>
  <si>
    <t>Регулятор температури фланцевий, Кvs = 25,0</t>
  </si>
  <si>
    <t>Two-way control valve, pressure balanced, Кvs = 40,0</t>
  </si>
  <si>
    <t>Регулятор температури фланцевий, Кvs = 40,0</t>
  </si>
  <si>
    <t>RV133R</t>
  </si>
  <si>
    <t>Two-way control valve, pressure balanced, Кvs = 63,0</t>
  </si>
  <si>
    <t>Регулятор температури фланцевий, Кvs = 63,0</t>
  </si>
  <si>
    <t>Pressure difference regulating valve, Кvs = 4,0</t>
  </si>
  <si>
    <t>Регулятор перепаду тиску, Кvs = 4,0</t>
  </si>
  <si>
    <t>Pressure difference regulating valve, Кvs = 6,3</t>
  </si>
  <si>
    <t>Регулятор перепаду тиску, Кvs = 6,3</t>
  </si>
  <si>
    <t>Pressure difference regulating valve, Кvs = 16,0</t>
  </si>
  <si>
    <t>Регулятор перепаду тиску, Кvs = 16,0</t>
  </si>
  <si>
    <t>Pressure difference regulating valve, Кvs = 50,0</t>
  </si>
  <si>
    <t>Регулятор перепаду тиску, Кvs = 50,0</t>
  </si>
  <si>
    <t>Pressure relay</t>
  </si>
  <si>
    <t>WIKA</t>
  </si>
  <si>
    <t>Кран трьохходовий</t>
  </si>
  <si>
    <t>Art.101112</t>
  </si>
  <si>
    <t>Threaded three-way valve</t>
  </si>
  <si>
    <t>Skloprylad</t>
  </si>
  <si>
    <r>
      <t xml:space="preserve">0-150 </t>
    </r>
    <r>
      <rPr>
        <sz val="11"/>
        <rFont val="Calibri"/>
        <family val="2"/>
        <charset val="204"/>
      </rPr>
      <t>°</t>
    </r>
    <r>
      <rPr>
        <i/>
        <sz val="9.35"/>
        <rFont val="Arial"/>
        <family val="2"/>
        <charset val="204"/>
      </rPr>
      <t>C</t>
    </r>
  </si>
  <si>
    <t>0-120 °C</t>
  </si>
  <si>
    <t>TERA</t>
  </si>
  <si>
    <t>Flanged mud trap</t>
  </si>
  <si>
    <t>ENERGO-INVEST</t>
  </si>
  <si>
    <t>Threaded ball valve with electric drive 218</t>
  </si>
  <si>
    <t xml:space="preserve">Threaded ball valve IVR 230 with electric drive IVR 218 </t>
  </si>
  <si>
    <t>Yonos MAXO 40/0,5-16 PN 6/10</t>
  </si>
  <si>
    <t>Yonos MAXO 25/0,5-12 PN 10</t>
  </si>
  <si>
    <t>Yonos MAXO 40/0,5-8 PN 6/10</t>
  </si>
  <si>
    <t>Yonos MAXO 25/0,5-7 PN 10</t>
  </si>
  <si>
    <t>Yonos PICO 25/1-8-130</t>
  </si>
  <si>
    <t>TOP-Z 65/10 3- GG PN 6/10</t>
  </si>
  <si>
    <t>TOP-Z 25/6 3- PN 10</t>
  </si>
  <si>
    <t>TOP-Z 25/10 3- PN 10</t>
  </si>
  <si>
    <t>Star-Z 20/7 3- PN 10</t>
  </si>
  <si>
    <t>"Zavod gazovogo oborudovaniy Alfa-Gazkomplekt" LLC</t>
  </si>
  <si>
    <t>Duyar</t>
  </si>
  <si>
    <t>КУРС ЕВРО НБУ</t>
  </si>
  <si>
    <t>Трубка сифонная для датчика давления - охладитель (наше изготовления)</t>
  </si>
  <si>
    <t>Pressure sensor A-10 with the radiator</t>
  </si>
  <si>
    <t>вход грн. без НДС</t>
  </si>
  <si>
    <t>IVR 230 with electric drive IVR 218</t>
  </si>
  <si>
    <t xml:space="preserve">IVR </t>
  </si>
  <si>
    <t>IVR 230 with electric drive IVR 219</t>
  </si>
  <si>
    <t>прайс евро с НДС</t>
  </si>
  <si>
    <t>вход дол. США с НДС</t>
  </si>
  <si>
    <t>прайс грн. с ндс</t>
  </si>
  <si>
    <t>прайс грн. без НДС</t>
  </si>
  <si>
    <t>имп. Трубка</t>
  </si>
  <si>
    <t>фитинги</t>
  </si>
  <si>
    <t>прайс евро с ндс</t>
  </si>
  <si>
    <t>Ukraine</t>
  </si>
  <si>
    <t>Turkey</t>
  </si>
  <si>
    <t>Poland</t>
  </si>
  <si>
    <t>Switzerland</t>
  </si>
  <si>
    <t>Czech Republic</t>
  </si>
  <si>
    <t>Germany</t>
  </si>
  <si>
    <t>Italy</t>
  </si>
  <si>
    <t>Slovenia</t>
  </si>
  <si>
    <t>Denmark</t>
  </si>
  <si>
    <t>Lithuania</t>
  </si>
  <si>
    <t>EI-FG</t>
  </si>
  <si>
    <t>Flanged mud trap EI-FG, PN16</t>
  </si>
  <si>
    <t>Schedule No. 6.  Recommended Spare Parts</t>
  </si>
  <si>
    <t>Unit Price</t>
  </si>
  <si>
    <t>Total Price</t>
  </si>
  <si>
    <t>CIF or CIP</t>
  </si>
  <si>
    <t xml:space="preserve">EXW </t>
  </si>
  <si>
    <t>(foreign parts)</t>
  </si>
  <si>
    <t>(1) x (2) or(3)</t>
  </si>
  <si>
    <t>TOTAL:</t>
  </si>
  <si>
    <t>Name of Bidder:</t>
  </si>
  <si>
    <t>JV "TENZA – ENERGO-INVEST"</t>
  </si>
  <si>
    <t>Signature of Bidder:</t>
  </si>
  <si>
    <t>__________________________</t>
  </si>
  <si>
    <t>Tomáš Král
Head of Foreign Trade
For and on behalf of  JV "TENZA – ENERGO-INVEST"</t>
  </si>
  <si>
    <t>The Contractor should prepare a list of required spare parts to be supplied for 4 years of operation, and recommended spare parts</t>
  </si>
  <si>
    <t>Прайс евро с НДС</t>
  </si>
  <si>
    <t>ЕВРО прайс с НДС</t>
  </si>
  <si>
    <t>25%</t>
  </si>
  <si>
    <t>15%</t>
  </si>
  <si>
    <t>EURO</t>
  </si>
  <si>
    <t>(local parts) EURO</t>
  </si>
  <si>
    <t>Крус Межбанк продажа</t>
  </si>
  <si>
    <t>Страховка</t>
  </si>
  <si>
    <t>Логистика Брно-Николаев(ТЕНЗА), ЕВРО</t>
  </si>
  <si>
    <t>Логистика Киев-Николаев (ЭИ), ЕВРО</t>
  </si>
  <si>
    <t>Логистика Киев-Брно, ЕВРО</t>
  </si>
  <si>
    <t>1 кВт = 859.8 ккал/час</t>
  </si>
  <si>
    <t>от, ккал/ч</t>
  </si>
  <si>
    <t>от 85980 ккал/ч до</t>
  </si>
  <si>
    <t>от 257940 ккал/ч до</t>
  </si>
  <si>
    <t>Комплект кабелей</t>
  </si>
  <si>
    <r>
      <t>2</t>
    </r>
    <r>
      <rPr>
        <sz val="12"/>
        <color rgb="FFFF0000"/>
        <rFont val="Times New Roman"/>
        <family val="1"/>
        <charset val="204"/>
      </rPr>
      <t xml:space="preserve"> Specify currency. Create and use as many columns for Unit Price and Total Price as there are currencies.</t>
    </r>
  </si>
  <si>
    <r>
      <t>1</t>
    </r>
    <r>
      <rPr>
        <sz val="12"/>
        <color rgb="FFFF0000"/>
        <rFont val="Times New Roman"/>
        <family val="1"/>
        <charset val="204"/>
      </rPr>
      <t xml:space="preserve"> Bidders shall enter a code representing the country of origin of all imported plant and equipment.</t>
    </r>
  </si>
  <si>
    <t>Signature of Bidder:        __________________________</t>
  </si>
  <si>
    <t>Name of Bidder:          JV "TENZA – ENERGO-INVEST"</t>
  </si>
  <si>
    <t>TOTAL (to Schedule No. 5. Grand Summary)</t>
  </si>
  <si>
    <t>103 pcs</t>
  </si>
  <si>
    <t>Portable battery lamp</t>
  </si>
  <si>
    <t>1 set</t>
  </si>
  <si>
    <t>Individual Heating Station (IHS) at 16 Khodareva Street</t>
  </si>
  <si>
    <t>Individual Heating Station (IHS) at 318а Yantarnaya Street</t>
  </si>
  <si>
    <t>Individual Heating Station (IHS) at 14 Khodareva Street</t>
  </si>
  <si>
    <t>Individual Heating Station (IHS) at 12 Khodareva Street</t>
  </si>
  <si>
    <t>Individual Heating Station (IHS) at 254 Torgovaya Street</t>
  </si>
  <si>
    <t>Individual Heating Station (IHS) at 205 Torgovaya Street</t>
  </si>
  <si>
    <t>Individual Heating Station (IHS) at 203а (input 2) Torgovaya Street</t>
  </si>
  <si>
    <t>Individual Heating Station (IHS) at 203а (input 1) Torgovaya Street</t>
  </si>
  <si>
    <t>Individual Heating Station (IHS) at 203 Torgovaya Street</t>
  </si>
  <si>
    <t xml:space="preserve">Individual Heating Station (IHS) at 80А Stanislavskogo Street </t>
  </si>
  <si>
    <t xml:space="preserve">Individual Heating Station (IHS) at 80 Stanislavskogo Street </t>
  </si>
  <si>
    <t>Individual Heating Station (IHS) at 30B (Б) Samoylovicha Street</t>
  </si>
  <si>
    <t>Individual Heating Station (IHS) at 30A (А) Samoylovicha Street</t>
  </si>
  <si>
    <t>Individual Heating Station (IHS) at 30 Samoylovicha Street</t>
  </si>
  <si>
    <t>Individual Heating Station (IHS) at 162 Popelya Street</t>
  </si>
  <si>
    <t>Individual Heating Station (IHS) at 170 Popelya Street</t>
  </si>
  <si>
    <t>Individual Heating Station (IHS) at 7а Leningradskaya Street</t>
  </si>
  <si>
    <t>Individual Heating Station (IHS) at 5v (в) Leningradskaya Street</t>
  </si>
  <si>
    <t>Individual Heating Station (IHS) at 5b (б) Leningradskaya Street</t>
  </si>
  <si>
    <t>Individual Heating Station (IHS) at 5a (а) Leningradskaya Street</t>
  </si>
  <si>
    <t>Individual Heating Station (IHS) at 3d (д) Leningradskaya Street</t>
  </si>
  <si>
    <t>Individual Heating Station (IHS) at 3g (г) Leningradskaya Street</t>
  </si>
  <si>
    <t>Individual Heating Station (IHS) at 3v (в) Leningradskaya Street</t>
  </si>
  <si>
    <t>Individual Heating Station (IHS) at 3b (б) Leningradskaya Street</t>
  </si>
  <si>
    <t>Individual Heating Station (IHS) at 3a (а) Leningradskaya Street</t>
  </si>
  <si>
    <t>Individual Heating Station (IHS) at 1v (в) Leningradskaya Street</t>
  </si>
  <si>
    <t>Individual Heating Station (IHS) at 1b (б) Leningradskaya Street</t>
  </si>
  <si>
    <t>Individual Heating Station (IHS) at 1a (а) Leningradskaya Street</t>
  </si>
  <si>
    <t>Individual Heating Station (IHS) at 24b (Б) Korotkaya Street</t>
  </si>
  <si>
    <t>Individual Heating Station (IHS) at 24а (input 2) Korotkaya Street</t>
  </si>
  <si>
    <t>Individual Heating Station (IHS) at 24а (input 1) Korotkaya Street</t>
  </si>
  <si>
    <t>Individual Heating Station (IHS) at 20 Korotkaya Street</t>
  </si>
  <si>
    <t xml:space="preserve">Individual Heating Station (IHS) at 64 Okeanovskaya (Artema) Street </t>
  </si>
  <si>
    <t xml:space="preserve">Individual Heating Station (IHS) at 62А Okeanovskaya (Artema) Street </t>
  </si>
  <si>
    <t xml:space="preserve">Individual Heating Station (IHS) at 62 Okeanovskaya (Artema) Street </t>
  </si>
  <si>
    <t xml:space="preserve">Individual Heating Station (IHS) at 60А Okeanovskaya (Artema) Street </t>
  </si>
  <si>
    <t xml:space="preserve">Individual Heating Station (IHS) at 60 Okeanovskaya (Artema) Street </t>
  </si>
  <si>
    <t xml:space="preserve">Individual Heating Station (IHS) at 58А Okeanovskaya (Artema) Street </t>
  </si>
  <si>
    <t xml:space="preserve">Individual Heating Station (IHS) at 58 Okeanovskaya (Artema) Street </t>
  </si>
  <si>
    <t xml:space="preserve">Individual Heating Station (IHS) at 56А Okeanovskaya (Artema) Street </t>
  </si>
  <si>
    <t xml:space="preserve">Individual Heating Station (IHS) at 56 Okeanovskaya (Artema) Street </t>
  </si>
  <si>
    <t xml:space="preserve">Individual Heating Station (IHS) at 54 Okeanovskaya (Artema) Street </t>
  </si>
  <si>
    <t xml:space="preserve">Individual Heating Station (IHS) at 52 Okeanovskaya (Artema) Street </t>
  </si>
  <si>
    <t xml:space="preserve">Individual Heating Station (IHS) at 50 Okeanovskaya (Artema) Street </t>
  </si>
  <si>
    <t xml:space="preserve">Individual Heating Station (IHS) at 48 Okeanovskaya (Artema) Street </t>
  </si>
  <si>
    <t xml:space="preserve">Individual Heating Station (IHS) at 47 Okeanovskaya (Artema) Street </t>
  </si>
  <si>
    <t xml:space="preserve">Individual Heating Station (IHS) at 46 Okeanovskaya (Artema) Street </t>
  </si>
  <si>
    <t xml:space="preserve">Individual Heating Station (IHS) at 45 Okeanovskaya (Artema) Street </t>
  </si>
  <si>
    <t xml:space="preserve">Individual Heating Station (IHS) at 40v (в) Okeanovskaya (Artema) Street </t>
  </si>
  <si>
    <t xml:space="preserve">Individual Heating Station (IHS) at 40b (б) Okeanovskaya (Artema) Street </t>
  </si>
  <si>
    <t xml:space="preserve">Individual Heating Station (IHS) at 40a (а) Okeanovskaya (Artema) Street </t>
  </si>
  <si>
    <t xml:space="preserve">Individual Heating Station (IHS) at 40 Okeanovskaya (Artema) Street </t>
  </si>
  <si>
    <t xml:space="preserve">Individual Heating Station (IHS) at 38b (б) Okeanovskaya (Artema) Street </t>
  </si>
  <si>
    <t xml:space="preserve">Individual Heating Station (IHS) at 38a (а) Okeanovskaya (Artema) Street </t>
  </si>
  <si>
    <t xml:space="preserve">Individual Heating Station (IHS) at 38 (entrance 4 and 5) Okeanovskaya (Artema) Street </t>
  </si>
  <si>
    <t xml:space="preserve">Individual Heating Station (IHS) at 38 (entrance 1 and 3) Okeanovskaya (Artema) Street </t>
  </si>
  <si>
    <t xml:space="preserve">Individual Heating Station (IHS) at 36 (entrance 4) Okeanovskaya (Artema) Street </t>
  </si>
  <si>
    <t xml:space="preserve">Individual Heating Station (IHS) at 36 (entrance 1-3) Okeanovskaya (Artema) Street </t>
  </si>
  <si>
    <t xml:space="preserve">Individual Heating Station (IHS) at 34 (entrance 3) Okeanovskaya (Artema) Street </t>
  </si>
  <si>
    <t xml:space="preserve">Individual Heating Station (IHS) at 34 (entrance 1 and 2) Okeanovskaya (Artema) Street </t>
  </si>
  <si>
    <t xml:space="preserve">Individual Heating Station (IHS) at 32v (в) Okeanovskaya (Artema) Street </t>
  </si>
  <si>
    <t xml:space="preserve">Individual Heating Station (IHS) at 32b (б) Okeanovskaya (Artema) Street </t>
  </si>
  <si>
    <t xml:space="preserve">Individual Heating Station (IHS) at 32a (а) Okeanovskaya (Artema) Street </t>
  </si>
  <si>
    <t xml:space="preserve">Individual Heating Station (IHS) at 32 Okeanovskaya (Artema) Street </t>
  </si>
  <si>
    <t xml:space="preserve">Individual Heating Station (IHS) at 30а (entrance 1) Okeanovskaya (Artema) Street </t>
  </si>
  <si>
    <t xml:space="preserve">Individual Heating Station (IHS) at 30а (entrance 2-4) Okeanovskaya (Artema) Street </t>
  </si>
  <si>
    <t xml:space="preserve">Individual Heating Station (IHS) at 30 Okeanovskaya (Artema) Street </t>
  </si>
  <si>
    <t xml:space="preserve">Individual Heating Station (IHS) at 28 Okeanovskaya (Artema) Street </t>
  </si>
  <si>
    <t xml:space="preserve">Individual Heating Station (IHS) at 26 Okeanovskaya (Artema) Street </t>
  </si>
  <si>
    <t xml:space="preserve">Individual Heating Station (IHS) at 24 (entrance 3) Okeanovskaya (Artema) Street </t>
  </si>
  <si>
    <t xml:space="preserve">Individual Heating Station (IHS) at 24 (entrance 1 and 2) Okeanovskaya (Artema) Street </t>
  </si>
  <si>
    <t xml:space="preserve">Individual Heating Station (IHS) at 22 Okeanovskaya (Artema) Street </t>
  </si>
  <si>
    <t xml:space="preserve">Individual Heating Station (IHS) at 6 Aivazovky Street </t>
  </si>
  <si>
    <t xml:space="preserve">Individual Heating Station (IHS) at 5а/2 Aivazovky Street </t>
  </si>
  <si>
    <t xml:space="preserve">Individual Heating Station (IHS) at 5а/1 Aivazovky Street </t>
  </si>
  <si>
    <t xml:space="preserve">Individual Heating Station (IHS) at 4 Aivazovky Street </t>
  </si>
  <si>
    <t xml:space="preserve">Individual Heating Station (IHS) at 3 Aivazovky Street </t>
  </si>
  <si>
    <t xml:space="preserve">Individual Heating Station (IHS) at 13 Aivazovky Street </t>
  </si>
  <si>
    <t xml:space="preserve">Individual Heating Station (IHS) at 11v (в) Aivazovky Street </t>
  </si>
  <si>
    <t xml:space="preserve">Individual Heating Station (IHS) at 11b (б) Aivazovky Street </t>
  </si>
  <si>
    <t xml:space="preserve">Individual Heating Station (IHS) at 11а (a) Aivazovky Street </t>
  </si>
  <si>
    <t xml:space="preserve">Individual Heating Station (IHS) at 93/1 Ostapa Vyshni Street </t>
  </si>
  <si>
    <t xml:space="preserve">Individual Heating Station (IHS) at 93А Ostapa Vyshni Street </t>
  </si>
  <si>
    <t xml:space="preserve">Individual Heating Station (IHS) at 91 Ostapa Vyshni Street </t>
  </si>
  <si>
    <t>Individual Heating Station (IHS) at 340/2 Bogoyavlenskiy Avenue (Oktyabrskiy)</t>
  </si>
  <si>
    <t>Individual Heating Station (IHS) at 340/1 Bogoyavlenskiy Avenue (Oktyabrskiy)</t>
  </si>
  <si>
    <t>Individual Heating Station (IHS) at 340 Bogoyavlenskiy Avenue (Oktyabrskiy)</t>
  </si>
  <si>
    <t>Individual Heating Station (IHS) at 338 Bogoyavlenskiy Avenue (Oktyabrskiy)</t>
  </si>
  <si>
    <t>Individual Heating Station (IHS) at (input 3) 327/2 Bogoyavlenskiy Avenue (Oktyabrskiy)</t>
  </si>
  <si>
    <t>Individual Heating Station (IHS) at (input 2) 327/2 Bogoyavlenskiy Avenue (Oktyabrskiy)</t>
  </si>
  <si>
    <t>Individual Heating Station (IHS) at (input 1) 327/2 Bogoyavlenskiy Avenue (Oktyabrskiy)</t>
  </si>
  <si>
    <t>Individual Heating Station (IHS) at 325/3 Bogoyavlenskiy Avenue (Oktyabrskiy)</t>
  </si>
  <si>
    <t>Individual Heating Station (IHS) at 325/2 Bogoyavlenskiy Avenue (Oktyabrskiy)</t>
  </si>
  <si>
    <t>Individual Heating Station (IHS) at (input 3) 325/1 Bogoyavlenskiy Avenue (Oktyabrskiy)</t>
  </si>
  <si>
    <t>Individual Heating Station (IHS) at (input 2) 325/1 Bogoyavlenskiy Avenue (Oktyabrskiy)</t>
  </si>
  <si>
    <t>Individual Heating Station (IHS) at (input 1) 325/1 Bogoyavlenskiy Avenue (Oktyabrskiy)</t>
  </si>
  <si>
    <t>Individual Heating Station (IHS) at 323/3 Bogoyavlenskiy Avenue (Oktyabrskiy)</t>
  </si>
  <si>
    <t>Individual Heating Station (IHS) at 323/2 Bogoyavlenskiy Avenue (Oktyabrskiy)</t>
  </si>
  <si>
    <t xml:space="preserve">Individual Heating Station (IHS) at 20/3 Korabelov Avenue </t>
  </si>
  <si>
    <t>Individual Heating Station (IHS) at 20/2 Korabelov Avenue</t>
  </si>
  <si>
    <t xml:space="preserve">Individual Heating Station (IHS) at 20/1 Korabelov Avenue </t>
  </si>
  <si>
    <t>Individual Heating Station (IHS) at 18а Korabelov Avenue</t>
  </si>
  <si>
    <t>Individual Heating Station (IHS) at 16 Korabelov Avenue</t>
  </si>
  <si>
    <t>(1) x (2)</t>
  </si>
  <si>
    <t>CIP Mykolaiv</t>
  </si>
  <si>
    <r>
      <t>Code</t>
    </r>
    <r>
      <rPr>
        <b/>
        <vertAlign val="superscript"/>
        <sz val="12"/>
        <color theme="1"/>
        <rFont val="Times New Roman"/>
        <family val="1"/>
        <charset val="204"/>
      </rPr>
      <t>1</t>
    </r>
  </si>
  <si>
    <t>Schedule No. 1.  Plant and Mandatory Spare Parts Supplied from Abroad</t>
  </si>
  <si>
    <t>Unit Price EURO</t>
  </si>
  <si>
    <t>Total Price EURO</t>
  </si>
  <si>
    <t>(A)</t>
  </si>
  <si>
    <t>TOTAL (to Schedule No. 5.  Grand Summary)</t>
  </si>
  <si>
    <t>(B)</t>
  </si>
  <si>
    <t>VAT(20%) included in the line item (A) above</t>
  </si>
  <si>
    <r>
      <t>1</t>
    </r>
    <r>
      <rPr>
        <sz val="9"/>
        <color rgb="FFFF0000"/>
        <rFont val="Times New Roman"/>
        <family val="1"/>
        <charset val="204"/>
      </rPr>
      <t xml:space="preserve"> Specify currency in accordance with specifications in Bid Data Sheet under ITB 18.1.</t>
    </r>
  </si>
  <si>
    <t>EXW Unit Price EURO</t>
  </si>
  <si>
    <t>EXW Total Pricec EURO</t>
  </si>
  <si>
    <t>ЭИ+Тенза</t>
  </si>
  <si>
    <t>Тенза</t>
  </si>
  <si>
    <t xml:space="preserve">Cold water flow meter, flanger with pulsed output </t>
  </si>
  <si>
    <t>IVR (Valtec)</t>
  </si>
  <si>
    <t>VITECH</t>
  </si>
  <si>
    <t>V.I.T. АB-G</t>
  </si>
  <si>
    <t>V.I.T. АB-E</t>
  </si>
  <si>
    <t>проверка</t>
  </si>
  <si>
    <t>range,°С</t>
  </si>
  <si>
    <t>ЕІ-ТО-16+027M50HS-239000</t>
  </si>
  <si>
    <t xml:space="preserve">ЕІ-ТО-16+035M50HS-296000 </t>
  </si>
  <si>
    <t xml:space="preserve">ЕІ-ТО-16+029M50HS-257000 </t>
  </si>
  <si>
    <t xml:space="preserve">ЕІ-ТО-16+035M50HS-298000 </t>
  </si>
  <si>
    <t>ЕІ-ТО-16+029M55HS-251000</t>
  </si>
  <si>
    <t xml:space="preserve">ЕІ-ТО-16+015M60HS-111000 </t>
  </si>
  <si>
    <t xml:space="preserve">ЕІ-ТО-16+033M50HS-292000 </t>
  </si>
  <si>
    <t xml:space="preserve">ЕІ-ТО-16+049M50HS-410000 </t>
  </si>
  <si>
    <t xml:space="preserve">ЕІ-ТО-16+027M55HS-235000 </t>
  </si>
  <si>
    <t>ЕІ-ТО-16+029M50HS-259000</t>
  </si>
  <si>
    <t>ЕІ-ТО-16+027M50HS-240000</t>
  </si>
  <si>
    <t>ЕІ-ТО-16+035M50HS-298000</t>
  </si>
  <si>
    <t>ЕІ-ТО-16+049M50HS-420000</t>
  </si>
  <si>
    <t xml:space="preserve">ЕІ-ТО-16+035M50HS-304000 </t>
  </si>
  <si>
    <t>ЕІ-ТО-16+035M50HS-299000</t>
  </si>
  <si>
    <t>ЕІ-ТО-16+027M50HS-241000</t>
  </si>
  <si>
    <t>ЕІ-ТО-16+027M55HS-235000</t>
  </si>
  <si>
    <t>ЕІ-ТО-16+021M55HS-175000</t>
  </si>
  <si>
    <t xml:space="preserve">ЕІ-ТО-16+029M50HS-255000 </t>
  </si>
  <si>
    <t>ЕІ-ТО-16+033M50HS-283000</t>
  </si>
  <si>
    <t>ЕІ-ТО-16+031M50HS-277000</t>
  </si>
  <si>
    <t>ЕІ-ТО-16+073M50HS-570000</t>
  </si>
  <si>
    <t>ЕІ-ТО-16+063M50HS-518000</t>
  </si>
  <si>
    <t>ЕІ-ТО-16+029M50HS-260000</t>
  </si>
  <si>
    <t>ЕІ-ТО-16+017M60HS-129000</t>
  </si>
  <si>
    <t>ЕІ-ТО-30+081A00HS-1025000</t>
  </si>
  <si>
    <t>ЕІ-ТО-16+019M30HS-283000</t>
  </si>
  <si>
    <t>ЕІ-ТО-16+053M20HS-813000</t>
  </si>
  <si>
    <t>ЕІ-ТО-16+015M30HS-224000</t>
  </si>
  <si>
    <t>EI-TO-16-015M30HS-223000</t>
  </si>
  <si>
    <t>EI-TO-16-019M30HS-298000</t>
  </si>
  <si>
    <t xml:space="preserve">ЕІ-ТО-4+027A00HS-97000 </t>
  </si>
  <si>
    <t>ЕІ-ТО-4+021A00HS- 74000</t>
  </si>
  <si>
    <t>EI-TO-16+011M30HS-152000</t>
  </si>
  <si>
    <t>EI-TO-16+017M30HS-250000</t>
  </si>
  <si>
    <t>EI-TO-16+017M30HS-242000</t>
  </si>
  <si>
    <t>EI-TO-16+015M30HS-220000</t>
  </si>
  <si>
    <t>EI-TO-16+025M30HS-390000</t>
  </si>
  <si>
    <t>EI-TO-16+015M30HS-223000</t>
  </si>
  <si>
    <t>EI-TO-16+029M30HS-457000</t>
  </si>
  <si>
    <t>ЕІ-ТО-4+025A00HS-86000</t>
  </si>
  <si>
    <t>ЕІ-ТО-16+017M30HS-242000</t>
  </si>
  <si>
    <t>ЕІ-ТО-16+015M30HS-223000</t>
  </si>
  <si>
    <t>ЕІ-ТО-16+025M30HS-399000</t>
  </si>
  <si>
    <t>ЕІ-ТО-16+045M25HS-700000</t>
  </si>
  <si>
    <t>ЕІ-ТО-16+043M25HS-664000</t>
  </si>
  <si>
    <t>ЕІ-ТО-16+019M30HS-267000</t>
  </si>
  <si>
    <t>ЕІ-ТО-4+027A00HS-98000</t>
  </si>
  <si>
    <t>EI-TO-30+055M70HS-1467000</t>
  </si>
  <si>
    <t>EI-TO-16-023M25HS-364000</t>
  </si>
  <si>
    <t>ЕІ-ТО-4+035A00HSP-131000</t>
  </si>
  <si>
    <t>EI-TO-16+021M30HS-310000</t>
  </si>
  <si>
    <t>EI-TO-16+017M30HS-240000</t>
  </si>
  <si>
    <t>EI-TO-16+023M25HS-370000</t>
  </si>
  <si>
    <t>EI-TO-16+045M25HS-677000</t>
  </si>
  <si>
    <t>EI-TO-16+043M25HS-660000</t>
  </si>
  <si>
    <t>EI-TO-16+019M30HS-270000</t>
  </si>
  <si>
    <t>ЕІ-ТО-4+037A00HS-140000</t>
  </si>
  <si>
    <t>EI-TO-16+033M25HS-521000</t>
  </si>
  <si>
    <t>EI-TO-16+035M25HS-544000</t>
  </si>
  <si>
    <t>EI-TO-16+027M30HS-421000</t>
  </si>
  <si>
    <t>EI-TO-16+021M30HS-315000</t>
  </si>
  <si>
    <t>ЕІ-ТО-4+033A00HS- 125000</t>
  </si>
  <si>
    <t>ЕІ-ТО-4+035A00HS-132000</t>
  </si>
  <si>
    <t>EI-TO-16+019M30HS-269000</t>
  </si>
  <si>
    <t>ЕІ-ТО-4+035A00HS-130000</t>
  </si>
  <si>
    <t>EI-TO-16+027M25HS-420000</t>
  </si>
  <si>
    <t>EI-TO-16+023M25HS-368000</t>
  </si>
  <si>
    <t>EI-TO-16+017M30HS-245000</t>
  </si>
  <si>
    <t>EI-TO-16+023M25HS-360000</t>
  </si>
  <si>
    <t>EI-TO-16+017M30HS-266000</t>
  </si>
  <si>
    <t>EI-TO-16+021M30HS-328000</t>
  </si>
  <si>
    <t>EI-TO-16+015M30HS-225000</t>
  </si>
  <si>
    <t>EI-TO-16+013M30HS-195000</t>
  </si>
  <si>
    <t>EI-TO-16+013M30HS-169000</t>
  </si>
  <si>
    <t>EI-TO-16+015M30HS-222000</t>
  </si>
  <si>
    <t>ЕІ-ТО-4+031A00HS- 113000</t>
  </si>
  <si>
    <t>ЕІ-ТО-4+033A00HS-122000</t>
  </si>
  <si>
    <t>ЕІ-ТО-4+033A00HS-125000</t>
  </si>
  <si>
    <t>ЕІ-ТО-4+033A00HS126000</t>
  </si>
  <si>
    <t>EI-TO-16+011M30HS-156000</t>
  </si>
  <si>
    <t>ЕІ-ТО-4+029A00HS-111000</t>
  </si>
  <si>
    <t>EI-TO-16+017M30HS-262000</t>
  </si>
  <si>
    <t>ЕІ-ТО-4+035A00HS--132000</t>
  </si>
  <si>
    <t>EI-TO-16+013M30HS-186000</t>
  </si>
  <si>
    <t>ЕІ-ТО-4+025A00HS-90000</t>
  </si>
  <si>
    <t>ЕІ-ТО-4+015A00HS-48000</t>
  </si>
  <si>
    <t>ЕІ-ТО-4+017A00HS-58000</t>
  </si>
  <si>
    <t>ЕІ-ТО-16+021M30HS-323000</t>
  </si>
  <si>
    <t xml:space="preserve">ЕІ-ТО-4+031A00HS-118000 </t>
  </si>
  <si>
    <t>ЕІ-ТО-16+011M30HS-153000</t>
  </si>
  <si>
    <t>ЕІ-ТО-16+015M30HS-197000</t>
  </si>
  <si>
    <t>EI-TO-4+011A00HS-30000</t>
  </si>
  <si>
    <t>ЕІ-ТО-4+015A00HS-49000</t>
  </si>
  <si>
    <t xml:space="preserve">EI-TO-4+013A00HS-35000 </t>
  </si>
  <si>
    <t>EI-TO-4+009A00HS-18000</t>
  </si>
  <si>
    <t xml:space="preserve">EI-TO-4+011A00HS-30000 </t>
  </si>
  <si>
    <t>ЕІ-ТО-4+021A00HS-72000</t>
  </si>
  <si>
    <t xml:space="preserve">Pressure difference regulating valve with impulse tubes (heating system) AVP or AFP-9 VFG 2 (DN50 and above) </t>
  </si>
  <si>
    <t>ЕІ-ТО-4+005A00HS-3000</t>
  </si>
  <si>
    <t>ЕІ-ТО-4+005A00HS-2000</t>
  </si>
  <si>
    <t>Scheme 3. Equipment selection</t>
  </si>
  <si>
    <t>Table continuation</t>
  </si>
  <si>
    <t>Scheme 2. Equipment selection</t>
  </si>
  <si>
    <t>Scheme 1. Equipment selection</t>
  </si>
  <si>
    <t>ЕІ-ТО-30+073A00HS-935000</t>
  </si>
  <si>
    <t>ЕІ-ТО-30+065A00HS-820000</t>
  </si>
  <si>
    <t>Schedule No. 2.  Plant and Mandatory Spare Parts Supplied 
from Within the Employer’s Country</t>
  </si>
  <si>
    <t>было под Тернополь. ЕВРО вход с НДС</t>
  </si>
  <si>
    <t>вход евро с НДС</t>
  </si>
  <si>
    <t>вход ЕВРО без НДС</t>
  </si>
  <si>
    <t>Pressure difference regulating valve, Кvs = 8,0</t>
  </si>
  <si>
    <t>Регулятор перепаду тиску, Кvs = 8,0</t>
  </si>
  <si>
    <t>Pressure difference regulating valve, Кvs = 12,5</t>
  </si>
  <si>
    <t>Регулятор перепаду тиску, Кvs = 12,5</t>
  </si>
  <si>
    <t>Pressure difference regulating valve, Кvs = 20,0</t>
  </si>
  <si>
    <t>Регулятор перепаду тиску, Кvs = 20,0</t>
  </si>
  <si>
    <t>Pressure difference regulating valve, Кvs = 32,0</t>
  </si>
  <si>
    <t>Регулятор перепаду тиску, Кvs = 32,0</t>
  </si>
  <si>
    <t>NV230A-RE</t>
  </si>
  <si>
    <t>Electrical drive of the control valve (HWS) AMV33 for Danfoss or Belimo NV230A-RE for LDM</t>
  </si>
  <si>
    <t>16.01.17</t>
  </si>
  <si>
    <t>29,3682</t>
  </si>
  <si>
    <t>29,8</t>
  </si>
  <si>
    <t>(input 1) 325_1 Bogoyavlenskiy Avenue (Oktyabrskiy)</t>
  </si>
  <si>
    <t>(input 2) 325_1 Bogoyavlenskiy Avenue (Oktyabrskiy)</t>
  </si>
  <si>
    <t>(input 3) 325_1 Bogoyavlenskiy Avenue (Oktyabrskiy)</t>
  </si>
  <si>
    <t>325_2 Bogoyavlenskiy Avenue (Oktyabrskiy)</t>
  </si>
  <si>
    <t>325_3 Bogoyavlenskiy Avenue (Oktyabrskiy)</t>
  </si>
  <si>
    <t xml:space="preserve">5а_1 Aivazovky Street </t>
  </si>
  <si>
    <t xml:space="preserve">5а_2 Aivazovky Street </t>
  </si>
  <si>
    <t>20_1 Korabelov Avenue</t>
  </si>
  <si>
    <t>20_2 Korabelov Avenue</t>
  </si>
  <si>
    <t>323_2 Bogoyavlenskiy Avenue (Oktyabrskiy)</t>
  </si>
  <si>
    <t>323_3 Bogoyavlenskiy Avenue (Oktyabrskiy)</t>
  </si>
  <si>
    <t>340_2 Bogoyavlenskiy Avenue (Oktyabrskiy)</t>
  </si>
  <si>
    <t>340_1 Bogoyavlenskiy Avenue (Oktyabrskiy)</t>
  </si>
  <si>
    <t>(input 1) 327_2 Bogoyavlenskiy Avenue (Oktyabrskiy)</t>
  </si>
  <si>
    <t>(input 2) 327_2 Bogoyavlenskiy Avenue (Oktyabrskiy)</t>
  </si>
  <si>
    <t>(input 3) 327_2 Bogoyavlenskiy Avenue (Oktyabrskiy)</t>
  </si>
  <si>
    <t>20_3 Korabelov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</si>
</sst>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_₴_-;\-* #,##0.00_₴_-;_-* &quot;-&quot;??_₴_-;_-@_-"/>
    <numFmt numFmtId="165" formatCode="0.0"/>
    <numFmt numFmtId="166" formatCode="#,##0.000"/>
    <numFmt numFmtId="167" formatCode="0.0000"/>
    <numFmt numFmtId="168" formatCode="#,##0.0000"/>
  </numFmts>
  <fonts count="111">
    <font>
      <sz val="10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b/>
      <i/>
      <sz val="12"/>
      <name val="Arial"/>
      <family val="2"/>
    </font>
    <font>
      <sz val="10"/>
      <name val="Arial Cyr"/>
      <charset val="204"/>
    </font>
    <font>
      <b/>
      <sz val="10"/>
      <name val="Arial"/>
      <family val="2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sz val="9"/>
      <name val="Consolas"/>
      <family val="3"/>
      <charset val="204"/>
    </font>
    <font>
      <sz val="12"/>
      <name val="Arial"/>
      <family val="2"/>
      <charset val="204"/>
    </font>
    <font>
      <b/>
      <sz val="16"/>
      <name val="Arial"/>
      <family val="2"/>
      <charset val="204"/>
    </font>
    <font>
      <sz val="14"/>
      <color rgb="FFFF0000"/>
      <name val="Arial"/>
      <family val="2"/>
      <charset val="204"/>
    </font>
    <font>
      <sz val="20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1"/>
      <name val="Calibri"/>
      <family val="2"/>
      <charset val="204"/>
    </font>
    <font>
      <sz val="1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10"/>
      <color rgb="FFC00000"/>
      <name val="Arial"/>
      <family val="2"/>
      <charset val="204"/>
    </font>
    <font>
      <i/>
      <sz val="10"/>
      <name val="GOST type A"/>
      <family val="2"/>
      <charset val="204"/>
    </font>
    <font>
      <i/>
      <sz val="11"/>
      <name val="GOST type A"/>
      <family val="2"/>
      <charset val="204"/>
    </font>
    <font>
      <sz val="12"/>
      <color theme="1"/>
      <name val="Calibri"/>
      <family val="2"/>
      <charset val="204"/>
      <scheme val="minor"/>
    </font>
    <font>
      <sz val="11"/>
      <color theme="1" tint="4.9989318521683403E-2"/>
      <name val="Calibri"/>
      <family val="2"/>
      <charset val="204"/>
      <scheme val="minor"/>
    </font>
    <font>
      <i/>
      <sz val="11"/>
      <name val="Arial"/>
      <family val="2"/>
      <charset val="204"/>
    </font>
    <font>
      <b/>
      <i/>
      <sz val="11"/>
      <name val="Arial"/>
      <family val="2"/>
      <charset val="204"/>
    </font>
    <font>
      <i/>
      <sz val="11"/>
      <color theme="1"/>
      <name val="Arial"/>
      <family val="2"/>
      <charset val="204"/>
    </font>
    <font>
      <i/>
      <sz val="9.35"/>
      <name val="Arial"/>
      <family val="2"/>
      <charset val="204"/>
    </font>
    <font>
      <b/>
      <sz val="14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2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0"/>
      <color rgb="FFFF0000"/>
      <name val="Arial"/>
      <family val="2"/>
      <charset val="204"/>
    </font>
    <font>
      <vertAlign val="superscript"/>
      <sz val="12"/>
      <color theme="1"/>
      <name val="Times New Roman"/>
      <family val="1"/>
      <charset val="204"/>
    </font>
    <font>
      <vertAlign val="superscript"/>
      <sz val="12"/>
      <color rgb="FFFF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b/>
      <vertAlign val="superscript"/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vertAlign val="superscript"/>
      <sz val="9"/>
      <color rgb="FFFF0000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vertAlign val="superscript"/>
      <sz val="9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9"/>
      <color rgb="FFC00000"/>
      <name val="Arial"/>
      <family val="2"/>
      <charset val="204"/>
    </font>
    <font>
      <b/>
      <sz val="9"/>
      <color rgb="FF0070C0"/>
      <name val="Arial"/>
      <family val="2"/>
      <charset val="204"/>
    </font>
    <font>
      <sz val="9"/>
      <color rgb="FF7030A0"/>
      <name val="Arial"/>
      <family val="2"/>
      <charset val="204"/>
    </font>
    <font>
      <sz val="9"/>
      <color rgb="FFC00000"/>
      <name val="Arial"/>
      <family val="2"/>
      <charset val="204"/>
    </font>
    <font>
      <sz val="9"/>
      <color rgb="FF0070C0"/>
      <name val="Arial"/>
      <family val="2"/>
      <charset val="204"/>
    </font>
    <font>
      <b/>
      <sz val="9"/>
      <color rgb="FFFF0000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color indexed="8"/>
      <name val="Arial"/>
      <family val="2"/>
      <charset val="204"/>
    </font>
    <font>
      <sz val="9"/>
      <color theme="1"/>
      <name val="Arial"/>
      <family val="2"/>
      <charset val="204"/>
    </font>
    <font>
      <b/>
      <sz val="14"/>
      <name val="Arial"/>
      <family val="2"/>
      <charset val="204"/>
    </font>
    <font>
      <b/>
      <i/>
      <sz val="14"/>
      <name val="Arial"/>
      <family val="2"/>
      <charset val="204"/>
    </font>
    <font>
      <sz val="11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</fills>
  <borders count="9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31">
    <xf numFmtId="0" fontId="0" fillId="0" borderId="0"/>
    <xf numFmtId="0" fontId="42" fillId="0" borderId="0"/>
    <xf numFmtId="0" fontId="47" fillId="0" borderId="0"/>
    <xf numFmtId="0" fontId="47" fillId="0" borderId="0"/>
    <xf numFmtId="0" fontId="50" fillId="0" borderId="0"/>
    <xf numFmtId="0" fontId="36" fillId="0" borderId="0"/>
    <xf numFmtId="0" fontId="35" fillId="0" borderId="0"/>
    <xf numFmtId="0" fontId="41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1" fillId="0" borderId="0"/>
    <xf numFmtId="9" fontId="53" fillId="0" borderId="0" applyFont="0" applyFill="0" applyBorder="0" applyAlignment="0" applyProtection="0"/>
    <xf numFmtId="164" fontId="60" fillId="0" borderId="0" applyFont="0" applyFill="0" applyBorder="0" applyAlignment="0" applyProtection="0"/>
    <xf numFmtId="0" fontId="41" fillId="0" borderId="0"/>
    <xf numFmtId="0" fontId="25" fillId="0" borderId="0"/>
    <xf numFmtId="0" fontId="25" fillId="0" borderId="0"/>
    <xf numFmtId="0" fontId="41" fillId="0" borderId="0"/>
    <xf numFmtId="0" fontId="22" fillId="0" borderId="0"/>
    <xf numFmtId="0" fontId="66" fillId="0" borderId="0"/>
    <xf numFmtId="0" fontId="22" fillId="0" borderId="0"/>
    <xf numFmtId="0" fontId="22" fillId="0" borderId="0"/>
    <xf numFmtId="164" fontId="41" fillId="0" borderId="0" applyFont="0" applyFill="0" applyBorder="0" applyAlignment="0" applyProtection="0"/>
    <xf numFmtId="0" fontId="22" fillId="0" borderId="0"/>
    <xf numFmtId="0" fontId="22" fillId="0" borderId="0"/>
    <xf numFmtId="0" fontId="41" fillId="0" borderId="0"/>
  </cellStyleXfs>
  <cellXfs count="1488">
    <xf numFmtId="0" fontId="0" fillId="0" borderId="0" xfId="0"/>
    <xf numFmtId="0" fontId="0" fillId="0" borderId="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5" xfId="0" applyBorder="1" applyAlignment="1">
      <alignment horizontal="center"/>
    </xf>
    <xf numFmtId="0" fontId="41" fillId="0" borderId="20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41" fillId="0" borderId="1" xfId="0" applyFont="1" applyBorder="1" applyAlignment="1">
      <alignment horizontal="center"/>
    </xf>
    <xf numFmtId="49" fontId="40" fillId="0" borderId="1" xfId="0" applyNumberFormat="1" applyFont="1" applyFill="1" applyBorder="1" applyAlignment="1">
      <alignment horizontal="center"/>
    </xf>
    <xf numFmtId="1" fontId="40" fillId="0" borderId="1" xfId="0" applyNumberFormat="1" applyFont="1" applyFill="1" applyBorder="1" applyAlignment="1">
      <alignment horizontal="center"/>
    </xf>
    <xf numFmtId="1" fontId="40" fillId="0" borderId="17" xfId="0" applyNumberFormat="1" applyFont="1" applyFill="1" applyBorder="1" applyAlignment="1">
      <alignment horizontal="center"/>
    </xf>
    <xf numFmtId="0" fontId="40" fillId="0" borderId="1" xfId="0" applyNumberFormat="1" applyFont="1" applyFill="1" applyBorder="1" applyAlignment="1">
      <alignment horizontal="center"/>
    </xf>
    <xf numFmtId="0" fontId="40" fillId="0" borderId="17" xfId="0" applyNumberFormat="1" applyFont="1" applyFill="1" applyBorder="1" applyAlignment="1">
      <alignment horizontal="center"/>
    </xf>
    <xf numFmtId="0" fontId="45" fillId="0" borderId="0" xfId="0" applyFont="1"/>
    <xf numFmtId="0" fontId="41" fillId="0" borderId="0" xfId="2" applyFont="1" applyBorder="1" applyAlignment="1">
      <alignment horizontal="left" vertical="center"/>
    </xf>
    <xf numFmtId="12" fontId="41" fillId="0" borderId="0" xfId="2" applyNumberFormat="1" applyFont="1" applyBorder="1" applyAlignment="1">
      <alignment horizontal="center" vertical="center" wrapText="1"/>
    </xf>
    <xf numFmtId="0" fontId="41" fillId="0" borderId="0" xfId="2" applyFont="1" applyBorder="1" applyAlignment="1">
      <alignment horizontal="center" vertical="center"/>
    </xf>
    <xf numFmtId="2" fontId="48" fillId="0" borderId="0" xfId="2" applyNumberFormat="1" applyFont="1" applyBorder="1" applyAlignment="1">
      <alignment horizontal="center" vertical="center" wrapText="1"/>
    </xf>
    <xf numFmtId="1" fontId="40" fillId="0" borderId="0" xfId="0" applyNumberFormat="1" applyFont="1" applyFill="1" applyBorder="1" applyAlignment="1">
      <alignment horizontal="center"/>
    </xf>
    <xf numFmtId="0" fontId="47" fillId="0" borderId="0" xfId="0" applyFont="1" applyFill="1" applyBorder="1" applyAlignment="1"/>
    <xf numFmtId="0" fontId="47" fillId="0" borderId="0" xfId="0" applyFont="1" applyFill="1" applyBorder="1" applyAlignment="1">
      <alignment horizontal="center"/>
    </xf>
    <xf numFmtId="2" fontId="49" fillId="0" borderId="0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41" fillId="0" borderId="20" xfId="0" applyFont="1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46" fillId="0" borderId="0" xfId="0" applyFont="1" applyBorder="1" applyAlignment="1">
      <alignment horizontal="center" vertical="center" wrapText="1"/>
    </xf>
    <xf numFmtId="1" fontId="38" fillId="0" borderId="1" xfId="0" applyNumberFormat="1" applyFont="1" applyFill="1" applyBorder="1" applyAlignment="1">
      <alignment horizontal="center"/>
    </xf>
    <xf numFmtId="1" fontId="38" fillId="0" borderId="17" xfId="0" applyNumberFormat="1" applyFont="1" applyFill="1" applyBorder="1" applyAlignment="1">
      <alignment horizontal="center"/>
    </xf>
    <xf numFmtId="49" fontId="34" fillId="0" borderId="1" xfId="0" applyNumberFormat="1" applyFont="1" applyFill="1" applyBorder="1" applyAlignment="1">
      <alignment horizontal="center"/>
    </xf>
    <xf numFmtId="49" fontId="33" fillId="0" borderId="1" xfId="0" applyNumberFormat="1" applyFont="1" applyFill="1" applyBorder="1" applyAlignment="1">
      <alignment horizontal="center"/>
    </xf>
    <xf numFmtId="49" fontId="41" fillId="0" borderId="1" xfId="0" applyNumberFormat="1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" fontId="30" fillId="0" borderId="1" xfId="0" applyNumberFormat="1" applyFont="1" applyFill="1" applyBorder="1" applyAlignment="1">
      <alignment horizontal="center"/>
    </xf>
    <xf numFmtId="1" fontId="30" fillId="0" borderId="17" xfId="0" applyNumberFormat="1" applyFont="1" applyFill="1" applyBorder="1" applyAlignment="1">
      <alignment horizontal="center"/>
    </xf>
    <xf numFmtId="1" fontId="29" fillId="0" borderId="1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0" xfId="0" applyBorder="1" applyAlignment="1">
      <alignment horizontal="center"/>
    </xf>
    <xf numFmtId="0" fontId="41" fillId="0" borderId="1" xfId="0" applyFont="1" applyBorder="1" applyAlignment="1">
      <alignment horizontal="center"/>
    </xf>
    <xf numFmtId="0" fontId="41" fillId="0" borderId="1" xfId="0" applyFont="1" applyFill="1" applyBorder="1" applyAlignment="1">
      <alignment horizontal="center"/>
    </xf>
    <xf numFmtId="0" fontId="41" fillId="0" borderId="5" xfId="0" applyFont="1" applyBorder="1" applyAlignment="1">
      <alignment horizontal="center"/>
    </xf>
    <xf numFmtId="49" fontId="40" fillId="0" borderId="1" xfId="0" applyNumberFormat="1" applyFont="1" applyFill="1" applyBorder="1" applyAlignment="1">
      <alignment horizontal="center"/>
    </xf>
    <xf numFmtId="0" fontId="4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49" fontId="40" fillId="0" borderId="17" xfId="0" applyNumberFormat="1" applyFont="1" applyFill="1" applyBorder="1" applyAlignment="1">
      <alignment horizontal="center"/>
    </xf>
    <xf numFmtId="49" fontId="29" fillId="0" borderId="1" xfId="0" applyNumberFormat="1" applyFont="1" applyFill="1" applyBorder="1" applyAlignment="1">
      <alignment horizontal="center"/>
    </xf>
    <xf numFmtId="49" fontId="43" fillId="0" borderId="1" xfId="0" applyNumberFormat="1" applyFont="1" applyFill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0" fillId="0" borderId="26" xfId="0" applyBorder="1"/>
    <xf numFmtId="0" fontId="0" fillId="0" borderId="0" xfId="0" applyBorder="1"/>
    <xf numFmtId="0" fontId="0" fillId="0" borderId="27" xfId="0" applyBorder="1"/>
    <xf numFmtId="49" fontId="41" fillId="0" borderId="14" xfId="0" applyNumberFormat="1" applyFont="1" applyFill="1" applyBorder="1" applyAlignment="1">
      <alignment horizontal="center"/>
    </xf>
    <xf numFmtId="49" fontId="41" fillId="0" borderId="16" xfId="0" applyNumberFormat="1" applyFont="1" applyFill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29" fillId="0" borderId="1" xfId="0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6" fillId="0" borderId="0" xfId="0" applyFont="1" applyAlignment="1">
      <alignment horizontal="center"/>
    </xf>
    <xf numFmtId="0" fontId="54" fillId="0" borderId="14" xfId="0" applyFont="1" applyFill="1" applyBorder="1" applyAlignment="1">
      <alignment horizontal="center"/>
    </xf>
    <xf numFmtId="0" fontId="54" fillId="0" borderId="16" xfId="0" applyFont="1" applyFill="1" applyBorder="1" applyAlignment="1">
      <alignment horizontal="center"/>
    </xf>
    <xf numFmtId="49" fontId="54" fillId="0" borderId="14" xfId="0" applyNumberFormat="1" applyFont="1" applyFill="1" applyBorder="1" applyAlignment="1">
      <alignment horizontal="center"/>
    </xf>
    <xf numFmtId="0" fontId="0" fillId="0" borderId="60" xfId="0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29" fillId="0" borderId="17" xfId="0" applyNumberFormat="1" applyFont="1" applyFill="1" applyBorder="1" applyAlignment="1">
      <alignment horizontal="center"/>
    </xf>
    <xf numFmtId="1" fontId="40" fillId="3" borderId="18" xfId="0" applyNumberFormat="1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5" xfId="0" applyBorder="1" applyAlignment="1">
      <alignment horizontal="center"/>
    </xf>
    <xf numFmtId="1" fontId="40" fillId="0" borderId="5" xfId="0" applyNumberFormat="1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3" xfId="0" applyBorder="1" applyAlignment="1">
      <alignment horizontal="center"/>
    </xf>
    <xf numFmtId="165" fontId="40" fillId="0" borderId="23" xfId="0" applyNumberFormat="1" applyFont="1" applyFill="1" applyBorder="1" applyAlignment="1">
      <alignment horizontal="center"/>
    </xf>
    <xf numFmtId="165" fontId="40" fillId="0" borderId="58" xfId="0" applyNumberFormat="1" applyFont="1" applyFill="1" applyBorder="1" applyAlignment="1">
      <alignment horizontal="center"/>
    </xf>
    <xf numFmtId="0" fontId="0" fillId="0" borderId="59" xfId="0" applyBorder="1" applyAlignment="1">
      <alignment horizontal="center"/>
    </xf>
    <xf numFmtId="1" fontId="40" fillId="4" borderId="60" xfId="0" applyNumberFormat="1" applyFont="1" applyFill="1" applyBorder="1" applyAlignment="1">
      <alignment horizontal="center"/>
    </xf>
    <xf numFmtId="1" fontId="40" fillId="0" borderId="41" xfId="0" applyNumberFormat="1" applyFont="1" applyFill="1" applyBorder="1" applyAlignment="1">
      <alignment horizontal="center"/>
    </xf>
    <xf numFmtId="1" fontId="40" fillId="0" borderId="23" xfId="0" applyNumberFormat="1" applyFont="1" applyFill="1" applyBorder="1" applyAlignment="1">
      <alignment horizontal="center"/>
    </xf>
    <xf numFmtId="1" fontId="40" fillId="0" borderId="58" xfId="0" applyNumberFormat="1" applyFont="1" applyFill="1" applyBorder="1" applyAlignment="1">
      <alignment horizontal="center"/>
    </xf>
    <xf numFmtId="2" fontId="40" fillId="4" borderId="60" xfId="0" applyNumberFormat="1" applyFont="1" applyFill="1" applyBorder="1" applyAlignment="1">
      <alignment horizontal="center"/>
    </xf>
    <xf numFmtId="0" fontId="41" fillId="0" borderId="24" xfId="0" applyFont="1" applyBorder="1" applyAlignment="1">
      <alignment horizontal="center"/>
    </xf>
    <xf numFmtId="49" fontId="28" fillId="0" borderId="5" xfId="0" applyNumberFormat="1" applyFont="1" applyFill="1" applyBorder="1" applyAlignment="1">
      <alignment horizontal="center"/>
    </xf>
    <xf numFmtId="49" fontId="41" fillId="0" borderId="5" xfId="0" applyNumberFormat="1" applyFont="1" applyFill="1" applyBorder="1" applyAlignment="1">
      <alignment horizontal="center"/>
    </xf>
    <xf numFmtId="49" fontId="0" fillId="0" borderId="5" xfId="0" applyNumberFormat="1" applyFill="1" applyBorder="1" applyAlignment="1">
      <alignment horizontal="center"/>
    </xf>
    <xf numFmtId="49" fontId="0" fillId="0" borderId="41" xfId="0" applyNumberFormat="1" applyFill="1" applyBorder="1" applyAlignment="1">
      <alignment horizontal="center"/>
    </xf>
    <xf numFmtId="49" fontId="34" fillId="0" borderId="17" xfId="0" applyNumberFormat="1" applyFont="1" applyFill="1" applyBorder="1" applyAlignment="1">
      <alignment horizontal="center"/>
    </xf>
    <xf numFmtId="0" fontId="0" fillId="0" borderId="0" xfId="0" applyBorder="1" applyAlignment="1"/>
    <xf numFmtId="49" fontId="31" fillId="0" borderId="0" xfId="0" applyNumberFormat="1" applyFont="1" applyFill="1" applyBorder="1" applyAlignment="1">
      <alignment horizontal="center"/>
    </xf>
    <xf numFmtId="0" fontId="40" fillId="0" borderId="0" xfId="0" applyNumberFormat="1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1" xfId="0" applyBorder="1"/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1" fontId="40" fillId="0" borderId="8" xfId="0" applyNumberFormat="1" applyFont="1" applyFill="1" applyBorder="1" applyAlignment="1">
      <alignment horizontal="center"/>
    </xf>
    <xf numFmtId="1" fontId="40" fillId="0" borderId="27" xfId="0" applyNumberFormat="1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0" fontId="31" fillId="0" borderId="0" xfId="0" applyFont="1" applyFill="1" applyBorder="1" applyAlignment="1"/>
    <xf numFmtId="0" fontId="40" fillId="0" borderId="0" xfId="0" applyFont="1" applyFill="1" applyBorder="1" applyAlignment="1"/>
    <xf numFmtId="49" fontId="40" fillId="0" borderId="0" xfId="0" applyNumberFormat="1" applyFont="1" applyFill="1" applyBorder="1" applyAlignment="1"/>
    <xf numFmtId="0" fontId="57" fillId="0" borderId="0" xfId="0" applyFont="1" applyBorder="1"/>
    <xf numFmtId="165" fontId="40" fillId="0" borderId="5" xfId="0" applyNumberFormat="1" applyFont="1" applyFill="1" applyBorder="1" applyAlignment="1">
      <alignment horizontal="center"/>
    </xf>
    <xf numFmtId="165" fontId="40" fillId="0" borderId="41" xfId="0" applyNumberFormat="1" applyFont="1" applyFill="1" applyBorder="1" applyAlignment="1">
      <alignment horizontal="center"/>
    </xf>
    <xf numFmtId="0" fontId="41" fillId="0" borderId="0" xfId="0" applyFont="1"/>
    <xf numFmtId="49" fontId="40" fillId="0" borderId="1" xfId="0" applyNumberFormat="1" applyFont="1" applyFill="1" applyBorder="1" applyAlignment="1">
      <alignment horizontal="center"/>
    </xf>
    <xf numFmtId="49" fontId="40" fillId="0" borderId="17" xfId="0" applyNumberFormat="1" applyFont="1" applyFill="1" applyBorder="1" applyAlignment="1">
      <alignment horizontal="center"/>
    </xf>
    <xf numFmtId="49" fontId="38" fillId="0" borderId="1" xfId="0" applyNumberFormat="1" applyFont="1" applyFill="1" applyBorder="1" applyAlignment="1">
      <alignment horizontal="center"/>
    </xf>
    <xf numFmtId="49" fontId="38" fillId="0" borderId="17" xfId="0" applyNumberFormat="1" applyFont="1" applyFill="1" applyBorder="1" applyAlignment="1">
      <alignment horizontal="center"/>
    </xf>
    <xf numFmtId="49" fontId="29" fillId="0" borderId="1" xfId="0" applyNumberFormat="1" applyFont="1" applyFill="1" applyBorder="1" applyAlignment="1">
      <alignment horizontal="center"/>
    </xf>
    <xf numFmtId="49" fontId="29" fillId="0" borderId="17" xfId="0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49" fontId="40" fillId="0" borderId="1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49" fontId="40" fillId="0" borderId="17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9" fontId="40" fillId="0" borderId="0" xfId="0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44" fillId="0" borderId="14" xfId="0" applyFont="1" applyFill="1" applyBorder="1" applyAlignment="1">
      <alignment horizontal="center"/>
    </xf>
    <xf numFmtId="0" fontId="44" fillId="0" borderId="16" xfId="0" applyFont="1" applyFill="1" applyBorder="1" applyAlignment="1">
      <alignment horizontal="center"/>
    </xf>
    <xf numFmtId="1" fontId="29" fillId="0" borderId="17" xfId="0" applyNumberFormat="1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7" xfId="0" applyBorder="1" applyAlignment="1">
      <alignment horizontal="center"/>
    </xf>
    <xf numFmtId="1" fontId="40" fillId="0" borderId="7" xfId="0" applyNumberFormat="1" applyFont="1" applyFill="1" applyBorder="1" applyAlignment="1">
      <alignment horizontal="center"/>
    </xf>
    <xf numFmtId="1" fontId="40" fillId="0" borderId="45" xfId="0" applyNumberFormat="1" applyFont="1" applyFill="1" applyBorder="1" applyAlignment="1">
      <alignment horizontal="center"/>
    </xf>
    <xf numFmtId="1" fontId="38" fillId="0" borderId="5" xfId="0" applyNumberFormat="1" applyFont="1" applyFill="1" applyBorder="1" applyAlignment="1">
      <alignment horizontal="center"/>
    </xf>
    <xf numFmtId="1" fontId="38" fillId="0" borderId="41" xfId="0" applyNumberFormat="1" applyFont="1" applyFill="1" applyBorder="1" applyAlignment="1">
      <alignment horizontal="center"/>
    </xf>
    <xf numFmtId="1" fontId="37" fillId="0" borderId="23" xfId="0" applyNumberFormat="1" applyFont="1" applyFill="1" applyBorder="1" applyAlignment="1">
      <alignment horizontal="center"/>
    </xf>
    <xf numFmtId="1" fontId="38" fillId="0" borderId="58" xfId="0" applyNumberFormat="1" applyFont="1" applyFill="1" applyBorder="1" applyAlignment="1">
      <alignment horizontal="center"/>
    </xf>
    <xf numFmtId="1" fontId="37" fillId="0" borderId="58" xfId="0" applyNumberFormat="1" applyFont="1" applyFill="1" applyBorder="1" applyAlignment="1">
      <alignment horizontal="center"/>
    </xf>
    <xf numFmtId="49" fontId="33" fillId="0" borderId="0" xfId="0" applyNumberFormat="1" applyFont="1" applyFill="1" applyBorder="1" applyAlignment="1">
      <alignment horizontal="center"/>
    </xf>
    <xf numFmtId="2" fontId="40" fillId="0" borderId="0" xfId="0" applyNumberFormat="1" applyFont="1" applyFill="1" applyBorder="1" applyAlignment="1">
      <alignment horizontal="center"/>
    </xf>
    <xf numFmtId="0" fontId="39" fillId="0" borderId="0" xfId="0" applyFont="1" applyFill="1" applyBorder="1" applyAlignment="1"/>
    <xf numFmtId="0" fontId="0" fillId="0" borderId="0" xfId="0" applyFill="1"/>
    <xf numFmtId="0" fontId="0" fillId="0" borderId="45" xfId="0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49" fontId="29" fillId="0" borderId="0" xfId="0" applyNumberFormat="1" applyFon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49" fontId="26" fillId="0" borderId="1" xfId="0" applyNumberFormat="1" applyFont="1" applyFill="1" applyBorder="1" applyAlignment="1">
      <alignment horizontal="center"/>
    </xf>
    <xf numFmtId="49" fontId="41" fillId="6" borderId="5" xfId="0" applyNumberFormat="1" applyFont="1" applyFill="1" applyBorder="1" applyAlignment="1">
      <alignment horizontal="center"/>
    </xf>
    <xf numFmtId="1" fontId="26" fillId="0" borderId="1" xfId="0" applyNumberFormat="1" applyFont="1" applyFill="1" applyBorder="1" applyAlignment="1">
      <alignment horizontal="center"/>
    </xf>
    <xf numFmtId="0" fontId="41" fillId="0" borderId="1" xfId="0" applyFont="1" applyFill="1" applyBorder="1" applyAlignment="1">
      <alignment horizontal="center" vertical="center" wrapText="1"/>
    </xf>
    <xf numFmtId="2" fontId="0" fillId="0" borderId="0" xfId="0" applyNumberFormat="1"/>
    <xf numFmtId="0" fontId="0" fillId="0" borderId="25" xfId="0" applyBorder="1"/>
    <xf numFmtId="0" fontId="0" fillId="0" borderId="42" xfId="0" applyBorder="1"/>
    <xf numFmtId="0" fontId="41" fillId="0" borderId="1" xfId="0" applyFont="1" applyBorder="1" applyAlignment="1">
      <alignment horizontal="center" vertical="center" wrapText="1"/>
    </xf>
    <xf numFmtId="164" fontId="0" fillId="0" borderId="0" xfId="18" applyFont="1"/>
    <xf numFmtId="164" fontId="0" fillId="0" borderId="1" xfId="18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43" xfId="0" applyBorder="1"/>
    <xf numFmtId="0" fontId="0" fillId="0" borderId="67" xfId="0" applyBorder="1"/>
    <xf numFmtId="0" fontId="0" fillId="0" borderId="68" xfId="0" applyBorder="1"/>
    <xf numFmtId="164" fontId="0" fillId="0" borderId="1" xfId="18" applyFont="1" applyBorder="1"/>
    <xf numFmtId="0" fontId="54" fillId="0" borderId="1" xfId="0" applyFont="1" applyBorder="1" applyAlignment="1">
      <alignment horizontal="left"/>
    </xf>
    <xf numFmtId="0" fontId="41" fillId="0" borderId="1" xfId="0" applyFont="1" applyFill="1" applyBorder="1" applyAlignment="1">
      <alignment horizontal="left" vertical="center"/>
    </xf>
    <xf numFmtId="0" fontId="41" fillId="0" borderId="60" xfId="0" applyFont="1" applyBorder="1" applyAlignment="1"/>
    <xf numFmtId="0" fontId="41" fillId="0" borderId="14" xfId="0" applyFont="1" applyFill="1" applyBorder="1" applyAlignment="1">
      <alignment horizontal="left"/>
    </xf>
    <xf numFmtId="0" fontId="41" fillId="0" borderId="16" xfId="0" applyFont="1" applyFill="1" applyBorder="1" applyAlignment="1">
      <alignment horizontal="left"/>
    </xf>
    <xf numFmtId="164" fontId="0" fillId="0" borderId="0" xfId="0" applyNumberFormat="1"/>
    <xf numFmtId="2" fontId="0" fillId="3" borderId="0" xfId="0" applyNumberFormat="1" applyFill="1"/>
    <xf numFmtId="0" fontId="0" fillId="3" borderId="0" xfId="0" applyFill="1"/>
    <xf numFmtId="0" fontId="0" fillId="0" borderId="59" xfId="0" applyFill="1" applyBorder="1" applyAlignment="1">
      <alignment horizontal="center"/>
    </xf>
    <xf numFmtId="0" fontId="0" fillId="0" borderId="60" xfId="0" applyFill="1" applyBorder="1" applyAlignment="1"/>
    <xf numFmtId="1" fontId="40" fillId="0" borderId="60" xfId="0" applyNumberFormat="1" applyFont="1" applyFill="1" applyBorder="1" applyAlignment="1">
      <alignment horizontal="center"/>
    </xf>
    <xf numFmtId="1" fontId="40" fillId="0" borderId="61" xfId="0" applyNumberFormat="1" applyFont="1" applyFill="1" applyBorder="1" applyAlignment="1">
      <alignment horizontal="center"/>
    </xf>
    <xf numFmtId="2" fontId="40" fillId="0" borderId="60" xfId="0" applyNumberFormat="1" applyFont="1" applyFill="1" applyBorder="1" applyAlignment="1">
      <alignment horizontal="center"/>
    </xf>
    <xf numFmtId="2" fontId="40" fillId="0" borderId="61" xfId="0" applyNumberFormat="1" applyFont="1" applyFill="1" applyBorder="1" applyAlignment="1">
      <alignment horizontal="center"/>
    </xf>
    <xf numFmtId="1" fontId="0" fillId="0" borderId="60" xfId="0" applyNumberFormat="1" applyFill="1" applyBorder="1" applyAlignment="1">
      <alignment horizontal="center"/>
    </xf>
    <xf numFmtId="1" fontId="0" fillId="0" borderId="61" xfId="0" applyNumberFormat="1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" fontId="0" fillId="0" borderId="0" xfId="0" applyNumberFormat="1"/>
    <xf numFmtId="14" fontId="0" fillId="0" borderId="0" xfId="0" applyNumberFormat="1"/>
    <xf numFmtId="0" fontId="41" fillId="0" borderId="0" xfId="0" applyFont="1" applyAlignment="1">
      <alignment horizontal="right"/>
    </xf>
    <xf numFmtId="2" fontId="37" fillId="4" borderId="60" xfId="0" applyNumberFormat="1" applyFont="1" applyFill="1" applyBorder="1" applyAlignment="1">
      <alignment horizontal="center"/>
    </xf>
    <xf numFmtId="49" fontId="24" fillId="0" borderId="1" xfId="0" applyNumberFormat="1" applyFont="1" applyFill="1" applyBorder="1" applyAlignment="1">
      <alignment horizontal="center"/>
    </xf>
    <xf numFmtId="4" fontId="0" fillId="0" borderId="1" xfId="0" applyNumberFormat="1" applyBorder="1"/>
    <xf numFmtId="0" fontId="62" fillId="0" borderId="1" xfId="0" applyFont="1" applyBorder="1" applyAlignment="1">
      <alignment horizontal="center" vertical="center" wrapText="1"/>
    </xf>
    <xf numFmtId="0" fontId="41" fillId="0" borderId="0" xfId="0" applyFont="1" applyFill="1"/>
    <xf numFmtId="0" fontId="0" fillId="0" borderId="0" xfId="0" applyAlignment="1">
      <alignment horizontal="right"/>
    </xf>
    <xf numFmtId="0" fontId="41" fillId="0" borderId="0" xfId="0" applyFont="1" applyFill="1" applyAlignment="1">
      <alignment horizontal="right"/>
    </xf>
    <xf numFmtId="0" fontId="0" fillId="10" borderId="0" xfId="0" applyFill="1" applyBorder="1" applyAlignment="1">
      <alignment horizontal="center" vertical="center"/>
    </xf>
    <xf numFmtId="0" fontId="45" fillId="10" borderId="0" xfId="0" applyFont="1" applyFill="1" applyBorder="1" applyAlignment="1">
      <alignment horizontal="center"/>
    </xf>
    <xf numFmtId="0" fontId="0" fillId="10" borderId="0" xfId="0" applyFill="1" applyBorder="1"/>
    <xf numFmtId="2" fontId="45" fillId="0" borderId="0" xfId="0" applyNumberFormat="1" applyFont="1"/>
    <xf numFmtId="2" fontId="0" fillId="0" borderId="1" xfId="0" applyNumberFormat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41" fillId="0" borderId="0" xfId="0" applyFont="1" applyAlignment="1">
      <alignment wrapText="1"/>
    </xf>
    <xf numFmtId="1" fontId="0" fillId="0" borderId="0" xfId="0" applyNumberFormat="1"/>
    <xf numFmtId="0" fontId="0" fillId="0" borderId="0" xfId="0" applyAlignment="1">
      <alignment wrapText="1"/>
    </xf>
    <xf numFmtId="164" fontId="41" fillId="0" borderId="1" xfId="18" applyFont="1" applyBorder="1" applyAlignment="1">
      <alignment horizontal="center" vertical="center" wrapText="1"/>
    </xf>
    <xf numFmtId="0" fontId="0" fillId="11" borderId="0" xfId="0" applyFill="1"/>
    <xf numFmtId="0" fontId="0" fillId="0" borderId="0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Fill="1" applyBorder="1"/>
    <xf numFmtId="2" fontId="47" fillId="0" borderId="0" xfId="0" applyNumberFormat="1" applyFont="1" applyFill="1" applyBorder="1" applyAlignment="1">
      <alignment horizontal="center"/>
    </xf>
    <xf numFmtId="14" fontId="45" fillId="0" borderId="0" xfId="0" applyNumberFormat="1" applyFont="1"/>
    <xf numFmtId="0" fontId="45" fillId="0" borderId="0" xfId="0" applyFont="1" applyFill="1"/>
    <xf numFmtId="0" fontId="65" fillId="0" borderId="0" xfId="0" applyFont="1" applyAlignment="1">
      <alignment vertical="center"/>
    </xf>
    <xf numFmtId="2" fontId="62" fillId="0" borderId="0" xfId="0" applyNumberFormat="1" applyFont="1"/>
    <xf numFmtId="9" fontId="41" fillId="0" borderId="0" xfId="0" applyNumberFormat="1" applyFont="1"/>
    <xf numFmtId="4" fontId="63" fillId="0" borderId="0" xfId="28" applyNumberFormat="1" applyFont="1"/>
    <xf numFmtId="0" fontId="66" fillId="0" borderId="0" xfId="24" applyAlignment="1">
      <alignment horizontal="center" wrapText="1"/>
    </xf>
    <xf numFmtId="0" fontId="22" fillId="0" borderId="0" xfId="28"/>
    <xf numFmtId="0" fontId="66" fillId="0" borderId="0" xfId="24"/>
    <xf numFmtId="0" fontId="66" fillId="0" borderId="3" xfId="24" applyBorder="1" applyAlignment="1">
      <alignment horizontal="center"/>
    </xf>
    <xf numFmtId="0" fontId="66" fillId="0" borderId="21" xfId="24" applyBorder="1" applyAlignment="1">
      <alignment horizontal="center"/>
    </xf>
    <xf numFmtId="0" fontId="66" fillId="0" borderId="15" xfId="24" applyBorder="1" applyAlignment="1">
      <alignment horizontal="center"/>
    </xf>
    <xf numFmtId="0" fontId="66" fillId="3" borderId="1" xfId="24" applyFill="1" applyBorder="1" applyAlignment="1">
      <alignment horizontal="center"/>
    </xf>
    <xf numFmtId="0" fontId="66" fillId="0" borderId="20" xfId="24" applyBorder="1" applyAlignment="1">
      <alignment horizontal="center"/>
    </xf>
    <xf numFmtId="0" fontId="66" fillId="0" borderId="1" xfId="24" applyBorder="1" applyAlignment="1">
      <alignment horizontal="center"/>
    </xf>
    <xf numFmtId="49" fontId="22" fillId="0" borderId="1" xfId="24" applyNumberFormat="1" applyFont="1" applyFill="1" applyBorder="1" applyAlignment="1">
      <alignment horizontal="center"/>
    </xf>
    <xf numFmtId="1" fontId="22" fillId="0" borderId="1" xfId="24" applyNumberFormat="1" applyFont="1" applyFill="1" applyBorder="1" applyAlignment="1">
      <alignment horizontal="center"/>
    </xf>
    <xf numFmtId="0" fontId="22" fillId="0" borderId="1" xfId="24" applyNumberFormat="1" applyFont="1" applyFill="1" applyBorder="1" applyAlignment="1">
      <alignment horizontal="center"/>
    </xf>
    <xf numFmtId="0" fontId="45" fillId="0" borderId="0" xfId="24" applyFont="1"/>
    <xf numFmtId="0" fontId="47" fillId="0" borderId="0" xfId="24" applyFont="1" applyFill="1" applyBorder="1" applyAlignment="1">
      <alignment horizontal="center"/>
    </xf>
    <xf numFmtId="0" fontId="41" fillId="0" borderId="1" xfId="24" applyFont="1" applyFill="1" applyBorder="1" applyAlignment="1">
      <alignment horizontal="center"/>
    </xf>
    <xf numFmtId="0" fontId="66" fillId="3" borderId="15" xfId="24" applyFill="1" applyBorder="1" applyAlignment="1">
      <alignment horizontal="center"/>
    </xf>
    <xf numFmtId="1" fontId="22" fillId="0" borderId="23" xfId="24" applyNumberFormat="1" applyFont="1" applyFill="1" applyBorder="1" applyAlignment="1">
      <alignment horizontal="center"/>
    </xf>
    <xf numFmtId="1" fontId="22" fillId="3" borderId="15" xfId="24" applyNumberFormat="1" applyFont="1" applyFill="1" applyBorder="1" applyAlignment="1">
      <alignment horizontal="center"/>
    </xf>
    <xf numFmtId="0" fontId="41" fillId="0" borderId="0" xfId="24" applyFont="1"/>
    <xf numFmtId="0" fontId="66" fillId="3" borderId="5" xfId="24" applyFill="1" applyBorder="1" applyAlignment="1">
      <alignment horizontal="center"/>
    </xf>
    <xf numFmtId="49" fontId="22" fillId="6" borderId="1" xfId="24" applyNumberFormat="1" applyFont="1" applyFill="1" applyBorder="1" applyAlignment="1">
      <alignment horizontal="center"/>
    </xf>
    <xf numFmtId="0" fontId="66" fillId="6" borderId="15" xfId="24" applyFill="1" applyBorder="1" applyAlignment="1">
      <alignment horizontal="center"/>
    </xf>
    <xf numFmtId="0" fontId="66" fillId="7" borderId="15" xfId="24" applyFill="1" applyBorder="1" applyAlignment="1">
      <alignment horizontal="center"/>
    </xf>
    <xf numFmtId="0" fontId="66" fillId="0" borderId="59" xfId="24" applyFill="1" applyBorder="1" applyAlignment="1">
      <alignment horizontal="center"/>
    </xf>
    <xf numFmtId="49" fontId="22" fillId="11" borderId="1" xfId="24" applyNumberFormat="1" applyFont="1" applyFill="1" applyBorder="1" applyAlignment="1">
      <alignment horizontal="center"/>
    </xf>
    <xf numFmtId="49" fontId="22" fillId="10" borderId="1" xfId="24" applyNumberFormat="1" applyFont="1" applyFill="1" applyBorder="1" applyAlignment="1">
      <alignment horizontal="center"/>
    </xf>
    <xf numFmtId="2" fontId="47" fillId="0" borderId="0" xfId="24" applyNumberFormat="1" applyFont="1" applyFill="1" applyBorder="1" applyAlignment="1">
      <alignment horizontal="center"/>
    </xf>
    <xf numFmtId="49" fontId="43" fillId="0" borderId="1" xfId="24" applyNumberFormat="1" applyFont="1" applyFill="1" applyBorder="1" applyAlignment="1">
      <alignment horizontal="center"/>
    </xf>
    <xf numFmtId="0" fontId="41" fillId="0" borderId="1" xfId="24" applyFont="1" applyBorder="1" applyAlignment="1">
      <alignment horizontal="center"/>
    </xf>
    <xf numFmtId="1" fontId="22" fillId="0" borderId="17" xfId="24" applyNumberFormat="1" applyFont="1" applyFill="1" applyBorder="1" applyAlignment="1">
      <alignment horizontal="center"/>
    </xf>
    <xf numFmtId="0" fontId="22" fillId="0" borderId="46" xfId="24" applyNumberFormat="1" applyFont="1" applyFill="1" applyBorder="1" applyAlignment="1">
      <alignment horizontal="center"/>
    </xf>
    <xf numFmtId="1" fontId="22" fillId="2" borderId="1" xfId="24" applyNumberFormat="1" applyFont="1" applyFill="1" applyBorder="1" applyAlignment="1">
      <alignment horizontal="center"/>
    </xf>
    <xf numFmtId="1" fontId="22" fillId="3" borderId="1" xfId="24" applyNumberFormat="1" applyFont="1" applyFill="1" applyBorder="1" applyAlignment="1">
      <alignment horizontal="center"/>
    </xf>
    <xf numFmtId="0" fontId="41" fillId="0" borderId="7" xfId="24" applyFont="1" applyBorder="1" applyAlignment="1">
      <alignment horizontal="center"/>
    </xf>
    <xf numFmtId="1" fontId="22" fillId="3" borderId="18" xfId="24" applyNumberFormat="1" applyFont="1" applyFill="1" applyBorder="1" applyAlignment="1">
      <alignment horizontal="center"/>
    </xf>
    <xf numFmtId="1" fontId="22" fillId="0" borderId="58" xfId="24" applyNumberFormat="1" applyFont="1" applyFill="1" applyBorder="1" applyAlignment="1">
      <alignment horizontal="center"/>
    </xf>
    <xf numFmtId="1" fontId="22" fillId="3" borderId="60" xfId="24" applyNumberFormat="1" applyFont="1" applyFill="1" applyBorder="1" applyAlignment="1">
      <alignment horizontal="center"/>
    </xf>
    <xf numFmtId="1" fontId="22" fillId="3" borderId="65" xfId="24" applyNumberFormat="1" applyFont="1" applyFill="1" applyBorder="1" applyAlignment="1">
      <alignment horizontal="center"/>
    </xf>
    <xf numFmtId="0" fontId="66" fillId="3" borderId="7" xfId="24" applyFill="1" applyBorder="1" applyAlignment="1">
      <alignment horizontal="center"/>
    </xf>
    <xf numFmtId="1" fontId="22" fillId="6" borderId="1" xfId="24" applyNumberFormat="1" applyFont="1" applyFill="1" applyBorder="1" applyAlignment="1">
      <alignment horizontal="center"/>
    </xf>
    <xf numFmtId="1" fontId="43" fillId="6" borderId="1" xfId="24" applyNumberFormat="1" applyFont="1" applyFill="1" applyBorder="1" applyAlignment="1">
      <alignment horizontal="center"/>
    </xf>
    <xf numFmtId="1" fontId="22" fillId="6" borderId="15" xfId="24" applyNumberFormat="1" applyFont="1" applyFill="1" applyBorder="1" applyAlignment="1">
      <alignment horizontal="center"/>
    </xf>
    <xf numFmtId="4" fontId="66" fillId="0" borderId="0" xfId="24" applyNumberFormat="1"/>
    <xf numFmtId="0" fontId="41" fillId="3" borderId="1" xfId="24" applyNumberFormat="1" applyFont="1" applyFill="1" applyBorder="1"/>
    <xf numFmtId="0" fontId="61" fillId="0" borderId="0" xfId="28" applyFont="1"/>
    <xf numFmtId="4" fontId="22" fillId="0" borderId="0" xfId="28" applyNumberFormat="1"/>
    <xf numFmtId="0" fontId="64" fillId="0" borderId="0" xfId="0" applyFont="1"/>
    <xf numFmtId="0" fontId="64" fillId="0" borderId="0" xfId="0" applyFont="1" applyAlignment="1">
      <alignment horizontal="left"/>
    </xf>
    <xf numFmtId="49" fontId="23" fillId="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2" fillId="0" borderId="5" xfId="24" applyFont="1" applyFill="1" applyBorder="1" applyAlignment="1">
      <alignment horizontal="center"/>
    </xf>
    <xf numFmtId="0" fontId="22" fillId="0" borderId="1" xfId="24" applyFont="1" applyFill="1" applyBorder="1" applyAlignment="1">
      <alignment horizontal="center"/>
    </xf>
    <xf numFmtId="0" fontId="22" fillId="0" borderId="41" xfId="24" applyFont="1" applyFill="1" applyBorder="1" applyAlignment="1">
      <alignment horizontal="center"/>
    </xf>
    <xf numFmtId="0" fontId="22" fillId="6" borderId="1" xfId="24" applyFont="1" applyFill="1" applyBorder="1" applyAlignment="1">
      <alignment horizontal="center"/>
    </xf>
    <xf numFmtId="0" fontId="22" fillId="0" borderId="17" xfId="24" applyFont="1" applyFill="1" applyBorder="1" applyAlignment="1">
      <alignment horizontal="center"/>
    </xf>
    <xf numFmtId="0" fontId="61" fillId="0" borderId="1" xfId="24" applyFont="1" applyFill="1" applyBorder="1" applyAlignment="1">
      <alignment horizontal="center"/>
    </xf>
    <xf numFmtId="0" fontId="43" fillId="0" borderId="1" xfId="24" applyFont="1" applyFill="1" applyBorder="1" applyAlignment="1">
      <alignment horizontal="center"/>
    </xf>
    <xf numFmtId="0" fontId="43" fillId="0" borderId="46" xfId="24" applyFont="1" applyFill="1" applyBorder="1" applyAlignment="1">
      <alignment horizontal="center"/>
    </xf>
    <xf numFmtId="4" fontId="68" fillId="0" borderId="0" xfId="0" applyNumberFormat="1" applyFont="1"/>
    <xf numFmtId="0" fontId="0" fillId="0" borderId="0" xfId="0" applyAlignment="1">
      <alignment horizontal="center"/>
    </xf>
    <xf numFmtId="0" fontId="41" fillId="0" borderId="0" xfId="24" applyFont="1" applyAlignment="1">
      <alignment horizontal="center" wrapText="1"/>
    </xf>
    <xf numFmtId="0" fontId="21" fillId="0" borderId="1" xfId="24" applyFont="1" applyFill="1" applyBorder="1" applyAlignment="1">
      <alignment horizontal="center"/>
    </xf>
    <xf numFmtId="0" fontId="21" fillId="0" borderId="1" xfId="24" applyNumberFormat="1" applyFont="1" applyFill="1" applyBorder="1" applyAlignment="1">
      <alignment horizontal="center"/>
    </xf>
    <xf numFmtId="0" fontId="41" fillId="0" borderId="23" xfId="24" applyFont="1" applyFill="1" applyBorder="1" applyAlignment="1"/>
    <xf numFmtId="2" fontId="22" fillId="4" borderId="23" xfId="24" applyNumberFormat="1" applyFont="1" applyFill="1" applyBorder="1" applyAlignment="1">
      <alignment horizontal="center"/>
    </xf>
    <xf numFmtId="2" fontId="22" fillId="4" borderId="13" xfId="24" applyNumberFormat="1" applyFont="1" applyFill="1" applyBorder="1" applyAlignment="1">
      <alignment horizontal="center"/>
    </xf>
    <xf numFmtId="2" fontId="22" fillId="4" borderId="58" xfId="24" applyNumberFormat="1" applyFont="1" applyFill="1" applyBorder="1" applyAlignment="1">
      <alignment horizontal="center"/>
    </xf>
    <xf numFmtId="1" fontId="22" fillId="9" borderId="23" xfId="24" applyNumberFormat="1" applyFont="1" applyFill="1" applyBorder="1" applyAlignment="1">
      <alignment horizontal="center"/>
    </xf>
    <xf numFmtId="2" fontId="22" fillId="9" borderId="23" xfId="24" applyNumberFormat="1" applyFont="1" applyFill="1" applyBorder="1" applyAlignment="1">
      <alignment horizontal="center"/>
    </xf>
    <xf numFmtId="0" fontId="41" fillId="0" borderId="28" xfId="24" applyFont="1" applyBorder="1" applyAlignment="1">
      <alignment horizontal="center"/>
    </xf>
    <xf numFmtId="0" fontId="62" fillId="0" borderId="1" xfId="0" applyFont="1" applyBorder="1" applyAlignment="1">
      <alignment horizontal="center" vertical="center"/>
    </xf>
    <xf numFmtId="0" fontId="62" fillId="0" borderId="1" xfId="24" applyFont="1" applyBorder="1" applyAlignment="1">
      <alignment horizontal="center" vertical="center" wrapText="1"/>
    </xf>
    <xf numFmtId="4" fontId="68" fillId="0" borderId="0" xfId="24" applyNumberFormat="1" applyFont="1" applyAlignment="1">
      <alignment horizontal="center" wrapText="1"/>
    </xf>
    <xf numFmtId="4" fontId="68" fillId="0" borderId="0" xfId="0" applyNumberFormat="1" applyFont="1" applyBorder="1"/>
    <xf numFmtId="4" fontId="62" fillId="0" borderId="1" xfId="0" applyNumberFormat="1" applyFont="1" applyBorder="1" applyAlignment="1">
      <alignment horizontal="center" vertical="center"/>
    </xf>
    <xf numFmtId="4" fontId="62" fillId="0" borderId="1" xfId="24" applyNumberFormat="1" applyFont="1" applyBorder="1" applyAlignment="1">
      <alignment horizontal="center" vertical="center" wrapText="1"/>
    </xf>
    <xf numFmtId="4" fontId="62" fillId="0" borderId="1" xfId="0" applyNumberFormat="1" applyFont="1" applyBorder="1" applyAlignment="1">
      <alignment horizontal="center" vertical="center" wrapText="1"/>
    </xf>
    <xf numFmtId="4" fontId="62" fillId="0" borderId="1" xfId="0" applyNumberFormat="1" applyFont="1" applyBorder="1" applyAlignment="1">
      <alignment horizontal="center"/>
    </xf>
    <xf numFmtId="4" fontId="62" fillId="0" borderId="1" xfId="0" applyNumberFormat="1" applyFont="1" applyBorder="1"/>
    <xf numFmtId="0" fontId="69" fillId="0" borderId="1" xfId="1" applyFont="1" applyFill="1" applyBorder="1" applyAlignment="1">
      <alignment horizontal="left" vertical="center"/>
    </xf>
    <xf numFmtId="0" fontId="70" fillId="0" borderId="1" xfId="0" applyFont="1" applyBorder="1" applyProtection="1">
      <protection locked="0"/>
    </xf>
    <xf numFmtId="0" fontId="69" fillId="0" borderId="1" xfId="0" applyFont="1" applyBorder="1" applyProtection="1">
      <protection locked="0"/>
    </xf>
    <xf numFmtId="0" fontId="20" fillId="0" borderId="5" xfId="24" applyFont="1" applyFill="1" applyBorder="1" applyAlignment="1">
      <alignment horizontal="center"/>
    </xf>
    <xf numFmtId="0" fontId="70" fillId="0" borderId="1" xfId="0" applyFont="1" applyFill="1" applyBorder="1" applyAlignment="1" applyProtection="1">
      <alignment horizontal="left"/>
      <protection locked="0"/>
    </xf>
    <xf numFmtId="0" fontId="70" fillId="0" borderId="1" xfId="0" applyFont="1" applyBorder="1" applyAlignment="1" applyProtection="1">
      <alignment horizontal="left"/>
      <protection locked="0"/>
    </xf>
    <xf numFmtId="0" fontId="70" fillId="0" borderId="1" xfId="0" applyFont="1" applyBorder="1" applyAlignment="1" applyProtection="1">
      <protection locked="0"/>
    </xf>
    <xf numFmtId="0" fontId="70" fillId="0" borderId="1" xfId="0" applyFont="1" applyFill="1" applyBorder="1"/>
    <xf numFmtId="0" fontId="70" fillId="0" borderId="1" xfId="0" applyFont="1" applyFill="1" applyBorder="1" applyProtection="1">
      <protection locked="0"/>
    </xf>
    <xf numFmtId="0" fontId="20" fillId="0" borderId="1" xfId="24" applyNumberFormat="1" applyFont="1" applyFill="1" applyBorder="1" applyAlignment="1">
      <alignment horizontal="center"/>
    </xf>
    <xf numFmtId="49" fontId="20" fillId="11" borderId="1" xfId="24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4" fontId="45" fillId="0" borderId="0" xfId="0" applyNumberFormat="1" applyFont="1"/>
    <xf numFmtId="49" fontId="19" fillId="0" borderId="17" xfId="24" applyNumberFormat="1" applyFont="1" applyFill="1" applyBorder="1" applyAlignment="1">
      <alignment horizontal="center"/>
    </xf>
    <xf numFmtId="0" fontId="64" fillId="0" borderId="0" xfId="0" applyFont="1" applyAlignment="1">
      <alignment vertical="center"/>
    </xf>
    <xf numFmtId="0" fontId="67" fillId="0" borderId="0" xfId="0" applyFont="1" applyAlignment="1">
      <alignment horizontal="justify" vertical="center"/>
    </xf>
    <xf numFmtId="0" fontId="67" fillId="0" borderId="0" xfId="0" applyFont="1"/>
    <xf numFmtId="49" fontId="40" fillId="0" borderId="1" xfId="0" applyNumberFormat="1" applyFont="1" applyFill="1" applyBorder="1" applyAlignment="1">
      <alignment horizontal="center"/>
    </xf>
    <xf numFmtId="49" fontId="40" fillId="0" borderId="17" xfId="0" applyNumberFormat="1" applyFont="1" applyFill="1" applyBorder="1" applyAlignment="1">
      <alignment horizontal="center"/>
    </xf>
    <xf numFmtId="49" fontId="29" fillId="0" borderId="1" xfId="0" applyNumberFormat="1" applyFont="1" applyFill="1" applyBorder="1" applyAlignment="1">
      <alignment horizontal="center"/>
    </xf>
    <xf numFmtId="49" fontId="29" fillId="0" borderId="17" xfId="0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49" fontId="18" fillId="11" borderId="1" xfId="0" applyNumberFormat="1" applyFont="1" applyFill="1" applyBorder="1" applyAlignment="1">
      <alignment horizontal="center"/>
    </xf>
    <xf numFmtId="49" fontId="40" fillId="0" borderId="1" xfId="0" applyNumberFormat="1" applyFont="1" applyFill="1" applyBorder="1" applyAlignment="1">
      <alignment horizontal="center"/>
    </xf>
    <xf numFmtId="49" fontId="40" fillId="0" borderId="17" xfId="0" applyNumberFormat="1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1" xfId="0" applyNumberFormat="1" applyFont="1" applyFill="1" applyBorder="1" applyAlignment="1">
      <alignment horizontal="center"/>
    </xf>
    <xf numFmtId="49" fontId="40" fillId="0" borderId="1" xfId="0" applyNumberFormat="1" applyFont="1" applyFill="1" applyBorder="1" applyAlignment="1">
      <alignment horizontal="center"/>
    </xf>
    <xf numFmtId="1" fontId="15" fillId="0" borderId="1" xfId="0" applyNumberFormat="1" applyFont="1" applyFill="1" applyBorder="1" applyAlignment="1">
      <alignment horizontal="center"/>
    </xf>
    <xf numFmtId="2" fontId="15" fillId="0" borderId="1" xfId="0" applyNumberFormat="1" applyFont="1" applyFill="1" applyBorder="1" applyAlignment="1">
      <alignment horizontal="center"/>
    </xf>
    <xf numFmtId="0" fontId="41" fillId="0" borderId="0" xfId="0" applyNumberFormat="1" applyFont="1" applyFill="1"/>
    <xf numFmtId="1" fontId="24" fillId="0" borderId="0" xfId="0" applyNumberFormat="1" applyFont="1" applyFill="1" applyBorder="1" applyAlignment="1">
      <alignment horizontal="center"/>
    </xf>
    <xf numFmtId="167" fontId="45" fillId="0" borderId="0" xfId="0" applyNumberFormat="1" applyFont="1" applyFill="1" applyBorder="1" applyAlignment="1">
      <alignment horizontal="center"/>
    </xf>
    <xf numFmtId="0" fontId="41" fillId="0" borderId="24" xfId="0" applyFont="1" applyFill="1" applyBorder="1" applyAlignment="1">
      <alignment horizontal="center"/>
    </xf>
    <xf numFmtId="0" fontId="41" fillId="0" borderId="5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5" xfId="0" applyBorder="1" applyAlignment="1">
      <alignment horizontal="center"/>
    </xf>
    <xf numFmtId="49" fontId="14" fillId="0" borderId="1" xfId="0" applyNumberFormat="1" applyFont="1" applyFill="1" applyBorder="1" applyAlignment="1">
      <alignment horizontal="center"/>
    </xf>
    <xf numFmtId="0" fontId="24" fillId="0" borderId="1" xfId="0" applyNumberFormat="1" applyFont="1" applyFill="1" applyBorder="1" applyAlignment="1">
      <alignment horizontal="center"/>
    </xf>
    <xf numFmtId="2" fontId="45" fillId="0" borderId="0" xfId="0" applyNumberFormat="1" applyFont="1" applyFill="1"/>
    <xf numFmtId="49" fontId="38" fillId="0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5" xfId="0" applyBorder="1" applyAlignment="1">
      <alignment horizontal="center"/>
    </xf>
    <xf numFmtId="49" fontId="12" fillId="0" borderId="1" xfId="0" applyNumberFormat="1" applyFont="1" applyFill="1" applyBorder="1" applyAlignment="1">
      <alignment horizontal="center"/>
    </xf>
    <xf numFmtId="49" fontId="11" fillId="0" borderId="1" xfId="0" applyNumberFormat="1" applyFont="1" applyFill="1" applyBorder="1" applyAlignment="1">
      <alignment horizontal="center"/>
    </xf>
    <xf numFmtId="1" fontId="37" fillId="0" borderId="57" xfId="0" applyNumberFormat="1" applyFont="1" applyFill="1" applyBorder="1" applyAlignment="1">
      <alignment horizontal="center"/>
    </xf>
    <xf numFmtId="0" fontId="0" fillId="0" borderId="7" xfId="0" applyBorder="1"/>
    <xf numFmtId="2" fontId="37" fillId="4" borderId="60" xfId="0" applyNumberFormat="1" applyFont="1" applyFill="1" applyBorder="1" applyAlignment="1">
      <alignment horizontal="center" vertical="center"/>
    </xf>
    <xf numFmtId="0" fontId="40" fillId="0" borderId="8" xfId="0" applyFont="1" applyFill="1" applyBorder="1" applyAlignment="1">
      <alignment horizontal="center"/>
    </xf>
    <xf numFmtId="0" fontId="40" fillId="0" borderId="7" xfId="0" applyFont="1" applyFill="1" applyBorder="1" applyAlignment="1">
      <alignment horizontal="center"/>
    </xf>
    <xf numFmtId="49" fontId="40" fillId="0" borderId="1" xfId="0" applyNumberFormat="1" applyFont="1" applyFill="1" applyBorder="1" applyAlignment="1">
      <alignment horizontal="center"/>
    </xf>
    <xf numFmtId="49" fontId="40" fillId="0" borderId="7" xfId="0" applyNumberFormat="1" applyFont="1" applyFill="1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49" fontId="29" fillId="0" borderId="5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5" xfId="0" applyBorder="1" applyAlignment="1">
      <alignment horizontal="center"/>
    </xf>
    <xf numFmtId="2" fontId="40" fillId="4" borderId="64" xfId="0" applyNumberFormat="1" applyFont="1" applyFill="1" applyBorder="1" applyAlignment="1">
      <alignment horizontal="center"/>
    </xf>
    <xf numFmtId="49" fontId="40" fillId="0" borderId="1" xfId="0" applyNumberFormat="1" applyFont="1" applyFill="1" applyBorder="1" applyAlignment="1">
      <alignment horizontal="center"/>
    </xf>
    <xf numFmtId="49" fontId="18" fillId="0" borderId="1" xfId="0" applyNumberFormat="1" applyFont="1" applyFill="1" applyBorder="1" applyAlignment="1">
      <alignment horizontal="center"/>
    </xf>
    <xf numFmtId="49" fontId="40" fillId="0" borderId="17" xfId="0" applyNumberFormat="1" applyFont="1" applyFill="1" applyBorder="1" applyAlignment="1">
      <alignment horizontal="center"/>
    </xf>
    <xf numFmtId="49" fontId="29" fillId="0" borderId="1" xfId="0" applyNumberFormat="1" applyFont="1" applyFill="1" applyBorder="1" applyAlignment="1">
      <alignment horizontal="center"/>
    </xf>
    <xf numFmtId="49" fontId="38" fillId="0" borderId="1" xfId="0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1" fontId="40" fillId="0" borderId="18" xfId="0" applyNumberFormat="1" applyFont="1" applyFill="1" applyBorder="1" applyAlignment="1">
      <alignment horizontal="center"/>
    </xf>
    <xf numFmtId="1" fontId="40" fillId="0" borderId="15" xfId="0" applyNumberFormat="1" applyFont="1" applyFill="1" applyBorder="1" applyAlignment="1">
      <alignment horizontal="center"/>
    </xf>
    <xf numFmtId="1" fontId="43" fillId="0" borderId="1" xfId="0" applyNumberFormat="1" applyFont="1" applyFill="1" applyBorder="1" applyAlignment="1">
      <alignment horizontal="center"/>
    </xf>
    <xf numFmtId="0" fontId="0" fillId="0" borderId="14" xfId="0" applyNumberFormat="1" applyBorder="1" applyAlignment="1">
      <alignment horizontal="center"/>
    </xf>
    <xf numFmtId="0" fontId="0" fillId="0" borderId="14" xfId="0" applyNumberFormat="1" applyFill="1" applyBorder="1" applyAlignment="1">
      <alignment horizontal="center"/>
    </xf>
    <xf numFmtId="49" fontId="8" fillId="0" borderId="1" xfId="0" applyNumberFormat="1" applyFont="1" applyFill="1" applyBorder="1" applyAlignment="1">
      <alignment horizontal="center"/>
    </xf>
    <xf numFmtId="0" fontId="0" fillId="4" borderId="25" xfId="0" applyFill="1" applyBorder="1"/>
    <xf numFmtId="0" fontId="0" fillId="4" borderId="31" xfId="0" applyFill="1" applyBorder="1"/>
    <xf numFmtId="0" fontId="41" fillId="4" borderId="67" xfId="0" applyFont="1" applyFill="1" applyBorder="1" applyAlignment="1"/>
    <xf numFmtId="0" fontId="0" fillId="4" borderId="68" xfId="0" applyFill="1" applyBorder="1" applyAlignment="1"/>
    <xf numFmtId="0" fontId="45" fillId="0" borderId="0" xfId="0" applyFont="1" applyBorder="1"/>
    <xf numFmtId="49" fontId="40" fillId="0" borderId="5" xfId="0" applyNumberFormat="1" applyFont="1" applyFill="1" applyBorder="1" applyAlignment="1">
      <alignment horizontal="center"/>
    </xf>
    <xf numFmtId="49" fontId="40" fillId="0" borderId="41" xfId="0" applyNumberFormat="1" applyFont="1" applyFill="1" applyBorder="1" applyAlignment="1">
      <alignment horizontal="center"/>
    </xf>
    <xf numFmtId="0" fontId="15" fillId="0" borderId="1" xfId="0" applyNumberFormat="1" applyFont="1" applyFill="1" applyBorder="1" applyAlignment="1">
      <alignment horizontal="center"/>
    </xf>
    <xf numFmtId="1" fontId="38" fillId="0" borderId="15" xfId="0" applyNumberFormat="1" applyFont="1" applyFill="1" applyBorder="1" applyAlignment="1">
      <alignment horizontal="center"/>
    </xf>
    <xf numFmtId="1" fontId="38" fillId="0" borderId="18" xfId="0" applyNumberFormat="1" applyFont="1" applyFill="1" applyBorder="1" applyAlignment="1">
      <alignment horizontal="center"/>
    </xf>
    <xf numFmtId="49" fontId="32" fillId="0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14" borderId="15" xfId="0" applyFill="1" applyBorder="1" applyAlignment="1">
      <alignment horizontal="center"/>
    </xf>
    <xf numFmtId="1" fontId="0" fillId="14" borderId="60" xfId="0" applyNumberFormat="1" applyFill="1" applyBorder="1" applyAlignment="1">
      <alignment horizontal="center"/>
    </xf>
    <xf numFmtId="1" fontId="40" fillId="14" borderId="15" xfId="0" applyNumberFormat="1" applyFont="1" applyFill="1" applyBorder="1" applyAlignment="1">
      <alignment horizontal="center"/>
    </xf>
    <xf numFmtId="1" fontId="40" fillId="14" borderId="18" xfId="0" applyNumberFormat="1" applyFont="1" applyFill="1" applyBorder="1" applyAlignment="1">
      <alignment horizontal="center"/>
    </xf>
    <xf numFmtId="1" fontId="40" fillId="14" borderId="1" xfId="0" applyNumberFormat="1" applyFont="1" applyFill="1" applyBorder="1" applyAlignment="1">
      <alignment horizontal="center"/>
    </xf>
    <xf numFmtId="1" fontId="40" fillId="14" borderId="17" xfId="0" applyNumberFormat="1" applyFont="1" applyFill="1" applyBorder="1" applyAlignment="1">
      <alignment horizontal="center"/>
    </xf>
    <xf numFmtId="1" fontId="40" fillId="14" borderId="60" xfId="0" applyNumberFormat="1" applyFont="1" applyFill="1" applyBorder="1" applyAlignment="1">
      <alignment horizontal="center"/>
    </xf>
    <xf numFmtId="1" fontId="40" fillId="14" borderId="65" xfId="0" applyNumberFormat="1" applyFont="1" applyFill="1" applyBorder="1" applyAlignment="1">
      <alignment horizontal="center"/>
    </xf>
    <xf numFmtId="3" fontId="0" fillId="0" borderId="0" xfId="0" applyNumberFormat="1"/>
    <xf numFmtId="3" fontId="0" fillId="14" borderId="15" xfId="0" applyNumberFormat="1" applyFill="1" applyBorder="1" applyAlignment="1">
      <alignment horizontal="center"/>
    </xf>
    <xf numFmtId="0" fontId="0" fillId="14" borderId="7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3" fontId="0" fillId="14" borderId="18" xfId="0" applyNumberFormat="1" applyFill="1" applyBorder="1" applyAlignment="1">
      <alignment horizontal="center"/>
    </xf>
    <xf numFmtId="3" fontId="0" fillId="14" borderId="1" xfId="0" applyNumberFormat="1" applyFill="1" applyBorder="1" applyAlignment="1">
      <alignment horizontal="center"/>
    </xf>
    <xf numFmtId="0" fontId="0" fillId="14" borderId="5" xfId="0" applyFill="1" applyBorder="1" applyAlignment="1">
      <alignment horizontal="center"/>
    </xf>
    <xf numFmtId="1" fontId="0" fillId="14" borderId="15" xfId="0" applyNumberFormat="1" applyFill="1" applyBorder="1" applyAlignment="1">
      <alignment horizontal="center"/>
    </xf>
    <xf numFmtId="1" fontId="38" fillId="14" borderId="15" xfId="0" applyNumberFormat="1" applyFont="1" applyFill="1" applyBorder="1" applyAlignment="1">
      <alignment horizontal="center"/>
    </xf>
    <xf numFmtId="0" fontId="0" fillId="14" borderId="72" xfId="0" applyFill="1" applyBorder="1" applyAlignment="1">
      <alignment horizontal="center"/>
    </xf>
    <xf numFmtId="0" fontId="0" fillId="14" borderId="1" xfId="0" applyFill="1" applyBorder="1" applyAlignment="1">
      <alignment horizontal="center" vertical="center"/>
    </xf>
    <xf numFmtId="0" fontId="66" fillId="0" borderId="0" xfId="24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15" borderId="1" xfId="0" applyFill="1" applyBorder="1"/>
    <xf numFmtId="0" fontId="0" fillId="15" borderId="14" xfId="0" applyFill="1" applyBorder="1" applyAlignment="1">
      <alignment horizontal="center"/>
    </xf>
    <xf numFmtId="0" fontId="40" fillId="15" borderId="1" xfId="0" applyNumberFormat="1" applyFont="1" applyFill="1" applyBorder="1" applyAlignment="1">
      <alignment horizontal="center"/>
    </xf>
    <xf numFmtId="49" fontId="40" fillId="15" borderId="1" xfId="0" applyNumberFormat="1" applyFont="1" applyFill="1" applyBorder="1" applyAlignment="1">
      <alignment horizontal="center"/>
    </xf>
    <xf numFmtId="1" fontId="40" fillId="15" borderId="1" xfId="0" applyNumberFormat="1" applyFont="1" applyFill="1" applyBorder="1" applyAlignment="1">
      <alignment horizontal="center"/>
    </xf>
    <xf numFmtId="0" fontId="0" fillId="15" borderId="5" xfId="0" applyFill="1" applyBorder="1" applyAlignment="1">
      <alignment horizontal="center"/>
    </xf>
    <xf numFmtId="49" fontId="38" fillId="15" borderId="1" xfId="0" applyNumberFormat="1" applyFont="1" applyFill="1" applyBorder="1" applyAlignment="1">
      <alignment horizontal="center"/>
    </xf>
    <xf numFmtId="1" fontId="38" fillId="15" borderId="1" xfId="0" applyNumberFormat="1" applyFont="1" applyFill="1" applyBorder="1" applyAlignment="1">
      <alignment horizontal="center"/>
    </xf>
    <xf numFmtId="1" fontId="38" fillId="15" borderId="5" xfId="0" applyNumberFormat="1" applyFont="1" applyFill="1" applyBorder="1" applyAlignment="1">
      <alignment horizontal="center"/>
    </xf>
    <xf numFmtId="1" fontId="29" fillId="15" borderId="1" xfId="0" applyNumberFormat="1" applyFont="1" applyFill="1" applyBorder="1" applyAlignment="1">
      <alignment horizontal="center"/>
    </xf>
    <xf numFmtId="0" fontId="73" fillId="0" borderId="1" xfId="24" applyFont="1" applyFill="1" applyBorder="1" applyAlignment="1">
      <alignment horizontal="center"/>
    </xf>
    <xf numFmtId="0" fontId="73" fillId="0" borderId="1" xfId="0" applyFont="1" applyFill="1" applyBorder="1"/>
    <xf numFmtId="0" fontId="73" fillId="0" borderId="0" xfId="24" applyFont="1"/>
    <xf numFmtId="0" fontId="75" fillId="0" borderId="1" xfId="24" applyFont="1" applyFill="1" applyBorder="1" applyAlignment="1">
      <alignment horizontal="center"/>
    </xf>
    <xf numFmtId="49" fontId="75" fillId="0" borderId="1" xfId="24" applyNumberFormat="1" applyFont="1" applyFill="1" applyBorder="1" applyAlignment="1">
      <alignment horizontal="center"/>
    </xf>
    <xf numFmtId="1" fontId="75" fillId="0" borderId="1" xfId="24" applyNumberFormat="1" applyFont="1" applyFill="1" applyBorder="1" applyAlignment="1">
      <alignment horizontal="center"/>
    </xf>
    <xf numFmtId="49" fontId="73" fillId="0" borderId="1" xfId="24" applyNumberFormat="1" applyFont="1" applyFill="1" applyBorder="1" applyAlignment="1">
      <alignment horizontal="center"/>
    </xf>
    <xf numFmtId="1" fontId="73" fillId="0" borderId="1" xfId="24" applyNumberFormat="1" applyFont="1" applyFill="1" applyBorder="1" applyAlignment="1">
      <alignment horizontal="center"/>
    </xf>
    <xf numFmtId="0" fontId="73" fillId="0" borderId="1" xfId="1" applyFont="1" applyFill="1" applyBorder="1" applyAlignment="1">
      <alignment horizontal="left" vertical="center"/>
    </xf>
    <xf numFmtId="0" fontId="73" fillId="0" borderId="1" xfId="24" applyNumberFormat="1" applyFont="1" applyFill="1" applyBorder="1" applyAlignment="1">
      <alignment horizontal="center"/>
    </xf>
    <xf numFmtId="0" fontId="73" fillId="0" borderId="1" xfId="0" applyFont="1" applyFill="1" applyBorder="1" applyAlignment="1" applyProtection="1">
      <protection locked="0"/>
    </xf>
    <xf numFmtId="49" fontId="43" fillId="15" borderId="1" xfId="0" applyNumberFormat="1" applyFont="1" applyFill="1" applyBorder="1" applyAlignment="1">
      <alignment horizontal="center"/>
    </xf>
    <xf numFmtId="0" fontId="41" fillId="15" borderId="1" xfId="0" applyFont="1" applyFill="1" applyBorder="1" applyAlignment="1">
      <alignment horizontal="center"/>
    </xf>
    <xf numFmtId="49" fontId="41" fillId="15" borderId="5" xfId="0" applyNumberFormat="1" applyFont="1" applyFill="1" applyBorder="1" applyAlignment="1">
      <alignment horizontal="center"/>
    </xf>
    <xf numFmtId="1" fontId="14" fillId="15" borderId="1" xfId="0" applyNumberFormat="1" applyFont="1" applyFill="1" applyBorder="1" applyAlignment="1">
      <alignment horizontal="center"/>
    </xf>
    <xf numFmtId="1" fontId="39" fillId="15" borderId="1" xfId="0" applyNumberFormat="1" applyFont="1" applyFill="1" applyBorder="1" applyAlignment="1">
      <alignment horizontal="center"/>
    </xf>
    <xf numFmtId="49" fontId="28" fillId="15" borderId="5" xfId="0" applyNumberFormat="1" applyFont="1" applyFill="1" applyBorder="1" applyAlignment="1">
      <alignment horizontal="center"/>
    </xf>
    <xf numFmtId="49" fontId="14" fillId="15" borderId="1" xfId="0" applyNumberFormat="1" applyFont="1" applyFill="1" applyBorder="1" applyAlignment="1">
      <alignment horizontal="center"/>
    </xf>
    <xf numFmtId="49" fontId="7" fillId="15" borderId="1" xfId="0" applyNumberFormat="1" applyFont="1" applyFill="1" applyBorder="1" applyAlignment="1">
      <alignment horizontal="center"/>
    </xf>
    <xf numFmtId="49" fontId="6" fillId="15" borderId="1" xfId="0" applyNumberFormat="1" applyFont="1" applyFill="1" applyBorder="1" applyAlignment="1">
      <alignment horizontal="center"/>
    </xf>
    <xf numFmtId="0" fontId="0" fillId="15" borderId="52" xfId="0" applyFill="1" applyBorder="1" applyAlignment="1">
      <alignment horizontal="center"/>
    </xf>
    <xf numFmtId="49" fontId="11" fillId="15" borderId="2" xfId="0" applyNumberFormat="1" applyFont="1" applyFill="1" applyBorder="1" applyAlignment="1">
      <alignment horizontal="center"/>
    </xf>
    <xf numFmtId="49" fontId="38" fillId="15" borderId="2" xfId="0" applyNumberFormat="1" applyFont="1" applyFill="1" applyBorder="1" applyAlignment="1">
      <alignment horizontal="center"/>
    </xf>
    <xf numFmtId="1" fontId="38" fillId="15" borderId="2" xfId="0" applyNumberFormat="1" applyFont="1" applyFill="1" applyBorder="1" applyAlignment="1">
      <alignment horizontal="center"/>
    </xf>
    <xf numFmtId="0" fontId="0" fillId="15" borderId="73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1" xfId="0" applyFill="1" applyBorder="1" applyAlignment="1">
      <alignment horizontal="center" vertical="center"/>
    </xf>
    <xf numFmtId="0" fontId="0" fillId="15" borderId="15" xfId="0" applyFill="1" applyBorder="1"/>
    <xf numFmtId="49" fontId="11" fillId="15" borderId="1" xfId="0" applyNumberFormat="1" applyFont="1" applyFill="1" applyBorder="1" applyAlignment="1">
      <alignment horizontal="center"/>
    </xf>
    <xf numFmtId="49" fontId="26" fillId="15" borderId="1" xfId="0" applyNumberFormat="1" applyFont="1" applyFill="1" applyBorder="1" applyAlignment="1">
      <alignment horizontal="center"/>
    </xf>
    <xf numFmtId="49" fontId="32" fillId="15" borderId="1" xfId="0" applyNumberFormat="1" applyFont="1" applyFill="1" applyBorder="1" applyAlignment="1">
      <alignment horizontal="center"/>
    </xf>
    <xf numFmtId="0" fontId="0" fillId="15" borderId="16" xfId="0" applyFill="1" applyBorder="1" applyAlignment="1">
      <alignment horizontal="center"/>
    </xf>
    <xf numFmtId="0" fontId="40" fillId="15" borderId="17" xfId="0" applyNumberFormat="1" applyFont="1" applyFill="1" applyBorder="1" applyAlignment="1">
      <alignment horizontal="center"/>
    </xf>
    <xf numFmtId="1" fontId="40" fillId="15" borderId="17" xfId="0" applyNumberFormat="1" applyFont="1" applyFill="1" applyBorder="1" applyAlignment="1">
      <alignment horizontal="center"/>
    </xf>
    <xf numFmtId="0" fontId="13" fillId="15" borderId="1" xfId="0" applyNumberFormat="1" applyFont="1" applyFill="1" applyBorder="1" applyAlignment="1">
      <alignment horizontal="center"/>
    </xf>
    <xf numFmtId="0" fontId="17" fillId="15" borderId="1" xfId="0" applyNumberFormat="1" applyFont="1" applyFill="1" applyBorder="1" applyAlignment="1">
      <alignment horizontal="center"/>
    </xf>
    <xf numFmtId="0" fontId="0" fillId="15" borderId="15" xfId="0" applyFill="1" applyBorder="1" applyAlignment="1">
      <alignment horizontal="center"/>
    </xf>
    <xf numFmtId="49" fontId="41" fillId="15" borderId="1" xfId="0" applyNumberFormat="1" applyFont="1" applyFill="1" applyBorder="1" applyAlignment="1">
      <alignment horizontal="center"/>
    </xf>
    <xf numFmtId="1" fontId="30" fillId="15" borderId="1" xfId="0" applyNumberFormat="1" applyFont="1" applyFill="1" applyBorder="1" applyAlignment="1">
      <alignment horizontal="center"/>
    </xf>
    <xf numFmtId="165" fontId="40" fillId="15" borderId="5" xfId="0" applyNumberFormat="1" applyFont="1" applyFill="1" applyBorder="1" applyAlignment="1">
      <alignment horizontal="center"/>
    </xf>
    <xf numFmtId="49" fontId="17" fillId="15" borderId="1" xfId="0" applyNumberFormat="1" applyFont="1" applyFill="1" applyBorder="1" applyAlignment="1">
      <alignment horizontal="center"/>
    </xf>
    <xf numFmtId="49" fontId="15" fillId="15" borderId="1" xfId="0" applyNumberFormat="1" applyFont="1" applyFill="1" applyBorder="1" applyAlignment="1">
      <alignment horizontal="center"/>
    </xf>
    <xf numFmtId="2" fontId="15" fillId="15" borderId="1" xfId="0" applyNumberFormat="1" applyFont="1" applyFill="1" applyBorder="1" applyAlignment="1">
      <alignment horizontal="center"/>
    </xf>
    <xf numFmtId="0" fontId="0" fillId="15" borderId="14" xfId="0" applyNumberFormat="1" applyFill="1" applyBorder="1" applyAlignment="1">
      <alignment horizontal="center"/>
    </xf>
    <xf numFmtId="1" fontId="40" fillId="15" borderId="5" xfId="0" applyNumberFormat="1" applyFont="1" applyFill="1" applyBorder="1" applyAlignment="1">
      <alignment horizontal="center"/>
    </xf>
    <xf numFmtId="1" fontId="17" fillId="15" borderId="1" xfId="0" applyNumberFormat="1" applyFont="1" applyFill="1" applyBorder="1" applyAlignment="1">
      <alignment horizontal="center"/>
    </xf>
    <xf numFmtId="0" fontId="0" fillId="15" borderId="16" xfId="0" applyNumberFormat="1" applyFill="1" applyBorder="1" applyAlignment="1">
      <alignment horizontal="center"/>
    </xf>
    <xf numFmtId="1" fontId="38" fillId="15" borderId="17" xfId="0" applyNumberFormat="1" applyFont="1" applyFill="1" applyBorder="1" applyAlignment="1">
      <alignment horizontal="center"/>
    </xf>
    <xf numFmtId="1" fontId="40" fillId="15" borderId="41" xfId="0" applyNumberFormat="1" applyFont="1" applyFill="1" applyBorder="1" applyAlignment="1">
      <alignment horizontal="center"/>
    </xf>
    <xf numFmtId="49" fontId="16" fillId="15" borderId="1" xfId="0" applyNumberFormat="1" applyFont="1" applyFill="1" applyBorder="1" applyAlignment="1">
      <alignment horizontal="center"/>
    </xf>
    <xf numFmtId="0" fontId="41" fillId="15" borderId="7" xfId="0" applyFont="1" applyFill="1" applyBorder="1" applyAlignment="1">
      <alignment horizontal="center"/>
    </xf>
    <xf numFmtId="0" fontId="29" fillId="15" borderId="1" xfId="0" applyNumberFormat="1" applyFont="1" applyFill="1" applyBorder="1" applyAlignment="1">
      <alignment horizontal="center"/>
    </xf>
    <xf numFmtId="0" fontId="0" fillId="15" borderId="50" xfId="0" applyFill="1" applyBorder="1" applyAlignment="1">
      <alignment horizontal="center"/>
    </xf>
    <xf numFmtId="0" fontId="28" fillId="15" borderId="46" xfId="0" applyNumberFormat="1" applyFont="1" applyFill="1" applyBorder="1" applyAlignment="1">
      <alignment horizontal="center"/>
    </xf>
    <xf numFmtId="0" fontId="40" fillId="15" borderId="46" xfId="0" applyNumberFormat="1" applyFont="1" applyFill="1" applyBorder="1" applyAlignment="1">
      <alignment horizontal="center"/>
    </xf>
    <xf numFmtId="1" fontId="40" fillId="15" borderId="46" xfId="0" applyNumberFormat="1" applyFont="1" applyFill="1" applyBorder="1" applyAlignment="1">
      <alignment horizontal="center"/>
    </xf>
    <xf numFmtId="0" fontId="0" fillId="15" borderId="47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40" fillId="0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49" fontId="39" fillId="0" borderId="1" xfId="0" applyNumberFormat="1" applyFont="1" applyFill="1" applyBorder="1" applyAlignment="1">
      <alignment horizontal="center"/>
    </xf>
    <xf numFmtId="49" fontId="14" fillId="0" borderId="1" xfId="0" applyNumberFormat="1" applyFont="1" applyFill="1" applyBorder="1" applyAlignment="1">
      <alignment horizontal="center"/>
    </xf>
    <xf numFmtId="49" fontId="38" fillId="0" borderId="1" xfId="0" applyNumberFormat="1" applyFont="1" applyFill="1" applyBorder="1" applyAlignment="1">
      <alignment horizontal="center"/>
    </xf>
    <xf numFmtId="49" fontId="18" fillId="15" borderId="1" xfId="0" applyNumberFormat="1" applyFont="1" applyFill="1" applyBorder="1" applyAlignment="1">
      <alignment horizontal="center"/>
    </xf>
    <xf numFmtId="49" fontId="29" fillId="15" borderId="1" xfId="0" applyNumberFormat="1" applyFont="1" applyFill="1" applyBorder="1" applyAlignment="1">
      <alignment horizontal="center"/>
    </xf>
    <xf numFmtId="49" fontId="8" fillId="15" borderId="1" xfId="0" applyNumberFormat="1" applyFont="1" applyFill="1" applyBorder="1" applyAlignment="1">
      <alignment horizontal="center"/>
    </xf>
    <xf numFmtId="1" fontId="75" fillId="3" borderId="1" xfId="24" applyNumberFormat="1" applyFont="1" applyFill="1" applyBorder="1" applyAlignment="1">
      <alignment horizontal="center"/>
    </xf>
    <xf numFmtId="1" fontId="73" fillId="3" borderId="1" xfId="24" applyNumberFormat="1" applyFont="1" applyFill="1" applyBorder="1" applyAlignment="1">
      <alignment horizontal="center"/>
    </xf>
    <xf numFmtId="2" fontId="75" fillId="3" borderId="1" xfId="24" applyNumberFormat="1" applyFont="1" applyFill="1" applyBorder="1" applyAlignment="1">
      <alignment horizontal="center"/>
    </xf>
    <xf numFmtId="0" fontId="75" fillId="3" borderId="1" xfId="24" applyFont="1" applyFill="1" applyBorder="1" applyAlignment="1">
      <alignment horizontal="center"/>
    </xf>
    <xf numFmtId="0" fontId="73" fillId="3" borderId="1" xfId="24" applyFont="1" applyFill="1" applyBorder="1" applyAlignment="1">
      <alignment horizontal="center"/>
    </xf>
    <xf numFmtId="0" fontId="73" fillId="0" borderId="1" xfId="0" applyFont="1" applyFill="1" applyBorder="1" applyProtection="1">
      <protection locked="0"/>
    </xf>
    <xf numFmtId="0" fontId="73" fillId="0" borderId="1" xfId="0" applyFont="1" applyFill="1" applyBorder="1" applyAlignment="1" applyProtection="1">
      <alignment horizontal="left"/>
      <protection locked="0"/>
    </xf>
    <xf numFmtId="0" fontId="73" fillId="0" borderId="0" xfId="0" applyFont="1" applyFill="1" applyBorder="1"/>
    <xf numFmtId="0" fontId="66" fillId="0" borderId="0" xfId="24" applyFill="1"/>
    <xf numFmtId="0" fontId="41" fillId="0" borderId="0" xfId="24" applyFont="1" applyFill="1"/>
    <xf numFmtId="0" fontId="75" fillId="0" borderId="1" xfId="24" applyNumberFormat="1" applyFont="1" applyFill="1" applyBorder="1" applyAlignment="1">
      <alignment horizontal="center"/>
    </xf>
    <xf numFmtId="0" fontId="73" fillId="0" borderId="0" xfId="24" applyFont="1" applyFill="1"/>
    <xf numFmtId="0" fontId="22" fillId="0" borderId="0" xfId="28" applyFill="1"/>
    <xf numFmtId="165" fontId="40" fillId="0" borderId="61" xfId="0" applyNumberFormat="1" applyFont="1" applyFill="1" applyBorder="1" applyAlignment="1">
      <alignment horizontal="center"/>
    </xf>
    <xf numFmtId="2" fontId="40" fillId="0" borderId="1" xfId="0" applyNumberFormat="1" applyFont="1" applyFill="1" applyBorder="1" applyAlignment="1">
      <alignment horizontal="center"/>
    </xf>
    <xf numFmtId="0" fontId="41" fillId="0" borderId="60" xfId="0" applyFont="1" applyFill="1" applyBorder="1" applyAlignment="1"/>
    <xf numFmtId="2" fontId="37" fillId="0" borderId="60" xfId="0" applyNumberFormat="1" applyFont="1" applyFill="1" applyBorder="1" applyAlignment="1">
      <alignment horizontal="center" vertical="center"/>
    </xf>
    <xf numFmtId="1" fontId="37" fillId="0" borderId="60" xfId="0" applyNumberFormat="1" applyFont="1" applyFill="1" applyBorder="1" applyAlignment="1">
      <alignment horizontal="center"/>
    </xf>
    <xf numFmtId="1" fontId="37" fillId="0" borderId="61" xfId="0" applyNumberFormat="1" applyFont="1" applyFill="1" applyBorder="1" applyAlignment="1">
      <alignment horizontal="center"/>
    </xf>
    <xf numFmtId="2" fontId="37" fillId="0" borderId="60" xfId="0" applyNumberFormat="1" applyFont="1" applyFill="1" applyBorder="1" applyAlignment="1">
      <alignment horizontal="center"/>
    </xf>
    <xf numFmtId="1" fontId="38" fillId="0" borderId="61" xfId="0" applyNumberFormat="1" applyFont="1" applyFill="1" applyBorder="1" applyAlignment="1">
      <alignment horizontal="center"/>
    </xf>
    <xf numFmtId="0" fontId="41" fillId="0" borderId="1" xfId="0" applyFont="1" applyFill="1" applyBorder="1"/>
    <xf numFmtId="0" fontId="0" fillId="4" borderId="1" xfId="0" applyFill="1" applyBorder="1" applyAlignment="1">
      <alignment horizontal="center"/>
    </xf>
    <xf numFmtId="0" fontId="41" fillId="4" borderId="1" xfId="0" applyFont="1" applyFill="1" applyBorder="1" applyAlignment="1"/>
    <xf numFmtId="3" fontId="0" fillId="0" borderId="1" xfId="0" applyNumberFormat="1" applyFill="1" applyBorder="1" applyAlignment="1">
      <alignment horizontal="center" vertical="center"/>
    </xf>
    <xf numFmtId="0" fontId="4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49" fontId="73" fillId="0" borderId="1" xfId="24" applyNumberFormat="1" applyFont="1" applyFill="1" applyBorder="1" applyAlignment="1">
      <alignment horizontal="center"/>
    </xf>
    <xf numFmtId="0" fontId="0" fillId="0" borderId="0" xfId="0" applyFill="1" applyAlignment="1">
      <alignment horizontal="left"/>
    </xf>
    <xf numFmtId="9" fontId="0" fillId="0" borderId="0" xfId="0" applyNumberFormat="1"/>
    <xf numFmtId="0" fontId="77" fillId="0" borderId="0" xfId="0" applyFont="1" applyFill="1" applyBorder="1" applyAlignment="1"/>
    <xf numFmtId="49" fontId="77" fillId="0" borderId="0" xfId="0" applyNumberFormat="1" applyFont="1" applyFill="1" applyBorder="1" applyAlignment="1"/>
    <xf numFmtId="49" fontId="61" fillId="0" borderId="17" xfId="0" applyNumberFormat="1" applyFont="1" applyFill="1" applyBorder="1" applyAlignment="1">
      <alignment horizontal="center"/>
    </xf>
    <xf numFmtId="0" fontId="61" fillId="0" borderId="17" xfId="0" applyNumberFormat="1" applyFont="1" applyFill="1" applyBorder="1" applyAlignment="1">
      <alignment horizontal="center"/>
    </xf>
    <xf numFmtId="1" fontId="61" fillId="0" borderId="17" xfId="0" applyNumberFormat="1" applyFont="1" applyFill="1" applyBorder="1" applyAlignment="1">
      <alignment horizontal="center"/>
    </xf>
    <xf numFmtId="1" fontId="61" fillId="0" borderId="41" xfId="0" applyNumberFormat="1" applyFont="1" applyFill="1" applyBorder="1" applyAlignment="1">
      <alignment horizontal="center"/>
    </xf>
    <xf numFmtId="2" fontId="61" fillId="0" borderId="61" xfId="0" applyNumberFormat="1" applyFont="1" applyFill="1" applyBorder="1" applyAlignment="1">
      <alignment horizontal="center"/>
    </xf>
    <xf numFmtId="2" fontId="4" fillId="4" borderId="60" xfId="0" applyNumberFormat="1" applyFont="1" applyFill="1" applyBorder="1" applyAlignment="1">
      <alignment horizontal="center"/>
    </xf>
    <xf numFmtId="4" fontId="0" fillId="0" borderId="0" xfId="0" applyNumberFormat="1" applyFont="1" applyFill="1" applyBorder="1" applyAlignment="1">
      <alignment vertical="top"/>
    </xf>
    <xf numFmtId="0" fontId="41" fillId="0" borderId="15" xfId="0" applyFont="1" applyBorder="1" applyAlignment="1">
      <alignment horizontal="center"/>
    </xf>
    <xf numFmtId="9" fontId="45" fillId="0" borderId="0" xfId="0" applyNumberFormat="1" applyFont="1"/>
    <xf numFmtId="1" fontId="40" fillId="16" borderId="60" xfId="0" applyNumberFormat="1" applyFont="1" applyFill="1" applyBorder="1" applyAlignment="1">
      <alignment horizontal="center"/>
    </xf>
    <xf numFmtId="3" fontId="0" fillId="14" borderId="5" xfId="0" applyNumberFormat="1" applyFill="1" applyBorder="1" applyAlignment="1">
      <alignment horizontal="center"/>
    </xf>
    <xf numFmtId="2" fontId="61" fillId="0" borderId="0" xfId="0" applyNumberFormat="1" applyFon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79" fillId="0" borderId="0" xfId="0" applyFont="1"/>
    <xf numFmtId="0" fontId="41" fillId="0" borderId="0" xfId="0" applyFont="1" applyFill="1" applyAlignment="1">
      <alignment horizontal="left"/>
    </xf>
    <xf numFmtId="0" fontId="41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0" fontId="80" fillId="0" borderId="73" xfId="5" applyFont="1" applyBorder="1" applyAlignment="1">
      <alignment horizontal="center" vertical="center" wrapText="1"/>
    </xf>
    <xf numFmtId="0" fontId="41" fillId="0" borderId="0" xfId="24" applyFont="1" applyFill="1" applyAlignment="1">
      <alignment horizontal="left"/>
    </xf>
    <xf numFmtId="0" fontId="73" fillId="0" borderId="3" xfId="0" applyFont="1" applyFill="1" applyBorder="1" applyAlignment="1">
      <alignment horizontal="left" wrapText="1"/>
    </xf>
    <xf numFmtId="1" fontId="75" fillId="0" borderId="1" xfId="24" applyNumberFormat="1" applyFont="1" applyFill="1" applyBorder="1" applyAlignment="1">
      <alignment horizontal="left"/>
    </xf>
    <xf numFmtId="0" fontId="66" fillId="0" borderId="0" xfId="24" applyFill="1" applyAlignment="1">
      <alignment horizontal="left"/>
    </xf>
    <xf numFmtId="0" fontId="22" fillId="0" borderId="0" xfId="28" applyFill="1" applyAlignment="1">
      <alignment horizontal="left"/>
    </xf>
    <xf numFmtId="0" fontId="81" fillId="0" borderId="0" xfId="5" applyFont="1"/>
    <xf numFmtId="0" fontId="82" fillId="0" borderId="0" xfId="5" applyFont="1"/>
    <xf numFmtId="0" fontId="80" fillId="0" borderId="2" xfId="5" applyFont="1" applyBorder="1" applyAlignment="1">
      <alignment horizontal="center" vertical="center" wrapText="1"/>
    </xf>
    <xf numFmtId="0" fontId="80" fillId="0" borderId="93" xfId="5" applyFont="1" applyBorder="1" applyAlignment="1">
      <alignment horizontal="center" vertical="center" wrapText="1"/>
    </xf>
    <xf numFmtId="0" fontId="80" fillId="0" borderId="6" xfId="5" applyFont="1" applyBorder="1" applyAlignment="1">
      <alignment horizontal="center" vertical="center" wrapText="1"/>
    </xf>
    <xf numFmtId="0" fontId="82" fillId="0" borderId="3" xfId="5" applyFont="1" applyBorder="1" applyAlignment="1">
      <alignment horizontal="justify" vertical="center" wrapText="1"/>
    </xf>
    <xf numFmtId="0" fontId="82" fillId="0" borderId="9" xfId="5" applyFont="1" applyBorder="1" applyAlignment="1">
      <alignment horizontal="justify" vertical="center" wrapText="1"/>
    </xf>
    <xf numFmtId="0" fontId="83" fillId="0" borderId="3" xfId="5" applyFont="1" applyBorder="1" applyAlignment="1">
      <alignment horizontal="center" vertical="center" wrapText="1"/>
    </xf>
    <xf numFmtId="0" fontId="83" fillId="0" borderId="9" xfId="5" applyFont="1" applyBorder="1" applyAlignment="1">
      <alignment horizontal="center" vertical="center" wrapText="1"/>
    </xf>
    <xf numFmtId="0" fontId="82" fillId="0" borderId="1" xfId="5" applyFont="1" applyBorder="1" applyAlignment="1">
      <alignment horizontal="left" vertical="center" wrapText="1"/>
    </xf>
    <xf numFmtId="1" fontId="82" fillId="0" borderId="1" xfId="5" applyNumberFormat="1" applyFont="1" applyBorder="1" applyAlignment="1">
      <alignment horizontal="left" vertical="center" wrapText="1"/>
    </xf>
    <xf numFmtId="1" fontId="82" fillId="0" borderId="1" xfId="5" applyNumberFormat="1" applyFont="1" applyBorder="1" applyAlignment="1">
      <alignment horizontal="center" vertical="center" wrapText="1"/>
    </xf>
    <xf numFmtId="0" fontId="82" fillId="0" borderId="1" xfId="5" applyFont="1" applyBorder="1" applyAlignment="1">
      <alignment horizontal="right" vertical="center" wrapText="1"/>
    </xf>
    <xf numFmtId="0" fontId="82" fillId="0" borderId="1" xfId="5" applyFont="1" applyBorder="1" applyAlignment="1">
      <alignment horizontal="center" vertical="center" wrapText="1"/>
    </xf>
    <xf numFmtId="0" fontId="82" fillId="0" borderId="0" xfId="5" applyFont="1" applyAlignment="1">
      <alignment horizontal="left" vertical="center" wrapText="1"/>
    </xf>
    <xf numFmtId="0" fontId="82" fillId="0" borderId="0" xfId="5" applyFont="1" applyBorder="1" applyAlignment="1">
      <alignment vertical="center"/>
    </xf>
    <xf numFmtId="0" fontId="82" fillId="0" borderId="0" xfId="5" applyFont="1" applyBorder="1" applyAlignment="1">
      <alignment horizontal="left" vertical="center"/>
    </xf>
    <xf numFmtId="0" fontId="82" fillId="0" borderId="0" xfId="5" applyFont="1" applyAlignment="1">
      <alignment horizontal="center" vertical="center" wrapText="1"/>
    </xf>
    <xf numFmtId="0" fontId="82" fillId="0" borderId="0" xfId="5" applyFont="1" applyBorder="1" applyAlignment="1">
      <alignment vertical="top"/>
    </xf>
    <xf numFmtId="4" fontId="45" fillId="0" borderId="0" xfId="0" applyNumberFormat="1" applyFont="1" applyAlignment="1">
      <alignment horizontal="center"/>
    </xf>
    <xf numFmtId="0" fontId="45" fillId="0" borderId="0" xfId="0" applyFont="1" applyAlignment="1">
      <alignment horizontal="center"/>
    </xf>
    <xf numFmtId="4" fontId="82" fillId="0" borderId="1" xfId="5" applyNumberFormat="1" applyFont="1" applyBorder="1" applyAlignment="1">
      <alignment horizontal="right" vertical="center" wrapText="1"/>
    </xf>
    <xf numFmtId="4" fontId="80" fillId="0" borderId="1" xfId="5" applyNumberFormat="1" applyFont="1" applyBorder="1" applyAlignment="1">
      <alignment horizontal="right" vertical="center" wrapText="1"/>
    </xf>
    <xf numFmtId="9" fontId="56" fillId="0" borderId="0" xfId="0" applyNumberFormat="1" applyFont="1" applyAlignment="1">
      <alignment horizontal="center"/>
    </xf>
    <xf numFmtId="49" fontId="3" fillId="0" borderId="1" xfId="0" applyNumberFormat="1" applyFont="1" applyFill="1" applyBorder="1" applyAlignment="1">
      <alignment horizontal="center"/>
    </xf>
    <xf numFmtId="0" fontId="80" fillId="0" borderId="6" xfId="5" applyFont="1" applyBorder="1" applyAlignment="1">
      <alignment horizontal="justify" vertical="center" wrapText="1"/>
    </xf>
    <xf numFmtId="0" fontId="80" fillId="0" borderId="6" xfId="5" applyFont="1" applyBorder="1" applyAlignment="1">
      <alignment vertical="center" wrapText="1"/>
    </xf>
    <xf numFmtId="0" fontId="62" fillId="0" borderId="0" xfId="0" applyFont="1"/>
    <xf numFmtId="0" fontId="82" fillId="0" borderId="0" xfId="5" applyFont="1" applyAlignment="1">
      <alignment horizontal="center"/>
    </xf>
    <xf numFmtId="0" fontId="64" fillId="0" borderId="0" xfId="0" applyFont="1" applyAlignment="1">
      <alignment horizontal="center"/>
    </xf>
    <xf numFmtId="0" fontId="82" fillId="0" borderId="0" xfId="5" applyFont="1" applyAlignment="1"/>
    <xf numFmtId="0" fontId="82" fillId="0" borderId="0" xfId="5" applyFont="1" applyAlignment="1">
      <alignment vertical="center"/>
    </xf>
    <xf numFmtId="0" fontId="85" fillId="0" borderId="0" xfId="5" applyFont="1" applyAlignment="1">
      <alignment vertical="center"/>
    </xf>
    <xf numFmtId="0" fontId="86" fillId="0" borderId="0" xfId="5" applyFont="1" applyAlignment="1">
      <alignment vertical="center"/>
    </xf>
    <xf numFmtId="0" fontId="82" fillId="0" borderId="0" xfId="5" applyFont="1" applyBorder="1" applyAlignment="1">
      <alignment horizontal="center" vertical="center"/>
    </xf>
    <xf numFmtId="0" fontId="82" fillId="0" borderId="0" xfId="5" applyFont="1" applyAlignment="1">
      <alignment horizontal="left" vertical="center"/>
    </xf>
    <xf numFmtId="0" fontId="82" fillId="0" borderId="0" xfId="5" applyFont="1" applyAlignment="1">
      <alignment horizontal="center" vertical="center"/>
    </xf>
    <xf numFmtId="0" fontId="67" fillId="0" borderId="1" xfId="5" applyFont="1" applyBorder="1" applyAlignment="1">
      <alignment horizontal="justify" vertical="center" wrapText="1"/>
    </xf>
    <xf numFmtId="0" fontId="88" fillId="0" borderId="1" xfId="5" applyFont="1" applyBorder="1" applyAlignment="1">
      <alignment horizontal="center" vertical="center" wrapText="1"/>
    </xf>
    <xf numFmtId="0" fontId="82" fillId="0" borderId="3" xfId="5" applyFont="1" applyBorder="1" applyAlignment="1">
      <alignment horizontal="right" vertical="center" wrapText="1"/>
    </xf>
    <xf numFmtId="0" fontId="83" fillId="0" borderId="10" xfId="5" applyFont="1" applyBorder="1" applyAlignment="1">
      <alignment horizontal="center" vertical="center" wrapText="1"/>
    </xf>
    <xf numFmtId="0" fontId="67" fillId="0" borderId="3" xfId="5" applyFont="1" applyBorder="1" applyAlignment="1">
      <alignment horizontal="center" vertical="center" wrapText="1"/>
    </xf>
    <xf numFmtId="0" fontId="80" fillId="0" borderId="49" xfId="5" applyFont="1" applyBorder="1" applyAlignment="1">
      <alignment horizontal="justify" vertical="center" wrapText="1"/>
    </xf>
    <xf numFmtId="0" fontId="89" fillId="0" borderId="6" xfId="5" applyFont="1" applyBorder="1" applyAlignment="1">
      <alignment horizontal="center" vertical="center" wrapText="1"/>
    </xf>
    <xf numFmtId="0" fontId="88" fillId="0" borderId="6" xfId="5" applyFont="1" applyBorder="1" applyAlignment="1">
      <alignment horizontal="center" vertical="center" wrapText="1"/>
    </xf>
    <xf numFmtId="0" fontId="80" fillId="0" borderId="71" xfId="5" applyFont="1" applyBorder="1" applyAlignment="1">
      <alignment horizontal="center" vertical="center" wrapText="1"/>
    </xf>
    <xf numFmtId="0" fontId="88" fillId="0" borderId="2" xfId="5" applyFont="1" applyBorder="1" applyAlignment="1">
      <alignment horizontal="center" vertical="center" wrapText="1"/>
    </xf>
    <xf numFmtId="0" fontId="80" fillId="0" borderId="48" xfId="5" applyFont="1" applyBorder="1" applyAlignment="1">
      <alignment horizontal="center" vertical="center" wrapText="1"/>
    </xf>
    <xf numFmtId="0" fontId="83" fillId="0" borderId="4" xfId="5" applyFont="1" applyBorder="1" applyAlignment="1">
      <alignment horizontal="center" vertical="center" wrapText="1"/>
    </xf>
    <xf numFmtId="0" fontId="82" fillId="0" borderId="0" xfId="5" applyFont="1" applyBorder="1" applyAlignment="1">
      <alignment horizontal="left" vertical="center" wrapText="1"/>
    </xf>
    <xf numFmtId="0" fontId="82" fillId="0" borderId="0" xfId="5" applyFont="1" applyBorder="1" applyAlignment="1">
      <alignment vertical="center" wrapText="1"/>
    </xf>
    <xf numFmtId="0" fontId="91" fillId="0" borderId="0" xfId="5" applyFont="1" applyAlignment="1">
      <alignment horizontal="left" vertical="center"/>
    </xf>
    <xf numFmtId="0" fontId="91" fillId="0" borderId="0" xfId="5" applyFont="1" applyBorder="1" applyAlignment="1">
      <alignment vertical="center"/>
    </xf>
    <xf numFmtId="0" fontId="92" fillId="0" borderId="0" xfId="5" applyFont="1" applyAlignment="1">
      <alignment vertical="center"/>
    </xf>
    <xf numFmtId="0" fontId="94" fillId="0" borderId="0" xfId="5" applyFont="1" applyAlignment="1">
      <alignment vertical="center"/>
    </xf>
    <xf numFmtId="0" fontId="36" fillId="0" borderId="0" xfId="5" applyAlignment="1"/>
    <xf numFmtId="0" fontId="64" fillId="0" borderId="1" xfId="0" applyFont="1" applyBorder="1"/>
    <xf numFmtId="4" fontId="44" fillId="0" borderId="0" xfId="5" applyNumberFormat="1" applyFont="1" applyBorder="1" applyAlignment="1">
      <alignment horizontal="center" vertical="center" wrapText="1"/>
    </xf>
    <xf numFmtId="4" fontId="41" fillId="0" borderId="0" xfId="0" applyNumberFormat="1" applyFont="1" applyAlignment="1">
      <alignment horizontal="center"/>
    </xf>
    <xf numFmtId="2" fontId="3" fillId="4" borderId="60" xfId="0" applyNumberFormat="1" applyFont="1" applyFill="1" applyBorder="1" applyAlignment="1">
      <alignment horizontal="center"/>
    </xf>
    <xf numFmtId="0" fontId="0" fillId="17" borderId="0" xfId="0" applyFill="1"/>
    <xf numFmtId="0" fontId="97" fillId="0" borderId="60" xfId="0" applyFont="1" applyFill="1" applyBorder="1" applyAlignment="1">
      <alignment horizontal="center"/>
    </xf>
    <xf numFmtId="2" fontId="97" fillId="2" borderId="1" xfId="0" applyNumberFormat="1" applyFont="1" applyFill="1" applyBorder="1" applyAlignment="1">
      <alignment horizontal="center"/>
    </xf>
    <xf numFmtId="0" fontId="97" fillId="2" borderId="1" xfId="0" applyFont="1" applyFill="1" applyBorder="1" applyAlignment="1">
      <alignment horizontal="center"/>
    </xf>
    <xf numFmtId="2" fontId="97" fillId="2" borderId="15" xfId="0" applyNumberFormat="1" applyFont="1" applyFill="1" applyBorder="1" applyAlignment="1">
      <alignment horizontal="center"/>
    </xf>
    <xf numFmtId="2" fontId="97" fillId="2" borderId="7" xfId="0" applyNumberFormat="1" applyFont="1" applyFill="1" applyBorder="1" applyAlignment="1">
      <alignment horizontal="center"/>
    </xf>
    <xf numFmtId="1" fontId="97" fillId="2" borderId="23" xfId="0" applyNumberFormat="1" applyFont="1" applyFill="1" applyBorder="1" applyAlignment="1">
      <alignment horizontal="center"/>
    </xf>
    <xf numFmtId="0" fontId="97" fillId="0" borderId="61" xfId="0" applyFont="1" applyFill="1" applyBorder="1" applyAlignment="1">
      <alignment horizontal="center"/>
    </xf>
    <xf numFmtId="2" fontId="97" fillId="2" borderId="17" xfId="0" applyNumberFormat="1" applyFont="1" applyFill="1" applyBorder="1" applyAlignment="1">
      <alignment horizontal="center"/>
    </xf>
    <xf numFmtId="0" fontId="97" fillId="2" borderId="17" xfId="0" applyFont="1" applyFill="1" applyBorder="1" applyAlignment="1">
      <alignment horizontal="center"/>
    </xf>
    <xf numFmtId="2" fontId="97" fillId="2" borderId="18" xfId="0" applyNumberFormat="1" applyFont="1" applyFill="1" applyBorder="1" applyAlignment="1">
      <alignment horizontal="center"/>
    </xf>
    <xf numFmtId="2" fontId="97" fillId="2" borderId="45" xfId="0" applyNumberFormat="1" applyFont="1" applyFill="1" applyBorder="1" applyAlignment="1">
      <alignment horizontal="center"/>
    </xf>
    <xf numFmtId="1" fontId="97" fillId="2" borderId="58" xfId="0" applyNumberFormat="1" applyFont="1" applyFill="1" applyBorder="1" applyAlignment="1">
      <alignment horizontal="center"/>
    </xf>
    <xf numFmtId="0" fontId="97" fillId="0" borderId="0" xfId="0" applyFont="1" applyFill="1" applyBorder="1" applyAlignment="1">
      <alignment horizontal="center"/>
    </xf>
    <xf numFmtId="0" fontId="97" fillId="0" borderId="0" xfId="0" applyFont="1"/>
    <xf numFmtId="4" fontId="97" fillId="0" borderId="0" xfId="0" applyNumberFormat="1" applyFont="1"/>
    <xf numFmtId="4" fontId="98" fillId="0" borderId="0" xfId="0" applyNumberFormat="1" applyFont="1"/>
    <xf numFmtId="4" fontId="99" fillId="0" borderId="0" xfId="0" applyNumberFormat="1" applyFont="1" applyFill="1"/>
    <xf numFmtId="168" fontId="100" fillId="0" borderId="0" xfId="0" applyNumberFormat="1" applyFont="1"/>
    <xf numFmtId="0" fontId="101" fillId="0" borderId="0" xfId="0" applyFont="1"/>
    <xf numFmtId="4" fontId="101" fillId="0" borderId="0" xfId="0" applyNumberFormat="1" applyFont="1"/>
    <xf numFmtId="0" fontId="98" fillId="0" borderId="0" xfId="0" applyFont="1" applyAlignment="1">
      <alignment horizontal="center"/>
    </xf>
    <xf numFmtId="4" fontId="98" fillId="0" borderId="0" xfId="0" applyNumberFormat="1" applyFont="1" applyAlignment="1">
      <alignment horizontal="center"/>
    </xf>
    <xf numFmtId="4" fontId="102" fillId="0" borderId="0" xfId="0" applyNumberFormat="1" applyFont="1" applyFill="1"/>
    <xf numFmtId="10" fontId="98" fillId="0" borderId="0" xfId="0" applyNumberFormat="1" applyFont="1"/>
    <xf numFmtId="0" fontId="103" fillId="0" borderId="0" xfId="0" applyFont="1"/>
    <xf numFmtId="0" fontId="97" fillId="2" borderId="34" xfId="0" applyFont="1" applyFill="1" applyBorder="1" applyAlignment="1">
      <alignment horizontal="center" vertical="center" wrapText="1"/>
    </xf>
    <xf numFmtId="0" fontId="97" fillId="0" borderId="31" xfId="0" applyFont="1" applyBorder="1" applyAlignment="1">
      <alignment horizontal="center"/>
    </xf>
    <xf numFmtId="4" fontId="97" fillId="0" borderId="59" xfId="0" applyNumberFormat="1" applyFont="1" applyBorder="1" applyAlignment="1">
      <alignment horizontal="center"/>
    </xf>
    <xf numFmtId="4" fontId="97" fillId="0" borderId="59" xfId="0" applyNumberFormat="1" applyFont="1" applyBorder="1" applyAlignment="1">
      <alignment horizontal="center" wrapText="1"/>
    </xf>
    <xf numFmtId="4" fontId="104" fillId="0" borderId="94" xfId="0" applyNumberFormat="1" applyFont="1" applyFill="1" applyBorder="1" applyAlignment="1">
      <alignment horizontal="center" vertical="center" wrapText="1"/>
    </xf>
    <xf numFmtId="4" fontId="104" fillId="0" borderId="34" xfId="0" applyNumberFormat="1" applyFont="1" applyFill="1" applyBorder="1" applyAlignment="1">
      <alignment horizontal="center" vertical="center" wrapText="1"/>
    </xf>
    <xf numFmtId="4" fontId="102" fillId="0" borderId="11" xfId="0" applyNumberFormat="1" applyFont="1" applyFill="1" applyBorder="1" applyAlignment="1">
      <alignment horizontal="center"/>
    </xf>
    <xf numFmtId="4" fontId="105" fillId="0" borderId="59" xfId="0" applyNumberFormat="1" applyFont="1" applyBorder="1" applyAlignment="1">
      <alignment horizontal="center"/>
    </xf>
    <xf numFmtId="4" fontId="103" fillId="0" borderId="1" xfId="0" applyNumberFormat="1" applyFont="1" applyBorder="1" applyAlignment="1">
      <alignment horizontal="center"/>
    </xf>
    <xf numFmtId="4" fontId="103" fillId="0" borderId="4" xfId="0" applyNumberFormat="1" applyFont="1" applyBorder="1" applyAlignment="1">
      <alignment horizontal="center"/>
    </xf>
    <xf numFmtId="0" fontId="101" fillId="0" borderId="0" xfId="0" applyFont="1" applyAlignment="1">
      <alignment horizontal="center" wrapText="1"/>
    </xf>
    <xf numFmtId="4" fontId="101" fillId="0" borderId="0" xfId="0" applyNumberFormat="1" applyFont="1" applyAlignment="1">
      <alignment horizontal="center" wrapText="1"/>
    </xf>
    <xf numFmtId="0" fontId="97" fillId="2" borderId="4" xfId="0" applyFont="1" applyFill="1" applyBorder="1" applyAlignment="1">
      <alignment horizontal="center"/>
    </xf>
    <xf numFmtId="0" fontId="97" fillId="0" borderId="32" xfId="0" applyFont="1" applyBorder="1" applyAlignment="1">
      <alignment horizontal="center"/>
    </xf>
    <xf numFmtId="0" fontId="97" fillId="0" borderId="20" xfId="0" applyFont="1" applyBorder="1" applyAlignment="1">
      <alignment horizontal="center"/>
    </xf>
    <xf numFmtId="4" fontId="97" fillId="0" borderId="20" xfId="0" applyNumberFormat="1" applyFont="1" applyBorder="1" applyAlignment="1">
      <alignment horizontal="center"/>
    </xf>
    <xf numFmtId="4" fontId="97" fillId="0" borderId="21" xfId="0" applyNumberFormat="1" applyFont="1" applyBorder="1" applyAlignment="1">
      <alignment horizontal="center"/>
    </xf>
    <xf numFmtId="4" fontId="97" fillId="0" borderId="1" xfId="0" applyNumberFormat="1" applyFont="1" applyBorder="1" applyAlignment="1">
      <alignment horizontal="center"/>
    </xf>
    <xf numFmtId="0" fontId="97" fillId="0" borderId="19" xfId="0" applyFont="1" applyBorder="1" applyAlignment="1">
      <alignment horizontal="center"/>
    </xf>
    <xf numFmtId="49" fontId="97" fillId="0" borderId="19" xfId="0" applyNumberFormat="1" applyFont="1" applyBorder="1" applyAlignment="1">
      <alignment horizontal="center"/>
    </xf>
    <xf numFmtId="49" fontId="97" fillId="0" borderId="26" xfId="0" applyNumberFormat="1" applyFont="1" applyBorder="1" applyAlignment="1">
      <alignment horizontal="center" vertical="center"/>
    </xf>
    <xf numFmtId="49" fontId="97" fillId="0" borderId="4" xfId="0" applyNumberFormat="1" applyFont="1" applyBorder="1" applyAlignment="1">
      <alignment horizontal="center" shrinkToFit="1"/>
    </xf>
    <xf numFmtId="4" fontId="97" fillId="0" borderId="9" xfId="0" applyNumberFormat="1" applyFont="1" applyBorder="1" applyAlignment="1">
      <alignment horizontal="center" shrinkToFit="1"/>
    </xf>
    <xf numFmtId="4" fontId="97" fillId="0" borderId="3" xfId="0" applyNumberFormat="1" applyFont="1" applyBorder="1" applyAlignment="1">
      <alignment horizontal="center" shrinkToFit="1"/>
    </xf>
    <xf numFmtId="4" fontId="97" fillId="0" borderId="21" xfId="0" applyNumberFormat="1" applyFont="1" applyBorder="1" applyAlignment="1">
      <alignment horizontal="center" shrinkToFit="1"/>
    </xf>
    <xf numFmtId="49" fontId="97" fillId="0" borderId="20" xfId="0" applyNumberFormat="1" applyFont="1" applyBorder="1" applyAlignment="1">
      <alignment horizontal="center"/>
    </xf>
    <xf numFmtId="0" fontId="97" fillId="0" borderId="19" xfId="0" applyNumberFormat="1" applyFont="1" applyBorder="1" applyAlignment="1">
      <alignment horizontal="center"/>
    </xf>
    <xf numFmtId="4" fontId="97" fillId="0" borderId="12" xfId="0" applyNumberFormat="1" applyFont="1" applyBorder="1" applyAlignment="1">
      <alignment horizontal="center"/>
    </xf>
    <xf numFmtId="0" fontId="97" fillId="0" borderId="26" xfId="0" applyFont="1" applyBorder="1" applyAlignment="1">
      <alignment horizontal="center" vertical="center"/>
    </xf>
    <xf numFmtId="4" fontId="97" fillId="0" borderId="24" xfId="0" applyNumberFormat="1" applyFont="1" applyBorder="1" applyAlignment="1">
      <alignment horizontal="center"/>
    </xf>
    <xf numFmtId="0" fontId="97" fillId="0" borderId="28" xfId="0" applyFont="1" applyBorder="1" applyAlignment="1">
      <alignment horizontal="center"/>
    </xf>
    <xf numFmtId="4" fontId="97" fillId="0" borderId="28" xfId="0" applyNumberFormat="1" applyFont="1" applyBorder="1" applyAlignment="1">
      <alignment horizontal="center"/>
    </xf>
    <xf numFmtId="4" fontId="97" fillId="0" borderId="55" xfId="0" applyNumberFormat="1" applyFont="1" applyBorder="1" applyAlignment="1">
      <alignment horizontal="center"/>
    </xf>
    <xf numFmtId="0" fontId="97" fillId="0" borderId="14" xfId="0" applyFont="1" applyBorder="1" applyAlignment="1">
      <alignment horizontal="center"/>
    </xf>
    <xf numFmtId="0" fontId="97" fillId="0" borderId="38" xfId="0" applyFont="1" applyBorder="1" applyAlignment="1">
      <alignment horizontal="center"/>
    </xf>
    <xf numFmtId="0" fontId="97" fillId="0" borderId="6" xfId="0" applyFont="1" applyBorder="1" applyAlignment="1">
      <alignment horizontal="center"/>
    </xf>
    <xf numFmtId="3" fontId="97" fillId="0" borderId="19" xfId="0" applyNumberFormat="1" applyFont="1" applyBorder="1" applyAlignment="1">
      <alignment horizontal="center"/>
    </xf>
    <xf numFmtId="0" fontId="97" fillId="0" borderId="19" xfId="0" applyFont="1" applyBorder="1"/>
    <xf numFmtId="0" fontId="97" fillId="0" borderId="43" xfId="0" applyFont="1" applyBorder="1" applyAlignment="1">
      <alignment horizontal="center"/>
    </xf>
    <xf numFmtId="4" fontId="97" fillId="0" borderId="60" xfId="0" applyNumberFormat="1" applyFont="1" applyBorder="1" applyAlignment="1">
      <alignment horizontal="center"/>
    </xf>
    <xf numFmtId="4" fontId="102" fillId="0" borderId="60" xfId="0" applyNumberFormat="1" applyFont="1" applyFill="1" applyBorder="1" applyAlignment="1">
      <alignment horizontal="center"/>
    </xf>
    <xf numFmtId="4" fontId="105" fillId="0" borderId="60" xfId="0" applyNumberFormat="1" applyFont="1" applyBorder="1" applyAlignment="1">
      <alignment horizontal="center"/>
    </xf>
    <xf numFmtId="4" fontId="103" fillId="0" borderId="8" xfId="0" applyNumberFormat="1" applyFont="1" applyBorder="1" applyAlignment="1">
      <alignment horizontal="center"/>
    </xf>
    <xf numFmtId="0" fontId="97" fillId="2" borderId="8" xfId="0" applyFont="1" applyFill="1" applyBorder="1" applyAlignment="1">
      <alignment horizontal="center" vertical="center"/>
    </xf>
    <xf numFmtId="0" fontId="97" fillId="0" borderId="1" xfId="0" applyFont="1" applyBorder="1" applyAlignment="1">
      <alignment horizontal="center" vertical="center"/>
    </xf>
    <xf numFmtId="4" fontId="97" fillId="0" borderId="1" xfId="0" applyNumberFormat="1" applyFont="1" applyBorder="1" applyAlignment="1">
      <alignment horizontal="center" vertical="center"/>
    </xf>
    <xf numFmtId="4" fontId="97" fillId="0" borderId="15" xfId="0" applyNumberFormat="1" applyFont="1" applyBorder="1" applyAlignment="1">
      <alignment horizontal="center" vertical="center"/>
    </xf>
    <xf numFmtId="0" fontId="97" fillId="0" borderId="52" xfId="0" applyFont="1" applyBorder="1" applyAlignment="1">
      <alignment horizontal="center" vertical="center"/>
    </xf>
    <xf numFmtId="4" fontId="97" fillId="0" borderId="1" xfId="0" applyNumberFormat="1" applyFont="1" applyBorder="1" applyAlignment="1">
      <alignment horizontal="center" vertical="center" shrinkToFit="1"/>
    </xf>
    <xf numFmtId="4" fontId="97" fillId="0" borderId="15" xfId="0" applyNumberFormat="1" applyFont="1" applyBorder="1" applyAlignment="1">
      <alignment horizontal="center" vertical="center" shrinkToFit="1"/>
    </xf>
    <xf numFmtId="4" fontId="97" fillId="0" borderId="5" xfId="0" applyNumberFormat="1" applyFont="1" applyBorder="1" applyAlignment="1">
      <alignment horizontal="center" vertical="center"/>
    </xf>
    <xf numFmtId="0" fontId="97" fillId="0" borderId="71" xfId="0" applyFont="1" applyBorder="1" applyAlignment="1">
      <alignment horizontal="center" vertical="center"/>
    </xf>
    <xf numFmtId="4" fontId="97" fillId="0" borderId="3" xfId="0" applyNumberFormat="1" applyFont="1" applyBorder="1" applyAlignment="1">
      <alignment horizontal="center" vertical="center"/>
    </xf>
    <xf numFmtId="4" fontId="97" fillId="0" borderId="39" xfId="0" applyNumberFormat="1" applyFont="1" applyBorder="1" applyAlignment="1">
      <alignment horizontal="center" vertical="center"/>
    </xf>
    <xf numFmtId="4" fontId="97" fillId="0" borderId="9" xfId="0" applyNumberFormat="1" applyFont="1" applyBorder="1" applyAlignment="1">
      <alignment horizontal="center" vertical="center"/>
    </xf>
    <xf numFmtId="0" fontId="97" fillId="0" borderId="44" xfId="0" applyFont="1" applyBorder="1" applyAlignment="1">
      <alignment horizontal="center" vertical="center"/>
    </xf>
    <xf numFmtId="4" fontId="97" fillId="0" borderId="60" xfId="0" applyNumberFormat="1" applyFont="1" applyBorder="1"/>
    <xf numFmtId="4" fontId="103" fillId="0" borderId="1" xfId="0" applyNumberFormat="1" applyFont="1" applyBorder="1"/>
    <xf numFmtId="4" fontId="103" fillId="0" borderId="8" xfId="0" applyNumberFormat="1" applyFont="1" applyBorder="1"/>
    <xf numFmtId="0" fontId="97" fillId="0" borderId="65" xfId="0" applyFont="1" applyBorder="1" applyAlignment="1">
      <alignment vertical="center"/>
    </xf>
    <xf numFmtId="0" fontId="97" fillId="2" borderId="48" xfId="0" applyFont="1" applyFill="1" applyBorder="1" applyAlignment="1">
      <alignment horizontal="center" vertical="center"/>
    </xf>
    <xf numFmtId="0" fontId="97" fillId="2" borderId="52" xfId="0" applyFont="1" applyFill="1" applyBorder="1" applyAlignment="1">
      <alignment horizontal="center" vertical="center"/>
    </xf>
    <xf numFmtId="0" fontId="97" fillId="2" borderId="2" xfId="0" applyFont="1" applyFill="1" applyBorder="1" applyAlignment="1">
      <alignment horizontal="center" vertical="center"/>
    </xf>
    <xf numFmtId="0" fontId="97" fillId="2" borderId="72" xfId="0" applyFont="1" applyFill="1" applyBorder="1" applyAlignment="1">
      <alignment horizontal="center" vertical="center"/>
    </xf>
    <xf numFmtId="0" fontId="97" fillId="2" borderId="57" xfId="0" applyFont="1" applyFill="1" applyBorder="1" applyAlignment="1">
      <alignment horizontal="center" vertical="center"/>
    </xf>
    <xf numFmtId="0" fontId="97" fillId="0" borderId="17" xfId="0" applyFont="1" applyBorder="1" applyAlignment="1">
      <alignment horizontal="center"/>
    </xf>
    <xf numFmtId="4" fontId="97" fillId="0" borderId="17" xfId="0" applyNumberFormat="1" applyFont="1" applyBorder="1" applyAlignment="1">
      <alignment horizontal="center" vertical="center"/>
    </xf>
    <xf numFmtId="4" fontId="97" fillId="0" borderId="18" xfId="0" applyNumberFormat="1" applyFont="1" applyBorder="1" applyAlignment="1">
      <alignment horizontal="center" vertical="center"/>
    </xf>
    <xf numFmtId="0" fontId="97" fillId="0" borderId="50" xfId="0" applyFont="1" applyBorder="1" applyAlignment="1">
      <alignment horizontal="center" vertical="center"/>
    </xf>
    <xf numFmtId="4" fontId="97" fillId="0" borderId="17" xfId="0" applyNumberFormat="1" applyFont="1" applyBorder="1" applyAlignment="1">
      <alignment horizontal="center" vertical="center" shrinkToFit="1"/>
    </xf>
    <xf numFmtId="4" fontId="97" fillId="0" borderId="18" xfId="0" applyNumberFormat="1" applyFont="1" applyBorder="1" applyAlignment="1">
      <alignment horizontal="center" vertical="center" shrinkToFit="1"/>
    </xf>
    <xf numFmtId="4" fontId="97" fillId="0" borderId="41" xfId="0" applyNumberFormat="1" applyFont="1" applyBorder="1" applyAlignment="1">
      <alignment horizontal="center" vertical="center"/>
    </xf>
    <xf numFmtId="0" fontId="97" fillId="0" borderId="58" xfId="0" applyFont="1" applyBorder="1" applyAlignment="1">
      <alignment horizontal="center" vertical="center"/>
    </xf>
    <xf numFmtId="4" fontId="97" fillId="0" borderId="61" xfId="0" applyNumberFormat="1" applyFont="1" applyBorder="1" applyAlignment="1">
      <alignment horizontal="center" vertical="center"/>
    </xf>
    <xf numFmtId="4" fontId="102" fillId="0" borderId="61" xfId="0" applyNumberFormat="1" applyFont="1" applyFill="1" applyBorder="1" applyAlignment="1">
      <alignment horizontal="center" vertical="center"/>
    </xf>
    <xf numFmtId="4" fontId="105" fillId="0" borderId="61" xfId="0" applyNumberFormat="1" applyFont="1" applyBorder="1" applyAlignment="1">
      <alignment horizontal="center" vertical="center"/>
    </xf>
    <xf numFmtId="4" fontId="103" fillId="0" borderId="69" xfId="0" applyNumberFormat="1" applyFont="1" applyBorder="1" applyAlignment="1">
      <alignment horizontal="center" vertical="center"/>
    </xf>
    <xf numFmtId="0" fontId="97" fillId="0" borderId="95" xfId="0" applyFont="1" applyBorder="1" applyAlignment="1">
      <alignment vertical="center"/>
    </xf>
    <xf numFmtId="0" fontId="97" fillId="0" borderId="64" xfId="0" applyFont="1" applyBorder="1" applyAlignment="1">
      <alignment horizontal="center"/>
    </xf>
    <xf numFmtId="0" fontId="97" fillId="2" borderId="44" xfId="0" applyFont="1" applyFill="1" applyBorder="1" applyAlignment="1">
      <alignment horizontal="center"/>
    </xf>
    <xf numFmtId="0" fontId="97" fillId="2" borderId="10" xfId="0" applyFont="1" applyFill="1" applyBorder="1" applyAlignment="1">
      <alignment horizontal="center"/>
    </xf>
    <xf numFmtId="0" fontId="97" fillId="2" borderId="3" xfId="0" applyFont="1" applyFill="1" applyBorder="1" applyAlignment="1">
      <alignment horizontal="center"/>
    </xf>
    <xf numFmtId="0" fontId="97" fillId="2" borderId="56" xfId="0" applyFont="1" applyFill="1" applyBorder="1" applyAlignment="1">
      <alignment horizontal="center"/>
    </xf>
    <xf numFmtId="0" fontId="97" fillId="2" borderId="0" xfId="0" applyFont="1" applyFill="1" applyBorder="1" applyAlignment="1">
      <alignment horizontal="center"/>
    </xf>
    <xf numFmtId="0" fontId="97" fillId="2" borderId="43" xfId="0" applyFont="1" applyFill="1" applyBorder="1" applyAlignment="1">
      <alignment horizontal="center"/>
    </xf>
    <xf numFmtId="0" fontId="97" fillId="0" borderId="10" xfId="0" applyFont="1" applyBorder="1"/>
    <xf numFmtId="0" fontId="97" fillId="0" borderId="3" xfId="0" applyFont="1" applyBorder="1" applyAlignment="1">
      <alignment horizontal="center"/>
    </xf>
    <xf numFmtId="4" fontId="97" fillId="0" borderId="3" xfId="0" applyNumberFormat="1" applyFont="1" applyBorder="1" applyAlignment="1">
      <alignment horizontal="center"/>
    </xf>
    <xf numFmtId="4" fontId="97" fillId="0" borderId="39" xfId="0" applyNumberFormat="1" applyFont="1" applyBorder="1" applyAlignment="1">
      <alignment horizontal="center"/>
    </xf>
    <xf numFmtId="4" fontId="97" fillId="0" borderId="4" xfId="0" applyNumberFormat="1" applyFont="1" applyBorder="1" applyAlignment="1">
      <alignment horizontal="center"/>
    </xf>
    <xf numFmtId="4" fontId="97" fillId="0" borderId="13" xfId="0" applyNumberFormat="1" applyFont="1" applyBorder="1" applyAlignment="1">
      <alignment horizontal="center"/>
    </xf>
    <xf numFmtId="0" fontId="97" fillId="0" borderId="10" xfId="0" applyFont="1" applyBorder="1" applyAlignment="1">
      <alignment horizontal="center"/>
    </xf>
    <xf numFmtId="4" fontId="97" fillId="0" borderId="10" xfId="0" applyNumberFormat="1" applyFont="1" applyBorder="1" applyAlignment="1">
      <alignment horizontal="center"/>
    </xf>
    <xf numFmtId="0" fontId="97" fillId="0" borderId="7" xfId="0" applyFont="1" applyBorder="1" applyAlignment="1">
      <alignment horizontal="center" vertical="center"/>
    </xf>
    <xf numFmtId="4" fontId="97" fillId="0" borderId="4" xfId="0" applyNumberFormat="1" applyFont="1" applyBorder="1" applyAlignment="1">
      <alignment horizontal="center" shrinkToFit="1"/>
    </xf>
    <xf numFmtId="4" fontId="97" fillId="0" borderId="44" xfId="0" applyNumberFormat="1" applyFont="1" applyBorder="1" applyAlignment="1">
      <alignment horizontal="center" shrinkToFit="1"/>
    </xf>
    <xf numFmtId="4" fontId="97" fillId="0" borderId="44" xfId="0" applyNumberFormat="1" applyFont="1" applyBorder="1" applyAlignment="1">
      <alignment horizontal="center"/>
    </xf>
    <xf numFmtId="0" fontId="97" fillId="0" borderId="9" xfId="0" applyFont="1" applyBorder="1" applyAlignment="1">
      <alignment horizontal="center" vertical="center"/>
    </xf>
    <xf numFmtId="0" fontId="97" fillId="0" borderId="1" xfId="0" applyFont="1" applyBorder="1" applyAlignment="1">
      <alignment horizontal="center"/>
    </xf>
    <xf numFmtId="4" fontId="97" fillId="0" borderId="15" xfId="0" applyNumberFormat="1" applyFont="1" applyBorder="1" applyAlignment="1">
      <alignment horizontal="center"/>
    </xf>
    <xf numFmtId="4" fontId="97" fillId="0" borderId="11" xfId="0" applyNumberFormat="1" applyFont="1" applyBorder="1" applyAlignment="1">
      <alignment horizontal="center"/>
    </xf>
    <xf numFmtId="4" fontId="97" fillId="0" borderId="8" xfId="0" applyNumberFormat="1" applyFont="1" applyBorder="1" applyAlignment="1">
      <alignment horizontal="center"/>
    </xf>
    <xf numFmtId="0" fontId="97" fillId="0" borderId="1" xfId="0" applyFont="1" applyBorder="1"/>
    <xf numFmtId="4" fontId="97" fillId="0" borderId="1" xfId="0" applyNumberFormat="1" applyFont="1" applyBorder="1"/>
    <xf numFmtId="4" fontId="97" fillId="0" borderId="5" xfId="0" applyNumberFormat="1" applyFont="1" applyBorder="1"/>
    <xf numFmtId="0" fontId="97" fillId="0" borderId="38" xfId="0" applyFont="1" applyBorder="1"/>
    <xf numFmtId="0" fontId="97" fillId="0" borderId="3" xfId="0" applyFont="1" applyBorder="1"/>
    <xf numFmtId="4" fontId="97" fillId="0" borderId="3" xfId="0" applyNumberFormat="1" applyFont="1" applyBorder="1"/>
    <xf numFmtId="4" fontId="97" fillId="0" borderId="39" xfId="0" applyNumberFormat="1" applyFont="1" applyBorder="1"/>
    <xf numFmtId="0" fontId="97" fillId="0" borderId="44" xfId="0" applyFont="1" applyBorder="1"/>
    <xf numFmtId="4" fontId="97" fillId="0" borderId="59" xfId="0" applyNumberFormat="1" applyFont="1" applyBorder="1"/>
    <xf numFmtId="4" fontId="97" fillId="0" borderId="64" xfId="0" applyNumberFormat="1" applyFont="1" applyBorder="1"/>
    <xf numFmtId="4" fontId="102" fillId="0" borderId="22" xfId="0" applyNumberFormat="1" applyFont="1" applyFill="1" applyBorder="1"/>
    <xf numFmtId="4" fontId="97" fillId="0" borderId="22" xfId="0" applyNumberFormat="1" applyFont="1" applyBorder="1"/>
    <xf numFmtId="0" fontId="103" fillId="0" borderId="1" xfId="0" applyFont="1" applyBorder="1"/>
    <xf numFmtId="0" fontId="103" fillId="0" borderId="8" xfId="0" applyFont="1" applyBorder="1"/>
    <xf numFmtId="4" fontId="97" fillId="0" borderId="23" xfId="0" applyNumberFormat="1" applyFont="1" applyBorder="1"/>
    <xf numFmtId="4" fontId="101" fillId="0" borderId="0" xfId="0" applyNumberFormat="1" applyFont="1" applyAlignment="1">
      <alignment horizontal="right"/>
    </xf>
    <xf numFmtId="0" fontId="106" fillId="0" borderId="77" xfId="0" applyNumberFormat="1" applyFont="1" applyFill="1" applyBorder="1" applyAlignment="1">
      <alignment horizontal="center" vertical="center" wrapText="1"/>
    </xf>
    <xf numFmtId="166" fontId="106" fillId="2" borderId="83" xfId="0" applyNumberFormat="1" applyFont="1" applyFill="1" applyBorder="1" applyAlignment="1">
      <alignment horizontal="center" vertical="center" wrapText="1"/>
    </xf>
    <xf numFmtId="4" fontId="106" fillId="2" borderId="7" xfId="0" applyNumberFormat="1" applyFont="1" applyFill="1" applyBorder="1" applyAlignment="1">
      <alignment horizontal="center" vertical="center" wrapText="1"/>
    </xf>
    <xf numFmtId="3" fontId="106" fillId="2" borderId="1" xfId="0" applyNumberFormat="1" applyFont="1" applyFill="1" applyBorder="1" applyAlignment="1">
      <alignment horizontal="center" vertical="center" wrapText="1"/>
    </xf>
    <xf numFmtId="0" fontId="106" fillId="2" borderId="76" xfId="0" applyNumberFormat="1" applyFont="1" applyFill="1" applyBorder="1" applyAlignment="1">
      <alignment horizontal="center" vertical="center" wrapText="1"/>
    </xf>
    <xf numFmtId="3" fontId="97" fillId="0" borderId="7" xfId="0" applyNumberFormat="1" applyFont="1" applyFill="1" applyBorder="1" applyAlignment="1">
      <alignment horizontal="center"/>
    </xf>
    <xf numFmtId="0" fontId="97" fillId="0" borderId="1" xfId="0" applyFont="1" applyFill="1" applyBorder="1" applyAlignment="1">
      <alignment horizontal="center"/>
    </xf>
    <xf numFmtId="4" fontId="97" fillId="0" borderId="1" xfId="0" applyNumberFormat="1" applyFont="1" applyFill="1" applyBorder="1" applyAlignment="1">
      <alignment horizontal="center"/>
    </xf>
    <xf numFmtId="4" fontId="97" fillId="3" borderId="15" xfId="0" applyNumberFormat="1" applyFont="1" applyFill="1" applyBorder="1" applyAlignment="1">
      <alignment horizontal="center"/>
    </xf>
    <xf numFmtId="3" fontId="97" fillId="0" borderId="1" xfId="0" applyNumberFormat="1" applyFont="1" applyFill="1" applyBorder="1" applyAlignment="1">
      <alignment horizontal="center"/>
    </xf>
    <xf numFmtId="0" fontId="97" fillId="0" borderId="14" xfId="0" applyFont="1" applyFill="1" applyBorder="1" applyAlignment="1">
      <alignment horizontal="center"/>
    </xf>
    <xf numFmtId="0" fontId="97" fillId="0" borderId="7" xfId="0" applyFont="1" applyFill="1" applyBorder="1" applyAlignment="1">
      <alignment horizontal="center"/>
    </xf>
    <xf numFmtId="2" fontId="97" fillId="0" borderId="7" xfId="0" applyNumberFormat="1" applyFont="1" applyBorder="1" applyAlignment="1">
      <alignment horizontal="center" vertical="center"/>
    </xf>
    <xf numFmtId="3" fontId="97" fillId="0" borderId="1" xfId="0" applyNumberFormat="1" applyFont="1" applyFill="1" applyBorder="1" applyAlignment="1">
      <alignment horizontal="center" shrinkToFit="1"/>
    </xf>
    <xf numFmtId="4" fontId="97" fillId="0" borderId="1" xfId="0" applyNumberFormat="1" applyFont="1" applyFill="1" applyBorder="1" applyAlignment="1">
      <alignment horizontal="center" shrinkToFit="1"/>
    </xf>
    <xf numFmtId="4" fontId="97" fillId="3" borderId="15" xfId="0" applyNumberFormat="1" applyFont="1" applyFill="1" applyBorder="1" applyAlignment="1">
      <alignment horizontal="center" shrinkToFit="1"/>
    </xf>
    <xf numFmtId="1" fontId="97" fillId="0" borderId="1" xfId="0" applyNumberFormat="1" applyFont="1" applyFill="1" applyBorder="1" applyAlignment="1">
      <alignment horizontal="center"/>
    </xf>
    <xf numFmtId="1" fontId="97" fillId="0" borderId="14" xfId="0" applyNumberFormat="1" applyFont="1" applyFill="1" applyBorder="1" applyAlignment="1">
      <alignment horizontal="center"/>
    </xf>
    <xf numFmtId="4" fontId="97" fillId="0" borderId="7" xfId="0" applyNumberFormat="1" applyFont="1" applyFill="1" applyBorder="1" applyAlignment="1">
      <alignment horizontal="center"/>
    </xf>
    <xf numFmtId="4" fontId="97" fillId="3" borderId="23" xfId="0" applyNumberFormat="1" applyFont="1" applyFill="1" applyBorder="1" applyAlignment="1">
      <alignment horizontal="center"/>
    </xf>
    <xf numFmtId="3" fontId="97" fillId="13" borderId="4" xfId="0" applyNumberFormat="1" applyFont="1" applyFill="1" applyBorder="1" applyAlignment="1">
      <alignment horizontal="center"/>
    </xf>
    <xf numFmtId="4" fontId="97" fillId="3" borderId="39" xfId="0" applyNumberFormat="1" applyFont="1" applyFill="1" applyBorder="1" applyAlignment="1">
      <alignment horizontal="center" vertical="center"/>
    </xf>
    <xf numFmtId="4" fontId="97" fillId="0" borderId="9" xfId="0" applyNumberFormat="1" applyFont="1" applyFill="1" applyBorder="1" applyAlignment="1">
      <alignment horizontal="center" vertical="center"/>
    </xf>
    <xf numFmtId="3" fontId="106" fillId="0" borderId="74" xfId="0" applyNumberFormat="1" applyFont="1" applyFill="1" applyBorder="1" applyAlignment="1">
      <alignment horizontal="center" vertical="center" wrapText="1"/>
    </xf>
    <xf numFmtId="4" fontId="97" fillId="3" borderId="39" xfId="0" applyNumberFormat="1" applyFont="1" applyFill="1" applyBorder="1" applyAlignment="1">
      <alignment horizontal="center"/>
    </xf>
    <xf numFmtId="4" fontId="97" fillId="3" borderId="8" xfId="0" applyNumberFormat="1" applyFont="1" applyFill="1" applyBorder="1" applyAlignment="1">
      <alignment horizontal="center"/>
    </xf>
    <xf numFmtId="0" fontId="97" fillId="0" borderId="7" xfId="0" applyNumberFormat="1" applyFont="1" applyFill="1" applyBorder="1" applyAlignment="1">
      <alignment horizontal="center"/>
    </xf>
    <xf numFmtId="49" fontId="107" fillId="0" borderId="14" xfId="0" applyNumberFormat="1" applyFont="1" applyFill="1" applyBorder="1" applyAlignment="1">
      <alignment horizontal="center"/>
    </xf>
    <xf numFmtId="4" fontId="97" fillId="3" borderId="5" xfId="0" applyNumberFormat="1" applyFont="1" applyFill="1" applyBorder="1" applyAlignment="1">
      <alignment horizontal="center"/>
    </xf>
    <xf numFmtId="0" fontId="97" fillId="4" borderId="14" xfId="0" applyFont="1" applyFill="1" applyBorder="1" applyAlignment="1">
      <alignment horizontal="center"/>
    </xf>
    <xf numFmtId="4" fontId="97" fillId="3" borderId="60" xfId="0" applyNumberFormat="1" applyFont="1" applyFill="1" applyBorder="1" applyAlignment="1">
      <alignment horizontal="center"/>
    </xf>
    <xf numFmtId="4" fontId="97" fillId="11" borderId="60" xfId="0" applyNumberFormat="1" applyFont="1" applyFill="1" applyBorder="1" applyAlignment="1">
      <alignment horizontal="center"/>
    </xf>
    <xf numFmtId="4" fontId="97" fillId="10" borderId="60" xfId="0" applyNumberFormat="1" applyFont="1" applyFill="1" applyBorder="1" applyAlignment="1">
      <alignment horizontal="center"/>
    </xf>
    <xf numFmtId="4" fontId="102" fillId="0" borderId="22" xfId="0" applyNumberFormat="1" applyFont="1" applyFill="1" applyBorder="1" applyAlignment="1">
      <alignment horizontal="center"/>
    </xf>
    <xf numFmtId="4" fontId="105" fillId="3" borderId="22" xfId="0" applyNumberFormat="1" applyFont="1" applyFill="1" applyBorder="1" applyAlignment="1">
      <alignment horizontal="center"/>
    </xf>
    <xf numFmtId="2" fontId="103" fillId="0" borderId="1" xfId="0" applyNumberFormat="1" applyFont="1" applyBorder="1"/>
    <xf numFmtId="2" fontId="103" fillId="0" borderId="8" xfId="0" applyNumberFormat="1" applyFont="1" applyBorder="1"/>
    <xf numFmtId="4" fontId="97" fillId="4" borderId="23" xfId="0" applyNumberFormat="1" applyFont="1" applyFill="1" applyBorder="1" applyAlignment="1">
      <alignment horizontal="center"/>
    </xf>
    <xf numFmtId="2" fontId="97" fillId="5" borderId="22" xfId="0" applyNumberFormat="1" applyFont="1" applyFill="1" applyBorder="1" applyAlignment="1">
      <alignment horizontal="center"/>
    </xf>
    <xf numFmtId="1" fontId="107" fillId="0" borderId="14" xfId="0" applyNumberFormat="1" applyFont="1" applyFill="1" applyBorder="1" applyAlignment="1">
      <alignment horizontal="center"/>
    </xf>
    <xf numFmtId="0" fontId="97" fillId="0" borderId="0" xfId="0" applyFont="1" applyBorder="1"/>
    <xf numFmtId="0" fontId="106" fillId="0" borderId="81" xfId="0" applyNumberFormat="1" applyFont="1" applyFill="1" applyBorder="1" applyAlignment="1">
      <alignment horizontal="center" vertical="center" wrapText="1"/>
    </xf>
    <xf numFmtId="166" fontId="106" fillId="2" borderId="84" xfId="0" applyNumberFormat="1" applyFont="1" applyFill="1" applyBorder="1" applyAlignment="1">
      <alignment horizontal="center" vertical="center" wrapText="1"/>
    </xf>
    <xf numFmtId="4" fontId="106" fillId="2" borderId="45" xfId="0" applyNumberFormat="1" applyFont="1" applyFill="1" applyBorder="1" applyAlignment="1">
      <alignment horizontal="center" vertical="center" wrapText="1"/>
    </xf>
    <xf numFmtId="3" fontId="106" fillId="2" borderId="17" xfId="0" applyNumberFormat="1" applyFont="1" applyFill="1" applyBorder="1" applyAlignment="1">
      <alignment horizontal="center" vertical="center" wrapText="1"/>
    </xf>
    <xf numFmtId="0" fontId="106" fillId="2" borderId="82" xfId="0" applyNumberFormat="1" applyFont="1" applyFill="1" applyBorder="1" applyAlignment="1">
      <alignment horizontal="center" vertical="center" wrapText="1"/>
    </xf>
    <xf numFmtId="3" fontId="97" fillId="0" borderId="45" xfId="0" applyNumberFormat="1" applyFont="1" applyFill="1" applyBorder="1" applyAlignment="1">
      <alignment horizontal="center"/>
    </xf>
    <xf numFmtId="0" fontId="97" fillId="0" borderId="17" xfId="0" applyFont="1" applyFill="1" applyBorder="1" applyAlignment="1">
      <alignment horizontal="center"/>
    </xf>
    <xf numFmtId="4" fontId="97" fillId="0" borderId="17" xfId="0" applyNumberFormat="1" applyFont="1" applyFill="1" applyBorder="1" applyAlignment="1">
      <alignment horizontal="center"/>
    </xf>
    <xf numFmtId="4" fontId="97" fillId="3" borderId="18" xfId="0" applyNumberFormat="1" applyFont="1" applyFill="1" applyBorder="1" applyAlignment="1">
      <alignment horizontal="center"/>
    </xf>
    <xf numFmtId="3" fontId="97" fillId="0" borderId="16" xfId="0" applyNumberFormat="1" applyFont="1" applyFill="1" applyBorder="1" applyAlignment="1">
      <alignment horizontal="center"/>
    </xf>
    <xf numFmtId="3" fontId="97" fillId="0" borderId="17" xfId="0" applyNumberFormat="1" applyFont="1" applyFill="1" applyBorder="1" applyAlignment="1">
      <alignment horizontal="center"/>
    </xf>
    <xf numFmtId="0" fontId="97" fillId="0" borderId="16" xfId="0" applyFont="1" applyFill="1" applyBorder="1" applyAlignment="1">
      <alignment horizontal="center"/>
    </xf>
    <xf numFmtId="0" fontId="97" fillId="0" borderId="45" xfId="0" applyFont="1" applyFill="1" applyBorder="1" applyAlignment="1">
      <alignment horizontal="center"/>
    </xf>
    <xf numFmtId="2" fontId="97" fillId="0" borderId="45" xfId="0" applyNumberFormat="1" applyFont="1" applyBorder="1" applyAlignment="1">
      <alignment horizontal="center" vertical="center"/>
    </xf>
    <xf numFmtId="3" fontId="97" fillId="0" borderId="17" xfId="0" applyNumberFormat="1" applyFont="1" applyFill="1" applyBorder="1" applyAlignment="1">
      <alignment horizontal="center" shrinkToFit="1"/>
    </xf>
    <xf numFmtId="4" fontId="97" fillId="0" borderId="17" xfId="0" applyNumberFormat="1" applyFont="1" applyFill="1" applyBorder="1" applyAlignment="1">
      <alignment horizontal="center" shrinkToFit="1"/>
    </xf>
    <xf numFmtId="4" fontId="97" fillId="3" borderId="18" xfId="0" applyNumberFormat="1" applyFont="1" applyFill="1" applyBorder="1" applyAlignment="1">
      <alignment horizontal="center" shrinkToFit="1"/>
    </xf>
    <xf numFmtId="1" fontId="97" fillId="0" borderId="17" xfId="0" applyNumberFormat="1" applyFont="1" applyFill="1" applyBorder="1" applyAlignment="1">
      <alignment horizontal="center"/>
    </xf>
    <xf numFmtId="1" fontId="97" fillId="0" borderId="16" xfId="0" applyNumberFormat="1" applyFont="1" applyFill="1" applyBorder="1" applyAlignment="1">
      <alignment horizontal="center"/>
    </xf>
    <xf numFmtId="4" fontId="97" fillId="0" borderId="45" xfId="0" applyNumberFormat="1" applyFont="1" applyFill="1" applyBorder="1" applyAlignment="1">
      <alignment horizontal="center"/>
    </xf>
    <xf numFmtId="4" fontId="97" fillId="3" borderId="58" xfId="0" applyNumberFormat="1" applyFont="1" applyFill="1" applyBorder="1" applyAlignment="1">
      <alignment horizontal="center"/>
    </xf>
    <xf numFmtId="3" fontId="97" fillId="13" borderId="27" xfId="0" applyNumberFormat="1" applyFont="1" applyFill="1" applyBorder="1" applyAlignment="1">
      <alignment horizontal="center"/>
    </xf>
    <xf numFmtId="0" fontId="97" fillId="0" borderId="80" xfId="0" applyFont="1" applyBorder="1" applyAlignment="1">
      <alignment horizontal="center" vertical="center"/>
    </xf>
    <xf numFmtId="4" fontId="97" fillId="3" borderId="47" xfId="0" applyNumberFormat="1" applyFont="1" applyFill="1" applyBorder="1" applyAlignment="1">
      <alignment horizontal="center" vertical="center"/>
    </xf>
    <xf numFmtId="4" fontId="97" fillId="0" borderId="80" xfId="0" applyNumberFormat="1" applyFont="1" applyFill="1" applyBorder="1" applyAlignment="1">
      <alignment horizontal="center" vertical="center"/>
    </xf>
    <xf numFmtId="3" fontId="106" fillId="0" borderId="79" xfId="0" applyNumberFormat="1" applyFont="1" applyFill="1" applyBorder="1" applyAlignment="1">
      <alignment horizontal="center" vertical="center" wrapText="1"/>
    </xf>
    <xf numFmtId="4" fontId="97" fillId="0" borderId="90" xfId="0" applyNumberFormat="1" applyFont="1" applyFill="1" applyBorder="1" applyAlignment="1">
      <alignment horizontal="center" vertical="center"/>
    </xf>
    <xf numFmtId="0" fontId="97" fillId="0" borderId="46" xfId="0" applyFont="1" applyBorder="1" applyAlignment="1">
      <alignment horizontal="center"/>
    </xf>
    <xf numFmtId="4" fontId="97" fillId="3" borderId="47" xfId="0" applyNumberFormat="1" applyFont="1" applyFill="1" applyBorder="1" applyAlignment="1">
      <alignment horizontal="center"/>
    </xf>
    <xf numFmtId="4" fontId="97" fillId="3" borderId="66" xfId="0" applyNumberFormat="1" applyFont="1" applyFill="1" applyBorder="1" applyAlignment="1">
      <alignment horizontal="center"/>
    </xf>
    <xf numFmtId="0" fontId="97" fillId="0" borderId="16" xfId="0" applyFont="1" applyBorder="1" applyAlignment="1">
      <alignment horizontal="center"/>
    </xf>
    <xf numFmtId="0" fontId="97" fillId="0" borderId="16" xfId="0" applyNumberFormat="1" applyFont="1" applyFill="1" applyBorder="1" applyAlignment="1">
      <alignment horizontal="center"/>
    </xf>
    <xf numFmtId="2" fontId="97" fillId="5" borderId="51" xfId="0" applyNumberFormat="1" applyFont="1" applyFill="1" applyBorder="1" applyAlignment="1">
      <alignment horizontal="center"/>
    </xf>
    <xf numFmtId="4" fontId="97" fillId="3" borderId="41" xfId="0" applyNumberFormat="1" applyFont="1" applyFill="1" applyBorder="1" applyAlignment="1">
      <alignment horizontal="center"/>
    </xf>
    <xf numFmtId="1" fontId="107" fillId="0" borderId="16" xfId="0" applyNumberFormat="1" applyFont="1" applyFill="1" applyBorder="1" applyAlignment="1">
      <alignment horizontal="center"/>
    </xf>
    <xf numFmtId="4" fontId="97" fillId="0" borderId="0" xfId="0" applyNumberFormat="1" applyFont="1" applyFill="1" applyBorder="1" applyAlignment="1">
      <alignment horizontal="center"/>
    </xf>
    <xf numFmtId="0" fontId="97" fillId="0" borderId="0" xfId="0" applyFont="1" applyFill="1" applyBorder="1"/>
    <xf numFmtId="1" fontId="97" fillId="0" borderId="0" xfId="0" applyNumberFormat="1" applyFont="1" applyFill="1" applyBorder="1" applyAlignment="1">
      <alignment horizontal="center"/>
    </xf>
    <xf numFmtId="0" fontId="97" fillId="0" borderId="0" xfId="0" applyFont="1" applyFill="1" applyBorder="1" applyAlignment="1">
      <alignment horizontal="center" vertical="center"/>
    </xf>
    <xf numFmtId="4" fontId="97" fillId="0" borderId="0" xfId="0" applyNumberFormat="1" applyFont="1" applyFill="1" applyBorder="1" applyAlignment="1">
      <alignment horizontal="center" vertical="center"/>
    </xf>
    <xf numFmtId="2" fontId="97" fillId="0" borderId="0" xfId="0" applyNumberFormat="1" applyFont="1" applyFill="1" applyBorder="1" applyAlignment="1">
      <alignment horizontal="center"/>
    </xf>
    <xf numFmtId="1" fontId="107" fillId="0" borderId="0" xfId="0" applyNumberFormat="1" applyFont="1" applyFill="1" applyBorder="1" applyAlignment="1">
      <alignment horizontal="center"/>
    </xf>
    <xf numFmtId="4" fontId="102" fillId="0" borderId="0" xfId="0" applyNumberFormat="1" applyFont="1" applyFill="1" applyBorder="1" applyAlignment="1">
      <alignment horizontal="center"/>
    </xf>
    <xf numFmtId="4" fontId="105" fillId="0" borderId="0" xfId="0" applyNumberFormat="1" applyFont="1" applyFill="1" applyBorder="1" applyAlignment="1">
      <alignment horizontal="center"/>
    </xf>
    <xf numFmtId="2" fontId="103" fillId="0" borderId="0" xfId="0" applyNumberFormat="1" applyFont="1" applyFill="1" applyBorder="1"/>
    <xf numFmtId="4" fontId="101" fillId="0" borderId="0" xfId="0" applyNumberFormat="1" applyFont="1" applyBorder="1"/>
    <xf numFmtId="0" fontId="107" fillId="0" borderId="1" xfId="0" applyNumberFormat="1" applyFont="1" applyFill="1" applyBorder="1" applyAlignment="1">
      <alignment horizontal="center"/>
    </xf>
    <xf numFmtId="0" fontId="97" fillId="0" borderId="5" xfId="0" applyFont="1" applyBorder="1" applyAlignment="1">
      <alignment horizontal="center"/>
    </xf>
    <xf numFmtId="1" fontId="107" fillId="0" borderId="1" xfId="0" applyNumberFormat="1" applyFont="1" applyFill="1" applyBorder="1" applyAlignment="1">
      <alignment horizontal="center"/>
    </xf>
    <xf numFmtId="0" fontId="97" fillId="0" borderId="1" xfId="0" applyFont="1" applyFill="1" applyBorder="1" applyAlignment="1">
      <alignment horizontal="center" vertical="center"/>
    </xf>
    <xf numFmtId="0" fontId="97" fillId="0" borderId="5" xfId="0" applyFont="1" applyFill="1" applyBorder="1" applyAlignment="1">
      <alignment horizontal="center"/>
    </xf>
    <xf numFmtId="2" fontId="107" fillId="0" borderId="1" xfId="0" applyNumberFormat="1" applyFont="1" applyFill="1" applyBorder="1" applyAlignment="1">
      <alignment horizontal="center"/>
    </xf>
    <xf numFmtId="4" fontId="101" fillId="12" borderId="0" xfId="0" applyNumberFormat="1" applyFont="1" applyFill="1" applyBorder="1"/>
    <xf numFmtId="0" fontId="101" fillId="0" borderId="0" xfId="0" applyFont="1" applyBorder="1"/>
    <xf numFmtId="4" fontId="97" fillId="0" borderId="0" xfId="0" applyNumberFormat="1" applyFont="1" applyBorder="1"/>
    <xf numFmtId="4" fontId="97" fillId="0" borderId="0" xfId="0" applyNumberFormat="1" applyFont="1" applyFill="1" applyBorder="1"/>
    <xf numFmtId="4" fontId="102" fillId="0" borderId="0" xfId="0" applyNumberFormat="1" applyFont="1" applyFill="1" applyBorder="1"/>
    <xf numFmtId="0" fontId="103" fillId="0" borderId="0" xfId="0" applyFont="1" applyFill="1" applyBorder="1"/>
    <xf numFmtId="4" fontId="103" fillId="0" borderId="0" xfId="0" applyNumberFormat="1" applyFont="1" applyFill="1" applyBorder="1"/>
    <xf numFmtId="4" fontId="97" fillId="0" borderId="0" xfId="0" applyNumberFormat="1" applyFont="1" applyFill="1"/>
    <xf numFmtId="0" fontId="97" fillId="0" borderId="0" xfId="0" applyFont="1" applyFill="1"/>
    <xf numFmtId="4" fontId="97" fillId="0" borderId="0" xfId="0" applyNumberFormat="1" applyFont="1" applyFill="1" applyAlignment="1">
      <alignment horizontal="right"/>
    </xf>
    <xf numFmtId="0" fontId="103" fillId="0" borderId="0" xfId="0" applyFont="1" applyFill="1"/>
    <xf numFmtId="4" fontId="102" fillId="0" borderId="0" xfId="0" applyNumberFormat="1" applyFont="1"/>
    <xf numFmtId="2" fontId="97" fillId="2" borderId="2" xfId="0" applyNumberFormat="1" applyFont="1" applyFill="1" applyBorder="1" applyAlignment="1">
      <alignment horizontal="center"/>
    </xf>
    <xf numFmtId="0" fontId="97" fillId="2" borderId="2" xfId="0" applyFont="1" applyFill="1" applyBorder="1" applyAlignment="1">
      <alignment horizontal="center"/>
    </xf>
    <xf numFmtId="2" fontId="97" fillId="2" borderId="72" xfId="0" applyNumberFormat="1" applyFont="1" applyFill="1" applyBorder="1" applyAlignment="1">
      <alignment horizontal="center"/>
    </xf>
    <xf numFmtId="2" fontId="97" fillId="2" borderId="71" xfId="0" applyNumberFormat="1" applyFont="1" applyFill="1" applyBorder="1" applyAlignment="1">
      <alignment horizontal="center"/>
    </xf>
    <xf numFmtId="1" fontId="97" fillId="2" borderId="57" xfId="0" applyNumberFormat="1" applyFont="1" applyFill="1" applyBorder="1" applyAlignment="1">
      <alignment horizontal="center"/>
    </xf>
    <xf numFmtId="0" fontId="97" fillId="2" borderId="15" xfId="0" applyFont="1" applyFill="1" applyBorder="1" applyAlignment="1">
      <alignment horizontal="center"/>
    </xf>
    <xf numFmtId="0" fontId="97" fillId="2" borderId="18" xfId="0" applyFont="1" applyFill="1" applyBorder="1" applyAlignment="1">
      <alignment horizontal="center"/>
    </xf>
    <xf numFmtId="0" fontId="97" fillId="0" borderId="26" xfId="0" applyFont="1" applyFill="1" applyBorder="1" applyAlignment="1">
      <alignment horizontal="center"/>
    </xf>
    <xf numFmtId="2" fontId="99" fillId="0" borderId="0" xfId="0" applyNumberFormat="1" applyFont="1" applyFill="1"/>
    <xf numFmtId="2" fontId="98" fillId="0" borderId="0" xfId="0" applyNumberFormat="1" applyFont="1"/>
    <xf numFmtId="0" fontId="97" fillId="2" borderId="36" xfId="0" applyFont="1" applyFill="1" applyBorder="1" applyAlignment="1">
      <alignment horizontal="center" vertical="center" wrapText="1"/>
    </xf>
    <xf numFmtId="0" fontId="97" fillId="2" borderId="35" xfId="0" applyFont="1" applyFill="1" applyBorder="1" applyAlignment="1">
      <alignment horizontal="center" vertical="center" wrapText="1"/>
    </xf>
    <xf numFmtId="3" fontId="97" fillId="0" borderId="12" xfId="0" applyNumberFormat="1" applyFont="1" applyBorder="1" applyAlignment="1">
      <alignment horizontal="center"/>
    </xf>
    <xf numFmtId="49" fontId="97" fillId="0" borderId="26" xfId="0" applyNumberFormat="1" applyFont="1" applyBorder="1" applyAlignment="1">
      <alignment horizontal="center" wrapText="1" shrinkToFit="1"/>
    </xf>
    <xf numFmtId="4" fontId="97" fillId="0" borderId="20" xfId="0" applyNumberFormat="1" applyFont="1" applyBorder="1" applyAlignment="1">
      <alignment horizontal="center" wrapText="1" shrinkToFit="1"/>
    </xf>
    <xf numFmtId="4" fontId="97" fillId="0" borderId="21" xfId="0" applyNumberFormat="1" applyFont="1" applyBorder="1" applyAlignment="1">
      <alignment horizontal="center" wrapText="1" shrinkToFit="1"/>
    </xf>
    <xf numFmtId="49" fontId="97" fillId="0" borderId="19" xfId="0" applyNumberFormat="1" applyFont="1" applyBorder="1" applyAlignment="1">
      <alignment horizontal="center" wrapText="1" shrinkToFit="1"/>
    </xf>
    <xf numFmtId="49" fontId="97" fillId="0" borderId="6" xfId="0" applyNumberFormat="1" applyFont="1" applyBorder="1" applyAlignment="1">
      <alignment horizontal="center"/>
    </xf>
    <xf numFmtId="49" fontId="97" fillId="0" borderId="28" xfId="0" applyNumberFormat="1" applyFont="1" applyBorder="1" applyAlignment="1">
      <alignment horizontal="center"/>
    </xf>
    <xf numFmtId="0" fontId="97" fillId="0" borderId="53" xfId="0" applyFont="1" applyBorder="1" applyAlignment="1">
      <alignment horizontal="center"/>
    </xf>
    <xf numFmtId="49" fontId="97" fillId="0" borderId="53" xfId="0" applyNumberFormat="1" applyFont="1" applyBorder="1" applyAlignment="1">
      <alignment horizontal="center"/>
    </xf>
    <xf numFmtId="49" fontId="97" fillId="0" borderId="30" xfId="0" applyNumberFormat="1" applyFont="1" applyBorder="1" applyAlignment="1">
      <alignment horizontal="center"/>
    </xf>
    <xf numFmtId="3" fontId="97" fillId="0" borderId="32" xfId="0" applyNumberFormat="1" applyFont="1" applyBorder="1" applyAlignment="1">
      <alignment horizontal="center"/>
    </xf>
    <xf numFmtId="4" fontId="97" fillId="0" borderId="6" xfId="0" applyNumberFormat="1" applyFont="1" applyBorder="1" applyAlignment="1">
      <alignment horizontal="center"/>
    </xf>
    <xf numFmtId="0" fontId="97" fillId="0" borderId="32" xfId="0" applyFont="1" applyBorder="1" applyAlignment="1">
      <alignment horizontal="center" vertical="center"/>
    </xf>
    <xf numFmtId="0" fontId="97" fillId="0" borderId="19" xfId="0" applyFont="1" applyBorder="1" applyAlignment="1">
      <alignment horizontal="center" vertical="center"/>
    </xf>
    <xf numFmtId="0" fontId="97" fillId="2" borderId="23" xfId="0" applyFont="1" applyFill="1" applyBorder="1" applyAlignment="1">
      <alignment horizontal="center" vertical="center"/>
    </xf>
    <xf numFmtId="4" fontId="97" fillId="0" borderId="5" xfId="0" applyNumberFormat="1" applyFont="1" applyBorder="1" applyAlignment="1">
      <alignment horizontal="center" vertical="center" shrinkToFit="1"/>
    </xf>
    <xf numFmtId="4" fontId="97" fillId="0" borderId="1" xfId="0" applyNumberFormat="1" applyFont="1" applyBorder="1" applyAlignment="1">
      <alignment horizontal="center" vertical="center" wrapText="1" shrinkToFit="1"/>
    </xf>
    <xf numFmtId="4" fontId="97" fillId="0" borderId="15" xfId="0" applyNumberFormat="1" applyFont="1" applyBorder="1" applyAlignment="1">
      <alignment horizontal="center" vertical="center" wrapText="1" shrinkToFit="1"/>
    </xf>
    <xf numFmtId="0" fontId="97" fillId="0" borderId="52" xfId="0" applyFont="1" applyBorder="1" applyAlignment="1">
      <alignment horizontal="center"/>
    </xf>
    <xf numFmtId="0" fontId="97" fillId="0" borderId="64" xfId="0" applyFont="1" applyBorder="1" applyAlignment="1">
      <alignment horizontal="center" vertical="center"/>
    </xf>
    <xf numFmtId="4" fontId="97" fillId="0" borderId="41" xfId="0" applyNumberFormat="1" applyFont="1" applyBorder="1" applyAlignment="1">
      <alignment horizontal="center" vertical="center" shrinkToFit="1"/>
    </xf>
    <xf numFmtId="4" fontId="97" fillId="0" borderId="17" xfId="0" applyNumberFormat="1" applyFont="1" applyBorder="1" applyAlignment="1">
      <alignment horizontal="center" vertical="center" wrapText="1" shrinkToFit="1"/>
    </xf>
    <xf numFmtId="4" fontId="97" fillId="0" borderId="18" xfId="0" applyNumberFormat="1" applyFont="1" applyBorder="1" applyAlignment="1">
      <alignment horizontal="center" vertical="center" wrapText="1" shrinkToFit="1"/>
    </xf>
    <xf numFmtId="0" fontId="97" fillId="0" borderId="50" xfId="0" applyFont="1" applyBorder="1" applyAlignment="1">
      <alignment horizontal="center"/>
    </xf>
    <xf numFmtId="0" fontId="97" fillId="0" borderId="64" xfId="0" applyFont="1" applyBorder="1" applyAlignment="1">
      <alignment vertical="center"/>
    </xf>
    <xf numFmtId="0" fontId="97" fillId="0" borderId="60" xfId="0" applyFont="1" applyBorder="1" applyAlignment="1">
      <alignment horizontal="center"/>
    </xf>
    <xf numFmtId="0" fontId="97" fillId="2" borderId="38" xfId="0" applyFont="1" applyFill="1" applyBorder="1" applyAlignment="1">
      <alignment horizontal="center"/>
    </xf>
    <xf numFmtId="4" fontId="97" fillId="0" borderId="32" xfId="0" applyNumberFormat="1" applyFont="1" applyBorder="1" applyAlignment="1">
      <alignment horizontal="center"/>
    </xf>
    <xf numFmtId="4" fontId="97" fillId="0" borderId="12" xfId="0" applyNumberFormat="1" applyFont="1" applyBorder="1" applyAlignment="1">
      <alignment horizontal="center" shrinkToFit="1"/>
    </xf>
    <xf numFmtId="4" fontId="97" fillId="0" borderId="13" xfId="0" applyNumberFormat="1" applyFont="1" applyBorder="1" applyAlignment="1">
      <alignment horizontal="center" shrinkToFit="1"/>
    </xf>
    <xf numFmtId="4" fontId="97" fillId="0" borderId="59" xfId="0" applyNumberFormat="1" applyFont="1" applyBorder="1" applyAlignment="1">
      <alignment horizontal="center" wrapText="1" shrinkToFit="1"/>
    </xf>
    <xf numFmtId="4" fontId="97" fillId="0" borderId="4" xfId="0" applyNumberFormat="1" applyFont="1" applyBorder="1" applyAlignment="1">
      <alignment horizontal="center" wrapText="1" shrinkToFit="1"/>
    </xf>
    <xf numFmtId="4" fontId="97" fillId="0" borderId="44" xfId="0" applyNumberFormat="1" applyFont="1" applyBorder="1" applyAlignment="1">
      <alignment horizontal="center" wrapText="1" shrinkToFit="1"/>
    </xf>
    <xf numFmtId="4" fontId="97" fillId="0" borderId="11" xfId="0" applyNumberFormat="1" applyFont="1" applyBorder="1" applyAlignment="1">
      <alignment horizontal="center" wrapText="1" shrinkToFit="1"/>
    </xf>
    <xf numFmtId="4" fontId="97" fillId="0" borderId="0" xfId="0" applyNumberFormat="1" applyFont="1" applyBorder="1" applyAlignment="1">
      <alignment horizontal="center"/>
    </xf>
    <xf numFmtId="166" fontId="106" fillId="2" borderId="76" xfId="0" applyNumberFormat="1" applyFont="1" applyFill="1" applyBorder="1" applyAlignment="1">
      <alignment horizontal="center" vertical="center" wrapText="1"/>
    </xf>
    <xf numFmtId="166" fontId="106" fillId="2" borderId="85" xfId="0" applyNumberFormat="1" applyFont="1" applyFill="1" applyBorder="1" applyAlignment="1">
      <alignment horizontal="center" vertical="center" wrapText="1"/>
    </xf>
    <xf numFmtId="4" fontId="97" fillId="0" borderId="14" xfId="0" applyNumberFormat="1" applyFont="1" applyFill="1" applyBorder="1" applyAlignment="1">
      <alignment horizontal="center" wrapText="1" shrinkToFit="1"/>
    </xf>
    <xf numFmtId="3" fontId="97" fillId="0" borderId="7" xfId="0" applyNumberFormat="1" applyFont="1" applyFill="1" applyBorder="1" applyAlignment="1">
      <alignment horizontal="center" wrapText="1" shrinkToFit="1"/>
    </xf>
    <xf numFmtId="4" fontId="97" fillId="0" borderId="7" xfId="0" applyNumberFormat="1" applyFont="1" applyFill="1" applyBorder="1" applyAlignment="1">
      <alignment horizontal="center" wrapText="1" shrinkToFit="1"/>
    </xf>
    <xf numFmtId="4" fontId="97" fillId="3" borderId="23" xfId="0" applyNumberFormat="1" applyFont="1" applyFill="1" applyBorder="1" applyAlignment="1">
      <alignment horizontal="center" wrapText="1" shrinkToFit="1"/>
    </xf>
    <xf numFmtId="4" fontId="97" fillId="0" borderId="7" xfId="0" applyNumberFormat="1" applyFont="1" applyFill="1" applyBorder="1" applyAlignment="1">
      <alignment horizontal="center" vertical="center"/>
    </xf>
    <xf numFmtId="0" fontId="97" fillId="0" borderId="7" xfId="0" applyFont="1" applyFill="1" applyBorder="1" applyAlignment="1">
      <alignment horizontal="center" vertical="center"/>
    </xf>
    <xf numFmtId="4" fontId="97" fillId="0" borderId="1" xfId="0" applyNumberFormat="1" applyFont="1" applyFill="1" applyBorder="1" applyAlignment="1">
      <alignment horizontal="center" vertical="center"/>
    </xf>
    <xf numFmtId="4" fontId="97" fillId="3" borderId="15" xfId="0" applyNumberFormat="1" applyFont="1" applyFill="1" applyBorder="1" applyAlignment="1">
      <alignment horizontal="center" vertical="center"/>
    </xf>
    <xf numFmtId="3" fontId="106" fillId="0" borderId="91" xfId="0" applyNumberFormat="1" applyFont="1" applyFill="1" applyBorder="1" applyAlignment="1">
      <alignment horizontal="center" vertical="center" wrapText="1"/>
    </xf>
    <xf numFmtId="4" fontId="97" fillId="0" borderId="87" xfId="0" applyNumberFormat="1" applyFont="1" applyFill="1" applyBorder="1" applyAlignment="1">
      <alignment horizontal="center"/>
    </xf>
    <xf numFmtId="4" fontId="97" fillId="3" borderId="44" xfId="0" applyNumberFormat="1" applyFont="1" applyFill="1" applyBorder="1" applyAlignment="1">
      <alignment horizontal="center"/>
    </xf>
    <xf numFmtId="0" fontId="97" fillId="0" borderId="77" xfId="0" applyNumberFormat="1" applyFont="1" applyFill="1" applyBorder="1" applyAlignment="1">
      <alignment horizontal="center" vertical="center" wrapText="1"/>
    </xf>
    <xf numFmtId="166" fontId="97" fillId="2" borderId="76" xfId="0" applyNumberFormat="1" applyFont="1" applyFill="1" applyBorder="1" applyAlignment="1">
      <alignment horizontal="center" vertical="center" wrapText="1"/>
    </xf>
    <xf numFmtId="166" fontId="97" fillId="2" borderId="75" xfId="0" applyNumberFormat="1" applyFont="1" applyFill="1" applyBorder="1" applyAlignment="1">
      <alignment horizontal="center" vertical="center" wrapText="1"/>
    </xf>
    <xf numFmtId="4" fontId="97" fillId="2" borderId="7" xfId="0" applyNumberFormat="1" applyFont="1" applyFill="1" applyBorder="1" applyAlignment="1">
      <alignment horizontal="center" vertical="center" wrapText="1"/>
    </xf>
    <xf numFmtId="3" fontId="97" fillId="2" borderId="1" xfId="0" applyNumberFormat="1" applyFont="1" applyFill="1" applyBorder="1" applyAlignment="1">
      <alignment horizontal="center" vertical="center" wrapText="1"/>
    </xf>
    <xf numFmtId="0" fontId="97" fillId="2" borderId="76" xfId="0" applyNumberFormat="1" applyFont="1" applyFill="1" applyBorder="1" applyAlignment="1">
      <alignment horizontal="center" vertical="center" wrapText="1"/>
    </xf>
    <xf numFmtId="3" fontId="97" fillId="0" borderId="91" xfId="0" applyNumberFormat="1" applyFont="1" applyFill="1" applyBorder="1" applyAlignment="1">
      <alignment horizontal="center" vertical="center" wrapText="1"/>
    </xf>
    <xf numFmtId="4" fontId="97" fillId="0" borderId="4" xfId="0" applyNumberFormat="1" applyFont="1" applyFill="1" applyBorder="1" applyAlignment="1">
      <alignment horizontal="center"/>
    </xf>
    <xf numFmtId="4" fontId="97" fillId="0" borderId="22" xfId="0" applyNumberFormat="1" applyFont="1" applyFill="1" applyBorder="1" applyAlignment="1">
      <alignment horizontal="center"/>
    </xf>
    <xf numFmtId="4" fontId="97" fillId="3" borderId="22" xfId="0" applyNumberFormat="1" applyFont="1" applyFill="1" applyBorder="1" applyAlignment="1">
      <alignment horizontal="center"/>
    </xf>
    <xf numFmtId="2" fontId="97" fillId="0" borderId="1" xfId="0" applyNumberFormat="1" applyFont="1" applyBorder="1"/>
    <xf numFmtId="4" fontId="97" fillId="3" borderId="15" xfId="0" applyNumberFormat="1" applyFont="1" applyFill="1" applyBorder="1" applyAlignment="1">
      <alignment horizontal="center" wrapText="1" shrinkToFit="1"/>
    </xf>
    <xf numFmtId="49" fontId="97" fillId="0" borderId="14" xfId="0" applyNumberFormat="1" applyFont="1" applyFill="1" applyBorder="1" applyAlignment="1">
      <alignment horizontal="center"/>
    </xf>
    <xf numFmtId="166" fontId="106" fillId="2" borderId="75" xfId="0" applyNumberFormat="1" applyFont="1" applyFill="1" applyBorder="1" applyAlignment="1">
      <alignment horizontal="center" vertical="center" wrapText="1"/>
    </xf>
    <xf numFmtId="4" fontId="101" fillId="12" borderId="0" xfId="0" applyNumberFormat="1" applyFont="1" applyFill="1"/>
    <xf numFmtId="4" fontId="97" fillId="2" borderId="71" xfId="0" applyNumberFormat="1" applyFont="1" applyFill="1" applyBorder="1" applyAlignment="1">
      <alignment horizontal="center" vertical="center" wrapText="1"/>
    </xf>
    <xf numFmtId="3" fontId="97" fillId="2" borderId="2" xfId="0" applyNumberFormat="1" applyFont="1" applyFill="1" applyBorder="1" applyAlignment="1">
      <alignment horizontal="center" vertical="center" wrapText="1"/>
    </xf>
    <xf numFmtId="3" fontId="97" fillId="0" borderId="71" xfId="0" applyNumberFormat="1" applyFont="1" applyFill="1" applyBorder="1" applyAlignment="1">
      <alignment horizontal="center"/>
    </xf>
    <xf numFmtId="0" fontId="97" fillId="0" borderId="2" xfId="0" applyFont="1" applyFill="1" applyBorder="1" applyAlignment="1">
      <alignment horizontal="center"/>
    </xf>
    <xf numFmtId="4" fontId="97" fillId="0" borderId="2" xfId="0" applyNumberFormat="1" applyFont="1" applyFill="1" applyBorder="1" applyAlignment="1">
      <alignment horizontal="center"/>
    </xf>
    <xf numFmtId="4" fontId="97" fillId="3" borderId="72" xfId="0" applyNumberFormat="1" applyFont="1" applyFill="1" applyBorder="1" applyAlignment="1">
      <alignment horizontal="center"/>
    </xf>
    <xf numFmtId="3" fontId="97" fillId="0" borderId="2" xfId="0" applyNumberFormat="1" applyFont="1" applyFill="1" applyBorder="1" applyAlignment="1">
      <alignment horizontal="center"/>
    </xf>
    <xf numFmtId="0" fontId="97" fillId="0" borderId="52" xfId="0" applyFont="1" applyFill="1" applyBorder="1" applyAlignment="1">
      <alignment horizontal="center"/>
    </xf>
    <xf numFmtId="4" fontId="97" fillId="3" borderId="57" xfId="0" applyNumberFormat="1" applyFont="1" applyFill="1" applyBorder="1" applyAlignment="1">
      <alignment horizontal="center"/>
    </xf>
    <xf numFmtId="0" fontId="97" fillId="0" borderId="71" xfId="0" applyFont="1" applyFill="1" applyBorder="1" applyAlignment="1">
      <alignment horizontal="center"/>
    </xf>
    <xf numFmtId="2" fontId="97" fillId="0" borderId="71" xfId="0" applyNumberFormat="1" applyFont="1" applyBorder="1" applyAlignment="1">
      <alignment horizontal="center" vertical="center"/>
    </xf>
    <xf numFmtId="3" fontId="97" fillId="0" borderId="2" xfId="0" applyNumberFormat="1" applyFont="1" applyFill="1" applyBorder="1" applyAlignment="1">
      <alignment horizontal="center" shrinkToFit="1"/>
    </xf>
    <xf numFmtId="4" fontId="97" fillId="0" borderId="2" xfId="0" applyNumberFormat="1" applyFont="1" applyFill="1" applyBorder="1" applyAlignment="1">
      <alignment horizontal="center" shrinkToFit="1"/>
    </xf>
    <xf numFmtId="4" fontId="97" fillId="3" borderId="72" xfId="0" applyNumberFormat="1" applyFont="1" applyFill="1" applyBorder="1" applyAlignment="1">
      <alignment horizontal="center" shrinkToFit="1"/>
    </xf>
    <xf numFmtId="4" fontId="97" fillId="3" borderId="73" xfId="0" applyNumberFormat="1" applyFont="1" applyFill="1" applyBorder="1" applyAlignment="1">
      <alignment horizontal="center"/>
    </xf>
    <xf numFmtId="4" fontId="97" fillId="0" borderId="52" xfId="0" applyNumberFormat="1" applyFont="1" applyFill="1" applyBorder="1" applyAlignment="1">
      <alignment horizontal="center" wrapText="1" shrinkToFit="1"/>
    </xf>
    <xf numFmtId="3" fontId="97" fillId="0" borderId="71" xfId="0" applyNumberFormat="1" applyFont="1" applyFill="1" applyBorder="1" applyAlignment="1">
      <alignment horizontal="center" wrapText="1" shrinkToFit="1"/>
    </xf>
    <xf numFmtId="3" fontId="97" fillId="0" borderId="2" xfId="0" applyNumberFormat="1" applyFont="1" applyFill="1" applyBorder="1" applyAlignment="1">
      <alignment horizontal="center" wrapText="1" shrinkToFit="1"/>
    </xf>
    <xf numFmtId="4" fontId="97" fillId="0" borderId="71" xfId="0" applyNumberFormat="1" applyFont="1" applyFill="1" applyBorder="1" applyAlignment="1">
      <alignment horizontal="center" wrapText="1" shrinkToFit="1"/>
    </xf>
    <xf numFmtId="4" fontId="97" fillId="3" borderId="72" xfId="0" applyNumberFormat="1" applyFont="1" applyFill="1" applyBorder="1" applyAlignment="1">
      <alignment horizontal="center" wrapText="1" shrinkToFit="1"/>
    </xf>
    <xf numFmtId="4" fontId="97" fillId="3" borderId="57" xfId="0" applyNumberFormat="1" applyFont="1" applyFill="1" applyBorder="1" applyAlignment="1">
      <alignment horizontal="center" wrapText="1" shrinkToFit="1"/>
    </xf>
    <xf numFmtId="1" fontId="97" fillId="0" borderId="2" xfId="0" applyNumberFormat="1" applyFont="1" applyFill="1" applyBorder="1" applyAlignment="1">
      <alignment horizontal="center"/>
    </xf>
    <xf numFmtId="4" fontId="97" fillId="0" borderId="71" xfId="0" applyNumberFormat="1" applyFont="1" applyFill="1" applyBorder="1" applyAlignment="1">
      <alignment horizontal="center" vertical="center"/>
    </xf>
    <xf numFmtId="0" fontId="97" fillId="0" borderId="71" xfId="0" applyFont="1" applyFill="1" applyBorder="1" applyAlignment="1">
      <alignment horizontal="center" vertical="center"/>
    </xf>
    <xf numFmtId="4" fontId="97" fillId="0" borderId="2" xfId="0" applyNumberFormat="1" applyFont="1" applyFill="1" applyBorder="1" applyAlignment="1">
      <alignment horizontal="center" vertical="center"/>
    </xf>
    <xf numFmtId="4" fontId="97" fillId="3" borderId="72" xfId="0" applyNumberFormat="1" applyFont="1" applyFill="1" applyBorder="1" applyAlignment="1">
      <alignment horizontal="center" vertical="center"/>
    </xf>
    <xf numFmtId="1" fontId="97" fillId="0" borderId="52" xfId="0" applyNumberFormat="1" applyFont="1" applyFill="1" applyBorder="1" applyAlignment="1">
      <alignment horizontal="center"/>
    </xf>
    <xf numFmtId="4" fontId="97" fillId="0" borderId="71" xfId="0" applyNumberFormat="1" applyFont="1" applyFill="1" applyBorder="1" applyAlignment="1">
      <alignment horizontal="center"/>
    </xf>
    <xf numFmtId="3" fontId="97" fillId="13" borderId="48" xfId="0" applyNumberFormat="1" applyFont="1" applyFill="1" applyBorder="1" applyAlignment="1">
      <alignment horizontal="center"/>
    </xf>
    <xf numFmtId="4" fontId="97" fillId="0" borderId="4" xfId="0" applyNumberFormat="1" applyFont="1" applyFill="1" applyBorder="1" applyAlignment="1">
      <alignment horizontal="center" vertical="center"/>
    </xf>
    <xf numFmtId="4" fontId="97" fillId="3" borderId="48" xfId="0" applyNumberFormat="1" applyFont="1" applyFill="1" applyBorder="1" applyAlignment="1">
      <alignment horizontal="center"/>
    </xf>
    <xf numFmtId="0" fontId="97" fillId="0" borderId="2" xfId="0" applyFont="1" applyBorder="1" applyAlignment="1">
      <alignment horizontal="center"/>
    </xf>
    <xf numFmtId="4" fontId="97" fillId="0" borderId="69" xfId="0" applyNumberFormat="1" applyFont="1" applyFill="1" applyBorder="1" applyAlignment="1">
      <alignment horizontal="center"/>
    </xf>
    <xf numFmtId="4" fontId="97" fillId="3" borderId="69" xfId="0" applyNumberFormat="1" applyFont="1" applyFill="1" applyBorder="1" applyAlignment="1">
      <alignment horizontal="center"/>
    </xf>
    <xf numFmtId="2" fontId="97" fillId="0" borderId="2" xfId="0" applyNumberFormat="1" applyFont="1" applyBorder="1"/>
    <xf numFmtId="3" fontId="97" fillId="13" borderId="1" xfId="0" applyNumberFormat="1" applyFont="1" applyFill="1" applyBorder="1" applyAlignment="1">
      <alignment horizontal="center"/>
    </xf>
    <xf numFmtId="0" fontId="97" fillId="2" borderId="86" xfId="0" applyNumberFormat="1" applyFont="1" applyFill="1" applyBorder="1" applyAlignment="1">
      <alignment horizontal="center" vertical="center" wrapText="1"/>
    </xf>
    <xf numFmtId="0" fontId="97" fillId="0" borderId="81" xfId="0" applyNumberFormat="1" applyFont="1" applyFill="1" applyBorder="1" applyAlignment="1">
      <alignment horizontal="center" vertical="center" wrapText="1"/>
    </xf>
    <xf numFmtId="166" fontId="97" fillId="2" borderId="82" xfId="0" applyNumberFormat="1" applyFont="1" applyFill="1" applyBorder="1" applyAlignment="1">
      <alignment horizontal="center" vertical="center" wrapText="1"/>
    </xf>
    <xf numFmtId="166" fontId="97" fillId="2" borderId="78" xfId="0" applyNumberFormat="1" applyFont="1" applyFill="1" applyBorder="1" applyAlignment="1">
      <alignment horizontal="center" vertical="center" wrapText="1"/>
    </xf>
    <xf numFmtId="4" fontId="97" fillId="2" borderId="45" xfId="0" applyNumberFormat="1" applyFont="1" applyFill="1" applyBorder="1" applyAlignment="1">
      <alignment horizontal="center" vertical="center" wrapText="1"/>
    </xf>
    <xf numFmtId="0" fontId="97" fillId="2" borderId="45" xfId="0" applyNumberFormat="1" applyFont="1" applyFill="1" applyBorder="1" applyAlignment="1">
      <alignment horizontal="center" vertical="center" wrapText="1"/>
    </xf>
    <xf numFmtId="4" fontId="97" fillId="0" borderId="16" xfId="0" applyNumberFormat="1" applyFont="1" applyFill="1" applyBorder="1" applyAlignment="1">
      <alignment horizontal="center" wrapText="1" shrinkToFit="1"/>
    </xf>
    <xf numFmtId="3" fontId="97" fillId="0" borderId="45" xfId="0" applyNumberFormat="1" applyFont="1" applyFill="1" applyBorder="1" applyAlignment="1">
      <alignment horizontal="center" wrapText="1" shrinkToFit="1"/>
    </xf>
    <xf numFmtId="3" fontId="97" fillId="0" borderId="17" xfId="0" applyNumberFormat="1" applyFont="1" applyFill="1" applyBorder="1" applyAlignment="1">
      <alignment horizontal="center" wrapText="1" shrinkToFit="1"/>
    </xf>
    <xf numFmtId="4" fontId="97" fillId="0" borderId="45" xfId="0" applyNumberFormat="1" applyFont="1" applyFill="1" applyBorder="1" applyAlignment="1">
      <alignment horizontal="center" wrapText="1" shrinkToFit="1"/>
    </xf>
    <xf numFmtId="4" fontId="97" fillId="3" borderId="18" xfId="0" applyNumberFormat="1" applyFont="1" applyFill="1" applyBorder="1" applyAlignment="1">
      <alignment horizontal="center" wrapText="1" shrinkToFit="1"/>
    </xf>
    <xf numFmtId="4" fontId="97" fillId="3" borderId="58" xfId="0" applyNumberFormat="1" applyFont="1" applyFill="1" applyBorder="1" applyAlignment="1">
      <alignment horizontal="center" wrapText="1" shrinkToFit="1"/>
    </xf>
    <xf numFmtId="4" fontId="97" fillId="0" borderId="45" xfId="0" applyNumberFormat="1" applyFont="1" applyFill="1" applyBorder="1" applyAlignment="1">
      <alignment horizontal="center" vertical="center"/>
    </xf>
    <xf numFmtId="0" fontId="97" fillId="0" borderId="45" xfId="0" applyFont="1" applyFill="1" applyBorder="1" applyAlignment="1">
      <alignment horizontal="center" vertical="center"/>
    </xf>
    <xf numFmtId="4" fontId="97" fillId="0" borderId="17" xfId="0" applyNumberFormat="1" applyFont="1" applyFill="1" applyBorder="1" applyAlignment="1">
      <alignment horizontal="center" vertical="center"/>
    </xf>
    <xf numFmtId="4" fontId="97" fillId="3" borderId="18" xfId="0" applyNumberFormat="1" applyFont="1" applyFill="1" applyBorder="1" applyAlignment="1">
      <alignment horizontal="center" vertical="center"/>
    </xf>
    <xf numFmtId="3" fontId="97" fillId="13" borderId="17" xfId="0" applyNumberFormat="1" applyFont="1" applyFill="1" applyBorder="1" applyAlignment="1">
      <alignment horizontal="center"/>
    </xf>
    <xf numFmtId="0" fontId="97" fillId="0" borderId="41" xfId="0" applyFont="1" applyBorder="1" applyAlignment="1">
      <alignment horizontal="center" vertical="center"/>
    </xf>
    <xf numFmtId="3" fontId="97" fillId="0" borderId="92" xfId="0" applyNumberFormat="1" applyFont="1" applyFill="1" applyBorder="1" applyAlignment="1">
      <alignment horizontal="center" vertical="center" wrapText="1"/>
    </xf>
    <xf numFmtId="0" fontId="97" fillId="0" borderId="17" xfId="0" applyFont="1" applyFill="1" applyBorder="1" applyAlignment="1">
      <alignment horizontal="center" vertical="center"/>
    </xf>
    <xf numFmtId="4" fontId="97" fillId="0" borderId="27" xfId="0" applyNumberFormat="1" applyFont="1" applyFill="1" applyBorder="1" applyAlignment="1">
      <alignment horizontal="center"/>
    </xf>
    <xf numFmtId="4" fontId="97" fillId="3" borderId="68" xfId="0" applyNumberFormat="1" applyFont="1" applyFill="1" applyBorder="1" applyAlignment="1">
      <alignment horizontal="center"/>
    </xf>
    <xf numFmtId="0" fontId="97" fillId="0" borderId="45" xfId="0" applyNumberFormat="1" applyFont="1" applyFill="1" applyBorder="1" applyAlignment="1">
      <alignment horizontal="center"/>
    </xf>
    <xf numFmtId="2" fontId="97" fillId="5" borderId="69" xfId="0" applyNumberFormat="1" applyFont="1" applyFill="1" applyBorder="1" applyAlignment="1">
      <alignment horizontal="center"/>
    </xf>
    <xf numFmtId="1" fontId="107" fillId="0" borderId="52" xfId="0" applyNumberFormat="1" applyFont="1" applyFill="1" applyBorder="1" applyAlignment="1">
      <alignment horizontal="center"/>
    </xf>
    <xf numFmtId="0" fontId="97" fillId="4" borderId="16" xfId="0" applyFont="1" applyFill="1" applyBorder="1" applyAlignment="1">
      <alignment horizontal="center"/>
    </xf>
    <xf numFmtId="4" fontId="97" fillId="3" borderId="61" xfId="0" applyNumberFormat="1" applyFont="1" applyFill="1" applyBorder="1" applyAlignment="1">
      <alignment horizontal="center"/>
    </xf>
    <xf numFmtId="4" fontId="97" fillId="0" borderId="51" xfId="0" applyNumberFormat="1" applyFont="1" applyFill="1" applyBorder="1" applyAlignment="1">
      <alignment horizontal="center"/>
    </xf>
    <xf numFmtId="4" fontId="97" fillId="3" borderId="51" xfId="0" applyNumberFormat="1" applyFont="1" applyFill="1" applyBorder="1" applyAlignment="1">
      <alignment horizontal="center"/>
    </xf>
    <xf numFmtId="2" fontId="97" fillId="0" borderId="17" xfId="0" applyNumberFormat="1" applyFont="1" applyBorder="1"/>
    <xf numFmtId="4" fontId="97" fillId="0" borderId="26" xfId="0" applyNumberFormat="1" applyFont="1" applyFill="1" applyBorder="1" applyAlignment="1">
      <alignment horizontal="center"/>
    </xf>
    <xf numFmtId="2" fontId="97" fillId="0" borderId="26" xfId="0" applyNumberFormat="1" applyFont="1" applyFill="1" applyBorder="1" applyAlignment="1">
      <alignment horizontal="center"/>
    </xf>
    <xf numFmtId="1" fontId="107" fillId="0" borderId="26" xfId="0" applyNumberFormat="1" applyFont="1" applyFill="1" applyBorder="1" applyAlignment="1">
      <alignment horizontal="center"/>
    </xf>
    <xf numFmtId="4" fontId="97" fillId="0" borderId="5" xfId="0" applyNumberFormat="1" applyFont="1" applyFill="1" applyBorder="1" applyAlignment="1">
      <alignment horizontal="center" vertical="center"/>
    </xf>
    <xf numFmtId="3" fontId="97" fillId="0" borderId="0" xfId="0" applyNumberFormat="1" applyFont="1" applyFill="1" applyBorder="1" applyAlignment="1">
      <alignment horizontal="center"/>
    </xf>
    <xf numFmtId="1" fontId="107" fillId="0" borderId="2" xfId="0" applyNumberFormat="1" applyFont="1" applyFill="1" applyBorder="1" applyAlignment="1">
      <alignment horizontal="center"/>
    </xf>
    <xf numFmtId="1" fontId="97" fillId="2" borderId="7" xfId="0" applyNumberFormat="1" applyFont="1" applyFill="1" applyBorder="1" applyAlignment="1">
      <alignment horizontal="center"/>
    </xf>
    <xf numFmtId="1" fontId="97" fillId="2" borderId="45" xfId="0" applyNumberFormat="1" applyFont="1" applyFill="1" applyBorder="1" applyAlignment="1">
      <alignment horizontal="center"/>
    </xf>
    <xf numFmtId="4" fontId="105" fillId="0" borderId="11" xfId="0" applyNumberFormat="1" applyFont="1" applyBorder="1" applyAlignment="1">
      <alignment horizontal="center"/>
    </xf>
    <xf numFmtId="4" fontId="103" fillId="0" borderId="59" xfId="0" applyNumberFormat="1" applyFont="1" applyBorder="1" applyAlignment="1">
      <alignment horizontal="center"/>
    </xf>
    <xf numFmtId="49" fontId="97" fillId="0" borderId="14" xfId="0" applyNumberFormat="1" applyFont="1" applyBorder="1" applyAlignment="1">
      <alignment horizontal="center"/>
    </xf>
    <xf numFmtId="3" fontId="97" fillId="0" borderId="24" xfId="0" applyNumberFormat="1" applyFont="1" applyBorder="1" applyAlignment="1">
      <alignment horizontal="center"/>
    </xf>
    <xf numFmtId="0" fontId="97" fillId="0" borderId="30" xfId="0" applyFont="1" applyBorder="1" applyAlignment="1">
      <alignment horizontal="center"/>
    </xf>
    <xf numFmtId="0" fontId="97" fillId="0" borderId="32" xfId="0" applyFont="1" applyBorder="1"/>
    <xf numFmtId="4" fontId="97" fillId="0" borderId="64" xfId="0" applyNumberFormat="1" applyFont="1" applyBorder="1" applyAlignment="1">
      <alignment horizontal="center"/>
    </xf>
    <xf numFmtId="4" fontId="105" fillId="0" borderId="22" xfId="0" applyNumberFormat="1" applyFont="1" applyBorder="1" applyAlignment="1">
      <alignment horizontal="center"/>
    </xf>
    <xf numFmtId="4" fontId="103" fillId="0" borderId="60" xfId="0" applyNumberFormat="1" applyFont="1" applyBorder="1" applyAlignment="1">
      <alignment horizontal="center"/>
    </xf>
    <xf numFmtId="4" fontId="97" fillId="0" borderId="23" xfId="0" applyNumberFormat="1" applyFont="1" applyBorder="1" applyAlignment="1">
      <alignment horizontal="center"/>
    </xf>
    <xf numFmtId="4" fontId="103" fillId="0" borderId="60" xfId="0" applyNumberFormat="1" applyFont="1" applyBorder="1"/>
    <xf numFmtId="0" fontId="97" fillId="0" borderId="88" xfId="0" applyFont="1" applyBorder="1" applyAlignment="1">
      <alignment horizontal="center" vertical="center"/>
    </xf>
    <xf numFmtId="0" fontId="97" fillId="0" borderId="88" xfId="0" applyFont="1" applyBorder="1" applyAlignment="1">
      <alignment horizontal="center"/>
    </xf>
    <xf numFmtId="4" fontId="105" fillId="0" borderId="51" xfId="0" applyNumberFormat="1" applyFont="1" applyBorder="1" applyAlignment="1">
      <alignment horizontal="center" vertical="center"/>
    </xf>
    <xf numFmtId="4" fontId="103" fillId="0" borderId="70" xfId="0" applyNumberFormat="1" applyFont="1" applyBorder="1" applyAlignment="1">
      <alignment horizontal="center" vertical="center"/>
    </xf>
    <xf numFmtId="4" fontId="97" fillId="0" borderId="58" xfId="0" applyNumberFormat="1" applyFont="1" applyBorder="1" applyAlignment="1">
      <alignment horizontal="center" vertical="center"/>
    </xf>
    <xf numFmtId="4" fontId="97" fillId="0" borderId="11" xfId="0" applyNumberFormat="1" applyFont="1" applyBorder="1" applyAlignment="1">
      <alignment horizontal="center" shrinkToFit="1"/>
    </xf>
    <xf numFmtId="4" fontId="97" fillId="0" borderId="93" xfId="0" applyNumberFormat="1" applyFont="1" applyBorder="1" applyAlignment="1">
      <alignment horizontal="center" vertical="center"/>
    </xf>
    <xf numFmtId="4" fontId="102" fillId="0" borderId="59" xfId="0" applyNumberFormat="1" applyFont="1" applyFill="1" applyBorder="1"/>
    <xf numFmtId="0" fontId="103" fillId="0" borderId="59" xfId="0" applyFont="1" applyBorder="1"/>
    <xf numFmtId="4" fontId="106" fillId="2" borderId="76" xfId="0" applyNumberFormat="1" applyFont="1" applyFill="1" applyBorder="1" applyAlignment="1">
      <alignment horizontal="center" vertical="center" wrapText="1"/>
    </xf>
    <xf numFmtId="3" fontId="106" fillId="2" borderId="75" xfId="0" applyNumberFormat="1" applyFont="1" applyFill="1" applyBorder="1" applyAlignment="1">
      <alignment horizontal="center" vertical="center" wrapText="1"/>
    </xf>
    <xf numFmtId="4" fontId="97" fillId="3" borderId="1" xfId="0" applyNumberFormat="1" applyFont="1" applyFill="1" applyBorder="1" applyAlignment="1">
      <alignment horizontal="center"/>
    </xf>
    <xf numFmtId="3" fontId="97" fillId="0" borderId="1" xfId="19" applyNumberFormat="1" applyFont="1" applyFill="1" applyBorder="1" applyAlignment="1">
      <alignment horizontal="center" vertical="center"/>
    </xf>
    <xf numFmtId="0" fontId="97" fillId="0" borderId="1" xfId="19" applyFont="1" applyBorder="1" applyAlignment="1">
      <alignment horizontal="left" vertical="center"/>
    </xf>
    <xf numFmtId="0" fontId="97" fillId="0" borderId="1" xfId="0" applyFont="1" applyBorder="1" applyAlignment="1">
      <alignment horizontal="left" vertical="center"/>
    </xf>
    <xf numFmtId="1" fontId="97" fillId="13" borderId="1" xfId="0" applyNumberFormat="1" applyFont="1" applyFill="1" applyBorder="1" applyAlignment="1">
      <alignment horizontal="center"/>
    </xf>
    <xf numFmtId="49" fontId="107" fillId="0" borderId="7" xfId="0" applyNumberFormat="1" applyFont="1" applyFill="1" applyBorder="1" applyAlignment="1">
      <alignment horizontal="center"/>
    </xf>
    <xf numFmtId="4" fontId="105" fillId="3" borderId="60" xfId="0" applyNumberFormat="1" applyFont="1" applyFill="1" applyBorder="1" applyAlignment="1">
      <alignment horizontal="center"/>
    </xf>
    <xf numFmtId="2" fontId="103" fillId="0" borderId="60" xfId="0" applyNumberFormat="1" applyFont="1" applyBorder="1"/>
    <xf numFmtId="2" fontId="97" fillId="5" borderId="8" xfId="0" applyNumberFormat="1" applyFont="1" applyFill="1" applyBorder="1" applyAlignment="1">
      <alignment horizontal="center"/>
    </xf>
    <xf numFmtId="1" fontId="106" fillId="2" borderId="76" xfId="0" applyNumberFormat="1" applyFont="1" applyFill="1" applyBorder="1" applyAlignment="1">
      <alignment horizontal="center" vertical="center" wrapText="1"/>
    </xf>
    <xf numFmtId="1" fontId="97" fillId="0" borderId="1" xfId="0" applyNumberFormat="1" applyFont="1" applyBorder="1" applyAlignment="1">
      <alignment horizontal="center"/>
    </xf>
    <xf numFmtId="4" fontId="97" fillId="2" borderId="76" xfId="0" applyNumberFormat="1" applyFont="1" applyFill="1" applyBorder="1" applyAlignment="1">
      <alignment horizontal="center" vertical="center" wrapText="1"/>
    </xf>
    <xf numFmtId="3" fontId="97" fillId="2" borderId="75" xfId="0" applyNumberFormat="1" applyFont="1" applyFill="1" applyBorder="1" applyAlignment="1">
      <alignment horizontal="center" vertical="center" wrapText="1"/>
    </xf>
    <xf numFmtId="4" fontId="97" fillId="0" borderId="60" xfId="0" applyNumberFormat="1" applyFont="1" applyFill="1" applyBorder="1" applyAlignment="1">
      <alignment horizontal="center"/>
    </xf>
    <xf numFmtId="2" fontId="97" fillId="0" borderId="60" xfId="0" applyNumberFormat="1" applyFont="1" applyBorder="1"/>
    <xf numFmtId="4" fontId="97" fillId="12" borderId="0" xfId="0" applyNumberFormat="1" applyFont="1" applyFill="1"/>
    <xf numFmtId="0" fontId="97" fillId="0" borderId="1" xfId="0" applyFont="1" applyBorder="1" applyAlignment="1">
      <alignment horizontal="left"/>
    </xf>
    <xf numFmtId="166" fontId="106" fillId="2" borderId="82" xfId="0" applyNumberFormat="1" applyFont="1" applyFill="1" applyBorder="1" applyAlignment="1">
      <alignment horizontal="center" vertical="center" wrapText="1"/>
    </xf>
    <xf numFmtId="166" fontId="106" fillId="2" borderId="78" xfId="0" applyNumberFormat="1" applyFont="1" applyFill="1" applyBorder="1" applyAlignment="1">
      <alignment horizontal="center" vertical="center" wrapText="1"/>
    </xf>
    <xf numFmtId="4" fontId="106" fillId="2" borderId="82" xfId="0" applyNumberFormat="1" applyFont="1" applyFill="1" applyBorder="1" applyAlignment="1">
      <alignment horizontal="center" vertical="center" wrapText="1"/>
    </xf>
    <xf numFmtId="3" fontId="106" fillId="2" borderId="78" xfId="0" applyNumberFormat="1" applyFont="1" applyFill="1" applyBorder="1" applyAlignment="1">
      <alignment horizontal="center" vertical="center" wrapText="1"/>
    </xf>
    <xf numFmtId="4" fontId="97" fillId="3" borderId="17" xfId="0" applyNumberFormat="1" applyFont="1" applyFill="1" applyBorder="1" applyAlignment="1">
      <alignment horizontal="center"/>
    </xf>
    <xf numFmtId="4" fontId="97" fillId="0" borderId="16" xfId="0" applyNumberFormat="1" applyFont="1" applyFill="1" applyBorder="1" applyAlignment="1">
      <alignment horizontal="center"/>
    </xf>
    <xf numFmtId="3" fontId="97" fillId="13" borderId="66" xfId="0" applyNumberFormat="1" applyFont="1" applyFill="1" applyBorder="1" applyAlignment="1">
      <alignment horizontal="center"/>
    </xf>
    <xf numFmtId="4" fontId="97" fillId="3" borderId="41" xfId="0" applyNumberFormat="1" applyFont="1" applyFill="1" applyBorder="1" applyAlignment="1">
      <alignment horizontal="center" vertical="center"/>
    </xf>
    <xf numFmtId="4" fontId="97" fillId="0" borderId="89" xfId="0" applyNumberFormat="1" applyFont="1" applyFill="1" applyBorder="1" applyAlignment="1">
      <alignment horizontal="center" vertical="center"/>
    </xf>
    <xf numFmtId="3" fontId="106" fillId="0" borderId="92" xfId="0" applyNumberFormat="1" applyFont="1" applyFill="1" applyBorder="1" applyAlignment="1">
      <alignment horizontal="center" vertical="center" wrapText="1"/>
    </xf>
    <xf numFmtId="3" fontId="97" fillId="0" borderId="17" xfId="19" applyNumberFormat="1" applyFont="1" applyFill="1" applyBorder="1" applyAlignment="1">
      <alignment horizontal="center" vertical="center"/>
    </xf>
    <xf numFmtId="0" fontId="97" fillId="0" borderId="17" xfId="19" applyFont="1" applyBorder="1" applyAlignment="1">
      <alignment horizontal="left" vertical="center"/>
    </xf>
    <xf numFmtId="0" fontId="97" fillId="0" borderId="45" xfId="0" applyFont="1" applyBorder="1" applyAlignment="1">
      <alignment horizontal="center"/>
    </xf>
    <xf numFmtId="0" fontId="97" fillId="0" borderId="17" xfId="0" applyFont="1" applyBorder="1" applyAlignment="1">
      <alignment horizontal="left" vertical="center"/>
    </xf>
    <xf numFmtId="1" fontId="97" fillId="13" borderId="17" xfId="0" applyNumberFormat="1" applyFont="1" applyFill="1" applyBorder="1" applyAlignment="1">
      <alignment horizontal="center"/>
    </xf>
    <xf numFmtId="49" fontId="107" fillId="0" borderId="16" xfId="0" applyNumberFormat="1" applyFont="1" applyFill="1" applyBorder="1" applyAlignment="1">
      <alignment horizontal="center"/>
    </xf>
    <xf numFmtId="4" fontId="102" fillId="0" borderId="61" xfId="0" applyNumberFormat="1" applyFont="1" applyFill="1" applyBorder="1" applyAlignment="1">
      <alignment horizontal="center"/>
    </xf>
    <xf numFmtId="4" fontId="105" fillId="3" borderId="61" xfId="0" applyNumberFormat="1" applyFont="1" applyFill="1" applyBorder="1" applyAlignment="1">
      <alignment horizontal="center"/>
    </xf>
    <xf numFmtId="2" fontId="103" fillId="0" borderId="61" xfId="0" applyNumberFormat="1" applyFont="1" applyBorder="1"/>
    <xf numFmtId="2" fontId="97" fillId="0" borderId="1" xfId="0" applyNumberFormat="1" applyFont="1" applyFill="1" applyBorder="1" applyAlignment="1">
      <alignment horizontal="center"/>
    </xf>
    <xf numFmtId="0" fontId="97" fillId="0" borderId="0" xfId="0" applyFont="1" applyFill="1" applyBorder="1" applyAlignment="1">
      <alignment horizontal="left"/>
    </xf>
    <xf numFmtId="0" fontId="97" fillId="0" borderId="0" xfId="0" applyFont="1" applyBorder="1" applyAlignment="1">
      <alignment horizontal="center" vertical="center"/>
    </xf>
    <xf numFmtId="0" fontId="97" fillId="0" borderId="0" xfId="0" applyFont="1" applyBorder="1" applyAlignment="1">
      <alignment horizontal="center"/>
    </xf>
    <xf numFmtId="0" fontId="97" fillId="0" borderId="60" xfId="0" applyFont="1" applyFill="1" applyBorder="1" applyAlignment="1">
      <alignment horizontal="left"/>
    </xf>
    <xf numFmtId="0" fontId="97" fillId="0" borderId="61" xfId="0" applyFont="1" applyFill="1" applyBorder="1" applyAlignment="1">
      <alignment horizontal="left"/>
    </xf>
    <xf numFmtId="0" fontId="97" fillId="0" borderId="70" xfId="0" applyFont="1" applyFill="1" applyBorder="1" applyAlignment="1">
      <alignment horizontal="left"/>
    </xf>
    <xf numFmtId="0" fontId="97" fillId="0" borderId="43" xfId="0" applyFont="1" applyBorder="1" applyAlignment="1">
      <alignment vertical="center"/>
    </xf>
    <xf numFmtId="0" fontId="97" fillId="0" borderId="68" xfId="0" applyFont="1" applyBorder="1" applyAlignment="1">
      <alignment vertical="center"/>
    </xf>
    <xf numFmtId="0" fontId="97" fillId="0" borderId="31" xfId="0" applyFont="1" applyBorder="1" applyAlignment="1">
      <alignment horizontal="center" vertical="center"/>
    </xf>
    <xf numFmtId="0" fontId="97" fillId="0" borderId="62" xfId="0" applyFont="1" applyBorder="1" applyAlignment="1">
      <alignment horizontal="center" vertical="center"/>
    </xf>
    <xf numFmtId="0" fontId="97" fillId="0" borderId="63" xfId="0" applyFont="1" applyBorder="1" applyAlignment="1">
      <alignment vertical="center"/>
    </xf>
    <xf numFmtId="0" fontId="0" fillId="0" borderId="0" xfId="0" applyAlignment="1">
      <alignment horizontal="center" wrapText="1"/>
    </xf>
    <xf numFmtId="0" fontId="0" fillId="0" borderId="63" xfId="0" applyBorder="1"/>
    <xf numFmtId="0" fontId="0" fillId="0" borderId="65" xfId="0" applyBorder="1"/>
    <xf numFmtId="0" fontId="0" fillId="0" borderId="6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63" xfId="0" applyBorder="1" applyAlignment="1">
      <alignment horizontal="center" wrapText="1"/>
    </xf>
    <xf numFmtId="0" fontId="0" fillId="0" borderId="6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5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42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25" xfId="0" applyBorder="1" applyAlignment="1">
      <alignment horizontal="center" wrapText="1"/>
    </xf>
    <xf numFmtId="0" fontId="0" fillId="0" borderId="31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0" fillId="0" borderId="68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88" xfId="0" applyBorder="1" applyAlignment="1">
      <alignment horizontal="center" vertical="center" wrapText="1"/>
    </xf>
    <xf numFmtId="0" fontId="41" fillId="0" borderId="0" xfId="0" applyFont="1" applyBorder="1" applyAlignment="1">
      <alignment horizontal="center"/>
    </xf>
    <xf numFmtId="49" fontId="73" fillId="0" borderId="1" xfId="30" applyNumberFormat="1" applyFont="1" applyFill="1" applyBorder="1" applyAlignment="1">
      <alignment horizontal="center"/>
    </xf>
    <xf numFmtId="4" fontId="97" fillId="16" borderId="7" xfId="0" applyNumberFormat="1" applyFont="1" applyFill="1" applyBorder="1" applyAlignment="1">
      <alignment horizontal="center" vertical="center"/>
    </xf>
    <xf numFmtId="4" fontId="97" fillId="16" borderId="45" xfId="0" applyNumberFormat="1" applyFont="1" applyFill="1" applyBorder="1" applyAlignment="1">
      <alignment horizontal="center" vertical="center"/>
    </xf>
    <xf numFmtId="4" fontId="97" fillId="0" borderId="0" xfId="0" applyNumberFormat="1" applyFont="1" applyFill="1" applyBorder="1" applyAlignment="1">
      <alignment horizontal="right"/>
    </xf>
    <xf numFmtId="49" fontId="52" fillId="18" borderId="1" xfId="0" applyNumberFormat="1" applyFont="1" applyFill="1" applyBorder="1" applyAlignment="1">
      <alignment horizontal="center"/>
    </xf>
    <xf numFmtId="0" fontId="52" fillId="18" borderId="1" xfId="0" applyNumberFormat="1" applyFont="1" applyFill="1" applyBorder="1" applyAlignment="1">
      <alignment horizontal="center"/>
    </xf>
    <xf numFmtId="1" fontId="52" fillId="18" borderId="1" xfId="0" applyNumberFormat="1" applyFont="1" applyFill="1" applyBorder="1" applyAlignment="1">
      <alignment horizontal="center"/>
    </xf>
    <xf numFmtId="2" fontId="52" fillId="18" borderId="1" xfId="0" applyNumberFormat="1" applyFont="1" applyFill="1" applyBorder="1" applyAlignment="1">
      <alignment horizontal="center"/>
    </xf>
    <xf numFmtId="4" fontId="41" fillId="0" borderId="7" xfId="0" applyNumberFormat="1" applyFont="1" applyFill="1" applyBorder="1" applyAlignment="1">
      <alignment horizontal="center" shrinkToFit="1"/>
    </xf>
    <xf numFmtId="4" fontId="41" fillId="0" borderId="16" xfId="0" applyNumberFormat="1" applyFont="1" applyFill="1" applyBorder="1" applyAlignment="1">
      <alignment horizontal="center" shrinkToFit="1"/>
    </xf>
    <xf numFmtId="3" fontId="41" fillId="0" borderId="1" xfId="0" applyNumberFormat="1" applyFont="1" applyFill="1" applyBorder="1" applyAlignment="1">
      <alignment horizontal="center" shrinkToFit="1"/>
    </xf>
    <xf numFmtId="3" fontId="41" fillId="0" borderId="17" xfId="0" applyNumberFormat="1" applyFont="1" applyFill="1" applyBorder="1" applyAlignment="1">
      <alignment horizontal="center" shrinkToFit="1"/>
    </xf>
    <xf numFmtId="0" fontId="52" fillId="0" borderId="1" xfId="0" applyNumberFormat="1" applyFont="1" applyFill="1" applyBorder="1" applyAlignment="1">
      <alignment horizontal="center"/>
    </xf>
    <xf numFmtId="2" fontId="52" fillId="0" borderId="1" xfId="0" applyNumberFormat="1" applyFont="1" applyFill="1" applyBorder="1" applyAlignment="1">
      <alignment horizontal="center"/>
    </xf>
    <xf numFmtId="3" fontId="41" fillId="0" borderId="1" xfId="0" applyNumberFormat="1" applyFont="1" applyFill="1" applyBorder="1" applyAlignment="1">
      <alignment horizontal="center"/>
    </xf>
    <xf numFmtId="3" fontId="41" fillId="16" borderId="1" xfId="0" applyNumberFormat="1" applyFont="1" applyFill="1" applyBorder="1" applyAlignment="1">
      <alignment horizontal="center"/>
    </xf>
    <xf numFmtId="4" fontId="41" fillId="0" borderId="71" xfId="0" applyNumberFormat="1" applyFont="1" applyFill="1" applyBorder="1" applyAlignment="1">
      <alignment horizontal="center" shrinkToFit="1"/>
    </xf>
    <xf numFmtId="3" fontId="41" fillId="0" borderId="2" xfId="0" applyNumberFormat="1" applyFont="1" applyFill="1" applyBorder="1" applyAlignment="1">
      <alignment horizontal="center" shrinkToFit="1"/>
    </xf>
    <xf numFmtId="4" fontId="41" fillId="0" borderId="45" xfId="0" applyNumberFormat="1" applyFont="1" applyFill="1" applyBorder="1" applyAlignment="1">
      <alignment horizontal="center" shrinkToFit="1"/>
    </xf>
    <xf numFmtId="0" fontId="107" fillId="16" borderId="1" xfId="0" applyNumberFormat="1" applyFont="1" applyFill="1" applyBorder="1" applyAlignment="1">
      <alignment horizontal="center"/>
    </xf>
    <xf numFmtId="3" fontId="97" fillId="16" borderId="1" xfId="0" applyNumberFormat="1" applyFont="1" applyFill="1" applyBorder="1" applyAlignment="1">
      <alignment horizontal="center"/>
    </xf>
    <xf numFmtId="2" fontId="107" fillId="16" borderId="1" xfId="0" applyNumberFormat="1" applyFont="1" applyFill="1" applyBorder="1" applyAlignment="1">
      <alignment horizontal="center"/>
    </xf>
    <xf numFmtId="3" fontId="0" fillId="16" borderId="15" xfId="0" applyNumberFormat="1" applyFill="1" applyBorder="1" applyAlignment="1">
      <alignment horizontal="center"/>
    </xf>
    <xf numFmtId="0" fontId="41" fillId="15" borderId="15" xfId="0" applyFont="1" applyFill="1" applyBorder="1" applyAlignment="1">
      <alignment horizontal="center"/>
    </xf>
    <xf numFmtId="0" fontId="0" fillId="0" borderId="60" xfId="0" applyBorder="1"/>
    <xf numFmtId="0" fontId="0" fillId="0" borderId="61" xfId="0" applyBorder="1"/>
    <xf numFmtId="0" fontId="0" fillId="0" borderId="64" xfId="0" applyBorder="1"/>
    <xf numFmtId="0" fontId="0" fillId="0" borderId="41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6" xfId="0" applyBorder="1" applyAlignment="1">
      <alignment horizontal="center" vertical="center" wrapText="1"/>
    </xf>
    <xf numFmtId="0" fontId="0" fillId="0" borderId="59" xfId="0" applyBorder="1"/>
    <xf numFmtId="0" fontId="0" fillId="0" borderId="11" xfId="0" applyBorder="1"/>
    <xf numFmtId="0" fontId="0" fillId="0" borderId="22" xfId="0" applyBorder="1"/>
    <xf numFmtId="0" fontId="0" fillId="0" borderId="51" xfId="0" applyBorder="1"/>
    <xf numFmtId="1" fontId="0" fillId="0" borderId="14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1" fontId="0" fillId="0" borderId="38" xfId="0" applyNumberFormat="1" applyBorder="1" applyAlignment="1">
      <alignment horizontal="center"/>
    </xf>
    <xf numFmtId="2" fontId="0" fillId="0" borderId="38" xfId="0" applyNumberFormat="1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59" xfId="0" applyBorder="1" applyAlignment="1">
      <alignment horizontal="left"/>
    </xf>
    <xf numFmtId="0" fontId="0" fillId="0" borderId="60" xfId="0" applyBorder="1" applyAlignment="1">
      <alignment horizontal="left"/>
    </xf>
    <xf numFmtId="0" fontId="0" fillId="0" borderId="61" xfId="0" applyBorder="1" applyAlignment="1">
      <alignment horizontal="left"/>
    </xf>
    <xf numFmtId="0" fontId="0" fillId="0" borderId="0" xfId="0" applyAlignment="1">
      <alignment horizontal="left" wrapText="1"/>
    </xf>
    <xf numFmtId="0" fontId="0" fillId="0" borderId="63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64" xfId="0" applyBorder="1" applyAlignment="1">
      <alignment horizontal="center"/>
    </xf>
    <xf numFmtId="0" fontId="0" fillId="0" borderId="96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51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71" xfId="0" applyBorder="1" applyAlignment="1">
      <alignment horizontal="center"/>
    </xf>
    <xf numFmtId="0" fontId="108" fillId="0" borderId="0" xfId="0" applyFont="1" applyAlignment="1">
      <alignment horizontal="left"/>
    </xf>
    <xf numFmtId="0" fontId="109" fillId="0" borderId="0" xfId="0" applyFont="1" applyAlignment="1">
      <alignment horizontal="left"/>
    </xf>
    <xf numFmtId="0" fontId="62" fillId="0" borderId="62" xfId="0" applyFont="1" applyBorder="1" applyAlignment="1">
      <alignment horizontal="center" vertical="center" wrapText="1"/>
    </xf>
    <xf numFmtId="0" fontId="62" fillId="0" borderId="25" xfId="0" applyFont="1" applyBorder="1" applyAlignment="1">
      <alignment horizontal="center" vertical="center" wrapText="1"/>
    </xf>
    <xf numFmtId="0" fontId="62" fillId="0" borderId="0" xfId="0" applyFont="1" applyAlignment="1">
      <alignment horizontal="center" vertical="center" wrapText="1"/>
    </xf>
    <xf numFmtId="0" fontId="62" fillId="0" borderId="0" xfId="0" applyFont="1" applyAlignment="1">
      <alignment horizontal="center"/>
    </xf>
    <xf numFmtId="0" fontId="62" fillId="0" borderId="62" xfId="0" applyFont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41" fillId="0" borderId="39" xfId="0" applyFont="1" applyFill="1" applyBorder="1" applyAlignment="1">
      <alignment horizontal="center"/>
    </xf>
    <xf numFmtId="0" fontId="41" fillId="0" borderId="21" xfId="0" applyFont="1" applyFill="1" applyBorder="1" applyAlignment="1">
      <alignment horizontal="center"/>
    </xf>
    <xf numFmtId="0" fontId="41" fillId="0" borderId="47" xfId="0" applyFont="1" applyFill="1" applyBorder="1" applyAlignment="1">
      <alignment horizontal="center"/>
    </xf>
    <xf numFmtId="0" fontId="0" fillId="0" borderId="38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59" xfId="0" applyBorder="1" applyAlignment="1">
      <alignment horizontal="left" wrapText="1"/>
    </xf>
    <xf numFmtId="0" fontId="0" fillId="0" borderId="60" xfId="0" applyBorder="1" applyAlignment="1">
      <alignment horizontal="left" wrapText="1"/>
    </xf>
    <xf numFmtId="0" fontId="0" fillId="0" borderId="61" xfId="0" applyBorder="1" applyAlignment="1">
      <alignment horizontal="left" wrapText="1"/>
    </xf>
    <xf numFmtId="0" fontId="82" fillId="0" borderId="0" xfId="5" applyFont="1" applyBorder="1" applyAlignment="1">
      <alignment horizontal="left" vertical="center" wrapText="1"/>
    </xf>
    <xf numFmtId="2" fontId="110" fillId="4" borderId="60" xfId="0" applyNumberFormat="1" applyFont="1" applyFill="1" applyBorder="1" applyAlignment="1">
      <alignment horizontal="center"/>
    </xf>
    <xf numFmtId="2" fontId="110" fillId="0" borderId="0" xfId="0" applyNumberFormat="1" applyFont="1" applyFill="1" applyBorder="1" applyAlignment="1">
      <alignment horizontal="center"/>
    </xf>
    <xf numFmtId="10" fontId="41" fillId="0" borderId="0" xfId="0" applyNumberFormat="1" applyFont="1"/>
    <xf numFmtId="2" fontId="40" fillId="4" borderId="1" xfId="0" applyNumberFormat="1" applyFont="1" applyFill="1" applyBorder="1" applyAlignment="1">
      <alignment horizontal="center"/>
    </xf>
    <xf numFmtId="0" fontId="73" fillId="19" borderId="1" xfId="30" applyFont="1" applyFill="1" applyBorder="1" applyAlignment="1">
      <alignment horizontal="center"/>
    </xf>
    <xf numFmtId="1" fontId="73" fillId="0" borderId="1" xfId="30" applyNumberFormat="1" applyFont="1" applyFill="1" applyBorder="1" applyAlignment="1">
      <alignment horizontal="center"/>
    </xf>
    <xf numFmtId="1" fontId="73" fillId="19" borderId="1" xfId="30" applyNumberFormat="1" applyFont="1" applyFill="1" applyBorder="1" applyAlignment="1">
      <alignment horizontal="center"/>
    </xf>
    <xf numFmtId="0" fontId="0" fillId="0" borderId="46" xfId="0" applyBorder="1" applyAlignment="1">
      <alignment horizontal="center" vertical="center" wrapText="1"/>
    </xf>
    <xf numFmtId="49" fontId="2" fillId="0" borderId="0" xfId="0" applyNumberFormat="1" applyFont="1" applyFill="1" applyBorder="1" applyAlignment="1"/>
    <xf numFmtId="0" fontId="0" fillId="0" borderId="0" xfId="0" applyAlignment="1">
      <alignment vertical="center"/>
    </xf>
    <xf numFmtId="4" fontId="64" fillId="0" borderId="1" xfId="0" applyNumberFormat="1" applyFont="1" applyBorder="1" applyAlignment="1">
      <alignment vertical="center"/>
    </xf>
    <xf numFmtId="0" fontId="91" fillId="0" borderId="0" xfId="5" applyFont="1" applyAlignment="1">
      <alignment vertical="center"/>
    </xf>
    <xf numFmtId="0" fontId="36" fillId="0" borderId="0" xfId="5" applyAlignment="1">
      <alignment vertical="center"/>
    </xf>
    <xf numFmtId="0" fontId="95" fillId="0" borderId="0" xfId="5" applyFont="1" applyAlignment="1">
      <alignment vertical="center"/>
    </xf>
    <xf numFmtId="4" fontId="96" fillId="0" borderId="0" xfId="5" applyNumberFormat="1" applyFont="1" applyAlignment="1">
      <alignment vertical="center"/>
    </xf>
    <xf numFmtId="0" fontId="95" fillId="0" borderId="0" xfId="0" applyFont="1" applyAlignment="1">
      <alignment vertical="center"/>
    </xf>
    <xf numFmtId="4" fontId="84" fillId="0" borderId="0" xfId="0" applyNumberFormat="1" applyFont="1" applyAlignment="1">
      <alignment vertical="center"/>
    </xf>
    <xf numFmtId="1" fontId="2" fillId="15" borderId="1" xfId="0" applyNumberFormat="1" applyFont="1" applyFill="1" applyBorder="1" applyAlignment="1">
      <alignment horizontal="center"/>
    </xf>
    <xf numFmtId="2" fontId="110" fillId="0" borderId="60" xfId="0" applyNumberFormat="1" applyFont="1" applyFill="1" applyBorder="1" applyAlignment="1">
      <alignment horizontal="center"/>
    </xf>
    <xf numFmtId="0" fontId="16" fillId="15" borderId="5" xfId="0" applyFont="1" applyFill="1" applyBorder="1" applyAlignment="1">
      <alignment horizontal="center"/>
    </xf>
    <xf numFmtId="0" fontId="40" fillId="15" borderId="8" xfId="0" applyFont="1" applyFill="1" applyBorder="1" applyAlignment="1">
      <alignment horizontal="center"/>
    </xf>
    <xf numFmtId="0" fontId="40" fillId="15" borderId="7" xfId="0" applyFont="1" applyFill="1" applyBorder="1" applyAlignment="1">
      <alignment horizontal="center"/>
    </xf>
    <xf numFmtId="49" fontId="40" fillId="15" borderId="1" xfId="0" applyNumberFormat="1" applyFont="1" applyFill="1" applyBorder="1" applyAlignment="1">
      <alignment horizontal="center"/>
    </xf>
    <xf numFmtId="0" fontId="41" fillId="0" borderId="27" xfId="0" applyFon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9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0" fillId="15" borderId="1" xfId="0" applyFont="1" applyFill="1" applyBorder="1" applyAlignment="1">
      <alignment horizontal="center"/>
    </xf>
    <xf numFmtId="49" fontId="43" fillId="15" borderId="1" xfId="0" applyNumberFormat="1" applyFont="1" applyFill="1" applyBorder="1" applyAlignment="1">
      <alignment horizontal="center"/>
    </xf>
    <xf numFmtId="0" fontId="9" fillId="15" borderId="1" xfId="0" applyFont="1" applyFill="1" applyBorder="1" applyAlignment="1">
      <alignment horizontal="center"/>
    </xf>
    <xf numFmtId="0" fontId="29" fillId="15" borderId="1" xfId="0" applyFont="1" applyFill="1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2" fillId="0" borderId="1" xfId="0" applyFont="1" applyFill="1" applyBorder="1" applyAlignment="1">
      <alignment horizontal="center"/>
    </xf>
    <xf numFmtId="49" fontId="43" fillId="0" borderId="1" xfId="0" applyNumberFormat="1" applyFont="1" applyFill="1" applyBorder="1" applyAlignment="1">
      <alignment horizontal="center"/>
    </xf>
    <xf numFmtId="0" fontId="41" fillId="0" borderId="42" xfId="0" applyFont="1" applyBorder="1" applyAlignment="1">
      <alignment horizontal="center"/>
    </xf>
    <xf numFmtId="0" fontId="0" fillId="0" borderId="43" xfId="0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43" fillId="0" borderId="1" xfId="0" applyFont="1" applyFill="1" applyBorder="1" applyAlignment="1">
      <alignment horizontal="center"/>
    </xf>
    <xf numFmtId="49" fontId="40" fillId="0" borderId="1" xfId="0" applyNumberFormat="1" applyFont="1" applyFill="1" applyBorder="1" applyAlignment="1">
      <alignment horizontal="center"/>
    </xf>
    <xf numFmtId="0" fontId="71" fillId="15" borderId="46" xfId="0" applyFont="1" applyFill="1" applyBorder="1" applyAlignment="1">
      <alignment horizontal="center"/>
    </xf>
    <xf numFmtId="49" fontId="40" fillId="15" borderId="46" xfId="0" applyNumberFormat="1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72" fillId="15" borderId="1" xfId="0" applyFont="1" applyFill="1" applyBorder="1" applyAlignment="1">
      <alignment horizontal="center"/>
    </xf>
    <xf numFmtId="0" fontId="71" fillId="15" borderId="1" xfId="0" applyFont="1" applyFill="1" applyBorder="1" applyAlignment="1">
      <alignment horizontal="center"/>
    </xf>
    <xf numFmtId="49" fontId="9" fillId="15" borderId="1" xfId="0" applyNumberFormat="1" applyFont="1" applyFill="1" applyBorder="1" applyAlignment="1">
      <alignment horizontal="center"/>
    </xf>
    <xf numFmtId="0" fontId="71" fillId="0" borderId="1" xfId="0" applyFont="1" applyFill="1" applyBorder="1" applyAlignment="1">
      <alignment horizontal="center"/>
    </xf>
    <xf numFmtId="49" fontId="9" fillId="0" borderId="1" xfId="0" applyNumberFormat="1" applyFont="1" applyFill="1" applyBorder="1" applyAlignment="1">
      <alignment horizontal="center"/>
    </xf>
    <xf numFmtId="49" fontId="40" fillId="15" borderId="17" xfId="0" applyNumberFormat="1" applyFont="1" applyFill="1" applyBorder="1" applyAlignment="1">
      <alignment horizontal="center"/>
    </xf>
    <xf numFmtId="49" fontId="29" fillId="0" borderId="1" xfId="0" applyNumberFormat="1" applyFont="1" applyFill="1" applyBorder="1" applyAlignment="1">
      <alignment horizontal="center"/>
    </xf>
    <xf numFmtId="0" fontId="40" fillId="0" borderId="17" xfId="0" applyFont="1" applyFill="1" applyBorder="1" applyAlignment="1">
      <alignment horizontal="center"/>
    </xf>
    <xf numFmtId="49" fontId="29" fillId="0" borderId="17" xfId="0" applyNumberFormat="1" applyFont="1" applyFill="1" applyBorder="1" applyAlignment="1">
      <alignment horizontal="center"/>
    </xf>
    <xf numFmtId="49" fontId="40" fillId="0" borderId="17" xfId="0" applyNumberFormat="1" applyFont="1" applyFill="1" applyBorder="1" applyAlignment="1">
      <alignment horizontal="center"/>
    </xf>
    <xf numFmtId="49" fontId="15" fillId="0" borderId="1" xfId="0" applyNumberFormat="1" applyFont="1" applyFill="1" applyBorder="1" applyAlignment="1">
      <alignment horizontal="center"/>
    </xf>
    <xf numFmtId="49" fontId="4" fillId="15" borderId="1" xfId="0" applyNumberFormat="1" applyFont="1" applyFill="1" applyBorder="1" applyAlignment="1">
      <alignment horizontal="center"/>
    </xf>
    <xf numFmtId="0" fontId="40" fillId="15" borderId="17" xfId="0" applyFont="1" applyFill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2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5" fillId="15" borderId="1" xfId="0" applyFont="1" applyFill="1" applyBorder="1" applyAlignment="1">
      <alignment horizontal="center"/>
    </xf>
    <xf numFmtId="0" fontId="30" fillId="15" borderId="1" xfId="0" applyFont="1" applyFill="1" applyBorder="1" applyAlignment="1">
      <alignment horizontal="center"/>
    </xf>
    <xf numFmtId="49" fontId="30" fillId="15" borderId="1" xfId="0" applyNumberFormat="1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30" fillId="0" borderId="1" xfId="0" applyFont="1" applyFill="1" applyBorder="1" applyAlignment="1">
      <alignment horizontal="center"/>
    </xf>
    <xf numFmtId="49" fontId="30" fillId="0" borderId="1" xfId="0" applyNumberFormat="1" applyFont="1" applyFill="1" applyBorder="1" applyAlignment="1">
      <alignment horizontal="center"/>
    </xf>
    <xf numFmtId="0" fontId="30" fillId="0" borderId="17" xfId="0" applyFont="1" applyFill="1" applyBorder="1" applyAlignment="1">
      <alignment horizontal="center"/>
    </xf>
    <xf numFmtId="49" fontId="30" fillId="0" borderId="17" xfId="0" applyNumberFormat="1" applyFont="1" applyFill="1" applyBorder="1" applyAlignment="1">
      <alignment horizontal="center"/>
    </xf>
    <xf numFmtId="49" fontId="29" fillId="0" borderId="5" xfId="0" applyNumberFormat="1" applyFont="1" applyFill="1" applyBorder="1" applyAlignment="1">
      <alignment horizontal="center"/>
    </xf>
    <xf numFmtId="49" fontId="40" fillId="0" borderId="7" xfId="0" applyNumberFormat="1" applyFont="1" applyFill="1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0" fontId="40" fillId="0" borderId="8" xfId="0" applyFont="1" applyFill="1" applyBorder="1" applyAlignment="1">
      <alignment horizontal="center"/>
    </xf>
    <xf numFmtId="0" fontId="40" fillId="0" borderId="7" xfId="0" applyFont="1" applyFill="1" applyBorder="1" applyAlignment="1">
      <alignment horizontal="center"/>
    </xf>
    <xf numFmtId="0" fontId="40" fillId="15" borderId="5" xfId="0" applyFont="1" applyFill="1" applyBorder="1" applyAlignment="1">
      <alignment horizontal="center"/>
    </xf>
    <xf numFmtId="49" fontId="29" fillId="15" borderId="5" xfId="0" applyNumberFormat="1" applyFont="1" applyFill="1" applyBorder="1" applyAlignment="1">
      <alignment horizontal="center"/>
    </xf>
    <xf numFmtId="49" fontId="40" fillId="15" borderId="7" xfId="0" applyNumberFormat="1" applyFont="1" applyFill="1" applyBorder="1" applyAlignment="1">
      <alignment horizontal="center"/>
    </xf>
    <xf numFmtId="49" fontId="40" fillId="0" borderId="0" xfId="0" applyNumberFormat="1" applyFont="1" applyFill="1" applyBorder="1" applyAlignment="1">
      <alignment horizontal="center"/>
    </xf>
    <xf numFmtId="49" fontId="18" fillId="0" borderId="1" xfId="0" applyNumberFormat="1" applyFont="1" applyFill="1" applyBorder="1" applyAlignment="1">
      <alignment horizontal="center"/>
    </xf>
    <xf numFmtId="49" fontId="18" fillId="15" borderId="1" xfId="0" applyNumberFormat="1" applyFont="1" applyFill="1" applyBorder="1" applyAlignment="1">
      <alignment horizontal="center"/>
    </xf>
    <xf numFmtId="49" fontId="29" fillId="0" borderId="41" xfId="0" applyNumberFormat="1" applyFont="1" applyFill="1" applyBorder="1" applyAlignment="1">
      <alignment horizontal="center"/>
    </xf>
    <xf numFmtId="49" fontId="40" fillId="0" borderId="45" xfId="0" applyNumberFormat="1" applyFont="1" applyFill="1" applyBorder="1" applyAlignment="1">
      <alignment horizontal="center"/>
    </xf>
    <xf numFmtId="0" fontId="61" fillId="0" borderId="17" xfId="0" applyFont="1" applyFill="1" applyBorder="1" applyAlignment="1">
      <alignment horizontal="center"/>
    </xf>
    <xf numFmtId="49" fontId="78" fillId="0" borderId="17" xfId="0" applyNumberFormat="1" applyFont="1" applyFill="1" applyBorder="1" applyAlignment="1">
      <alignment horizontal="center"/>
    </xf>
    <xf numFmtId="0" fontId="41" fillId="0" borderId="25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31" xfId="0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55" fillId="0" borderId="0" xfId="0" applyFont="1" applyBorder="1" applyAlignment="1">
      <alignment horizontal="center"/>
    </xf>
    <xf numFmtId="0" fontId="18" fillId="15" borderId="5" xfId="0" applyFont="1" applyFill="1" applyBorder="1" applyAlignment="1">
      <alignment horizontal="center"/>
    </xf>
    <xf numFmtId="49" fontId="18" fillId="15" borderId="5" xfId="0" applyNumberFormat="1" applyFont="1" applyFill="1" applyBorder="1" applyAlignment="1">
      <alignment horizontal="center"/>
    </xf>
    <xf numFmtId="0" fontId="18" fillId="0" borderId="5" xfId="0" applyFont="1" applyFill="1" applyBorder="1" applyAlignment="1">
      <alignment horizontal="center"/>
    </xf>
    <xf numFmtId="49" fontId="18" fillId="0" borderId="5" xfId="0" applyNumberFormat="1" applyFont="1" applyFill="1" applyBorder="1" applyAlignment="1">
      <alignment horizontal="center"/>
    </xf>
    <xf numFmtId="0" fontId="17" fillId="15" borderId="5" xfId="0" applyFont="1" applyFill="1" applyBorder="1" applyAlignment="1">
      <alignment horizontal="center"/>
    </xf>
    <xf numFmtId="49" fontId="15" fillId="15" borderId="5" xfId="0" applyNumberFormat="1" applyFont="1" applyFill="1" applyBorder="1" applyAlignment="1">
      <alignment horizontal="center"/>
    </xf>
    <xf numFmtId="49" fontId="27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39" fillId="0" borderId="1" xfId="0" applyFont="1" applyFill="1" applyBorder="1" applyAlignment="1">
      <alignment horizontal="center"/>
    </xf>
    <xf numFmtId="49" fontId="24" fillId="0" borderId="1" xfId="0" applyNumberFormat="1" applyFont="1" applyFill="1" applyBorder="1" applyAlignment="1">
      <alignment horizontal="center"/>
    </xf>
    <xf numFmtId="49" fontId="38" fillId="0" borderId="17" xfId="0" applyNumberFormat="1" applyFont="1" applyFill="1" applyBorder="1" applyAlignment="1">
      <alignment horizontal="center"/>
    </xf>
    <xf numFmtId="49" fontId="38" fillId="15" borderId="5" xfId="0" applyNumberFormat="1" applyFont="1" applyFill="1" applyBorder="1" applyAlignment="1">
      <alignment horizontal="center"/>
    </xf>
    <xf numFmtId="49" fontId="38" fillId="15" borderId="7" xfId="0" applyNumberFormat="1" applyFont="1" applyFill="1" applyBorder="1" applyAlignment="1">
      <alignment horizontal="center"/>
    </xf>
    <xf numFmtId="0" fontId="11" fillId="15" borderId="5" xfId="0" applyFont="1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7" xfId="0" applyFill="1" applyBorder="1" applyAlignment="1">
      <alignment horizontal="center"/>
    </xf>
    <xf numFmtId="0" fontId="41" fillId="0" borderId="29" xfId="0" applyFont="1" applyBorder="1" applyAlignment="1">
      <alignment horizontal="center" vertical="center"/>
    </xf>
    <xf numFmtId="49" fontId="38" fillId="0" borderId="5" xfId="0" applyNumberFormat="1" applyFont="1" applyFill="1" applyBorder="1" applyAlignment="1">
      <alignment horizontal="center"/>
    </xf>
    <xf numFmtId="49" fontId="38" fillId="0" borderId="7" xfId="0" applyNumberFormat="1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49" fontId="38" fillId="15" borderId="1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49" fontId="38" fillId="15" borderId="73" xfId="0" applyNumberFormat="1" applyFont="1" applyFill="1" applyBorder="1" applyAlignment="1">
      <alignment horizontal="center"/>
    </xf>
    <xf numFmtId="49" fontId="38" fillId="15" borderId="71" xfId="0" applyNumberFormat="1" applyFont="1" applyFill="1" applyBorder="1" applyAlignment="1">
      <alignment horizontal="center"/>
    </xf>
    <xf numFmtId="0" fontId="11" fillId="15" borderId="1" xfId="0" applyFont="1" applyFill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38" fillId="15" borderId="2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49" fontId="38" fillId="0" borderId="1" xfId="0" applyNumberFormat="1" applyFont="1" applyFill="1" applyBorder="1" applyAlignment="1">
      <alignment horizontal="center"/>
    </xf>
    <xf numFmtId="0" fontId="38" fillId="0" borderId="17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49" fontId="14" fillId="15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49" fontId="14" fillId="0" borderId="1" xfId="0" applyNumberFormat="1" applyFont="1" applyFill="1" applyBorder="1" applyAlignment="1">
      <alignment horizontal="center"/>
    </xf>
    <xf numFmtId="0" fontId="41" fillId="0" borderId="20" xfId="0" applyFont="1" applyBorder="1" applyAlignment="1">
      <alignment horizontal="center" vertical="center"/>
    </xf>
    <xf numFmtId="49" fontId="14" fillId="15" borderId="5" xfId="0" applyNumberFormat="1" applyFont="1" applyFill="1" applyBorder="1" applyAlignment="1">
      <alignment horizontal="center"/>
    </xf>
    <xf numFmtId="49" fontId="7" fillId="15" borderId="1" xfId="0" applyNumberFormat="1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6" fillId="15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49" fontId="61" fillId="0" borderId="1" xfId="0" applyNumberFormat="1" applyFont="1" applyFill="1" applyBorder="1" applyAlignment="1">
      <alignment horizontal="center"/>
    </xf>
    <xf numFmtId="49" fontId="61" fillId="15" borderId="1" xfId="0" applyNumberFormat="1" applyFont="1" applyFill="1" applyBorder="1" applyAlignment="1">
      <alignment horizontal="center"/>
    </xf>
    <xf numFmtId="49" fontId="14" fillId="0" borderId="5" xfId="0" applyNumberFormat="1" applyFont="1" applyFill="1" applyBorder="1" applyAlignment="1">
      <alignment horizontal="center"/>
    </xf>
    <xf numFmtId="49" fontId="29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10" fillId="15" borderId="1" xfId="0" applyFont="1" applyFill="1" applyBorder="1" applyAlignment="1">
      <alignment horizontal="center"/>
    </xf>
    <xf numFmtId="0" fontId="39" fillId="0" borderId="17" xfId="0" applyFont="1" applyFill="1" applyBorder="1" applyAlignment="1">
      <alignment horizontal="center"/>
    </xf>
    <xf numFmtId="49" fontId="39" fillId="0" borderId="17" xfId="0" applyNumberFormat="1" applyFont="1" applyFill="1" applyBorder="1" applyAlignment="1">
      <alignment horizontal="center"/>
    </xf>
    <xf numFmtId="49" fontId="39" fillId="0" borderId="1" xfId="0" applyNumberFormat="1" applyFont="1" applyFill="1" applyBorder="1" applyAlignment="1">
      <alignment horizontal="center"/>
    </xf>
    <xf numFmtId="49" fontId="13" fillId="15" borderId="1" xfId="0" applyNumberFormat="1" applyFont="1" applyFill="1" applyBorder="1" applyAlignment="1">
      <alignment horizontal="center"/>
    </xf>
    <xf numFmtId="0" fontId="13" fillId="15" borderId="5" xfId="0" applyFont="1" applyFill="1" applyBorder="1" applyAlignment="1">
      <alignment horizontal="center"/>
    </xf>
    <xf numFmtId="0" fontId="41" fillId="0" borderId="1" xfId="0" applyFont="1" applyBorder="1" applyAlignment="1">
      <alignment horizontal="center" vertical="center"/>
    </xf>
    <xf numFmtId="0" fontId="13" fillId="0" borderId="5" xfId="0" applyFont="1" applyFill="1" applyBorder="1" applyAlignment="1">
      <alignment horizontal="center"/>
    </xf>
    <xf numFmtId="49" fontId="13" fillId="0" borderId="1" xfId="0" applyNumberFormat="1" applyFont="1" applyFill="1" applyBorder="1" applyAlignment="1">
      <alignment horizontal="center"/>
    </xf>
    <xf numFmtId="0" fontId="17" fillId="0" borderId="5" xfId="0" applyFont="1" applyFill="1" applyBorder="1" applyAlignment="1">
      <alignment horizontal="center"/>
    </xf>
    <xf numFmtId="49" fontId="15" fillId="0" borderId="5" xfId="0" applyNumberFormat="1" applyFont="1" applyFill="1" applyBorder="1" applyAlignment="1">
      <alignment horizontal="center"/>
    </xf>
    <xf numFmtId="0" fontId="47" fillId="0" borderId="27" xfId="0" applyFont="1" applyFill="1" applyBorder="1" applyAlignment="1">
      <alignment horizontal="center"/>
    </xf>
    <xf numFmtId="0" fontId="0" fillId="0" borderId="27" xfId="0" applyBorder="1" applyAlignment="1"/>
    <xf numFmtId="0" fontId="97" fillId="0" borderId="11" xfId="0" applyFont="1" applyBorder="1" applyAlignment="1">
      <alignment horizontal="center"/>
    </xf>
    <xf numFmtId="0" fontId="97" fillId="0" borderId="12" xfId="0" applyFont="1" applyBorder="1" applyAlignment="1">
      <alignment horizontal="center"/>
    </xf>
    <xf numFmtId="0" fontId="97" fillId="0" borderId="32" xfId="0" applyFont="1" applyBorder="1" applyAlignment="1">
      <alignment horizontal="center"/>
    </xf>
    <xf numFmtId="4" fontId="97" fillId="0" borderId="52" xfId="0" applyNumberFormat="1" applyFont="1" applyBorder="1" applyAlignment="1">
      <alignment horizontal="center" vertical="center"/>
    </xf>
    <xf numFmtId="0" fontId="97" fillId="0" borderId="50" xfId="0" applyFont="1" applyBorder="1" applyAlignment="1">
      <alignment horizontal="center" vertical="center"/>
    </xf>
    <xf numFmtId="4" fontId="97" fillId="0" borderId="2" xfId="0" applyNumberFormat="1" applyFont="1" applyBorder="1" applyAlignment="1">
      <alignment horizontal="center" vertical="center" wrapText="1"/>
    </xf>
    <xf numFmtId="0" fontId="97" fillId="0" borderId="46" xfId="0" applyFont="1" applyBorder="1" applyAlignment="1">
      <alignment horizontal="center" vertical="center" wrapText="1"/>
    </xf>
    <xf numFmtId="0" fontId="97" fillId="9" borderId="33" xfId="0" applyFont="1" applyFill="1" applyBorder="1" applyAlignment="1">
      <alignment horizontal="center" vertical="center"/>
    </xf>
    <xf numFmtId="0" fontId="97" fillId="0" borderId="34" xfId="0" applyFont="1" applyBorder="1" applyAlignment="1">
      <alignment horizontal="center" vertical="center"/>
    </xf>
    <xf numFmtId="0" fontId="97" fillId="0" borderId="35" xfId="0" applyFont="1" applyBorder="1" applyAlignment="1">
      <alignment horizontal="center" vertical="center"/>
    </xf>
    <xf numFmtId="0" fontId="97" fillId="0" borderId="88" xfId="0" applyFont="1" applyBorder="1" applyAlignment="1">
      <alignment horizontal="center" vertical="center"/>
    </xf>
    <xf numFmtId="0" fontId="97" fillId="0" borderId="7" xfId="0" applyFont="1" applyBorder="1" applyAlignment="1">
      <alignment horizontal="center" vertical="center"/>
    </xf>
    <xf numFmtId="0" fontId="97" fillId="0" borderId="45" xfId="0" applyFont="1" applyBorder="1" applyAlignment="1">
      <alignment horizontal="center" vertical="center"/>
    </xf>
    <xf numFmtId="0" fontId="97" fillId="9" borderId="33" xfId="0" applyFont="1" applyFill="1" applyBorder="1" applyAlignment="1">
      <alignment horizontal="center" vertical="center" wrapText="1"/>
    </xf>
    <xf numFmtId="0" fontId="97" fillId="9" borderId="34" xfId="0" applyFont="1" applyFill="1" applyBorder="1" applyAlignment="1">
      <alignment horizontal="center" vertical="center" wrapText="1"/>
    </xf>
    <xf numFmtId="0" fontId="97" fillId="9" borderId="35" xfId="0" applyFont="1" applyFill="1" applyBorder="1" applyAlignment="1">
      <alignment horizontal="center" vertical="center" wrapText="1"/>
    </xf>
    <xf numFmtId="0" fontId="97" fillId="0" borderId="71" xfId="0" applyFont="1" applyBorder="1" applyAlignment="1">
      <alignment horizontal="center" vertical="center"/>
    </xf>
    <xf numFmtId="0" fontId="97" fillId="9" borderId="34" xfId="0" applyFont="1" applyFill="1" applyBorder="1" applyAlignment="1">
      <alignment horizontal="center" vertical="center"/>
    </xf>
    <xf numFmtId="0" fontId="97" fillId="9" borderId="35" xfId="0" applyFont="1" applyFill="1" applyBorder="1" applyAlignment="1">
      <alignment horizontal="center" vertical="center"/>
    </xf>
    <xf numFmtId="4" fontId="97" fillId="9" borderId="34" xfId="0" applyNumberFormat="1" applyFont="1" applyFill="1" applyBorder="1" applyAlignment="1">
      <alignment horizontal="center" vertical="center" wrapText="1"/>
    </xf>
    <xf numFmtId="4" fontId="97" fillId="9" borderId="35" xfId="0" applyNumberFormat="1" applyFont="1" applyFill="1" applyBorder="1" applyAlignment="1">
      <alignment horizontal="center" vertical="center" wrapText="1"/>
    </xf>
    <xf numFmtId="0" fontId="97" fillId="2" borderId="6" xfId="0" applyFont="1" applyFill="1" applyBorder="1" applyAlignment="1">
      <alignment horizontal="center" vertical="center" wrapText="1"/>
    </xf>
    <xf numFmtId="0" fontId="97" fillId="2" borderId="3" xfId="0" applyFont="1" applyFill="1" applyBorder="1" applyAlignment="1">
      <alignment horizontal="center" vertical="center" wrapText="1"/>
    </xf>
    <xf numFmtId="0" fontId="97" fillId="0" borderId="48" xfId="0" applyFont="1" applyBorder="1" applyAlignment="1">
      <alignment horizontal="center" vertical="center" wrapText="1"/>
    </xf>
    <xf numFmtId="0" fontId="97" fillId="0" borderId="27" xfId="0" applyFont="1" applyBorder="1" applyAlignment="1">
      <alignment horizontal="center" vertical="center" wrapText="1"/>
    </xf>
    <xf numFmtId="0" fontId="97" fillId="2" borderId="49" xfId="0" applyFont="1" applyFill="1" applyBorder="1" applyAlignment="1">
      <alignment horizontal="center" vertical="center" wrapText="1"/>
    </xf>
    <xf numFmtId="0" fontId="97" fillId="2" borderId="10" xfId="0" applyFont="1" applyFill="1" applyBorder="1" applyAlignment="1">
      <alignment horizontal="center" vertical="center" wrapText="1"/>
    </xf>
    <xf numFmtId="0" fontId="97" fillId="2" borderId="1" xfId="0" applyFont="1" applyFill="1" applyBorder="1" applyAlignment="1">
      <alignment horizontal="center" vertical="center" wrapText="1"/>
    </xf>
    <xf numFmtId="0" fontId="97" fillId="0" borderId="2" xfId="0" applyFont="1" applyBorder="1" applyAlignment="1">
      <alignment horizontal="center" vertical="center"/>
    </xf>
    <xf numFmtId="0" fontId="97" fillId="0" borderId="46" xfId="0" applyFont="1" applyBorder="1" applyAlignment="1">
      <alignment vertical="center"/>
    </xf>
    <xf numFmtId="0" fontId="97" fillId="0" borderId="46" xfId="0" applyFont="1" applyBorder="1" applyAlignment="1">
      <alignment horizontal="center" vertical="center"/>
    </xf>
    <xf numFmtId="0" fontId="97" fillId="2" borderId="54" xfId="0" applyFont="1" applyFill="1" applyBorder="1" applyAlignment="1">
      <alignment horizontal="center" vertical="center" wrapText="1"/>
    </xf>
    <xf numFmtId="0" fontId="97" fillId="2" borderId="38" xfId="0" applyFont="1" applyFill="1" applyBorder="1" applyAlignment="1">
      <alignment horizontal="center" vertical="center" wrapText="1"/>
    </xf>
    <xf numFmtId="0" fontId="97" fillId="9" borderId="26" xfId="0" applyFont="1" applyFill="1" applyBorder="1" applyAlignment="1">
      <alignment horizontal="center" vertical="center"/>
    </xf>
    <xf numFmtId="0" fontId="97" fillId="0" borderId="7" xfId="0" applyFont="1" applyBorder="1" applyAlignment="1">
      <alignment horizontal="center" vertical="center" wrapText="1" shrinkToFit="1"/>
    </xf>
    <xf numFmtId="49" fontId="97" fillId="0" borderId="19" xfId="0" applyNumberFormat="1" applyFont="1" applyBorder="1" applyAlignment="1">
      <alignment horizontal="center"/>
    </xf>
    <xf numFmtId="0" fontId="97" fillId="0" borderId="20" xfId="0" applyFont="1" applyBorder="1" applyAlignment="1">
      <alignment horizontal="center"/>
    </xf>
    <xf numFmtId="0" fontId="97" fillId="2" borderId="39" xfId="0" applyFont="1" applyFill="1" applyBorder="1" applyAlignment="1">
      <alignment horizontal="center" vertical="center" wrapText="1"/>
    </xf>
    <xf numFmtId="0" fontId="97" fillId="2" borderId="15" xfId="0" applyFont="1" applyFill="1" applyBorder="1" applyAlignment="1">
      <alignment horizontal="center" vertical="center" wrapText="1"/>
    </xf>
    <xf numFmtId="0" fontId="97" fillId="0" borderId="7" xfId="0" applyFont="1" applyBorder="1" applyAlignment="1">
      <alignment horizontal="center" vertical="center" shrinkToFit="1"/>
    </xf>
    <xf numFmtId="0" fontId="97" fillId="0" borderId="71" xfId="0" applyFont="1" applyBorder="1" applyAlignment="1">
      <alignment horizontal="center" vertical="center" shrinkToFit="1"/>
    </xf>
    <xf numFmtId="2" fontId="97" fillId="2" borderId="55" xfId="0" applyNumberFormat="1" applyFont="1" applyFill="1" applyBorder="1" applyAlignment="1">
      <alignment horizontal="center" vertical="center" wrapText="1"/>
    </xf>
    <xf numFmtId="2" fontId="97" fillId="2" borderId="39" xfId="0" applyNumberFormat="1" applyFont="1" applyFill="1" applyBorder="1" applyAlignment="1">
      <alignment horizontal="center" vertical="center" wrapText="1"/>
    </xf>
    <xf numFmtId="49" fontId="97" fillId="0" borderId="3" xfId="0" applyNumberFormat="1" applyFont="1" applyBorder="1" applyAlignment="1">
      <alignment horizontal="center"/>
    </xf>
    <xf numFmtId="0" fontId="97" fillId="0" borderId="3" xfId="0" applyFont="1" applyBorder="1" applyAlignment="1">
      <alignment horizontal="center"/>
    </xf>
    <xf numFmtId="0" fontId="97" fillId="2" borderId="33" xfId="0" applyFont="1" applyFill="1" applyBorder="1" applyAlignment="1">
      <alignment horizontal="center" vertical="center" wrapText="1"/>
    </xf>
    <xf numFmtId="0" fontId="97" fillId="2" borderId="34" xfId="0" applyFont="1" applyFill="1" applyBorder="1" applyAlignment="1">
      <alignment horizontal="center" vertical="center" wrapText="1"/>
    </xf>
    <xf numFmtId="0" fontId="97" fillId="2" borderId="35" xfId="0" applyFont="1" applyFill="1" applyBorder="1" applyAlignment="1">
      <alignment horizontal="center" vertical="center" wrapText="1"/>
    </xf>
    <xf numFmtId="0" fontId="97" fillId="9" borderId="26" xfId="0" applyFont="1" applyFill="1" applyBorder="1" applyAlignment="1">
      <alignment horizontal="center" vertical="center" wrapText="1"/>
    </xf>
    <xf numFmtId="0" fontId="97" fillId="9" borderId="25" xfId="0" applyFont="1" applyFill="1" applyBorder="1" applyAlignment="1">
      <alignment horizontal="center" vertical="center" wrapText="1"/>
    </xf>
    <xf numFmtId="0" fontId="97" fillId="0" borderId="34" xfId="0" applyFont="1" applyBorder="1" applyAlignment="1">
      <alignment horizontal="center" vertical="center" wrapText="1"/>
    </xf>
    <xf numFmtId="0" fontId="97" fillId="0" borderId="35" xfId="0" applyFont="1" applyBorder="1" applyAlignment="1">
      <alignment horizontal="center" vertical="center" wrapText="1"/>
    </xf>
    <xf numFmtId="0" fontId="97" fillId="9" borderId="25" xfId="0" applyFont="1" applyFill="1" applyBorder="1" applyAlignment="1">
      <alignment horizontal="center" vertical="center"/>
    </xf>
    <xf numFmtId="4" fontId="97" fillId="9" borderId="33" xfId="0" applyNumberFormat="1" applyFont="1" applyFill="1" applyBorder="1" applyAlignment="1">
      <alignment horizontal="center" vertical="center" wrapText="1"/>
    </xf>
    <xf numFmtId="0" fontId="41" fillId="9" borderId="33" xfId="0" applyFont="1" applyFill="1" applyBorder="1" applyAlignment="1">
      <alignment horizontal="center" vertical="center" wrapText="1" shrinkToFit="1"/>
    </xf>
    <xf numFmtId="0" fontId="0" fillId="0" borderId="34" xfId="0" applyBorder="1" applyAlignment="1">
      <alignment horizontal="center" vertical="center" wrapText="1" shrinkToFit="1"/>
    </xf>
    <xf numFmtId="0" fontId="0" fillId="0" borderId="35" xfId="0" applyBorder="1" applyAlignment="1">
      <alignment horizontal="center" vertical="center" wrapText="1" shrinkToFit="1"/>
    </xf>
    <xf numFmtId="0" fontId="97" fillId="9" borderId="36" xfId="0" applyFont="1" applyFill="1" applyBorder="1" applyAlignment="1">
      <alignment horizontal="center" vertical="center" wrapText="1"/>
    </xf>
    <xf numFmtId="0" fontId="97" fillId="9" borderId="40" xfId="0" applyFont="1" applyFill="1" applyBorder="1" applyAlignment="1">
      <alignment horizontal="center" vertical="center" wrapText="1"/>
    </xf>
    <xf numFmtId="0" fontId="97" fillId="9" borderId="37" xfId="0" applyFont="1" applyFill="1" applyBorder="1" applyAlignment="1">
      <alignment horizontal="center" vertical="center" wrapText="1"/>
    </xf>
    <xf numFmtId="0" fontId="97" fillId="2" borderId="30" xfId="0" applyFont="1" applyFill="1" applyBorder="1" applyAlignment="1">
      <alignment horizontal="center" vertical="center" wrapText="1"/>
    </xf>
    <xf numFmtId="0" fontId="97" fillId="2" borderId="28" xfId="0" applyFont="1" applyFill="1" applyBorder="1" applyAlignment="1">
      <alignment horizontal="center" vertical="center" wrapText="1"/>
    </xf>
    <xf numFmtId="0" fontId="97" fillId="2" borderId="55" xfId="0" applyFont="1" applyFill="1" applyBorder="1" applyAlignment="1">
      <alignment horizontal="center" vertical="center" wrapText="1"/>
    </xf>
    <xf numFmtId="0" fontId="97" fillId="9" borderId="34" xfId="0" applyFont="1" applyFill="1" applyBorder="1" applyAlignment="1">
      <alignment horizontal="center" vertical="center" wrapText="1" shrinkToFit="1"/>
    </xf>
    <xf numFmtId="0" fontId="97" fillId="9" borderId="26" xfId="0" applyFont="1" applyFill="1" applyBorder="1" applyAlignment="1">
      <alignment horizontal="center" vertical="center" wrapText="1" shrinkToFit="1"/>
    </xf>
    <xf numFmtId="0" fontId="97" fillId="9" borderId="31" xfId="0" applyFont="1" applyFill="1" applyBorder="1" applyAlignment="1">
      <alignment horizontal="center" vertical="center" wrapText="1" shrinkToFit="1"/>
    </xf>
    <xf numFmtId="0" fontId="97" fillId="0" borderId="1" xfId="0" applyFont="1" applyBorder="1" applyAlignment="1">
      <alignment horizontal="center" vertical="center"/>
    </xf>
    <xf numFmtId="0" fontId="97" fillId="0" borderId="2" xfId="0" applyFont="1" applyBorder="1" applyAlignment="1">
      <alignment vertical="center"/>
    </xf>
    <xf numFmtId="0" fontId="97" fillId="0" borderId="49" xfId="0" applyFont="1" applyBorder="1" applyAlignment="1">
      <alignment horizontal="center" vertical="center"/>
    </xf>
    <xf numFmtId="4" fontId="97" fillId="0" borderId="14" xfId="0" applyNumberFormat="1" applyFont="1" applyBorder="1" applyAlignment="1">
      <alignment horizontal="center" vertical="center"/>
    </xf>
    <xf numFmtId="0" fontId="97" fillId="0" borderId="16" xfId="0" applyFont="1" applyBorder="1" applyAlignment="1">
      <alignment horizontal="center" vertical="center"/>
    </xf>
    <xf numFmtId="0" fontId="97" fillId="9" borderId="25" xfId="0" applyFont="1" applyFill="1" applyBorder="1" applyAlignment="1">
      <alignment horizontal="center" vertical="center" wrapText="1" shrinkToFit="1"/>
    </xf>
    <xf numFmtId="0" fontId="97" fillId="0" borderId="26" xfId="0" applyFont="1" applyBorder="1" applyAlignment="1">
      <alignment horizontal="center" vertical="center" wrapText="1" shrinkToFit="1"/>
    </xf>
    <xf numFmtId="0" fontId="97" fillId="0" borderId="31" xfId="0" applyFont="1" applyBorder="1" applyAlignment="1">
      <alignment horizontal="center" vertical="center" wrapText="1" shrinkToFit="1"/>
    </xf>
    <xf numFmtId="0" fontId="97" fillId="0" borderId="71" xfId="0" applyFont="1" applyBorder="1" applyAlignment="1">
      <alignment horizontal="center" vertical="center" wrapText="1" shrinkToFit="1"/>
    </xf>
    <xf numFmtId="0" fontId="97" fillId="0" borderId="14" xfId="0" applyFont="1" applyBorder="1" applyAlignment="1">
      <alignment horizontal="center" vertical="center"/>
    </xf>
    <xf numFmtId="0" fontId="97" fillId="0" borderId="17" xfId="0" applyFont="1" applyBorder="1" applyAlignment="1">
      <alignment horizontal="center" vertical="center"/>
    </xf>
    <xf numFmtId="4" fontId="97" fillId="9" borderId="33" xfId="0" applyNumberFormat="1" applyFont="1" applyFill="1" applyBorder="1" applyAlignment="1">
      <alignment horizontal="center" vertical="center"/>
    </xf>
    <xf numFmtId="4" fontId="97" fillId="0" borderId="7" xfId="0" applyNumberFormat="1" applyFont="1" applyBorder="1" applyAlignment="1">
      <alignment horizontal="center" vertical="center"/>
    </xf>
    <xf numFmtId="0" fontId="97" fillId="0" borderId="54" xfId="0" applyFont="1" applyBorder="1" applyAlignment="1">
      <alignment horizontal="center" vertical="center"/>
    </xf>
    <xf numFmtId="0" fontId="97" fillId="0" borderId="70" xfId="0" applyFont="1" applyBorder="1" applyAlignment="1">
      <alignment horizontal="center" vertical="center" wrapText="1"/>
    </xf>
    <xf numFmtId="0" fontId="97" fillId="0" borderId="65" xfId="0" applyFont="1" applyBorder="1" applyAlignment="1">
      <alignment horizontal="center" vertical="center" wrapText="1"/>
    </xf>
    <xf numFmtId="49" fontId="97" fillId="0" borderId="10" xfId="0" applyNumberFormat="1" applyFont="1" applyBorder="1" applyAlignment="1">
      <alignment horizontal="center"/>
    </xf>
    <xf numFmtId="0" fontId="97" fillId="0" borderId="22" xfId="0" applyFont="1" applyBorder="1" applyAlignment="1">
      <alignment horizontal="center" vertical="center" wrapText="1" shrinkToFit="1"/>
    </xf>
    <xf numFmtId="0" fontId="97" fillId="0" borderId="51" xfId="0" applyFont="1" applyBorder="1" applyAlignment="1">
      <alignment horizontal="center" vertical="center" wrapText="1" shrinkToFit="1"/>
    </xf>
    <xf numFmtId="0" fontId="97" fillId="9" borderId="36" xfId="0" applyFont="1" applyFill="1" applyBorder="1" applyAlignment="1">
      <alignment horizontal="center" vertical="center"/>
    </xf>
    <xf numFmtId="0" fontId="97" fillId="9" borderId="40" xfId="0" applyFont="1" applyFill="1" applyBorder="1" applyAlignment="1">
      <alignment horizontal="center" vertical="center"/>
    </xf>
    <xf numFmtId="0" fontId="97" fillId="9" borderId="37" xfId="0" applyFont="1" applyFill="1" applyBorder="1" applyAlignment="1">
      <alignment horizontal="center" vertical="center"/>
    </xf>
    <xf numFmtId="0" fontId="97" fillId="0" borderId="11" xfId="0" applyFont="1" applyBorder="1" applyAlignment="1">
      <alignment horizontal="left"/>
    </xf>
    <xf numFmtId="0" fontId="97" fillId="0" borderId="12" xfId="0" applyFont="1" applyBorder="1" applyAlignment="1">
      <alignment horizontal="left"/>
    </xf>
    <xf numFmtId="0" fontId="97" fillId="0" borderId="32" xfId="0" applyFont="1" applyBorder="1" applyAlignment="1">
      <alignment horizontal="left"/>
    </xf>
    <xf numFmtId="0" fontId="97" fillId="0" borderId="34" xfId="0" applyFont="1" applyBorder="1" applyAlignment="1">
      <alignment horizontal="center" vertical="center" wrapText="1" shrinkToFit="1"/>
    </xf>
    <xf numFmtId="0" fontId="97" fillId="0" borderId="35" xfId="0" applyFont="1" applyBorder="1" applyAlignment="1">
      <alignment horizontal="center" vertical="center" wrapText="1" shrinkToFit="1"/>
    </xf>
    <xf numFmtId="0" fontId="97" fillId="0" borderId="10" xfId="0" applyFont="1" applyBorder="1" applyAlignment="1">
      <alignment horizontal="center" vertical="center"/>
    </xf>
    <xf numFmtId="0" fontId="97" fillId="0" borderId="6" xfId="0" applyFont="1" applyBorder="1" applyAlignment="1">
      <alignment horizontal="center" vertical="center"/>
    </xf>
    <xf numFmtId="49" fontId="97" fillId="0" borderId="59" xfId="0" applyNumberFormat="1" applyFont="1" applyBorder="1" applyAlignment="1">
      <alignment horizontal="center"/>
    </xf>
    <xf numFmtId="0" fontId="97" fillId="0" borderId="69" xfId="0" applyFont="1" applyBorder="1" applyAlignment="1">
      <alignment horizontal="center" vertical="center" wrapText="1"/>
    </xf>
    <xf numFmtId="49" fontId="73" fillId="0" borderId="5" xfId="24" applyNumberFormat="1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73" fillId="3" borderId="2" xfId="24" applyFont="1" applyFill="1" applyBorder="1" applyAlignment="1">
      <alignment horizontal="center" vertical="center" wrapText="1"/>
    </xf>
    <xf numFmtId="0" fontId="73" fillId="3" borderId="3" xfId="0" applyFont="1" applyFill="1" applyBorder="1" applyAlignment="1">
      <alignment vertical="center" wrapText="1"/>
    </xf>
    <xf numFmtId="49" fontId="73" fillId="0" borderId="1" xfId="24" applyNumberFormat="1" applyFont="1" applyFill="1" applyBorder="1" applyAlignment="1">
      <alignment horizontal="center"/>
    </xf>
    <xf numFmtId="49" fontId="75" fillId="0" borderId="1" xfId="24" applyNumberFormat="1" applyFont="1" applyFill="1" applyBorder="1" applyAlignment="1">
      <alignment horizontal="center"/>
    </xf>
    <xf numFmtId="0" fontId="74" fillId="0" borderId="1" xfId="0" applyFont="1" applyFill="1" applyBorder="1" applyAlignment="1">
      <alignment horizontal="center" vertical="center" wrapText="1"/>
    </xf>
    <xf numFmtId="0" fontId="73" fillId="3" borderId="1" xfId="24" applyFont="1" applyFill="1" applyBorder="1" applyAlignment="1">
      <alignment horizontal="center" vertical="center"/>
    </xf>
    <xf numFmtId="0" fontId="74" fillId="0" borderId="1" xfId="24" applyFont="1" applyFill="1" applyBorder="1" applyAlignment="1">
      <alignment horizontal="center" vertical="center"/>
    </xf>
    <xf numFmtId="49" fontId="73" fillId="0" borderId="1" xfId="30" applyNumberFormat="1" applyFont="1" applyFill="1" applyBorder="1" applyAlignment="1">
      <alignment horizontal="center"/>
    </xf>
    <xf numFmtId="0" fontId="74" fillId="0" borderId="1" xfId="0" applyFont="1" applyFill="1" applyBorder="1" applyAlignment="1">
      <alignment horizontal="center" vertical="center"/>
    </xf>
    <xf numFmtId="0" fontId="73" fillId="0" borderId="1" xfId="0" applyFont="1" applyFill="1" applyBorder="1" applyAlignment="1">
      <alignment horizontal="center"/>
    </xf>
    <xf numFmtId="0" fontId="73" fillId="3" borderId="1" xfId="24" applyFont="1" applyFill="1" applyBorder="1" applyAlignment="1">
      <alignment horizontal="center" vertical="center" wrapText="1"/>
    </xf>
    <xf numFmtId="0" fontId="73" fillId="3" borderId="1" xfId="0" applyFont="1" applyFill="1" applyBorder="1" applyAlignment="1">
      <alignment horizontal="center" wrapText="1"/>
    </xf>
    <xf numFmtId="0" fontId="74" fillId="0" borderId="2" xfId="24" applyFont="1" applyBorder="1" applyAlignment="1">
      <alignment horizontal="center" vertical="center" wrapText="1"/>
    </xf>
    <xf numFmtId="0" fontId="73" fillId="0" borderId="3" xfId="0" applyFont="1" applyBorder="1" applyAlignment="1">
      <alignment horizontal="center" wrapText="1"/>
    </xf>
    <xf numFmtId="49" fontId="22" fillId="0" borderId="5" xfId="24" applyNumberFormat="1" applyFont="1" applyFill="1" applyBorder="1" applyAlignment="1">
      <alignment horizontal="center"/>
    </xf>
    <xf numFmtId="49" fontId="22" fillId="0" borderId="7" xfId="24" applyNumberFormat="1" applyFont="1" applyFill="1" applyBorder="1" applyAlignment="1">
      <alignment horizontal="center"/>
    </xf>
    <xf numFmtId="49" fontId="22" fillId="0" borderId="1" xfId="24" applyNumberFormat="1" applyFont="1" applyFill="1" applyBorder="1" applyAlignment="1">
      <alignment horizontal="center"/>
    </xf>
    <xf numFmtId="49" fontId="22" fillId="11" borderId="1" xfId="24" applyNumberFormat="1" applyFont="1" applyFill="1" applyBorder="1" applyAlignment="1">
      <alignment horizontal="center"/>
    </xf>
    <xf numFmtId="49" fontId="43" fillId="0" borderId="1" xfId="24" applyNumberFormat="1" applyFont="1" applyFill="1" applyBorder="1" applyAlignment="1">
      <alignment horizontal="center"/>
    </xf>
    <xf numFmtId="49" fontId="43" fillId="11" borderId="1" xfId="24" applyNumberFormat="1" applyFont="1" applyFill="1" applyBorder="1" applyAlignment="1">
      <alignment horizontal="center"/>
    </xf>
    <xf numFmtId="49" fontId="22" fillId="11" borderId="17" xfId="24" applyNumberFormat="1" applyFont="1" applyFill="1" applyBorder="1" applyAlignment="1">
      <alignment horizontal="center"/>
    </xf>
    <xf numFmtId="49" fontId="43" fillId="11" borderId="17" xfId="24" applyNumberFormat="1" applyFont="1" applyFill="1" applyBorder="1" applyAlignment="1">
      <alignment horizontal="center"/>
    </xf>
    <xf numFmtId="49" fontId="21" fillId="0" borderId="1" xfId="24" applyNumberFormat="1" applyFont="1" applyFill="1" applyBorder="1" applyAlignment="1">
      <alignment horizontal="center"/>
    </xf>
    <xf numFmtId="49" fontId="22" fillId="11" borderId="5" xfId="24" applyNumberFormat="1" applyFont="1" applyFill="1" applyBorder="1" applyAlignment="1">
      <alignment horizontal="center"/>
    </xf>
    <xf numFmtId="49" fontId="22" fillId="11" borderId="7" xfId="24" applyNumberFormat="1" applyFont="1" applyFill="1" applyBorder="1" applyAlignment="1">
      <alignment horizontal="center"/>
    </xf>
    <xf numFmtId="49" fontId="21" fillId="11" borderId="5" xfId="24" applyNumberFormat="1" applyFont="1" applyFill="1" applyBorder="1" applyAlignment="1">
      <alignment horizontal="center"/>
    </xf>
    <xf numFmtId="49" fontId="21" fillId="11" borderId="1" xfId="24" applyNumberFormat="1" applyFont="1" applyFill="1" applyBorder="1" applyAlignment="1">
      <alignment horizontal="center"/>
    </xf>
    <xf numFmtId="49" fontId="61" fillId="0" borderId="1" xfId="24" applyNumberFormat="1" applyFont="1" applyFill="1" applyBorder="1" applyAlignment="1">
      <alignment horizontal="center"/>
    </xf>
    <xf numFmtId="49" fontId="19" fillId="11" borderId="1" xfId="24" applyNumberFormat="1" applyFont="1" applyFill="1" applyBorder="1" applyAlignment="1">
      <alignment horizontal="center"/>
    </xf>
    <xf numFmtId="49" fontId="20" fillId="0" borderId="1" xfId="24" applyNumberFormat="1" applyFont="1" applyFill="1" applyBorder="1" applyAlignment="1">
      <alignment horizontal="center"/>
    </xf>
    <xf numFmtId="0" fontId="66" fillId="0" borderId="20" xfId="24" applyBorder="1" applyAlignment="1">
      <alignment horizontal="center" vertical="center"/>
    </xf>
    <xf numFmtId="0" fontId="66" fillId="0" borderId="1" xfId="24" applyBorder="1" applyAlignment="1">
      <alignment horizontal="center" vertical="center"/>
    </xf>
    <xf numFmtId="0" fontId="41" fillId="0" borderId="20" xfId="24" applyFont="1" applyBorder="1" applyAlignment="1">
      <alignment horizontal="center" vertical="center"/>
    </xf>
    <xf numFmtId="0" fontId="62" fillId="0" borderId="5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/>
    </xf>
    <xf numFmtId="0" fontId="62" fillId="0" borderId="3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/>
    </xf>
    <xf numFmtId="0" fontId="80" fillId="0" borderId="5" xfId="5" applyFont="1" applyBorder="1" applyAlignment="1">
      <alignment horizontal="right" vertical="center" wrapText="1"/>
    </xf>
    <xf numFmtId="0" fontId="80" fillId="0" borderId="8" xfId="5" applyFont="1" applyBorder="1" applyAlignment="1">
      <alignment horizontal="right" vertical="center" wrapText="1"/>
    </xf>
    <xf numFmtId="0" fontId="80" fillId="0" borderId="7" xfId="5" applyFont="1" applyBorder="1" applyAlignment="1">
      <alignment horizontal="right" vertical="center" wrapText="1"/>
    </xf>
    <xf numFmtId="0" fontId="82" fillId="0" borderId="0" xfId="5" applyFont="1" applyBorder="1" applyAlignment="1">
      <alignment horizontal="left" vertical="center" wrapText="1"/>
    </xf>
    <xf numFmtId="0" fontId="80" fillId="0" borderId="1" xfId="5" applyFont="1" applyBorder="1" applyAlignment="1">
      <alignment horizontal="right" vertical="center" wrapText="1"/>
    </xf>
    <xf numFmtId="0" fontId="81" fillId="0" borderId="0" xfId="5" applyFont="1" applyAlignment="1">
      <alignment horizontal="left" wrapText="1"/>
    </xf>
    <xf numFmtId="0" fontId="80" fillId="0" borderId="6" xfId="5" applyFont="1" applyBorder="1" applyAlignment="1">
      <alignment horizontal="center" vertical="center" wrapText="1"/>
    </xf>
    <xf numFmtId="0" fontId="80" fillId="0" borderId="5" xfId="5" applyFont="1" applyBorder="1" applyAlignment="1">
      <alignment horizontal="center" vertical="center" wrapText="1"/>
    </xf>
    <xf numFmtId="0" fontId="80" fillId="0" borderId="8" xfId="5" applyFont="1" applyBorder="1" applyAlignment="1">
      <alignment horizontal="center" vertical="center" wrapText="1"/>
    </xf>
    <xf numFmtId="0" fontId="80" fillId="0" borderId="6" xfId="5" applyFont="1" applyBorder="1" applyAlignment="1">
      <alignment horizontal="justify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62" fillId="0" borderId="33" xfId="0" applyFont="1" applyBorder="1" applyAlignment="1">
      <alignment horizontal="center" vertical="center" wrapText="1"/>
    </xf>
    <xf numFmtId="0" fontId="62" fillId="0" borderId="34" xfId="0" applyFont="1" applyBorder="1" applyAlignment="1">
      <alignment horizontal="center" vertical="center" wrapText="1"/>
    </xf>
    <xf numFmtId="0" fontId="62" fillId="0" borderId="35" xfId="0" applyFont="1" applyBorder="1" applyAlignment="1">
      <alignment horizontal="center" vertical="center" wrapText="1"/>
    </xf>
  </cellXfs>
  <cellStyles count="31">
    <cellStyle name="Excel Built-in Normal" xfId="4"/>
    <cellStyle name="Excel Built-in Normal 2" xfId="8"/>
    <cellStyle name="Excel Built-in Normal 3" xfId="9"/>
    <cellStyle name="Excel Built-in Normal 4" xfId="10"/>
    <cellStyle name="Excel Built-in Normal 5" xfId="11"/>
    <cellStyle name="Excel Built-in Normal 6" xfId="12"/>
    <cellStyle name="Excel Built-in Normal 7" xfId="13"/>
    <cellStyle name="Excel Built-in Normal 8" xfId="14"/>
    <cellStyle name="Excel Built-in Normal_Найновіший список ІТП на 01.12.15 (1)" xfId="15"/>
    <cellStyle name="Обычный" xfId="0" builtinId="0"/>
    <cellStyle name="Обычный 2" xfId="1"/>
    <cellStyle name="Обычный 2 2" xfId="19"/>
    <cellStyle name="Обычный 21" xfId="16"/>
    <cellStyle name="Обычный 21 2" xfId="22"/>
    <cellStyle name="Обычный 3" xfId="3"/>
    <cellStyle name="Обычный 4" xfId="5"/>
    <cellStyle name="Обычный 4 2" xfId="20"/>
    <cellStyle name="Обычный 4 2 2" xfId="28"/>
    <cellStyle name="Обычный 4 3" xfId="25"/>
    <cellStyle name="Обычный 5" xfId="6"/>
    <cellStyle name="Обычный 5 2" xfId="21"/>
    <cellStyle name="Обычный 5 2 2" xfId="29"/>
    <cellStyle name="Обычный 5 3" xfId="26"/>
    <cellStyle name="Обычный 6" xfId="7"/>
    <cellStyle name="Обычный 7" xfId="24"/>
    <cellStyle name="Обычный 7 2" xfId="30"/>
    <cellStyle name="Обычный 8" xfId="23"/>
    <cellStyle name="Обычный_ПРАЙС  НАШ  НОВЫЙ" xfId="2"/>
    <cellStyle name="Процентный 2" xfId="17"/>
    <cellStyle name="Финансовый" xfId="18" builtinId="3"/>
    <cellStyle name="Финансовый 2" xfId="27"/>
  </cellStyles>
  <dxfs count="4">
    <dxf>
      <numFmt numFmtId="4" formatCode="#,##0.00"/>
    </dxf>
    <dxf>
      <numFmt numFmtId="4" formatCode="#,##0.00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6;&#1054;&#1047;&#1056;&#1040;&#1061;&#1059;&#1053;&#1054;&#105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5;&#1040;&#1056;&#1040;&#1052;&#1045;&#1058;&#1056;&#1048;%20&#1041;&#1059;&#1044;&#1048;&#1053;&#1050;&#1030;&#1042;%20&#1088;&#1086;&#1079;&#1088;&#1072;&#1093;&#1091;&#1085;&#1086;&#1082;%20&#1088;&#1086;&#1073;&#1110;&#1090;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8;&#1077;&#1085;&#1076;&#1077;&#1088;%20&#1058;&#1077;&#1088;&#1085;&#1086;&#1087;&#1110;&#1083;&#1100;,%20&#1045;&#1041;&#1056;&#1056;/&#1069;&#1058;&#1040;&#1055;%202/&#1054;&#1073;&#1085;&#1086;&#1074;&#1083;.%20&#1090;&#1072;&#1073;&#1083;.%2014.09.16/&#1055;&#1040;&#1056;&#1040;&#1052;&#1045;&#1058;&#1056;&#1048;%20&#1041;&#1059;&#1044;&#1048;&#1053;&#1050;&#1030;&#1042;%20&#1088;&#1086;&#1079;&#1088;&#1072;&#1093;&#1091;&#1085;&#1086;&#1082;%20&#1088;&#1086;&#1073;&#1110;&#109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ситика"/>
      <sheetName val="Ціни контур мережний"/>
      <sheetName val="Ціни контур теплопостачання"/>
      <sheetName val="Таблиця цін схема №1"/>
      <sheetName val="Таблиця цін схема №2"/>
      <sheetName val="Таблиця цін схема №3"/>
      <sheetName val="Запасні частини"/>
      <sheetName val="рекоменд. и обязат. зап. части"/>
      <sheetName val="Теплообмінники №1"/>
      <sheetName val="Теплообмінники №2"/>
      <sheetName val="черн."/>
    </sheetNames>
    <sheetDataSet>
      <sheetData sheetId="0" refreshError="1"/>
      <sheetData sheetId="1">
        <row r="107">
          <cell r="Y107">
            <v>4</v>
          </cell>
          <cell r="Z107">
            <v>15</v>
          </cell>
        </row>
        <row r="108">
          <cell r="Y108">
            <v>6.3</v>
          </cell>
          <cell r="Z108">
            <v>20</v>
          </cell>
        </row>
        <row r="109">
          <cell r="Y109">
            <v>8</v>
          </cell>
          <cell r="Z109">
            <v>25</v>
          </cell>
        </row>
        <row r="110">
          <cell r="Y110">
            <v>12.5</v>
          </cell>
          <cell r="Z110">
            <v>32</v>
          </cell>
        </row>
        <row r="111">
          <cell r="Y111">
            <v>16</v>
          </cell>
          <cell r="Z111">
            <v>40</v>
          </cell>
        </row>
        <row r="112">
          <cell r="Y112">
            <v>20</v>
          </cell>
          <cell r="Z112">
            <v>50</v>
          </cell>
        </row>
        <row r="113">
          <cell r="Y113">
            <v>32</v>
          </cell>
          <cell r="Z113">
            <v>50</v>
          </cell>
        </row>
        <row r="114">
          <cell r="Y114">
            <v>50</v>
          </cell>
          <cell r="Z114">
            <v>65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"/>
      <sheetName val="PrSch Equip Add"/>
      <sheetName val="Schedule 3"/>
      <sheetName val="Schedule 4"/>
      <sheetName val="Schedule 5"/>
      <sheetName val="Расчеты услуги"/>
      <sheetName val="Расходы"/>
      <sheetName val="Винница"/>
      <sheetName val="Строит. работы"/>
      <sheetName val="Country of Origin"/>
      <sheetName val="Schedule 1"/>
      <sheetName val="Schedule 2"/>
      <sheetName val="Schedule 6"/>
      <sheetName val="Лист7"/>
      <sheetName val="Лист8"/>
    </sheetNames>
    <sheetDataSet>
      <sheetData sheetId="0"/>
      <sheetData sheetId="1"/>
      <sheetData sheetId="2"/>
      <sheetData sheetId="3">
        <row r="7">
          <cell r="G7">
            <v>7073.2912115584331</v>
          </cell>
        </row>
      </sheetData>
      <sheetData sheetId="4"/>
      <sheetData sheetId="5">
        <row r="2">
          <cell r="F2" t="str">
            <v>29,3682</v>
          </cell>
        </row>
      </sheetData>
      <sheetData sheetId="6">
        <row r="139">
          <cell r="C139">
            <v>1846.1538461538462</v>
          </cell>
        </row>
        <row r="146">
          <cell r="C146">
            <v>0</v>
          </cell>
        </row>
        <row r="154">
          <cell r="C154">
            <v>0</v>
          </cell>
        </row>
        <row r="163">
          <cell r="C163">
            <v>300.63036461094771</v>
          </cell>
        </row>
        <row r="191">
          <cell r="C191">
            <v>413.02799999999996</v>
          </cell>
        </row>
        <row r="289">
          <cell r="F289">
            <v>399.10842339673519</v>
          </cell>
        </row>
        <row r="306">
          <cell r="F306">
            <v>262.693389448451</v>
          </cell>
        </row>
        <row r="331">
          <cell r="F331">
            <v>324.72388501848934</v>
          </cell>
        </row>
        <row r="347">
          <cell r="F347">
            <v>259.288345897944</v>
          </cell>
        </row>
        <row r="368">
          <cell r="L368">
            <v>364.55526726186827</v>
          </cell>
        </row>
        <row r="370">
          <cell r="J370">
            <v>123.26257652835379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HS Characteristics"/>
      <sheetName val="СВОДНАЯ"/>
      <sheetName val="PrSch Equip Add"/>
      <sheetName val="Schedule No. 2 PrSch Works Main"/>
      <sheetName val="Schedule No. 2  PrSch Works Add"/>
      <sheetName val="Расчеты"/>
      <sheetName val="Расходы"/>
      <sheetName val="работы Э-И"/>
      <sheetName val="Винница"/>
    </sheetNames>
    <sheetDataSet>
      <sheetData sheetId="0"/>
      <sheetData sheetId="1"/>
      <sheetData sheetId="2"/>
      <sheetData sheetId="3"/>
      <sheetData sheetId="4"/>
      <sheetData sheetId="5">
        <row r="7">
          <cell r="AX7">
            <v>4956.3708679159836</v>
          </cell>
        </row>
        <row r="8">
          <cell r="AX8">
            <v>4956.3708679159836</v>
          </cell>
        </row>
        <row r="9">
          <cell r="AX9">
            <v>4815.630408370027</v>
          </cell>
        </row>
        <row r="10">
          <cell r="AX10">
            <v>4815.630408370027</v>
          </cell>
        </row>
        <row r="11">
          <cell r="AX11">
            <v>4938.0346446113963</v>
          </cell>
        </row>
        <row r="12">
          <cell r="AX12">
            <v>4938.0346446113963</v>
          </cell>
        </row>
        <row r="13">
          <cell r="AX13">
            <v>5195.1576812661524</v>
          </cell>
        </row>
        <row r="14">
          <cell r="AX14">
            <v>5195.1576812661524</v>
          </cell>
        </row>
        <row r="15">
          <cell r="AX15">
            <v>5029.0828540182965</v>
          </cell>
        </row>
        <row r="16">
          <cell r="AX16">
            <v>5029.0828540182965</v>
          </cell>
        </row>
        <row r="17">
          <cell r="AX17">
            <v>5029.0828540182965</v>
          </cell>
        </row>
        <row r="18">
          <cell r="AX18">
            <v>5822.7122114065733</v>
          </cell>
        </row>
        <row r="19">
          <cell r="AX19">
            <v>5822.7122114065733</v>
          </cell>
        </row>
        <row r="20">
          <cell r="AX20">
            <v>4951.9766842246472</v>
          </cell>
        </row>
        <row r="21">
          <cell r="AX21">
            <v>5165.1217178451288</v>
          </cell>
        </row>
        <row r="22">
          <cell r="AX22">
            <v>5165.1217178451288</v>
          </cell>
        </row>
        <row r="23">
          <cell r="AX23">
            <v>5447.3440424158271</v>
          </cell>
        </row>
        <row r="24">
          <cell r="AX24">
            <v>4831.5796676941345</v>
          </cell>
        </row>
        <row r="25">
          <cell r="AX25">
            <v>6668.8005271840093</v>
          </cell>
        </row>
        <row r="26">
          <cell r="AX26">
            <v>6668.8005271840093</v>
          </cell>
        </row>
        <row r="27">
          <cell r="AX27">
            <v>5828.5259153438756</v>
          </cell>
        </row>
        <row r="28">
          <cell r="AX28">
            <v>5828.5259153438756</v>
          </cell>
        </row>
        <row r="29">
          <cell r="AX29">
            <v>5828.5259153438756</v>
          </cell>
        </row>
        <row r="30">
          <cell r="AX30">
            <v>5828.5259153438756</v>
          </cell>
        </row>
        <row r="31">
          <cell r="AX31">
            <v>5632.9967964530661</v>
          </cell>
        </row>
        <row r="32">
          <cell r="AX32">
            <v>5632.9967964530661</v>
          </cell>
        </row>
        <row r="33">
          <cell r="AX33">
            <v>5632.9967964530661</v>
          </cell>
        </row>
        <row r="34">
          <cell r="AX34">
            <v>6686.9378368235557</v>
          </cell>
        </row>
        <row r="35">
          <cell r="AX35">
            <v>6686.9378368235557</v>
          </cell>
        </row>
        <row r="36">
          <cell r="AX36">
            <v>6686.9378368235557</v>
          </cell>
        </row>
        <row r="37">
          <cell r="AX37">
            <v>5404.595687492706</v>
          </cell>
        </row>
        <row r="38">
          <cell r="AX38">
            <v>5404.595687492706</v>
          </cell>
        </row>
        <row r="39">
          <cell r="AX39">
            <v>5612.1530554316123</v>
          </cell>
        </row>
      </sheetData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Нечипоренко Анатолій" refreshedDate="42635.473055555558" createdVersion="4" refreshedVersion="4" minRefreshableVersion="3" recordCount="27">
  <cacheSource type="worksheet">
    <worksheetSource ref="F7:J34" sheet="Сводная"/>
  </cacheSource>
  <cacheFields count="5">
    <cacheField name="Виробник" numFmtId="0">
      <sharedItems count="14">
        <s v="AXIS (Литва)"/>
        <s v="Енерго-Інвест (Україна)"/>
        <s v="Danfoss (Данія)"/>
        <s v="Склоприбор (Україна)"/>
        <s v="BREEZE (Україна)"/>
        <s v="LDM (Чехія)"/>
        <s v="Apator (Польща)"/>
        <s v="Zetkama (Польща)"/>
        <s v="WILO "/>
        <s v="ROZ-NAVI "/>
        <s v="EZV (Словакія)"/>
        <s v="ТЭРА"/>
        <s v="IVR (Італія)"/>
        <s v="VALTEC"/>
      </sharedItems>
    </cacheField>
    <cacheField name="Постачальник" numFmtId="0">
      <sharedItems containsBlank="1" count="11">
        <m/>
        <s v="Енерго-Інвест"/>
        <s v="Danfoss"/>
        <s v="Віктер-Плюс"/>
        <s v="BREEZE"/>
        <s v="Крафт-Плюс"/>
        <s v="Апатор-Метротекс"/>
        <s v="Етна-Трейд"/>
        <s v="WILO "/>
        <s v="ТОВ ВОДОГОН"/>
        <s v="ТОВ Інженерний санітарний центр ВАЛТЕК"/>
      </sharedItems>
    </cacheField>
    <cacheField name="Знижка" numFmtId="0">
      <sharedItems containsBlank="1" containsMixedTypes="1" containsNumber="1" minValue="0.05" maxValue="0.75"/>
    </cacheField>
    <cacheField name="Сума, ЄВРО з ПДВ" numFmtId="4">
      <sharedItems containsSemiMixedTypes="0" containsString="0" containsNumber="1" minValue="299.27311932667897" maxValue="426252.85392693384"/>
    </cacheField>
    <cacheField name="% від загальної суми" numFmtId="10">
      <sharedItems containsSemiMixedTypes="0" containsString="0" containsNumber="1" minValue="1.7094571273877179E-4" maxValue="0.243476921968178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">
  <r>
    <x v="0"/>
    <x v="0"/>
    <m/>
    <n v="206821.45599999998"/>
    <n v="0.11813704246186454"/>
  </r>
  <r>
    <x v="1"/>
    <x v="1"/>
    <m/>
    <n v="426252.85392693384"/>
    <n v="0.24347692196817886"/>
  </r>
  <r>
    <x v="2"/>
    <x v="2"/>
    <n v="0.6"/>
    <n v="73469.914200257364"/>
    <n v="4.1966237649663146E-2"/>
  </r>
  <r>
    <x v="2"/>
    <x v="2"/>
    <n v="0.75"/>
    <n v="82811.068897158548"/>
    <n v="4.7301933521906987E-2"/>
  </r>
  <r>
    <x v="2"/>
    <x v="2"/>
    <m/>
    <n v="44333.46"/>
    <n v="2.5323406709318274E-2"/>
  </r>
  <r>
    <x v="2"/>
    <x v="2"/>
    <m/>
    <n v="11614.86"/>
    <n v="6.634443232082325E-3"/>
  </r>
  <r>
    <x v="2"/>
    <x v="2"/>
    <n v="0.65"/>
    <n v="62672.055646367335"/>
    <n v="3.5798468119609586E-2"/>
  </r>
  <r>
    <x v="3"/>
    <x v="3"/>
    <s v="от 15% до 25%"/>
    <n v="6789.1557750495595"/>
    <n v="3.8779863539750094E-3"/>
  </r>
  <r>
    <x v="3"/>
    <x v="3"/>
    <s v="от 15% до 25%"/>
    <n v="160430.8317045178"/>
    <n v="9.1638577272509222E-2"/>
  </r>
  <r>
    <x v="3"/>
    <x v="3"/>
    <s v="от 15% до 25%"/>
    <n v="55874.581713212523"/>
    <n v="3.191573040851578E-2"/>
  </r>
  <r>
    <x v="4"/>
    <x v="4"/>
    <n v="0.1"/>
    <n v="88053.370953899692"/>
    <n v="5.0296352344077686E-2"/>
  </r>
  <r>
    <x v="5"/>
    <x v="5"/>
    <n v="0.3"/>
    <n v="49667.1"/>
    <n v="2.8369998041487886E-2"/>
  </r>
  <r>
    <x v="5"/>
    <x v="5"/>
    <n v="0.2"/>
    <n v="299.27311932667897"/>
    <n v="1.7094571273877179E-4"/>
  </r>
  <r>
    <x v="6"/>
    <x v="6"/>
    <n v="0.05"/>
    <n v="25501.059999999998"/>
    <n v="1.4566282755704783E-2"/>
  </r>
  <r>
    <x v="7"/>
    <x v="7"/>
    <n v="0.3"/>
    <n v="12674.565732899022"/>
    <n v="7.2397503582664327E-3"/>
  </r>
  <r>
    <x v="8"/>
    <x v="8"/>
    <m/>
    <n v="227028.79199999999"/>
    <n v="0.12967953402556945"/>
  </r>
  <r>
    <x v="9"/>
    <x v="0"/>
    <s v="спецціна"/>
    <n v="63808.510000000009"/>
    <n v="3.6447614290551704E-2"/>
  </r>
  <r>
    <x v="10"/>
    <x v="9"/>
    <n v="0.21"/>
    <n v="39296.18"/>
    <n v="2.2446097107299511E-2"/>
  </r>
  <r>
    <x v="11"/>
    <x v="0"/>
    <m/>
    <n v="3211.4214168956282"/>
    <n v="1.8343736458887518E-3"/>
  </r>
  <r>
    <x v="12"/>
    <x v="5"/>
    <n v="0.2"/>
    <n v="23631.600000000002"/>
    <n v="1.349844153810521E-2"/>
  </r>
  <r>
    <x v="12"/>
    <x v="5"/>
    <n v="0.2"/>
    <n v="16411.392"/>
    <n v="9.3742368468883817E-3"/>
  </r>
  <r>
    <x v="12"/>
    <x v="5"/>
    <n v="0.2"/>
    <n v="6749.636459016393"/>
    <n v="3.8554128008893274E-3"/>
  </r>
  <r>
    <x v="12"/>
    <x v="5"/>
    <n v="0.2"/>
    <n v="8669.3645901639338"/>
    <n v="4.9519673273433571E-3"/>
  </r>
  <r>
    <x v="12"/>
    <x v="5"/>
    <n v="0.2"/>
    <n v="27284.163934426229"/>
    <n v="1.5584797126937279E-2"/>
  </r>
  <r>
    <x v="12"/>
    <x v="5"/>
    <n v="0.2"/>
    <n v="12926.021508196722"/>
    <n v="7.3833826591802485E-3"/>
  </r>
  <r>
    <x v="12"/>
    <x v="5"/>
    <n v="0.2"/>
    <n v="3876.2966557377049"/>
    <n v="2.2141523972912598E-3"/>
  </r>
  <r>
    <x v="13"/>
    <x v="10"/>
    <n v="0.4"/>
    <n v="10532.005262222223"/>
    <n v="6.0159133241559221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C18" firstHeaderRow="0" firstDataRow="1" firstDataCol="1"/>
  <pivotFields count="5">
    <pivotField axis="axisRow" showAll="0" sortType="descending">
      <items count="15">
        <item x="6"/>
        <item x="0"/>
        <item x="4"/>
        <item x="2"/>
        <item x="10"/>
        <item x="12"/>
        <item x="5"/>
        <item x="9"/>
        <item x="13"/>
        <item x="8"/>
        <item x="7"/>
        <item x="1"/>
        <item x="3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12">
        <item x="4"/>
        <item x="2"/>
        <item x="8"/>
        <item x="6"/>
        <item x="3"/>
        <item x="1"/>
        <item x="7"/>
        <item x="5"/>
        <item x="9"/>
        <item x="10"/>
        <item x="0"/>
        <item t="default"/>
      </items>
    </pivotField>
    <pivotField showAll="0"/>
    <pivotField dataField="1" numFmtId="4" showAll="0"/>
    <pivotField dataField="1" numFmtId="10" showAll="0"/>
  </pivotFields>
  <rowFields count="1">
    <field x="0"/>
  </rowFields>
  <rowItems count="15">
    <i>
      <x v="11"/>
    </i>
    <i>
      <x v="3"/>
    </i>
    <i>
      <x v="9"/>
    </i>
    <i>
      <x v="12"/>
    </i>
    <i>
      <x v="1"/>
    </i>
    <i>
      <x v="5"/>
    </i>
    <i>
      <x v="2"/>
    </i>
    <i>
      <x v="7"/>
    </i>
    <i>
      <x v="6"/>
    </i>
    <i>
      <x v="4"/>
    </i>
    <i>
      <x/>
    </i>
    <i>
      <x v="10"/>
    </i>
    <i>
      <x v="8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Сума, ЄВРО з ПДВ" fld="3" baseField="0" baseItem="0" numFmtId="4"/>
    <dataField name="Сумма по полю % від загальної суми" fld="4" baseField="0" baseItem="0" numFmtId="10"/>
  </dataFields>
  <formats count="4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3:C18"/>
  <sheetViews>
    <sheetView workbookViewId="0">
      <selection activeCell="B43" sqref="B43"/>
    </sheetView>
  </sheetViews>
  <sheetFormatPr defaultRowHeight="12.75"/>
  <cols>
    <col min="1" max="1" width="21.140625" customWidth="1"/>
    <col min="2" max="2" width="34" style="184" bestFit="1" customWidth="1"/>
    <col min="3" max="3" width="36.42578125" style="208" bestFit="1" customWidth="1"/>
  </cols>
  <sheetData>
    <row r="3" spans="1:3">
      <c r="A3" s="206" t="s">
        <v>660</v>
      </c>
      <c r="B3" s="184" t="s">
        <v>662</v>
      </c>
      <c r="C3" s="208" t="s">
        <v>663</v>
      </c>
    </row>
    <row r="4" spans="1:3">
      <c r="A4" s="207" t="s">
        <v>645</v>
      </c>
      <c r="B4" s="184">
        <v>426252.85392693384</v>
      </c>
      <c r="C4" s="208">
        <v>0.24347692196817886</v>
      </c>
    </row>
    <row r="5" spans="1:3">
      <c r="A5" s="207" t="s">
        <v>42</v>
      </c>
      <c r="B5" s="184">
        <v>274901.3587437832</v>
      </c>
      <c r="C5" s="208">
        <v>0.15702448923258033</v>
      </c>
    </row>
    <row r="6" spans="1:3">
      <c r="A6" s="207" t="s">
        <v>606</v>
      </c>
      <c r="B6" s="184">
        <v>227028.79199999999</v>
      </c>
      <c r="C6" s="208">
        <v>0.12967953402556945</v>
      </c>
    </row>
    <row r="7" spans="1:3">
      <c r="A7" s="207" t="s">
        <v>49</v>
      </c>
      <c r="B7" s="184">
        <v>223094.56919277989</v>
      </c>
      <c r="C7" s="208">
        <v>0.127432294035</v>
      </c>
    </row>
    <row r="8" spans="1:3">
      <c r="A8" s="207" t="s">
        <v>644</v>
      </c>
      <c r="B8" s="184">
        <v>206821.45599999998</v>
      </c>
      <c r="C8" s="208">
        <v>0.11813704246186454</v>
      </c>
    </row>
    <row r="9" spans="1:3">
      <c r="A9" s="207" t="s">
        <v>18</v>
      </c>
      <c r="B9" s="184">
        <v>99548.475147540972</v>
      </c>
      <c r="C9" s="208">
        <v>5.6862390696635061E-2</v>
      </c>
    </row>
    <row r="10" spans="1:3">
      <c r="A10" s="207" t="s">
        <v>364</v>
      </c>
      <c r="B10" s="184">
        <v>88053.370953899692</v>
      </c>
      <c r="C10" s="208">
        <v>5.0296352344077686E-2</v>
      </c>
    </row>
    <row r="11" spans="1:3">
      <c r="A11" s="207" t="s">
        <v>35</v>
      </c>
      <c r="B11" s="184">
        <v>63808.510000000009</v>
      </c>
      <c r="C11" s="208">
        <v>3.6447614290551704E-2</v>
      </c>
    </row>
    <row r="12" spans="1:3">
      <c r="A12" s="207" t="s">
        <v>19</v>
      </c>
      <c r="B12" s="184">
        <v>49966.373119326679</v>
      </c>
      <c r="C12" s="208">
        <v>2.8540943754226659E-2</v>
      </c>
    </row>
    <row r="13" spans="1:3">
      <c r="A13" s="207" t="s">
        <v>649</v>
      </c>
      <c r="B13" s="184">
        <v>39296.18</v>
      </c>
      <c r="C13" s="208">
        <v>2.2446097107299511E-2</v>
      </c>
    </row>
    <row r="14" spans="1:3">
      <c r="A14" s="207" t="s">
        <v>38</v>
      </c>
      <c r="B14" s="184">
        <v>25501.059999999998</v>
      </c>
      <c r="C14" s="208">
        <v>1.4566282755704783E-2</v>
      </c>
    </row>
    <row r="15" spans="1:3">
      <c r="A15" s="207" t="s">
        <v>56</v>
      </c>
      <c r="B15" s="184">
        <v>12674.565732899022</v>
      </c>
      <c r="C15" s="208">
        <v>7.2397503582664327E-3</v>
      </c>
    </row>
    <row r="16" spans="1:3">
      <c r="A16" s="207" t="s">
        <v>646</v>
      </c>
      <c r="B16" s="184">
        <v>10532.005262222223</v>
      </c>
      <c r="C16" s="208">
        <v>6.0159133241559221E-3</v>
      </c>
    </row>
    <row r="17" spans="1:3">
      <c r="A17" s="207" t="s">
        <v>83</v>
      </c>
      <c r="B17" s="184">
        <v>3211.4214168956282</v>
      </c>
      <c r="C17" s="208">
        <v>1.8343736458887518E-3</v>
      </c>
    </row>
    <row r="18" spans="1:3">
      <c r="A18" s="207" t="s">
        <v>661</v>
      </c>
      <c r="B18" s="184">
        <v>1750690.9914962812</v>
      </c>
      <c r="C18" s="208">
        <v>0.99999999999999967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theme="9" tint="-0.249977111117893"/>
    <pageSetUpPr fitToPage="1"/>
  </sheetPr>
  <dimension ref="A1:AG119"/>
  <sheetViews>
    <sheetView topLeftCell="B1" zoomScale="85" zoomScaleNormal="85" workbookViewId="0">
      <selection activeCell="J107" sqref="J107"/>
    </sheetView>
  </sheetViews>
  <sheetFormatPr defaultRowHeight="12.75"/>
  <cols>
    <col min="6" max="6" width="18.85546875" customWidth="1"/>
    <col min="13" max="14" width="10.140625" bestFit="1" customWidth="1"/>
    <col min="23" max="23" width="15.28515625" customWidth="1"/>
    <col min="24" max="24" width="11" customWidth="1"/>
    <col min="28" max="28" width="10.140625" bestFit="1" customWidth="1"/>
  </cols>
  <sheetData>
    <row r="1" spans="1:32">
      <c r="L1" s="113"/>
      <c r="Y1" s="507">
        <v>0.3</v>
      </c>
      <c r="AA1" s="113"/>
      <c r="AB1" s="185"/>
      <c r="AC1" s="17"/>
    </row>
    <row r="2" spans="1:32" ht="13.5" thickBot="1">
      <c r="B2" s="1205" t="s">
        <v>40</v>
      </c>
      <c r="C2" s="1206"/>
      <c r="D2" s="1206"/>
      <c r="E2" s="1206"/>
      <c r="F2" s="1206"/>
      <c r="G2" s="1206"/>
      <c r="H2" s="1206"/>
      <c r="I2" s="1206"/>
      <c r="J2" s="1206"/>
      <c r="K2" s="1206"/>
      <c r="L2" s="1206"/>
      <c r="M2" s="1206"/>
      <c r="N2" s="1206"/>
      <c r="Q2" s="1205" t="s">
        <v>41</v>
      </c>
      <c r="R2" s="1206"/>
      <c r="S2" s="1206"/>
      <c r="T2" s="1206"/>
      <c r="U2" s="1206"/>
      <c r="V2" s="1206"/>
      <c r="W2" s="1206"/>
      <c r="X2" s="1206"/>
      <c r="Y2" s="1206"/>
      <c r="Z2" s="1206"/>
      <c r="AA2" s="1206"/>
      <c r="AB2" s="1206"/>
      <c r="AC2" s="1206"/>
      <c r="AD2" s="17"/>
      <c r="AE2" s="17"/>
      <c r="AF2" s="113" t="s">
        <v>1141</v>
      </c>
    </row>
    <row r="3" spans="1:32">
      <c r="B3" s="2" t="s">
        <v>15</v>
      </c>
      <c r="C3" s="1211" t="s">
        <v>17</v>
      </c>
      <c r="D3" s="1211"/>
      <c r="E3" s="1211"/>
      <c r="F3" s="1211"/>
      <c r="G3" s="1211" t="s">
        <v>20</v>
      </c>
      <c r="H3" s="1211"/>
      <c r="I3" s="6" t="s">
        <v>6</v>
      </c>
      <c r="J3" s="6" t="s">
        <v>5</v>
      </c>
      <c r="K3" s="6"/>
      <c r="L3" s="8" t="s">
        <v>22</v>
      </c>
      <c r="M3" s="90" t="s">
        <v>94</v>
      </c>
      <c r="N3" s="84" t="s">
        <v>7</v>
      </c>
      <c r="O3" s="80" t="s">
        <v>9</v>
      </c>
      <c r="Q3" s="2" t="s">
        <v>15</v>
      </c>
      <c r="R3" s="1211" t="s">
        <v>17</v>
      </c>
      <c r="S3" s="1211"/>
      <c r="T3" s="1211"/>
      <c r="U3" s="1211"/>
      <c r="V3" s="1211" t="s">
        <v>20</v>
      </c>
      <c r="W3" s="1211"/>
      <c r="X3" s="3" t="s">
        <v>3</v>
      </c>
      <c r="Y3" s="50" t="s">
        <v>21</v>
      </c>
      <c r="Z3" s="50" t="s">
        <v>22</v>
      </c>
      <c r="AA3" s="77"/>
      <c r="AB3" s="175" t="s">
        <v>7</v>
      </c>
      <c r="AC3" s="80" t="s">
        <v>7</v>
      </c>
      <c r="AD3" s="4" t="s">
        <v>9</v>
      </c>
    </row>
    <row r="4" spans="1:32">
      <c r="B4" s="9" t="s">
        <v>16</v>
      </c>
      <c r="C4" s="1212"/>
      <c r="D4" s="1212"/>
      <c r="E4" s="1212"/>
      <c r="F4" s="1212"/>
      <c r="G4" s="1212"/>
      <c r="H4" s="1212"/>
      <c r="I4" s="11" t="s">
        <v>1</v>
      </c>
      <c r="J4" s="11" t="s">
        <v>1</v>
      </c>
      <c r="K4" s="11"/>
      <c r="L4" s="10" t="s">
        <v>2</v>
      </c>
      <c r="M4" s="53" t="s">
        <v>1</v>
      </c>
      <c r="N4" s="169" t="s">
        <v>651</v>
      </c>
      <c r="O4" s="81" t="s">
        <v>93</v>
      </c>
      <c r="Q4" s="47" t="s">
        <v>16</v>
      </c>
      <c r="R4" s="1212"/>
      <c r="S4" s="1212"/>
      <c r="T4" s="1212"/>
      <c r="U4" s="1212"/>
      <c r="V4" s="1212"/>
      <c r="W4" s="1212"/>
      <c r="X4" s="1" t="s">
        <v>24</v>
      </c>
      <c r="Y4" s="48" t="s">
        <v>1</v>
      </c>
      <c r="Z4" s="48" t="s">
        <v>2</v>
      </c>
      <c r="AA4" s="78"/>
      <c r="AB4" s="176" t="s">
        <v>651</v>
      </c>
      <c r="AC4" s="81" t="s">
        <v>23</v>
      </c>
      <c r="AD4" s="68" t="s">
        <v>93</v>
      </c>
    </row>
    <row r="5" spans="1:32" ht="18">
      <c r="A5" s="69"/>
      <c r="B5" s="403">
        <v>1</v>
      </c>
      <c r="C5" s="1241" t="s">
        <v>825</v>
      </c>
      <c r="D5" s="1242"/>
      <c r="E5" s="1242"/>
      <c r="F5" s="1242"/>
      <c r="G5" s="1243" t="s">
        <v>355</v>
      </c>
      <c r="H5" s="1243"/>
      <c r="I5" s="437">
        <v>6.0000000000000001E-3</v>
      </c>
      <c r="J5" s="437">
        <v>1.5</v>
      </c>
      <c r="K5" s="449" t="s">
        <v>105</v>
      </c>
      <c r="L5" s="450">
        <v>15</v>
      </c>
      <c r="M5" s="451">
        <v>3.2</v>
      </c>
      <c r="N5" s="595">
        <f>205.32*1.2</f>
        <v>246.38399999999999</v>
      </c>
      <c r="O5" s="391">
        <f>'Таблиця цін схема №1'!BY43+'Таблиця цін схема №1'!CE43+'Таблиця цін схема №2'!BU76+'Таблиця цін схема №2'!CA76+'Таблиця цін схема №3'!AU14</f>
        <v>12</v>
      </c>
      <c r="P5" s="69"/>
      <c r="Q5" s="47">
        <v>1</v>
      </c>
      <c r="R5" s="1217" t="s">
        <v>14</v>
      </c>
      <c r="S5" s="1217"/>
      <c r="T5" s="1217"/>
      <c r="U5" s="1217"/>
      <c r="V5" s="1259" t="s">
        <v>56</v>
      </c>
      <c r="W5" s="1219"/>
      <c r="X5" s="355" t="s">
        <v>814</v>
      </c>
      <c r="Y5" s="54"/>
      <c r="Z5" s="13">
        <v>15</v>
      </c>
      <c r="AA5" s="79"/>
      <c r="AB5" s="179"/>
      <c r="AC5" s="82"/>
      <c r="AD5" s="359"/>
      <c r="AE5" s="144"/>
    </row>
    <row r="6" spans="1:32" ht="18">
      <c r="A6" s="69"/>
      <c r="B6" s="403">
        <v>2</v>
      </c>
      <c r="C6" s="1241" t="s">
        <v>826</v>
      </c>
      <c r="D6" s="1242"/>
      <c r="E6" s="1242"/>
      <c r="F6" s="1242"/>
      <c r="G6" s="1243" t="s">
        <v>355</v>
      </c>
      <c r="H6" s="1243"/>
      <c r="I6" s="437">
        <v>0.01</v>
      </c>
      <c r="J6" s="437">
        <v>2.5</v>
      </c>
      <c r="K6" s="449" t="s">
        <v>104</v>
      </c>
      <c r="L6" s="450">
        <v>20</v>
      </c>
      <c r="M6" s="451">
        <v>13.4</v>
      </c>
      <c r="N6" s="595">
        <f>231.28*1.2</f>
        <v>277.536</v>
      </c>
      <c r="O6" s="391">
        <f>'Таблиця цін схема №1'!BY44+'Таблиця цін схема №1'!CE44+'Таблиця цін схема №2'!BU77+'Таблиця цін схема №2'!CA77+'Таблиця цін схема №3'!AU15</f>
        <v>8</v>
      </c>
      <c r="P6" s="69"/>
      <c r="Q6" s="47">
        <v>2</v>
      </c>
      <c r="R6" s="1217" t="s">
        <v>14</v>
      </c>
      <c r="S6" s="1217"/>
      <c r="T6" s="1217"/>
      <c r="U6" s="1217"/>
      <c r="V6" s="1259" t="s">
        <v>56</v>
      </c>
      <c r="W6" s="1219"/>
      <c r="X6" s="355" t="s">
        <v>814</v>
      </c>
      <c r="Y6" s="54"/>
      <c r="Z6" s="13">
        <v>20</v>
      </c>
      <c r="AA6" s="79"/>
      <c r="AB6" s="179"/>
      <c r="AC6" s="82"/>
      <c r="AD6" s="359"/>
    </row>
    <row r="7" spans="1:32" ht="18">
      <c r="A7" s="69"/>
      <c r="B7" s="403">
        <v>3</v>
      </c>
      <c r="C7" s="1241" t="s">
        <v>827</v>
      </c>
      <c r="D7" s="1242"/>
      <c r="E7" s="1242"/>
      <c r="F7" s="1242"/>
      <c r="G7" s="1243" t="s">
        <v>355</v>
      </c>
      <c r="H7" s="1243"/>
      <c r="I7" s="437">
        <v>3.5000000000000003E-2</v>
      </c>
      <c r="J7" s="437">
        <v>3.5</v>
      </c>
      <c r="K7" s="449" t="s">
        <v>113</v>
      </c>
      <c r="L7" s="450">
        <v>25</v>
      </c>
      <c r="M7" s="451">
        <v>13.4</v>
      </c>
      <c r="N7" s="595">
        <f>284.38*1.2</f>
        <v>341.25599999999997</v>
      </c>
      <c r="O7" s="391">
        <f>'Таблиця цін схема №1'!BY45+'Таблиця цін схема №1'!CE45+'Таблиця цін схема №2'!BU78+'Таблиця цін схема №2'!CA78+'Таблиця цін схема №3'!AU16</f>
        <v>17</v>
      </c>
      <c r="P7" s="69"/>
      <c r="Q7" s="47">
        <v>3</v>
      </c>
      <c r="R7" s="1217" t="s">
        <v>14</v>
      </c>
      <c r="S7" s="1217"/>
      <c r="T7" s="1217"/>
      <c r="U7" s="1217"/>
      <c r="V7" s="1259" t="s">
        <v>56</v>
      </c>
      <c r="W7" s="1219"/>
      <c r="X7" s="355" t="s">
        <v>814</v>
      </c>
      <c r="Y7" s="54"/>
      <c r="Z7" s="13">
        <v>25</v>
      </c>
      <c r="AA7" s="79"/>
      <c r="AB7" s="179"/>
      <c r="AC7" s="82"/>
      <c r="AD7" s="359"/>
    </row>
    <row r="8" spans="1:32" ht="18">
      <c r="A8" s="69"/>
      <c r="B8" s="403">
        <v>3</v>
      </c>
      <c r="C8" s="1241" t="s">
        <v>828</v>
      </c>
      <c r="D8" s="1242"/>
      <c r="E8" s="1242"/>
      <c r="F8" s="1242"/>
      <c r="G8" s="1243" t="s">
        <v>355</v>
      </c>
      <c r="H8" s="1243"/>
      <c r="I8" s="437">
        <v>2.4E-2</v>
      </c>
      <c r="J8" s="437">
        <v>6</v>
      </c>
      <c r="K8" s="449" t="s">
        <v>116</v>
      </c>
      <c r="L8" s="450">
        <v>25</v>
      </c>
      <c r="M8" s="451">
        <v>13.4</v>
      </c>
      <c r="N8" s="595">
        <f>284.38*1.2</f>
        <v>341.25599999999997</v>
      </c>
      <c r="O8" s="391">
        <f>'Таблиця цін схема №1'!BY46+'Таблиця цін схема №1'!CE46+'Таблиця цін схема №2'!BU79+'Таблиця цін схема №2'!CA79+'Таблиця цін схема №3'!AU17</f>
        <v>36</v>
      </c>
      <c r="P8" s="69"/>
      <c r="Q8" s="47">
        <v>4</v>
      </c>
      <c r="R8" s="1217" t="s">
        <v>14</v>
      </c>
      <c r="S8" s="1217"/>
      <c r="T8" s="1217"/>
      <c r="U8" s="1217"/>
      <c r="V8" s="1259" t="s">
        <v>56</v>
      </c>
      <c r="W8" s="1219"/>
      <c r="X8" s="355" t="s">
        <v>814</v>
      </c>
      <c r="Y8" s="54"/>
      <c r="Z8" s="13">
        <v>32</v>
      </c>
      <c r="AA8" s="79"/>
      <c r="AB8" s="179"/>
      <c r="AC8" s="82"/>
      <c r="AD8" s="359"/>
    </row>
    <row r="9" spans="1:32" ht="18">
      <c r="A9" s="69"/>
      <c r="B9" s="403">
        <v>4</v>
      </c>
      <c r="C9" s="1241" t="s">
        <v>829</v>
      </c>
      <c r="D9" s="1242"/>
      <c r="E9" s="1242"/>
      <c r="F9" s="1242"/>
      <c r="G9" s="1243" t="s">
        <v>355</v>
      </c>
      <c r="H9" s="1243"/>
      <c r="I9" s="437">
        <v>0.1</v>
      </c>
      <c r="J9" s="437">
        <v>10</v>
      </c>
      <c r="K9" s="449" t="s">
        <v>111</v>
      </c>
      <c r="L9" s="450">
        <v>40</v>
      </c>
      <c r="M9" s="451">
        <v>40</v>
      </c>
      <c r="N9" s="595">
        <f>312.7*1.2</f>
        <v>375.23999999999995</v>
      </c>
      <c r="O9" s="391">
        <f>'Таблиця цін схема №1'!BY47+'Таблиця цін схема №1'!CE47+'Таблиця цін схема №2'!BU80+'Таблиця цін схема №2'!CA80+'Таблиця цін схема №3'!AU18</f>
        <v>39</v>
      </c>
      <c r="P9" s="69"/>
      <c r="Q9" s="403">
        <v>5</v>
      </c>
      <c r="R9" s="1207" t="s">
        <v>14</v>
      </c>
      <c r="S9" s="1207"/>
      <c r="T9" s="1207"/>
      <c r="U9" s="1207"/>
      <c r="V9" s="1260" t="s">
        <v>56</v>
      </c>
      <c r="W9" s="1196"/>
      <c r="X9" s="475" t="s">
        <v>814</v>
      </c>
      <c r="Y9" s="405"/>
      <c r="Z9" s="406">
        <v>40</v>
      </c>
      <c r="AA9" s="456"/>
      <c r="AB9" s="89">
        <f>AF9-AF9*$Y$1</f>
        <v>23.225999999999999</v>
      </c>
      <c r="AC9" s="82"/>
      <c r="AD9" s="381">
        <f>'Таблиця цін схема №1'!AK43+'Таблиця цін схема №2'!AG76+'Таблиця цін схема №3'!Y14</f>
        <v>2</v>
      </c>
      <c r="AF9">
        <v>33.18</v>
      </c>
    </row>
    <row r="10" spans="1:32" ht="18">
      <c r="A10" s="69"/>
      <c r="B10" s="403">
        <v>5</v>
      </c>
      <c r="C10" s="1241" t="s">
        <v>830</v>
      </c>
      <c r="D10" s="1242"/>
      <c r="E10" s="1242"/>
      <c r="F10" s="1242"/>
      <c r="G10" s="1243" t="s">
        <v>355</v>
      </c>
      <c r="H10" s="1243"/>
      <c r="I10" s="437">
        <v>0.15</v>
      </c>
      <c r="J10" s="437">
        <v>15</v>
      </c>
      <c r="K10" s="449" t="s">
        <v>112</v>
      </c>
      <c r="L10" s="450">
        <v>50</v>
      </c>
      <c r="M10" s="451">
        <v>40</v>
      </c>
      <c r="N10" s="595">
        <f>305.62*1.2</f>
        <v>366.74399999999997</v>
      </c>
      <c r="O10" s="391">
        <f>'Таблиця цін схема №1'!BY48+'Таблиця цін схема №1'!CE48+'Таблиця цін схема №2'!BU81+'Таблиця цін схема №2'!CA81+'Таблиця цін схема №3'!AU19</f>
        <v>13</v>
      </c>
      <c r="P10" s="69"/>
      <c r="Q10" s="403">
        <v>6</v>
      </c>
      <c r="R10" s="1207" t="s">
        <v>14</v>
      </c>
      <c r="S10" s="1207"/>
      <c r="T10" s="1207"/>
      <c r="U10" s="1207"/>
      <c r="V10" s="1260" t="s">
        <v>56</v>
      </c>
      <c r="W10" s="1196"/>
      <c r="X10" s="475" t="s">
        <v>814</v>
      </c>
      <c r="Y10" s="405"/>
      <c r="Z10" s="406">
        <v>50</v>
      </c>
      <c r="AA10" s="456"/>
      <c r="AB10" s="89">
        <f t="shared" ref="AB10:AB14" si="0">AF10-AF10*$Y$1</f>
        <v>26.284999999999997</v>
      </c>
      <c r="AC10" s="82"/>
      <c r="AD10" s="381">
        <f>'Таблиця цін схема №1'!AK44+'Таблиця цін схема №2'!AG77+'Таблиця цін схема №3'!Y15</f>
        <v>9</v>
      </c>
      <c r="AF10">
        <v>37.549999999999997</v>
      </c>
    </row>
    <row r="11" spans="1:32" ht="18">
      <c r="A11" s="69"/>
      <c r="B11" s="403">
        <v>6</v>
      </c>
      <c r="C11" s="1241" t="s">
        <v>831</v>
      </c>
      <c r="D11" s="1242"/>
      <c r="E11" s="1242"/>
      <c r="F11" s="1242"/>
      <c r="G11" s="1243" t="s">
        <v>355</v>
      </c>
      <c r="H11" s="1243"/>
      <c r="I11" s="437">
        <v>0.25</v>
      </c>
      <c r="J11" s="437">
        <v>25</v>
      </c>
      <c r="K11" s="449" t="s">
        <v>110</v>
      </c>
      <c r="L11" s="450">
        <v>65</v>
      </c>
      <c r="M11" s="451">
        <v>102</v>
      </c>
      <c r="N11" s="595">
        <f>487.34*1.2</f>
        <v>584.80799999999999</v>
      </c>
      <c r="O11" s="391">
        <f>'Таблиця цін схема №1'!BY49+'Таблиця цін схема №1'!CE49+'Таблиця цін схема №2'!BU82+'Таблиця цін схема №2'!CA82+'Таблиця цін схема №3'!AU20</f>
        <v>7</v>
      </c>
      <c r="P11" s="69"/>
      <c r="Q11" s="403">
        <v>7</v>
      </c>
      <c r="R11" s="1207" t="s">
        <v>14</v>
      </c>
      <c r="S11" s="1207"/>
      <c r="T11" s="1207"/>
      <c r="U11" s="1207"/>
      <c r="V11" s="1260" t="s">
        <v>56</v>
      </c>
      <c r="W11" s="1196"/>
      <c r="X11" s="475" t="s">
        <v>814</v>
      </c>
      <c r="Y11" s="405"/>
      <c r="Z11" s="406">
        <v>65</v>
      </c>
      <c r="AA11" s="456"/>
      <c r="AB11" s="89">
        <f t="shared" si="0"/>
        <v>39.731999999999999</v>
      </c>
      <c r="AC11" s="82"/>
      <c r="AD11" s="381">
        <f>'Таблиця цін схема №1'!AK45+'Таблиця цін схема №2'!AG78+'Таблиця цін схема №3'!Y16</f>
        <v>20</v>
      </c>
      <c r="AF11">
        <v>56.76</v>
      </c>
    </row>
    <row r="12" spans="1:32" ht="18">
      <c r="A12" s="69"/>
      <c r="B12" s="403">
        <v>7</v>
      </c>
      <c r="C12" s="1241" t="s">
        <v>832</v>
      </c>
      <c r="D12" s="1242"/>
      <c r="E12" s="1242"/>
      <c r="F12" s="1242"/>
      <c r="G12" s="1243" t="s">
        <v>355</v>
      </c>
      <c r="H12" s="1243"/>
      <c r="I12" s="437">
        <v>0.4</v>
      </c>
      <c r="J12" s="437">
        <v>40</v>
      </c>
      <c r="K12" s="449" t="s">
        <v>117</v>
      </c>
      <c r="L12" s="450">
        <v>80</v>
      </c>
      <c r="M12" s="451">
        <v>179</v>
      </c>
      <c r="N12" s="595">
        <f>529.82*1.2</f>
        <v>635.78399999999999</v>
      </c>
      <c r="O12" s="391">
        <f>'Таблиця цін схема №1'!BY50+'Таблиця цін схема №1'!CE50+'Таблиця цін схема №2'!BU83+'Таблиця цін схема №2'!CA83+'Таблиця цін схема №3'!AU21</f>
        <v>1</v>
      </c>
      <c r="P12" s="69"/>
      <c r="Q12" s="403">
        <v>8</v>
      </c>
      <c r="R12" s="1207" t="s">
        <v>14</v>
      </c>
      <c r="S12" s="1207"/>
      <c r="T12" s="1207"/>
      <c r="U12" s="1207"/>
      <c r="V12" s="1260" t="s">
        <v>56</v>
      </c>
      <c r="W12" s="1196"/>
      <c r="X12" s="475" t="s">
        <v>814</v>
      </c>
      <c r="Y12" s="405"/>
      <c r="Z12" s="406">
        <v>80</v>
      </c>
      <c r="AA12" s="456"/>
      <c r="AB12" s="89">
        <f t="shared" si="0"/>
        <v>50.12</v>
      </c>
      <c r="AC12" s="82"/>
      <c r="AD12" s="381">
        <f>'Таблиця цін схема №1'!AK46+'Таблиця цін схема №2'!AG79+'Таблиця цін схема №3'!Y17</f>
        <v>12</v>
      </c>
      <c r="AF12">
        <v>71.599999999999994</v>
      </c>
    </row>
    <row r="13" spans="1:32" ht="18">
      <c r="A13" s="69"/>
      <c r="B13" s="40">
        <v>8</v>
      </c>
      <c r="C13" s="1246"/>
      <c r="D13" s="1246"/>
      <c r="E13" s="1246"/>
      <c r="F13" s="1246"/>
      <c r="G13" s="1247"/>
      <c r="H13" s="1247"/>
      <c r="I13" s="41"/>
      <c r="J13" s="41"/>
      <c r="K13" s="39"/>
      <c r="L13" s="41"/>
      <c r="M13" s="111"/>
      <c r="N13" s="177"/>
      <c r="O13" s="361"/>
      <c r="P13" s="69"/>
      <c r="Q13" s="403">
        <v>9</v>
      </c>
      <c r="R13" s="1207" t="s">
        <v>14</v>
      </c>
      <c r="S13" s="1207"/>
      <c r="T13" s="1207"/>
      <c r="U13" s="1207"/>
      <c r="V13" s="1260" t="s">
        <v>56</v>
      </c>
      <c r="W13" s="1196"/>
      <c r="X13" s="475" t="s">
        <v>814</v>
      </c>
      <c r="Y13" s="405"/>
      <c r="Z13" s="406">
        <v>100</v>
      </c>
      <c r="AA13" s="456"/>
      <c r="AB13" s="89">
        <f t="shared" si="0"/>
        <v>70.903000000000006</v>
      </c>
      <c r="AC13" s="82"/>
      <c r="AD13" s="381">
        <f>'Таблиця цін схема №1'!AK47+'Таблиця цін схема №2'!AG80+'Таблиця цін схема №3'!Y18</f>
        <v>5</v>
      </c>
      <c r="AF13">
        <v>101.29</v>
      </c>
    </row>
    <row r="14" spans="1:32" ht="18">
      <c r="B14" s="40"/>
      <c r="C14" s="1246"/>
      <c r="D14" s="1246"/>
      <c r="E14" s="1246"/>
      <c r="F14" s="1246"/>
      <c r="G14" s="1247"/>
      <c r="H14" s="1247"/>
      <c r="I14" s="41"/>
      <c r="J14" s="41"/>
      <c r="K14" s="39"/>
      <c r="L14" s="44"/>
      <c r="M14" s="111"/>
      <c r="N14" s="177"/>
      <c r="O14" s="134"/>
      <c r="P14" s="69"/>
      <c r="Q14" s="403">
        <v>10</v>
      </c>
      <c r="R14" s="1207" t="s">
        <v>14</v>
      </c>
      <c r="S14" s="1207"/>
      <c r="T14" s="1207"/>
      <c r="U14" s="1207"/>
      <c r="V14" s="1260" t="s">
        <v>56</v>
      </c>
      <c r="W14" s="1196"/>
      <c r="X14" s="475" t="s">
        <v>814</v>
      </c>
      <c r="Y14" s="405"/>
      <c r="Z14" s="406">
        <v>125</v>
      </c>
      <c r="AA14" s="456"/>
      <c r="AB14" s="89">
        <f t="shared" si="0"/>
        <v>106.351</v>
      </c>
      <c r="AC14" s="82"/>
      <c r="AD14" s="381">
        <f>'Таблиця цін схема №1'!AK48+'Таблиця цін схема №2'!AG81+'Таблиця цін схема №3'!Y19</f>
        <v>1</v>
      </c>
      <c r="AF14">
        <v>151.93</v>
      </c>
    </row>
    <row r="15" spans="1:32" ht="15.75" thickBot="1">
      <c r="B15" s="42"/>
      <c r="C15" s="1248"/>
      <c r="D15" s="1248"/>
      <c r="E15" s="1248"/>
      <c r="F15" s="1248"/>
      <c r="G15" s="1249"/>
      <c r="H15" s="1249"/>
      <c r="I15" s="43"/>
      <c r="J15" s="43"/>
      <c r="K15" s="66"/>
      <c r="L15" s="45"/>
      <c r="M15" s="112"/>
      <c r="N15" s="491"/>
      <c r="O15" s="134"/>
      <c r="Q15" s="47"/>
      <c r="R15" s="1217"/>
      <c r="S15" s="1217"/>
      <c r="T15" s="1217"/>
      <c r="U15" s="1217"/>
      <c r="V15" s="1259"/>
      <c r="W15" s="1219"/>
      <c r="X15" s="54"/>
      <c r="Y15" s="54"/>
      <c r="Z15" s="13"/>
      <c r="AA15" s="79"/>
      <c r="AB15" s="179"/>
      <c r="AC15" s="82"/>
      <c r="AD15" s="359"/>
    </row>
    <row r="16" spans="1:32" ht="15">
      <c r="N16" s="184"/>
      <c r="Q16" s="47"/>
      <c r="R16" s="1217"/>
      <c r="S16" s="1217"/>
      <c r="T16" s="1217"/>
      <c r="U16" s="1217"/>
      <c r="V16" s="1219"/>
      <c r="W16" s="1219"/>
      <c r="X16" s="54"/>
      <c r="Y16" s="54"/>
      <c r="Z16" s="13"/>
      <c r="AA16" s="79"/>
      <c r="AB16" s="179"/>
      <c r="AC16" s="82"/>
      <c r="AD16" s="359"/>
    </row>
    <row r="17" spans="2:32" ht="15.75" thickBot="1"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Q17" s="49"/>
      <c r="R17" s="1230"/>
      <c r="S17" s="1230"/>
      <c r="T17" s="1230"/>
      <c r="U17" s="1230"/>
      <c r="V17" s="1232"/>
      <c r="W17" s="1232"/>
      <c r="X17" s="57"/>
      <c r="Y17" s="57"/>
      <c r="Z17" s="14"/>
      <c r="AA17" s="86"/>
      <c r="AB17" s="180"/>
      <c r="AC17" s="83"/>
      <c r="AD17" s="360"/>
    </row>
    <row r="18" spans="2:32" ht="25.5">
      <c r="B18" s="368"/>
      <c r="C18" s="369"/>
      <c r="D18" s="110" t="s">
        <v>395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AB18" s="154"/>
    </row>
    <row r="19" spans="2:32" ht="13.5" thickBot="1">
      <c r="B19" s="370"/>
      <c r="C19" s="371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62"/>
      <c r="AB19" s="185"/>
    </row>
    <row r="20" spans="2:32" ht="15">
      <c r="B20" s="56"/>
      <c r="C20" s="106"/>
      <c r="D20" s="106"/>
      <c r="E20" s="106"/>
      <c r="F20" s="106"/>
      <c r="G20" s="106"/>
      <c r="H20" s="106"/>
      <c r="I20" s="56"/>
      <c r="J20" s="56"/>
      <c r="K20" s="56"/>
      <c r="L20" s="56"/>
      <c r="M20" s="56"/>
      <c r="N20" s="56"/>
      <c r="O20" s="62"/>
      <c r="Y20" s="507">
        <v>0.1</v>
      </c>
      <c r="AA20" s="328"/>
      <c r="AB20" s="329"/>
      <c r="AF20" s="113" t="s">
        <v>1104</v>
      </c>
    </row>
    <row r="21" spans="2:32" ht="21" thickBot="1">
      <c r="B21" s="1270" t="s">
        <v>396</v>
      </c>
      <c r="C21" s="1270"/>
      <c r="D21" s="1270"/>
      <c r="E21" s="1270"/>
      <c r="F21" s="1270"/>
      <c r="G21" s="1270"/>
      <c r="H21" s="1270"/>
      <c r="I21" s="1270"/>
      <c r="J21" s="1270"/>
      <c r="K21" s="1270"/>
      <c r="L21" s="1270"/>
      <c r="M21" s="1270"/>
      <c r="N21" s="1270"/>
      <c r="O21" s="1270"/>
      <c r="Q21" s="1197" t="s">
        <v>810</v>
      </c>
      <c r="R21" s="1198"/>
      <c r="S21" s="1198"/>
      <c r="T21" s="1198"/>
      <c r="U21" s="1198"/>
      <c r="V21" s="1198"/>
      <c r="W21" s="1198"/>
      <c r="X21" s="1198"/>
      <c r="Y21" s="1198"/>
      <c r="Z21" s="1198"/>
      <c r="AA21" s="1198"/>
      <c r="AB21" s="1198"/>
      <c r="AC21" s="1198"/>
    </row>
    <row r="22" spans="2:32" ht="15">
      <c r="B22" s="56"/>
      <c r="C22" s="107"/>
      <c r="D22" s="108"/>
      <c r="E22" s="108"/>
      <c r="F22" s="108"/>
      <c r="G22" s="109"/>
      <c r="H22" s="109"/>
      <c r="I22" s="97"/>
      <c r="J22" s="98"/>
      <c r="K22" s="22"/>
      <c r="L22" s="22"/>
      <c r="M22" s="22"/>
      <c r="N22" s="22"/>
      <c r="O22" s="62"/>
      <c r="Q22" s="2" t="s">
        <v>15</v>
      </c>
      <c r="R22" s="1199" t="s">
        <v>17</v>
      </c>
      <c r="S22" s="1200"/>
      <c r="T22" s="1200"/>
      <c r="U22" s="1201"/>
      <c r="V22" s="1199" t="s">
        <v>20</v>
      </c>
      <c r="W22" s="1201"/>
      <c r="X22" s="3" t="s">
        <v>3</v>
      </c>
      <c r="Y22" s="50" t="s">
        <v>21</v>
      </c>
      <c r="Z22" s="50" t="s">
        <v>22</v>
      </c>
      <c r="AA22" s="4"/>
      <c r="AB22" s="175" t="s">
        <v>7</v>
      </c>
      <c r="AC22" s="80" t="s">
        <v>7</v>
      </c>
      <c r="AD22" s="4" t="s">
        <v>9</v>
      </c>
    </row>
    <row r="23" spans="2:32" ht="15">
      <c r="B23" s="56"/>
      <c r="C23" s="107"/>
      <c r="D23" s="108"/>
      <c r="E23" s="108"/>
      <c r="F23" s="108"/>
      <c r="G23" s="109"/>
      <c r="H23" s="109"/>
      <c r="I23" s="97"/>
      <c r="J23" s="98"/>
      <c r="K23" s="22"/>
      <c r="L23" s="22"/>
      <c r="M23" s="22"/>
      <c r="N23" s="22"/>
      <c r="O23" s="62"/>
      <c r="Q23" s="47" t="s">
        <v>16</v>
      </c>
      <c r="R23" s="1202"/>
      <c r="S23" s="1203"/>
      <c r="T23" s="1203"/>
      <c r="U23" s="1204"/>
      <c r="V23" s="1202"/>
      <c r="W23" s="1204"/>
      <c r="X23" s="1" t="s">
        <v>24</v>
      </c>
      <c r="Y23" s="48" t="s">
        <v>1</v>
      </c>
      <c r="Z23" s="48" t="s">
        <v>2</v>
      </c>
      <c r="AA23" s="68"/>
      <c r="AB23" s="176" t="s">
        <v>651</v>
      </c>
      <c r="AC23" s="81" t="s">
        <v>23</v>
      </c>
      <c r="AD23" s="68" t="s">
        <v>93</v>
      </c>
    </row>
    <row r="24" spans="2:32" ht="18">
      <c r="B24" s="56"/>
      <c r="C24" s="107"/>
      <c r="D24" s="108"/>
      <c r="E24" s="108"/>
      <c r="F24" s="108"/>
      <c r="G24" s="109"/>
      <c r="H24" s="109"/>
      <c r="I24" s="97"/>
      <c r="J24" s="98"/>
      <c r="K24" s="22"/>
      <c r="L24" s="22"/>
      <c r="M24" s="22"/>
      <c r="N24" s="22"/>
      <c r="O24" s="62"/>
      <c r="P24" s="69"/>
      <c r="Q24" s="47">
        <v>1</v>
      </c>
      <c r="R24" s="1252" t="s">
        <v>27</v>
      </c>
      <c r="S24" s="1253"/>
      <c r="T24" s="1253"/>
      <c r="U24" s="1254"/>
      <c r="V24" s="1250" t="s">
        <v>364</v>
      </c>
      <c r="W24" s="1251"/>
      <c r="X24" s="355" t="s">
        <v>809</v>
      </c>
      <c r="Y24" s="54"/>
      <c r="Z24" s="13">
        <v>15</v>
      </c>
      <c r="AA24" s="68"/>
      <c r="AB24" s="179"/>
      <c r="AC24" s="87"/>
      <c r="AD24" s="359"/>
      <c r="AE24" s="144"/>
    </row>
    <row r="25" spans="2:32" ht="18">
      <c r="B25" s="56"/>
      <c r="C25" s="107"/>
      <c r="D25" s="108"/>
      <c r="E25" s="108"/>
      <c r="F25" s="108"/>
      <c r="G25" s="1182" t="s">
        <v>1411</v>
      </c>
      <c r="H25" s="109"/>
      <c r="I25" s="97"/>
      <c r="J25" s="98"/>
      <c r="K25" s="22"/>
      <c r="L25" s="22"/>
      <c r="M25" s="22"/>
      <c r="N25" s="22"/>
      <c r="O25" s="62"/>
      <c r="P25" s="69"/>
      <c r="Q25" s="47">
        <v>2</v>
      </c>
      <c r="R25" s="1252" t="s">
        <v>27</v>
      </c>
      <c r="S25" s="1253"/>
      <c r="T25" s="1253"/>
      <c r="U25" s="1254"/>
      <c r="V25" s="1250" t="s">
        <v>364</v>
      </c>
      <c r="W25" s="1251"/>
      <c r="X25" s="355" t="s">
        <v>809</v>
      </c>
      <c r="Y25" s="54"/>
      <c r="Z25" s="13">
        <v>20</v>
      </c>
      <c r="AA25" s="68"/>
      <c r="AB25" s="179"/>
      <c r="AC25" s="87"/>
      <c r="AD25" s="359"/>
    </row>
    <row r="26" spans="2:32" ht="18.75">
      <c r="B26" s="56"/>
      <c r="C26" s="107"/>
      <c r="D26" s="108"/>
      <c r="E26" s="508" t="s">
        <v>1101</v>
      </c>
      <c r="G26" s="509" t="s">
        <v>1412</v>
      </c>
      <c r="H26" s="109"/>
      <c r="I26" s="97"/>
      <c r="J26" s="98"/>
      <c r="K26" s="22"/>
      <c r="L26" s="22"/>
      <c r="M26" s="22"/>
      <c r="N26" s="22"/>
      <c r="O26" s="62"/>
      <c r="P26" s="69"/>
      <c r="Q26" s="47">
        <v>3</v>
      </c>
      <c r="R26" s="1252" t="s">
        <v>27</v>
      </c>
      <c r="S26" s="1253"/>
      <c r="T26" s="1253"/>
      <c r="U26" s="1254"/>
      <c r="V26" s="1250" t="s">
        <v>364</v>
      </c>
      <c r="W26" s="1251"/>
      <c r="X26" s="355" t="s">
        <v>809</v>
      </c>
      <c r="Y26" s="54"/>
      <c r="Z26" s="13">
        <v>25</v>
      </c>
      <c r="AA26" s="68"/>
      <c r="AB26" s="179"/>
      <c r="AC26" s="87"/>
      <c r="AD26" s="359"/>
    </row>
    <row r="27" spans="2:32" ht="18.75">
      <c r="B27" s="56"/>
      <c r="C27" s="107"/>
      <c r="D27" s="108"/>
      <c r="E27" s="508" t="s">
        <v>1147</v>
      </c>
      <c r="G27" s="509" t="s">
        <v>1413</v>
      </c>
      <c r="H27" s="109"/>
      <c r="I27" s="97"/>
      <c r="J27" s="98"/>
      <c r="K27" s="22"/>
      <c r="L27" s="22"/>
      <c r="M27" s="22"/>
      <c r="N27" s="22"/>
      <c r="O27" s="62"/>
      <c r="P27" s="69"/>
      <c r="Q27" s="47">
        <v>4</v>
      </c>
      <c r="R27" s="1252" t="s">
        <v>27</v>
      </c>
      <c r="S27" s="1253"/>
      <c r="T27" s="1253"/>
      <c r="U27" s="1254"/>
      <c r="V27" s="1250" t="s">
        <v>364</v>
      </c>
      <c r="W27" s="1251"/>
      <c r="X27" s="355" t="s">
        <v>809</v>
      </c>
      <c r="Y27" s="54"/>
      <c r="Z27" s="13">
        <v>32</v>
      </c>
      <c r="AA27" s="68"/>
      <c r="AB27" s="179"/>
      <c r="AC27" s="87"/>
      <c r="AD27" s="359"/>
    </row>
    <row r="28" spans="2:32" ht="18">
      <c r="B28" s="56"/>
      <c r="C28" s="107"/>
      <c r="D28" s="108"/>
      <c r="E28" s="108"/>
      <c r="F28" s="108"/>
      <c r="G28" s="109"/>
      <c r="H28" s="109"/>
      <c r="I28" s="55"/>
      <c r="J28" s="98"/>
      <c r="K28" s="22"/>
      <c r="L28" s="22"/>
      <c r="M28" s="183"/>
      <c r="N28" s="62"/>
      <c r="O28" s="62"/>
      <c r="P28" s="69"/>
      <c r="Q28" s="403">
        <v>5</v>
      </c>
      <c r="R28" s="1255" t="s">
        <v>27</v>
      </c>
      <c r="S28" s="1194"/>
      <c r="T28" s="1194"/>
      <c r="U28" s="1195"/>
      <c r="V28" s="1256" t="s">
        <v>364</v>
      </c>
      <c r="W28" s="1257"/>
      <c r="X28" s="475" t="s">
        <v>809</v>
      </c>
      <c r="Y28" s="405"/>
      <c r="Z28" s="406">
        <v>40</v>
      </c>
      <c r="AA28" s="448"/>
      <c r="AB28" s="89">
        <f>AF28/$G$26*1.2</f>
        <v>18.42400964308333</v>
      </c>
      <c r="AC28" s="87"/>
      <c r="AD28" s="381">
        <f>'Таблиця цін схема №1'!AC43+'Таблиця цін схема №2'!Y76+'Таблиця цін схема №3'!Q14</f>
        <v>30</v>
      </c>
      <c r="AF28">
        <f>AF47</f>
        <v>450.9</v>
      </c>
    </row>
    <row r="29" spans="2:32" ht="18">
      <c r="B29" s="56"/>
      <c r="C29" s="107"/>
      <c r="D29" s="108"/>
      <c r="E29" s="108"/>
      <c r="F29" s="108"/>
      <c r="G29" s="109"/>
      <c r="H29" s="109"/>
      <c r="I29" s="55"/>
      <c r="J29" s="98"/>
      <c r="K29" s="22"/>
      <c r="L29" s="328"/>
      <c r="M29" s="329"/>
      <c r="N29" s="62"/>
      <c r="O29" s="62"/>
      <c r="P29" s="69"/>
      <c r="Q29" s="403">
        <v>6</v>
      </c>
      <c r="R29" s="1255" t="s">
        <v>27</v>
      </c>
      <c r="S29" s="1194"/>
      <c r="T29" s="1194"/>
      <c r="U29" s="1195"/>
      <c r="V29" s="1256" t="s">
        <v>364</v>
      </c>
      <c r="W29" s="1257"/>
      <c r="X29" s="475" t="s">
        <v>809</v>
      </c>
      <c r="Y29" s="405"/>
      <c r="Z29" s="406">
        <v>50</v>
      </c>
      <c r="AA29" s="448"/>
      <c r="AB29" s="89">
        <f t="shared" ref="AB29:AB33" si="1">AF29/$G$26*1.2</f>
        <v>23.2782130224622</v>
      </c>
      <c r="AC29" s="87"/>
      <c r="AD29" s="381">
        <f>'Таблиця цін схема №1'!AC44+'Таблиця цін схема №2'!Y77+'Таблиця цін схема №3'!Q15</f>
        <v>48</v>
      </c>
      <c r="AF29">
        <f t="shared" ref="AF29:AF32" si="2">AF48</f>
        <v>569.69934640522877</v>
      </c>
    </row>
    <row r="30" spans="2:32" ht="18.75" thickBot="1">
      <c r="B30" s="56"/>
      <c r="C30" s="1244"/>
      <c r="D30" s="1245"/>
      <c r="E30" s="1245"/>
      <c r="F30" s="1245"/>
      <c r="G30" s="1258"/>
      <c r="H30" s="1258"/>
      <c r="I30" s="55"/>
      <c r="J30" s="98"/>
      <c r="K30" s="22"/>
      <c r="L30" s="22"/>
      <c r="M30" s="56"/>
      <c r="N30" s="62"/>
      <c r="O30" s="62"/>
      <c r="P30" s="69"/>
      <c r="Q30" s="403">
        <v>7</v>
      </c>
      <c r="R30" s="1255" t="s">
        <v>27</v>
      </c>
      <c r="S30" s="1194"/>
      <c r="T30" s="1194"/>
      <c r="U30" s="1195"/>
      <c r="V30" s="1256" t="s">
        <v>364</v>
      </c>
      <c r="W30" s="1257"/>
      <c r="X30" s="475" t="s">
        <v>809</v>
      </c>
      <c r="Y30" s="405"/>
      <c r="Z30" s="406">
        <v>65</v>
      </c>
      <c r="AA30" s="448"/>
      <c r="AB30" s="89">
        <f t="shared" si="1"/>
        <v>30.19184015363556</v>
      </c>
      <c r="AC30" s="87"/>
      <c r="AD30" s="381">
        <f>'Таблиця цін схема №1'!AC45+'Таблиця цін схема №2'!Y78+'Таблиця цін схема №3'!Q16</f>
        <v>78</v>
      </c>
      <c r="AF30">
        <f t="shared" si="2"/>
        <v>738.9</v>
      </c>
    </row>
    <row r="31" spans="2:32" ht="18.75" thickBot="1">
      <c r="B31" s="1236"/>
      <c r="C31" s="1237"/>
      <c r="D31" s="1237"/>
      <c r="E31" s="1237"/>
      <c r="F31" s="1237"/>
      <c r="G31" s="1237"/>
      <c r="H31" s="1237"/>
      <c r="I31" s="1237"/>
      <c r="J31" s="1237"/>
      <c r="K31" s="1237"/>
      <c r="L31" s="1237"/>
      <c r="M31" s="1237"/>
      <c r="N31" s="1238"/>
      <c r="P31" s="69"/>
      <c r="Q31" s="403">
        <v>8</v>
      </c>
      <c r="R31" s="1255" t="s">
        <v>27</v>
      </c>
      <c r="S31" s="1194"/>
      <c r="T31" s="1194"/>
      <c r="U31" s="1195"/>
      <c r="V31" s="1256" t="s">
        <v>364</v>
      </c>
      <c r="W31" s="1257"/>
      <c r="X31" s="475" t="s">
        <v>809</v>
      </c>
      <c r="Y31" s="405"/>
      <c r="Z31" s="406">
        <v>80</v>
      </c>
      <c r="AA31" s="448"/>
      <c r="AB31" s="89">
        <f t="shared" si="1"/>
        <v>37.693832104112609</v>
      </c>
      <c r="AC31" s="87"/>
      <c r="AD31" s="381">
        <f>'Таблиця цін схема №1'!AC46+'Таблиця цін схема №2'!Y79+'Таблиця цін схема №3'!Q17</f>
        <v>32</v>
      </c>
      <c r="AF31">
        <f t="shared" si="2"/>
        <v>922.5</v>
      </c>
    </row>
    <row r="32" spans="2:32" ht="18">
      <c r="B32" s="32"/>
      <c r="C32" s="1239"/>
      <c r="D32" s="1239"/>
      <c r="E32" s="1239"/>
      <c r="F32" s="1239"/>
      <c r="G32" s="1239"/>
      <c r="H32" s="1239"/>
      <c r="I32" s="27"/>
      <c r="J32" s="33"/>
      <c r="K32" s="33"/>
      <c r="L32" s="330"/>
      <c r="M32" s="175"/>
      <c r="N32" s="130"/>
      <c r="P32" s="69"/>
      <c r="Q32" s="403">
        <v>9</v>
      </c>
      <c r="R32" s="1255" t="s">
        <v>27</v>
      </c>
      <c r="S32" s="1194"/>
      <c r="T32" s="1194"/>
      <c r="U32" s="1195"/>
      <c r="V32" s="1256" t="s">
        <v>364</v>
      </c>
      <c r="W32" s="1257"/>
      <c r="X32" s="475" t="s">
        <v>809</v>
      </c>
      <c r="Y32" s="405"/>
      <c r="Z32" s="406">
        <v>100</v>
      </c>
      <c r="AA32" s="448"/>
      <c r="AB32" s="89">
        <f t="shared" si="1"/>
        <v>61.045620773489688</v>
      </c>
      <c r="AC32" s="87"/>
      <c r="AD32" s="381">
        <f>'Таблиця цін схема №1'!AC47+'Таблиця цін схема №2'!Y80+'Таблиця цін схема №3'!Q18</f>
        <v>16</v>
      </c>
      <c r="AF32">
        <f t="shared" si="2"/>
        <v>1494</v>
      </c>
    </row>
    <row r="33" spans="1:32" ht="18">
      <c r="B33" s="28"/>
      <c r="C33" s="1240"/>
      <c r="D33" s="1240"/>
      <c r="E33" s="1240"/>
      <c r="F33" s="1240"/>
      <c r="G33" s="1240"/>
      <c r="H33" s="1240"/>
      <c r="I33" s="29"/>
      <c r="J33" s="26"/>
      <c r="K33" s="26"/>
      <c r="L33" s="331"/>
      <c r="M33" s="176"/>
      <c r="N33" s="131"/>
      <c r="P33" s="69"/>
      <c r="Q33" s="403">
        <v>10</v>
      </c>
      <c r="R33" s="1255" t="s">
        <v>27</v>
      </c>
      <c r="S33" s="1194"/>
      <c r="T33" s="1194"/>
      <c r="U33" s="1195"/>
      <c r="V33" s="1256" t="s">
        <v>364</v>
      </c>
      <c r="W33" s="1257"/>
      <c r="X33" s="475" t="s">
        <v>809</v>
      </c>
      <c r="Y33" s="405"/>
      <c r="Z33" s="406">
        <v>125</v>
      </c>
      <c r="AA33" s="448"/>
      <c r="AB33" s="89">
        <f t="shared" si="1"/>
        <v>89.509060820887896</v>
      </c>
      <c r="AC33" s="87"/>
      <c r="AD33" s="381">
        <f>'Таблиця цін схема №1'!AC48+'Таблиця цін схема №2'!Y81+'Таблиця цін схема №3'!Q19</f>
        <v>2</v>
      </c>
      <c r="AF33">
        <f>30668.4/14</f>
        <v>2190.6</v>
      </c>
    </row>
    <row r="34" spans="1:32" ht="18">
      <c r="A34" s="69"/>
      <c r="B34" s="28"/>
      <c r="C34" s="1217"/>
      <c r="D34" s="1217"/>
      <c r="E34" s="1217"/>
      <c r="F34" s="1217"/>
      <c r="G34" s="1219"/>
      <c r="H34" s="1219"/>
      <c r="I34" s="188"/>
      <c r="J34" s="15"/>
      <c r="K34" s="13"/>
      <c r="L34" s="91"/>
      <c r="M34" s="179"/>
      <c r="N34" s="87"/>
      <c r="O34" s="327"/>
      <c r="P34" s="69"/>
      <c r="Q34" s="47">
        <v>11</v>
      </c>
      <c r="R34" s="1252" t="s">
        <v>27</v>
      </c>
      <c r="S34" s="1253"/>
      <c r="T34" s="1253"/>
      <c r="U34" s="1254"/>
      <c r="V34" s="1250" t="s">
        <v>364</v>
      </c>
      <c r="W34" s="1251"/>
      <c r="X34" s="355" t="s">
        <v>809</v>
      </c>
      <c r="Y34" s="54"/>
      <c r="Z34" s="13">
        <v>150</v>
      </c>
      <c r="AA34" s="68"/>
      <c r="AB34" s="177"/>
      <c r="AC34" s="87"/>
      <c r="AD34" s="381">
        <f>'Таблиця цін схема №1'!AC49+'Таблиця цін схема №2'!Y82+'Таблиця цін схема №3'!Q20</f>
        <v>0</v>
      </c>
    </row>
    <row r="35" spans="1:32" ht="18">
      <c r="A35" s="69"/>
      <c r="B35" s="28"/>
      <c r="C35" s="1217"/>
      <c r="D35" s="1217"/>
      <c r="E35" s="1217"/>
      <c r="F35" s="1217"/>
      <c r="G35" s="1219"/>
      <c r="H35" s="1219"/>
      <c r="I35" s="324"/>
      <c r="J35" s="15"/>
      <c r="K35" s="13"/>
      <c r="L35" s="91"/>
      <c r="M35" s="179"/>
      <c r="N35" s="87"/>
      <c r="O35" s="327"/>
      <c r="P35" s="69"/>
      <c r="Q35" s="47">
        <v>12</v>
      </c>
      <c r="R35" s="1252" t="s">
        <v>27</v>
      </c>
      <c r="S35" s="1253"/>
      <c r="T35" s="1253"/>
      <c r="U35" s="1254"/>
      <c r="V35" s="1250" t="s">
        <v>364</v>
      </c>
      <c r="W35" s="1251"/>
      <c r="X35" s="355" t="s">
        <v>809</v>
      </c>
      <c r="Y35" s="54"/>
      <c r="Z35" s="13">
        <v>200</v>
      </c>
      <c r="AA35" s="68"/>
      <c r="AB35" s="177"/>
      <c r="AC35" s="87"/>
      <c r="AD35" s="359"/>
    </row>
    <row r="36" spans="1:32" ht="18.75" thickBot="1">
      <c r="A36" s="69"/>
      <c r="B36" s="28"/>
      <c r="C36" s="1217"/>
      <c r="D36" s="1217"/>
      <c r="E36" s="1217"/>
      <c r="F36" s="1217"/>
      <c r="G36" s="1219"/>
      <c r="H36" s="1219"/>
      <c r="I36" s="324"/>
      <c r="J36" s="15"/>
      <c r="K36" s="13"/>
      <c r="L36" s="91"/>
      <c r="M36" s="179"/>
      <c r="N36" s="87"/>
      <c r="O36" s="327"/>
      <c r="P36" s="69"/>
      <c r="Q36" s="49">
        <v>13</v>
      </c>
      <c r="R36" s="1230" t="s">
        <v>27</v>
      </c>
      <c r="S36" s="1230"/>
      <c r="T36" s="1230"/>
      <c r="U36" s="1230"/>
      <c r="V36" s="1261" t="s">
        <v>364</v>
      </c>
      <c r="W36" s="1262"/>
      <c r="X36" s="355" t="s">
        <v>809</v>
      </c>
      <c r="Y36" s="57"/>
      <c r="Z36" s="14">
        <v>250</v>
      </c>
      <c r="AA36" s="7"/>
      <c r="AB36" s="178"/>
      <c r="AC36" s="88"/>
      <c r="AD36" s="362"/>
    </row>
    <row r="37" spans="1:32" ht="18">
      <c r="A37" s="69"/>
      <c r="B37" s="28"/>
      <c r="C37" s="1217"/>
      <c r="D37" s="1217"/>
      <c r="E37" s="1217"/>
      <c r="F37" s="1217"/>
      <c r="G37" s="1219"/>
      <c r="H37" s="1219"/>
      <c r="I37" s="324"/>
      <c r="J37" s="15"/>
      <c r="K37" s="13"/>
      <c r="L37" s="91"/>
      <c r="M37" s="179"/>
      <c r="N37" s="87"/>
      <c r="O37" s="327"/>
    </row>
    <row r="38" spans="1:32" ht="18">
      <c r="A38" s="69"/>
      <c r="B38" s="28"/>
      <c r="C38" s="1217"/>
      <c r="D38" s="1217"/>
      <c r="E38" s="1217"/>
      <c r="F38" s="1217"/>
      <c r="G38" s="1219"/>
      <c r="H38" s="1219"/>
      <c r="I38" s="324"/>
      <c r="J38" s="15"/>
      <c r="K38" s="13"/>
      <c r="L38" s="92"/>
      <c r="M38" s="179"/>
      <c r="N38" s="87"/>
      <c r="O38" s="327"/>
    </row>
    <row r="39" spans="1:32" ht="18">
      <c r="A39" s="69"/>
      <c r="B39" s="28"/>
      <c r="C39" s="1217"/>
      <c r="D39" s="1217"/>
      <c r="E39" s="1217"/>
      <c r="F39" s="1217"/>
      <c r="G39" s="1219"/>
      <c r="H39" s="1219"/>
      <c r="I39" s="324"/>
      <c r="J39" s="15"/>
      <c r="K39" s="13"/>
      <c r="L39" s="93"/>
      <c r="M39" s="179"/>
      <c r="N39" s="87"/>
      <c r="O39" s="327"/>
    </row>
    <row r="40" spans="1:32" ht="18.75" thickBot="1">
      <c r="A40" s="69"/>
      <c r="B40" s="28"/>
      <c r="C40" s="1217"/>
      <c r="D40" s="1217"/>
      <c r="E40" s="1217"/>
      <c r="F40" s="1217"/>
      <c r="G40" s="1219"/>
      <c r="H40" s="1219"/>
      <c r="I40" s="324"/>
      <c r="J40" s="15"/>
      <c r="K40" s="13"/>
      <c r="L40" s="92"/>
      <c r="M40" s="179"/>
      <c r="N40" s="87"/>
      <c r="O40" s="327"/>
      <c r="Q40" s="1197" t="s">
        <v>843</v>
      </c>
      <c r="R40" s="1198"/>
      <c r="S40" s="1198"/>
      <c r="T40" s="1198"/>
      <c r="U40" s="1198"/>
      <c r="V40" s="1198"/>
      <c r="W40" s="1198"/>
      <c r="X40" s="1198"/>
      <c r="Y40" s="1198"/>
      <c r="Z40" s="1198"/>
      <c r="AA40" s="1198"/>
      <c r="AB40" s="1198"/>
      <c r="AC40" s="1198"/>
      <c r="AF40" s="113" t="s">
        <v>1104</v>
      </c>
    </row>
    <row r="41" spans="1:32" ht="18">
      <c r="A41" s="69"/>
      <c r="B41" s="28"/>
      <c r="C41" s="1217"/>
      <c r="D41" s="1217"/>
      <c r="E41" s="1217"/>
      <c r="F41" s="1217"/>
      <c r="G41" s="1219"/>
      <c r="H41" s="1219"/>
      <c r="I41" s="324"/>
      <c r="J41" s="15"/>
      <c r="K41" s="13"/>
      <c r="L41" s="93"/>
      <c r="M41" s="179"/>
      <c r="N41" s="87"/>
      <c r="O41" s="327"/>
      <c r="Q41" s="2" t="s">
        <v>15</v>
      </c>
      <c r="R41" s="1199" t="s">
        <v>17</v>
      </c>
      <c r="S41" s="1200"/>
      <c r="T41" s="1200"/>
      <c r="U41" s="1201"/>
      <c r="V41" s="1199" t="s">
        <v>20</v>
      </c>
      <c r="W41" s="1201"/>
      <c r="X41" s="3" t="s">
        <v>3</v>
      </c>
      <c r="Y41" s="50" t="s">
        <v>21</v>
      </c>
      <c r="Z41" s="50" t="s">
        <v>22</v>
      </c>
      <c r="AA41" s="4"/>
      <c r="AB41" s="175" t="s">
        <v>7</v>
      </c>
      <c r="AC41" s="80" t="s">
        <v>7</v>
      </c>
      <c r="AD41" s="84" t="s">
        <v>9</v>
      </c>
    </row>
    <row r="42" spans="1:32" ht="18">
      <c r="A42" s="69"/>
      <c r="B42" s="28"/>
      <c r="C42" s="1217"/>
      <c r="D42" s="1217"/>
      <c r="E42" s="1217"/>
      <c r="F42" s="1217"/>
      <c r="G42" s="1219"/>
      <c r="H42" s="1219"/>
      <c r="I42" s="324"/>
      <c r="J42" s="15"/>
      <c r="K42" s="13"/>
      <c r="L42" s="92"/>
      <c r="M42" s="179"/>
      <c r="N42" s="87"/>
      <c r="O42" s="327"/>
      <c r="P42" s="69"/>
      <c r="Q42" s="47" t="s">
        <v>16</v>
      </c>
      <c r="R42" s="1202"/>
      <c r="S42" s="1203"/>
      <c r="T42" s="1203"/>
      <c r="U42" s="1204"/>
      <c r="V42" s="1202"/>
      <c r="W42" s="1204"/>
      <c r="X42" s="1" t="s">
        <v>24</v>
      </c>
      <c r="Y42" s="48" t="s">
        <v>1</v>
      </c>
      <c r="Z42" s="48" t="s">
        <v>2</v>
      </c>
      <c r="AA42" s="68"/>
      <c r="AB42" s="176" t="s">
        <v>651</v>
      </c>
      <c r="AC42" s="81" t="s">
        <v>23</v>
      </c>
      <c r="AD42" s="73" t="s">
        <v>93</v>
      </c>
    </row>
    <row r="43" spans="1:32" ht="18">
      <c r="A43" s="69"/>
      <c r="B43" s="28"/>
      <c r="C43" s="1217"/>
      <c r="D43" s="1217"/>
      <c r="E43" s="1217"/>
      <c r="F43" s="1217"/>
      <c r="G43" s="1219"/>
      <c r="H43" s="1219"/>
      <c r="I43" s="324"/>
      <c r="J43" s="15"/>
      <c r="K43" s="13"/>
      <c r="L43" s="92"/>
      <c r="M43" s="179"/>
      <c r="N43" s="87"/>
      <c r="O43" s="327"/>
      <c r="P43" s="69"/>
      <c r="Q43" s="47">
        <v>1</v>
      </c>
      <c r="R43" s="1252" t="s">
        <v>27</v>
      </c>
      <c r="S43" s="1253"/>
      <c r="T43" s="1253"/>
      <c r="U43" s="1254"/>
      <c r="V43" s="1250" t="s">
        <v>364</v>
      </c>
      <c r="W43" s="1251"/>
      <c r="X43" s="367" t="s">
        <v>809</v>
      </c>
      <c r="Y43" s="54"/>
      <c r="Z43" s="13">
        <v>15</v>
      </c>
      <c r="AA43" s="68"/>
      <c r="AB43" s="179"/>
      <c r="AC43" s="87"/>
      <c r="AD43" s="382">
        <f>'Таблиця цін схема №1'!AO43+'Таблиця цін схема №1'!AS43+'Таблиця цін схема №2'!AK76+'Таблиця цін схема №2'!AO76+'Таблиця цін схема №3'!AC14</f>
        <v>0</v>
      </c>
      <c r="AE43" s="144"/>
    </row>
    <row r="44" spans="1:32" ht="18">
      <c r="A44" s="69"/>
      <c r="B44" s="28"/>
      <c r="C44" s="1217"/>
      <c r="D44" s="1217"/>
      <c r="E44" s="1217"/>
      <c r="F44" s="1217"/>
      <c r="G44" s="1219"/>
      <c r="H44" s="1219"/>
      <c r="I44" s="265"/>
      <c r="J44" s="15"/>
      <c r="K44" s="13"/>
      <c r="L44" s="92"/>
      <c r="M44" s="177"/>
      <c r="N44" s="87"/>
      <c r="O44" s="327"/>
      <c r="P44" s="69"/>
      <c r="Q44" s="403">
        <v>2</v>
      </c>
      <c r="R44" s="1255" t="s">
        <v>27</v>
      </c>
      <c r="S44" s="1194"/>
      <c r="T44" s="1194"/>
      <c r="U44" s="1195"/>
      <c r="V44" s="1256" t="s">
        <v>364</v>
      </c>
      <c r="W44" s="1257"/>
      <c r="X44" s="477" t="s">
        <v>809</v>
      </c>
      <c r="Y44" s="405"/>
      <c r="Z44" s="406">
        <v>20</v>
      </c>
      <c r="AA44" s="448"/>
      <c r="AB44" s="89">
        <f>AF44/$G$26*1.2</f>
        <v>14.562690256808384</v>
      </c>
      <c r="AC44" s="87"/>
      <c r="AD44" s="382">
        <f>'Таблиця цін схема №1'!AO44+'Таблиця цін схема №1'!AS44+'Таблиця цін схема №2'!AK77+'Таблиця цін схема №2'!AO77+'Таблиця цін схема №3'!AC15+'Таблиця цін схема №1'!DM43</f>
        <v>48</v>
      </c>
      <c r="AF44">
        <f>17107.2/48</f>
        <v>356.40000000000003</v>
      </c>
    </row>
    <row r="45" spans="1:32" ht="18">
      <c r="B45" s="28"/>
      <c r="C45" s="1217"/>
      <c r="D45" s="1217"/>
      <c r="E45" s="1217"/>
      <c r="F45" s="1217"/>
      <c r="G45" s="1229"/>
      <c r="H45" s="1219"/>
      <c r="I45" s="37"/>
      <c r="J45" s="15"/>
      <c r="K45" s="13"/>
      <c r="L45" s="92"/>
      <c r="M45" s="181"/>
      <c r="N45" s="87"/>
      <c r="O45" s="144"/>
      <c r="P45" s="69"/>
      <c r="Q45" s="403">
        <v>3</v>
      </c>
      <c r="R45" s="1255" t="s">
        <v>27</v>
      </c>
      <c r="S45" s="1194"/>
      <c r="T45" s="1194"/>
      <c r="U45" s="1195"/>
      <c r="V45" s="1256" t="s">
        <v>364</v>
      </c>
      <c r="W45" s="1257"/>
      <c r="X45" s="477" t="s">
        <v>809</v>
      </c>
      <c r="Y45" s="405"/>
      <c r="Z45" s="406">
        <v>25</v>
      </c>
      <c r="AA45" s="448"/>
      <c r="AB45" s="89">
        <f t="shared" ref="AB45:AB51" si="3">AF45/$G$26*1.2</f>
        <v>14.856886019572187</v>
      </c>
      <c r="AC45" s="87"/>
      <c r="AD45" s="382">
        <f>'Таблиця цін схема №1'!AO45+'Таблиця цін схема №1'!AS45+'Таблиця цін схема №2'!AK78+'Таблиця цін схема №2'!AO78+'Таблиця цін схема №3'!AC16+'Таблиця цін схема №1'!DM44</f>
        <v>44</v>
      </c>
      <c r="AF45">
        <f>15998.4/44</f>
        <v>363.59999999999997</v>
      </c>
    </row>
    <row r="46" spans="1:32" ht="18.75" thickBot="1">
      <c r="B46" s="30"/>
      <c r="C46" s="1230"/>
      <c r="D46" s="1230"/>
      <c r="E46" s="1230"/>
      <c r="F46" s="1230"/>
      <c r="G46" s="1231"/>
      <c r="H46" s="1232"/>
      <c r="I46" s="95"/>
      <c r="J46" s="16"/>
      <c r="K46" s="14"/>
      <c r="L46" s="94"/>
      <c r="M46" s="182"/>
      <c r="N46" s="88"/>
      <c r="P46" s="69"/>
      <c r="Q46" s="403">
        <v>4</v>
      </c>
      <c r="R46" s="1255" t="s">
        <v>27</v>
      </c>
      <c r="S46" s="1194"/>
      <c r="T46" s="1194"/>
      <c r="U46" s="1195"/>
      <c r="V46" s="1256" t="s">
        <v>364</v>
      </c>
      <c r="W46" s="1257"/>
      <c r="X46" s="477" t="s">
        <v>809</v>
      </c>
      <c r="Y46" s="405"/>
      <c r="Z46" s="406">
        <v>32</v>
      </c>
      <c r="AA46" s="448"/>
      <c r="AB46" s="89">
        <f t="shared" si="3"/>
        <v>16.107218011318363</v>
      </c>
      <c r="AC46" s="87"/>
      <c r="AD46" s="382">
        <f>'Таблиця цін схема №1'!AO46+'Таблиця цін схема №1'!AS46+'Таблиця цін схема №2'!AK79+'Таблиця цін схема №2'!AO79+'Таблиця цін схема №3'!AC17</f>
        <v>74</v>
      </c>
      <c r="AF46">
        <f>29170.8/74</f>
        <v>394.2</v>
      </c>
    </row>
    <row r="47" spans="1:32" ht="18">
      <c r="M47" s="184"/>
      <c r="P47" s="69"/>
      <c r="Q47" s="403">
        <v>5</v>
      </c>
      <c r="R47" s="1255" t="s">
        <v>27</v>
      </c>
      <c r="S47" s="1194"/>
      <c r="T47" s="1194"/>
      <c r="U47" s="1195"/>
      <c r="V47" s="1256" t="s">
        <v>364</v>
      </c>
      <c r="W47" s="1257"/>
      <c r="X47" s="477" t="s">
        <v>809</v>
      </c>
      <c r="Y47" s="405"/>
      <c r="Z47" s="406">
        <v>40</v>
      </c>
      <c r="AA47" s="448"/>
      <c r="AB47" s="89">
        <f t="shared" si="3"/>
        <v>18.42400964308333</v>
      </c>
      <c r="AC47" s="87"/>
      <c r="AD47" s="382">
        <f>'Таблиця цін схема №1'!AO47+'Таблиця цін схема №1'!AS47+'Таблиця цін схема №2'!AK80+'Таблиця цін схема №2'!AO80+'Таблиця цін схема №3'!AC18</f>
        <v>204</v>
      </c>
      <c r="AF47">
        <f>180360/400</f>
        <v>450.9</v>
      </c>
    </row>
    <row r="48" spans="1:32" ht="18.75" thickBot="1">
      <c r="H48" s="113" t="s">
        <v>647</v>
      </c>
      <c r="I48" s="507">
        <v>0.75</v>
      </c>
      <c r="P48" s="69"/>
      <c r="Q48" s="403">
        <v>6</v>
      </c>
      <c r="R48" s="1255" t="s">
        <v>27</v>
      </c>
      <c r="S48" s="1194"/>
      <c r="T48" s="1194"/>
      <c r="U48" s="1195"/>
      <c r="V48" s="1256" t="s">
        <v>364</v>
      </c>
      <c r="W48" s="1257"/>
      <c r="X48" s="477" t="s">
        <v>809</v>
      </c>
      <c r="Y48" s="405"/>
      <c r="Z48" s="406">
        <v>50</v>
      </c>
      <c r="AA48" s="448"/>
      <c r="AB48" s="89">
        <f t="shared" si="3"/>
        <v>23.2782130224622</v>
      </c>
      <c r="AC48" s="87"/>
      <c r="AD48" s="382">
        <f>'Таблиця цін схема №1'!AO48+'Таблиця цін схема №1'!AS48+'Таблиця цін схема №2'!AK81+'Таблиця цін схема №2'!AO81+'Таблиця цін схема №3'!AC19</f>
        <v>154</v>
      </c>
      <c r="AF48">
        <f>261492/459</f>
        <v>569.69934640522877</v>
      </c>
    </row>
    <row r="49" spans="1:32" ht="18.75" thickBot="1">
      <c r="B49" s="1236" t="s">
        <v>46</v>
      </c>
      <c r="C49" s="1268"/>
      <c r="D49" s="1268"/>
      <c r="E49" s="1268"/>
      <c r="F49" s="1268"/>
      <c r="G49" s="1268"/>
      <c r="H49" s="1268"/>
      <c r="I49" s="1268"/>
      <c r="J49" s="1268"/>
      <c r="K49" s="1268"/>
      <c r="L49" s="1268"/>
      <c r="M49" s="1268"/>
      <c r="N49" s="1268"/>
      <c r="O49" s="1269"/>
      <c r="P49" s="69"/>
      <c r="Q49" s="403">
        <v>7</v>
      </c>
      <c r="R49" s="1255" t="s">
        <v>27</v>
      </c>
      <c r="S49" s="1194"/>
      <c r="T49" s="1194"/>
      <c r="U49" s="1195"/>
      <c r="V49" s="1256" t="s">
        <v>364</v>
      </c>
      <c r="W49" s="1257"/>
      <c r="X49" s="477" t="s">
        <v>809</v>
      </c>
      <c r="Y49" s="405"/>
      <c r="Z49" s="406">
        <v>65</v>
      </c>
      <c r="AA49" s="448"/>
      <c r="AB49" s="89">
        <f t="shared" si="3"/>
        <v>30.19184015363556</v>
      </c>
      <c r="AC49" s="87"/>
      <c r="AD49" s="382">
        <f>'Таблиця цін схема №1'!AO49+'Таблиця цін схема №1'!AS49+'Таблиця цін схема №2'!AK82+'Таблиця цін схема №2'!AO82+'Таблиця цін схема №3'!AC20</f>
        <v>78</v>
      </c>
      <c r="AF49">
        <f>236448/320</f>
        <v>738.9</v>
      </c>
    </row>
    <row r="50" spans="1:32" ht="18">
      <c r="B50" s="2" t="s">
        <v>15</v>
      </c>
      <c r="C50" s="1211" t="s">
        <v>17</v>
      </c>
      <c r="D50" s="1211"/>
      <c r="E50" s="1211"/>
      <c r="F50" s="1211"/>
      <c r="G50" s="1211" t="s">
        <v>20</v>
      </c>
      <c r="H50" s="1211"/>
      <c r="I50" s="3" t="s">
        <v>3</v>
      </c>
      <c r="J50" s="50"/>
      <c r="K50" s="6" t="s">
        <v>1111</v>
      </c>
      <c r="L50" s="99"/>
      <c r="M50" s="175" t="s">
        <v>7</v>
      </c>
      <c r="N50" s="80" t="s">
        <v>7</v>
      </c>
      <c r="O50" s="4" t="s">
        <v>9</v>
      </c>
      <c r="P50" s="69"/>
      <c r="Q50" s="403">
        <v>8</v>
      </c>
      <c r="R50" s="1255" t="s">
        <v>27</v>
      </c>
      <c r="S50" s="1194"/>
      <c r="T50" s="1194"/>
      <c r="U50" s="1195"/>
      <c r="V50" s="1256" t="s">
        <v>364</v>
      </c>
      <c r="W50" s="1257"/>
      <c r="X50" s="477" t="s">
        <v>809</v>
      </c>
      <c r="Y50" s="405"/>
      <c r="Z50" s="406">
        <v>80</v>
      </c>
      <c r="AA50" s="448"/>
      <c r="AB50" s="89">
        <f t="shared" si="3"/>
        <v>37.693832104112609</v>
      </c>
      <c r="AC50" s="87"/>
      <c r="AD50" s="382">
        <f>'Таблиця цін схема №1'!AO50+'Таблиця цін схема №1'!AS50+'Таблиця цін схема №2'!AK83+'Таблиця цін схема №2'!AO83+'Таблиця цін схема №3'!AC21</f>
        <v>26</v>
      </c>
      <c r="AF50">
        <f>169740/184</f>
        <v>922.5</v>
      </c>
    </row>
    <row r="51" spans="1:32" ht="18">
      <c r="B51" s="47" t="s">
        <v>16</v>
      </c>
      <c r="C51" s="1212"/>
      <c r="D51" s="1212"/>
      <c r="E51" s="1212"/>
      <c r="F51" s="1212"/>
      <c r="G51" s="1212"/>
      <c r="H51" s="1212"/>
      <c r="I51" s="1" t="s">
        <v>24</v>
      </c>
      <c r="J51" s="48"/>
      <c r="K51" s="48"/>
      <c r="L51" s="100"/>
      <c r="M51" s="176" t="s">
        <v>651</v>
      </c>
      <c r="N51" s="81" t="s">
        <v>23</v>
      </c>
      <c r="O51" s="68" t="s">
        <v>93</v>
      </c>
      <c r="P51" s="69"/>
      <c r="Q51" s="403">
        <v>9</v>
      </c>
      <c r="R51" s="1255" t="s">
        <v>27</v>
      </c>
      <c r="S51" s="1194"/>
      <c r="T51" s="1194"/>
      <c r="U51" s="1195"/>
      <c r="V51" s="1256" t="s">
        <v>364</v>
      </c>
      <c r="W51" s="1257"/>
      <c r="X51" s="477" t="s">
        <v>809</v>
      </c>
      <c r="Y51" s="405"/>
      <c r="Z51" s="406">
        <v>100</v>
      </c>
      <c r="AA51" s="448"/>
      <c r="AB51" s="89">
        <f t="shared" si="3"/>
        <v>61.045620773489688</v>
      </c>
      <c r="AC51" s="87"/>
      <c r="AD51" s="382">
        <f>'Таблиця цін схема №1'!AO51+'Таблиця цін схема №1'!AS51+'Таблиця цін схема №2'!AK84+'Таблиця цін схема №2'!AO84+'Таблиця цін схема №3'!AC22</f>
        <v>4</v>
      </c>
      <c r="AF51">
        <f>71712/48</f>
        <v>1494</v>
      </c>
    </row>
    <row r="52" spans="1:32" ht="18">
      <c r="B52" s="365"/>
      <c r="C52" s="1217"/>
      <c r="D52" s="1217"/>
      <c r="E52" s="1217"/>
      <c r="F52" s="1217"/>
      <c r="G52" s="1219"/>
      <c r="H52" s="1219"/>
      <c r="I52" s="13"/>
      <c r="J52" s="15"/>
      <c r="K52" s="13"/>
      <c r="L52" s="79"/>
      <c r="M52" s="177"/>
      <c r="N52" s="87"/>
      <c r="O52" s="363"/>
      <c r="P52" s="69"/>
      <c r="Q52" s="47">
        <v>10</v>
      </c>
      <c r="R52" s="1252" t="s">
        <v>27</v>
      </c>
      <c r="S52" s="1253"/>
      <c r="T52" s="1253"/>
      <c r="U52" s="1254"/>
      <c r="V52" s="1250" t="s">
        <v>364</v>
      </c>
      <c r="W52" s="1251"/>
      <c r="X52" s="367" t="s">
        <v>809</v>
      </c>
      <c r="Y52" s="54"/>
      <c r="Z52" s="13">
        <v>125</v>
      </c>
      <c r="AA52" s="68"/>
      <c r="AB52" s="179"/>
      <c r="AC52" s="87"/>
      <c r="AD52" s="382">
        <f>'Таблиця цін схема №1'!AO52+'Таблиця цін схема №1'!AS52+'Таблиця цін схема №2'!AK85+'Таблиця цін схема №2'!AO85+'Таблиця цін схема №3'!AC23</f>
        <v>0</v>
      </c>
    </row>
    <row r="53" spans="1:32" ht="18">
      <c r="A53" s="69"/>
      <c r="B53" s="366"/>
      <c r="C53" s="1217"/>
      <c r="D53" s="1217"/>
      <c r="E53" s="1217"/>
      <c r="F53" s="1217"/>
      <c r="G53" s="1219"/>
      <c r="H53" s="1219"/>
      <c r="I53" s="364"/>
      <c r="J53" s="15"/>
      <c r="K53" s="13"/>
      <c r="L53" s="79"/>
      <c r="M53" s="177"/>
      <c r="N53" s="87"/>
      <c r="O53" s="363"/>
      <c r="Q53" s="47"/>
      <c r="R53" s="1252"/>
      <c r="S53" s="1253"/>
      <c r="T53" s="1253"/>
      <c r="U53" s="1254"/>
      <c r="V53" s="1250"/>
      <c r="W53" s="1251"/>
      <c r="X53" s="58"/>
      <c r="Y53" s="54"/>
      <c r="Z53" s="13"/>
      <c r="AA53" s="68"/>
      <c r="AB53" s="179"/>
      <c r="AC53" s="87"/>
      <c r="AD53" s="181"/>
    </row>
    <row r="54" spans="1:32" ht="15">
      <c r="B54" s="365"/>
      <c r="C54" s="1217"/>
      <c r="D54" s="1217"/>
      <c r="E54" s="1217"/>
      <c r="F54" s="1217"/>
      <c r="G54" s="1233"/>
      <c r="H54" s="1219"/>
      <c r="I54" s="325"/>
      <c r="J54" s="15"/>
      <c r="K54" s="13"/>
      <c r="L54" s="79"/>
      <c r="M54" s="177"/>
      <c r="N54" s="87"/>
      <c r="O54" s="363"/>
      <c r="Q54" s="47"/>
      <c r="R54" s="1252"/>
      <c r="S54" s="1253"/>
      <c r="T54" s="1253"/>
      <c r="U54" s="1254"/>
      <c r="V54" s="1250"/>
      <c r="W54" s="1251"/>
      <c r="X54" s="58"/>
      <c r="Y54" s="54"/>
      <c r="Z54" s="13"/>
      <c r="AA54" s="68"/>
      <c r="AB54" s="179"/>
      <c r="AC54" s="87"/>
      <c r="AD54" s="181"/>
    </row>
    <row r="55" spans="1:32" ht="18.75" thickBot="1">
      <c r="A55" s="69"/>
      <c r="B55" s="455"/>
      <c r="C55" s="1207" t="s">
        <v>8</v>
      </c>
      <c r="D55" s="1207"/>
      <c r="E55" s="1207"/>
      <c r="F55" s="1207"/>
      <c r="G55" s="1234" t="s">
        <v>824</v>
      </c>
      <c r="H55" s="1196"/>
      <c r="I55" s="1191" t="s">
        <v>1019</v>
      </c>
      <c r="J55" s="404"/>
      <c r="K55" s="406"/>
      <c r="L55" s="456"/>
      <c r="M55" s="519"/>
      <c r="N55" s="87"/>
      <c r="O55" s="383">
        <v>1</v>
      </c>
      <c r="Q55" s="49"/>
      <c r="R55" s="1230"/>
      <c r="S55" s="1230"/>
      <c r="T55" s="1230"/>
      <c r="U55" s="1230"/>
      <c r="V55" s="1261"/>
      <c r="W55" s="1262"/>
      <c r="X55" s="75"/>
      <c r="Y55" s="57"/>
      <c r="Z55" s="14"/>
      <c r="AA55" s="7"/>
      <c r="AB55" s="180"/>
      <c r="AC55" s="88"/>
      <c r="AD55" s="178"/>
    </row>
    <row r="56" spans="1:32" ht="18">
      <c r="A56" s="69"/>
      <c r="B56" s="455"/>
      <c r="C56" s="1207" t="s">
        <v>8</v>
      </c>
      <c r="D56" s="1207"/>
      <c r="E56" s="1207"/>
      <c r="F56" s="1207"/>
      <c r="G56" s="1234" t="s">
        <v>42</v>
      </c>
      <c r="H56" s="1196"/>
      <c r="I56" s="457" t="s">
        <v>815</v>
      </c>
      <c r="J56" s="404"/>
      <c r="K56" s="406">
        <v>10807.37</v>
      </c>
      <c r="L56" s="456"/>
      <c r="M56" s="85">
        <f>(K56-K56*$I$48)/$G$26*1.2</f>
        <v>110.39869654932889</v>
      </c>
      <c r="N56" s="87"/>
      <c r="O56" s="383">
        <f>'Таблиця цін схема №1'!AW43+'Таблиця цін схема №2'!AS76+'Таблиця цін схема №3'!AG14</f>
        <v>103</v>
      </c>
      <c r="AD56" s="201"/>
    </row>
    <row r="57" spans="1:32" ht="18.75" thickBot="1">
      <c r="A57" s="69"/>
      <c r="B57" s="458"/>
      <c r="C57" s="1235" t="s">
        <v>8</v>
      </c>
      <c r="D57" s="1235"/>
      <c r="E57" s="1235"/>
      <c r="F57" s="1235"/>
      <c r="G57" s="1228" t="s">
        <v>42</v>
      </c>
      <c r="H57" s="1228"/>
      <c r="I57" s="459" t="s">
        <v>67</v>
      </c>
      <c r="J57" s="444"/>
      <c r="K57" s="445">
        <v>15435.18</v>
      </c>
      <c r="L57" s="460"/>
      <c r="M57" s="85">
        <f>(K57-K57*$I$48)/$G$26*1.2</f>
        <v>157.67238032974441</v>
      </c>
      <c r="N57" s="88"/>
      <c r="O57" s="384">
        <f>'Таблиця цін схема №1'!BK43+'Таблиця цін схема №2'!BG76</f>
        <v>98</v>
      </c>
    </row>
    <row r="58" spans="1:32">
      <c r="M58" s="184"/>
      <c r="O58" s="201"/>
      <c r="Q58" s="1205"/>
      <c r="R58" s="1206"/>
      <c r="S58" s="1206"/>
      <c r="T58" s="1206"/>
      <c r="U58" s="1206"/>
      <c r="V58" s="1206"/>
      <c r="W58" s="1206"/>
      <c r="X58" s="1206"/>
      <c r="Y58" s="1206"/>
      <c r="Z58" s="1206"/>
      <c r="AA58" s="1206"/>
      <c r="AB58" s="1206"/>
      <c r="AC58" s="1206"/>
    </row>
    <row r="60" spans="1:32" ht="13.5" thickBot="1">
      <c r="I60" s="507">
        <v>0.3</v>
      </c>
      <c r="L60" s="191"/>
      <c r="M60" s="212"/>
      <c r="Y60" s="507">
        <v>0.2</v>
      </c>
    </row>
    <row r="61" spans="1:32" ht="13.5" thickBot="1">
      <c r="B61" s="1236" t="s">
        <v>47</v>
      </c>
      <c r="C61" s="1268"/>
      <c r="D61" s="1268"/>
      <c r="E61" s="1268"/>
      <c r="F61" s="1268"/>
      <c r="G61" s="1268"/>
      <c r="H61" s="1268"/>
      <c r="I61" s="1268"/>
      <c r="J61" s="1268"/>
      <c r="K61" s="1268"/>
      <c r="L61" s="1268"/>
      <c r="M61" s="1268"/>
      <c r="N61" s="1268"/>
      <c r="O61" s="1269"/>
      <c r="Q61" s="1197" t="s">
        <v>811</v>
      </c>
      <c r="R61" s="1198"/>
      <c r="S61" s="1198"/>
      <c r="T61" s="1198"/>
      <c r="U61" s="1198"/>
      <c r="V61" s="1198"/>
      <c r="W61" s="1198"/>
      <c r="X61" s="1198"/>
      <c r="Y61" s="1198"/>
      <c r="Z61" s="1198"/>
      <c r="AA61" s="1198"/>
      <c r="AB61" s="1198"/>
      <c r="AC61" s="1198"/>
      <c r="AF61" s="113" t="s">
        <v>1110</v>
      </c>
    </row>
    <row r="62" spans="1:32">
      <c r="B62" s="2" t="s">
        <v>15</v>
      </c>
      <c r="C62" s="1211" t="s">
        <v>17</v>
      </c>
      <c r="D62" s="1211"/>
      <c r="E62" s="1211"/>
      <c r="F62" s="1211"/>
      <c r="G62" s="1211" t="s">
        <v>20</v>
      </c>
      <c r="H62" s="1211"/>
      <c r="I62" s="3" t="s">
        <v>3</v>
      </c>
      <c r="J62" s="50"/>
      <c r="K62" s="6" t="s">
        <v>1104</v>
      </c>
      <c r="L62" s="4"/>
      <c r="M62" s="175" t="s">
        <v>7</v>
      </c>
      <c r="N62" s="102" t="s">
        <v>7</v>
      </c>
      <c r="O62" s="84" t="s">
        <v>9</v>
      </c>
      <c r="Q62" s="2" t="s">
        <v>15</v>
      </c>
      <c r="R62" s="1199" t="s">
        <v>17</v>
      </c>
      <c r="S62" s="1200"/>
      <c r="T62" s="1200"/>
      <c r="U62" s="1201"/>
      <c r="V62" s="1199" t="s">
        <v>20</v>
      </c>
      <c r="W62" s="1201"/>
      <c r="X62" s="3" t="s">
        <v>3</v>
      </c>
      <c r="Y62" s="50" t="s">
        <v>21</v>
      </c>
      <c r="Z62" s="50" t="s">
        <v>22</v>
      </c>
      <c r="AA62" s="4"/>
      <c r="AB62" s="175" t="s">
        <v>7</v>
      </c>
      <c r="AC62" s="80" t="s">
        <v>7</v>
      </c>
      <c r="AD62" s="84" t="s">
        <v>9</v>
      </c>
    </row>
    <row r="63" spans="1:32">
      <c r="B63" s="47" t="s">
        <v>16</v>
      </c>
      <c r="C63" s="1212"/>
      <c r="D63" s="1212"/>
      <c r="E63" s="1212"/>
      <c r="F63" s="1212"/>
      <c r="G63" s="1212"/>
      <c r="H63" s="1212"/>
      <c r="I63" s="1" t="s">
        <v>24</v>
      </c>
      <c r="J63" s="51" t="s">
        <v>0</v>
      </c>
      <c r="K63" s="48"/>
      <c r="L63" s="68"/>
      <c r="M63" s="176" t="s">
        <v>651</v>
      </c>
      <c r="N63" s="103" t="s">
        <v>23</v>
      </c>
      <c r="O63" s="73" t="s">
        <v>93</v>
      </c>
      <c r="Q63" s="47" t="s">
        <v>16</v>
      </c>
      <c r="R63" s="1202"/>
      <c r="S63" s="1203"/>
      <c r="T63" s="1203"/>
      <c r="U63" s="1204"/>
      <c r="V63" s="1202"/>
      <c r="W63" s="1204"/>
      <c r="X63" s="1" t="s">
        <v>24</v>
      </c>
      <c r="Y63" s="161" t="s">
        <v>1</v>
      </c>
      <c r="Z63" s="161" t="s">
        <v>2</v>
      </c>
      <c r="AA63" s="317"/>
      <c r="AB63" s="176" t="s">
        <v>651</v>
      </c>
      <c r="AC63" s="81" t="s">
        <v>23</v>
      </c>
      <c r="AD63" s="73" t="s">
        <v>93</v>
      </c>
    </row>
    <row r="64" spans="1:32" ht="18">
      <c r="A64" s="69"/>
      <c r="B64" s="403">
        <v>1</v>
      </c>
      <c r="C64" s="1222" t="s">
        <v>1014</v>
      </c>
      <c r="D64" s="1207"/>
      <c r="E64" s="1207"/>
      <c r="F64" s="1207"/>
      <c r="G64" s="1208"/>
      <c r="H64" s="1208"/>
      <c r="I64" s="462" t="s">
        <v>1013</v>
      </c>
      <c r="J64" s="404"/>
      <c r="K64" s="406"/>
      <c r="L64" s="448"/>
      <c r="M64" s="89">
        <f>((31.6+2.64+0.44)-(31.6+2.64+0.44)*I60)*1.2</f>
        <v>29.1312</v>
      </c>
      <c r="N64" s="104"/>
      <c r="O64" s="387">
        <f>'Таблиця цін схема №1'!IN43+'Таблиця цін схема №2'!HB76+'Таблиця цін схема №3'!DV14</f>
        <v>437</v>
      </c>
      <c r="Q64" s="403">
        <v>1</v>
      </c>
      <c r="R64" s="1271" t="s">
        <v>813</v>
      </c>
      <c r="S64" s="1194"/>
      <c r="T64" s="1194"/>
      <c r="U64" s="1195"/>
      <c r="V64" s="1272" t="s">
        <v>812</v>
      </c>
      <c r="W64" s="1257"/>
      <c r="X64" s="476"/>
      <c r="Y64" s="405"/>
      <c r="Z64" s="406">
        <v>40</v>
      </c>
      <c r="AA64" s="448"/>
      <c r="AB64" s="89">
        <f>(AF64-AF64*$Y$60)/$G$26</f>
        <v>72.595528496809465</v>
      </c>
      <c r="AC64" s="87"/>
      <c r="AD64" s="382">
        <f>'Таблиця цін схема №1'!AG43+'Таблиця цін схема №2'!AC76+'Таблиця цін схема №3'!U14</f>
        <v>30</v>
      </c>
      <c r="AF64">
        <v>2665</v>
      </c>
    </row>
    <row r="65" spans="1:32" ht="15">
      <c r="B65" s="47"/>
      <c r="C65" s="1217"/>
      <c r="D65" s="1217"/>
      <c r="E65" s="1217"/>
      <c r="F65" s="1217"/>
      <c r="G65" s="1214"/>
      <c r="H65" s="1214"/>
      <c r="I65" s="54"/>
      <c r="J65" s="15"/>
      <c r="K65" s="13"/>
      <c r="L65" s="68"/>
      <c r="M65" s="179"/>
      <c r="N65" s="104"/>
      <c r="O65" s="387"/>
      <c r="Q65" s="403">
        <v>2</v>
      </c>
      <c r="R65" s="1271" t="s">
        <v>813</v>
      </c>
      <c r="S65" s="1194"/>
      <c r="T65" s="1194"/>
      <c r="U65" s="1195"/>
      <c r="V65" s="1272" t="s">
        <v>812</v>
      </c>
      <c r="W65" s="1257"/>
      <c r="X65" s="476"/>
      <c r="Y65" s="405"/>
      <c r="Z65" s="406">
        <v>50</v>
      </c>
      <c r="AA65" s="448"/>
      <c r="AB65" s="89">
        <f t="shared" ref="AB65:AB69" si="4">(AF65-AF65*$Y$60)/$G$26</f>
        <v>80.03214361111678</v>
      </c>
      <c r="AC65" s="87"/>
      <c r="AD65" s="382">
        <f>'Таблиця цін схема №1'!AG44+'Таблиця цін схема №2'!AC77+'Таблиця цін схема №3'!U15</f>
        <v>48</v>
      </c>
      <c r="AF65">
        <v>2938</v>
      </c>
    </row>
    <row r="66" spans="1:32" ht="15">
      <c r="B66" s="47"/>
      <c r="C66" s="1217"/>
      <c r="D66" s="1217"/>
      <c r="E66" s="1217"/>
      <c r="F66" s="1217"/>
      <c r="G66" s="1214"/>
      <c r="H66" s="1214"/>
      <c r="I66" s="560" t="s">
        <v>1143</v>
      </c>
      <c r="J66" s="15"/>
      <c r="K66" s="13"/>
      <c r="L66" s="68"/>
      <c r="M66" s="179"/>
      <c r="N66" s="104"/>
      <c r="O66" s="387"/>
      <c r="Q66" s="403">
        <v>3</v>
      </c>
      <c r="R66" s="1271" t="s">
        <v>813</v>
      </c>
      <c r="S66" s="1194"/>
      <c r="T66" s="1194"/>
      <c r="U66" s="1195"/>
      <c r="V66" s="1272" t="s">
        <v>812</v>
      </c>
      <c r="W66" s="1257"/>
      <c r="X66" s="476"/>
      <c r="Y66" s="405"/>
      <c r="Z66" s="406">
        <v>65</v>
      </c>
      <c r="AA66" s="448"/>
      <c r="AB66" s="89">
        <f t="shared" si="4"/>
        <v>105.883234246566</v>
      </c>
      <c r="AC66" s="87"/>
      <c r="AD66" s="382">
        <f>'Таблиця цін схема №1'!AG45+'Таблиця цін схема №2'!AC78+'Таблиця цін схема №3'!U16</f>
        <v>78</v>
      </c>
      <c r="AF66">
        <v>3887</v>
      </c>
    </row>
    <row r="67" spans="1:32" ht="18">
      <c r="A67" s="559"/>
      <c r="B67" s="403">
        <v>4</v>
      </c>
      <c r="C67" s="1223" t="s">
        <v>48</v>
      </c>
      <c r="D67" s="1223"/>
      <c r="E67" s="1223"/>
      <c r="F67" s="1223"/>
      <c r="G67" s="1208" t="s">
        <v>49</v>
      </c>
      <c r="H67" s="1208"/>
      <c r="I67" s="424" t="s">
        <v>106</v>
      </c>
      <c r="J67" s="404"/>
      <c r="K67" s="406">
        <v>109</v>
      </c>
      <c r="L67" s="448"/>
      <c r="M67" s="89">
        <f>K67/$G$26*1.2</f>
        <v>4.4537969640631703</v>
      </c>
      <c r="N67" s="104"/>
      <c r="O67" s="387">
        <f>'Таблиця цін схема №1'!IJ43+'Таблиця цін схема №2'!GX76+'Таблиця цін схема №3'!DR14</f>
        <v>1367</v>
      </c>
      <c r="P67" s="144"/>
      <c r="Q67" s="403">
        <v>4</v>
      </c>
      <c r="R67" s="1271" t="s">
        <v>813</v>
      </c>
      <c r="S67" s="1194"/>
      <c r="T67" s="1194"/>
      <c r="U67" s="1195"/>
      <c r="V67" s="1272" t="s">
        <v>812</v>
      </c>
      <c r="W67" s="1257"/>
      <c r="X67" s="476"/>
      <c r="Y67" s="405"/>
      <c r="Z67" s="406">
        <v>80</v>
      </c>
      <c r="AA67" s="448"/>
      <c r="AB67" s="89">
        <f t="shared" si="4"/>
        <v>111.00441974652855</v>
      </c>
      <c r="AC67" s="87"/>
      <c r="AD67" s="382">
        <f>'Таблиця цін схема №1'!AG46+'Таблиця цін схема №2'!AC79+'Таблиця цін схема №3'!U17</f>
        <v>32</v>
      </c>
      <c r="AF67">
        <v>4075</v>
      </c>
    </row>
    <row r="68" spans="1:32" ht="18">
      <c r="A68" s="69"/>
      <c r="B68" s="403">
        <v>5</v>
      </c>
      <c r="C68" s="1223" t="s">
        <v>48</v>
      </c>
      <c r="D68" s="1223"/>
      <c r="E68" s="1223"/>
      <c r="F68" s="1223"/>
      <c r="G68" s="1208" t="s">
        <v>49</v>
      </c>
      <c r="H68" s="1208"/>
      <c r="I68" s="424" t="s">
        <v>108</v>
      </c>
      <c r="J68" s="404"/>
      <c r="K68" s="406">
        <v>109</v>
      </c>
      <c r="L68" s="448"/>
      <c r="M68" s="89">
        <f>K68/$G$26*1.2</f>
        <v>4.4537969640631703</v>
      </c>
      <c r="N68" s="104"/>
      <c r="O68" s="387">
        <f>'Таблиця цін схема №1'!IF43+'Таблиця цін схема №2'!GT76+'Таблиця цін схема №3'!DN14</f>
        <v>405</v>
      </c>
      <c r="Q68" s="403">
        <v>5</v>
      </c>
      <c r="R68" s="1271" t="s">
        <v>813</v>
      </c>
      <c r="S68" s="1194"/>
      <c r="T68" s="1194"/>
      <c r="U68" s="1195"/>
      <c r="V68" s="1272" t="s">
        <v>812</v>
      </c>
      <c r="W68" s="1257"/>
      <c r="X68" s="476"/>
      <c r="Y68" s="405"/>
      <c r="Z68" s="406">
        <v>100</v>
      </c>
      <c r="AA68" s="448"/>
      <c r="AB68" s="89">
        <f t="shared" si="4"/>
        <v>150.69360737123827</v>
      </c>
      <c r="AC68" s="87"/>
      <c r="AD68" s="382">
        <f>'Таблиця цін схема №1'!AG47+'Таблиця цін схема №2'!AC80+'Таблиця цін схема №3'!U18</f>
        <v>16</v>
      </c>
      <c r="AF68">
        <v>5532</v>
      </c>
    </row>
    <row r="69" spans="1:32" ht="18">
      <c r="A69" s="69"/>
      <c r="B69" s="47">
        <v>6</v>
      </c>
      <c r="C69" s="1213"/>
      <c r="D69" s="1213"/>
      <c r="E69" s="1213"/>
      <c r="F69" s="1213"/>
      <c r="G69" s="1214"/>
      <c r="H69" s="1214"/>
      <c r="I69" s="60"/>
      <c r="J69" s="15"/>
      <c r="K69" s="13"/>
      <c r="L69" s="68"/>
      <c r="M69" s="179"/>
      <c r="N69" s="104"/>
      <c r="O69" s="387"/>
      <c r="Q69" s="403">
        <v>6</v>
      </c>
      <c r="R69" s="1271" t="s">
        <v>813</v>
      </c>
      <c r="S69" s="1194"/>
      <c r="T69" s="1194"/>
      <c r="U69" s="1195"/>
      <c r="V69" s="1272" t="s">
        <v>812</v>
      </c>
      <c r="W69" s="1257"/>
      <c r="X69" s="476"/>
      <c r="Y69" s="405"/>
      <c r="Z69" s="406">
        <v>125</v>
      </c>
      <c r="AA69" s="448"/>
      <c r="AB69" s="89">
        <f t="shared" si="4"/>
        <v>161.83490986849722</v>
      </c>
      <c r="AC69" s="87"/>
      <c r="AD69" s="382">
        <f>'Таблиця цін схема №1'!AG48+'Таблиця цін схема №2'!AC81+'Таблиця цін схема №3'!U19</f>
        <v>2</v>
      </c>
      <c r="AF69">
        <v>5941</v>
      </c>
    </row>
    <row r="70" spans="1:32" ht="18">
      <c r="A70" s="69"/>
      <c r="B70" s="47">
        <v>7</v>
      </c>
      <c r="C70" s="1218"/>
      <c r="D70" s="1218"/>
      <c r="E70" s="1218"/>
      <c r="F70" s="1218"/>
      <c r="G70" s="1219"/>
      <c r="H70" s="1219"/>
      <c r="I70" s="15"/>
      <c r="J70" s="15"/>
      <c r="K70" s="13"/>
      <c r="L70" s="68"/>
      <c r="M70" s="179"/>
      <c r="N70" s="104"/>
      <c r="O70" s="387"/>
      <c r="Q70" s="47">
        <v>7</v>
      </c>
      <c r="R70" s="1273" t="s">
        <v>813</v>
      </c>
      <c r="S70" s="1253"/>
      <c r="T70" s="1253"/>
      <c r="U70" s="1254"/>
      <c r="V70" s="1274" t="s">
        <v>812</v>
      </c>
      <c r="W70" s="1251"/>
      <c r="X70" s="357"/>
      <c r="Y70" s="313"/>
      <c r="Z70" s="13">
        <v>150</v>
      </c>
      <c r="AA70" s="317"/>
      <c r="AB70" s="179"/>
      <c r="AC70" s="87"/>
      <c r="AD70" s="382">
        <f>'Таблиця цін схема №1'!AG49+'Таблиця цін схема №2'!AC82+'Таблиця цін схема №3'!U20</f>
        <v>0</v>
      </c>
    </row>
    <row r="71" spans="1:32" ht="18">
      <c r="A71" s="69"/>
      <c r="B71" s="403">
        <v>8</v>
      </c>
      <c r="C71" s="1224" t="s">
        <v>868</v>
      </c>
      <c r="D71" s="1224"/>
      <c r="E71" s="1224"/>
      <c r="F71" s="1224"/>
      <c r="G71" s="1225" t="s">
        <v>867</v>
      </c>
      <c r="H71" s="1196"/>
      <c r="I71" s="463"/>
      <c r="J71" s="404">
        <v>15</v>
      </c>
      <c r="K71" s="406">
        <v>82.88</v>
      </c>
      <c r="L71" s="448"/>
      <c r="M71" s="89">
        <f>K71/$G$26*1.2</f>
        <v>3.3865201135922525</v>
      </c>
      <c r="N71" s="104"/>
      <c r="O71" s="387">
        <f>'Таблиця цін схема №1'!EC43+'Таблиця цін схема №2'!DI76+'Таблиця цін схема №3'!BQ14</f>
        <v>3836</v>
      </c>
      <c r="Q71" s="47"/>
      <c r="R71" s="1252"/>
      <c r="S71" s="1253"/>
      <c r="T71" s="1253"/>
      <c r="U71" s="1254"/>
      <c r="V71" s="1250"/>
      <c r="W71" s="1251"/>
      <c r="X71" s="357"/>
      <c r="Y71" s="313"/>
      <c r="Z71" s="13"/>
      <c r="AA71" s="317"/>
      <c r="AB71" s="179"/>
      <c r="AC71" s="87"/>
      <c r="AD71" s="181"/>
    </row>
    <row r="72" spans="1:32" ht="18">
      <c r="A72" s="69"/>
      <c r="B72" s="351"/>
      <c r="C72" s="1226"/>
      <c r="D72" s="1226"/>
      <c r="E72" s="1226"/>
      <c r="F72" s="1226"/>
      <c r="G72" s="1227"/>
      <c r="H72" s="1219"/>
      <c r="I72" s="67"/>
      <c r="J72" s="15"/>
      <c r="K72" s="518">
        <v>0.3</v>
      </c>
      <c r="L72" s="351"/>
      <c r="M72" s="492"/>
      <c r="N72" s="13"/>
      <c r="O72" s="385"/>
      <c r="Q72" s="47"/>
      <c r="R72" s="349"/>
      <c r="S72" s="345"/>
      <c r="T72" s="345"/>
      <c r="U72" s="346"/>
      <c r="V72" s="350"/>
      <c r="W72" s="348"/>
      <c r="X72" s="357"/>
      <c r="Y72" s="347"/>
      <c r="Z72" s="13"/>
      <c r="AA72" s="352"/>
      <c r="AB72" s="179"/>
      <c r="AC72" s="87"/>
      <c r="AD72" s="181"/>
    </row>
    <row r="73" spans="1:32" ht="18.75" thickBot="1">
      <c r="A73" s="69"/>
      <c r="B73" s="464">
        <v>9</v>
      </c>
      <c r="C73" s="1220" t="s">
        <v>378</v>
      </c>
      <c r="D73" s="1220"/>
      <c r="E73" s="1220"/>
      <c r="F73" s="1220"/>
      <c r="G73" s="1221" t="s">
        <v>18</v>
      </c>
      <c r="H73" s="1221"/>
      <c r="I73" s="465" t="s">
        <v>379</v>
      </c>
      <c r="J73" s="466">
        <v>15</v>
      </c>
      <c r="K73" s="467"/>
      <c r="L73" s="468"/>
      <c r="M73" s="353">
        <f>(4.09+0.86)-(4.09+0.86)*K72</f>
        <v>3.4649999999999999</v>
      </c>
      <c r="N73" s="105"/>
      <c r="O73" s="388">
        <f>'Таблиця цін схема №1'!HC43+'Таблиця цін схема №2'!FY76+'Таблиця цін схема №3'!DB14</f>
        <v>202</v>
      </c>
      <c r="P73" s="17"/>
      <c r="Q73" s="47"/>
      <c r="R73" s="1252"/>
      <c r="S73" s="1253"/>
      <c r="T73" s="1253"/>
      <c r="U73" s="1254"/>
      <c r="V73" s="1250"/>
      <c r="W73" s="1251"/>
      <c r="X73" s="357"/>
      <c r="Y73" s="313"/>
      <c r="Z73" s="13"/>
      <c r="AA73" s="317"/>
      <c r="AB73" s="179"/>
      <c r="AC73" s="87"/>
      <c r="AD73" s="181"/>
    </row>
    <row r="74" spans="1:32" ht="15.75" thickBot="1">
      <c r="B74" s="1215" t="s">
        <v>50</v>
      </c>
      <c r="C74" s="1206"/>
      <c r="D74" s="1206"/>
      <c r="E74" s="1206"/>
      <c r="F74" s="1206"/>
      <c r="G74" s="1206"/>
      <c r="H74" s="1206"/>
      <c r="I74" s="1206"/>
      <c r="J74" s="1206"/>
      <c r="K74" s="1206"/>
      <c r="L74" s="1206"/>
      <c r="M74" s="1206"/>
      <c r="N74" s="1216"/>
      <c r="O74" s="201"/>
      <c r="Q74" s="47"/>
      <c r="R74" s="1252"/>
      <c r="S74" s="1253"/>
      <c r="T74" s="1253"/>
      <c r="U74" s="1254"/>
      <c r="V74" s="1250"/>
      <c r="W74" s="1251"/>
      <c r="X74" s="357"/>
      <c r="Y74" s="313"/>
      <c r="Z74" s="13"/>
      <c r="AA74" s="317"/>
      <c r="AB74" s="179"/>
      <c r="AC74" s="87"/>
      <c r="AD74" s="181"/>
    </row>
    <row r="75" spans="1:32" ht="15">
      <c r="B75" s="2" t="s">
        <v>15</v>
      </c>
      <c r="C75" s="1211" t="s">
        <v>17</v>
      </c>
      <c r="D75" s="1211"/>
      <c r="E75" s="1211"/>
      <c r="F75" s="1211"/>
      <c r="G75" s="1211" t="s">
        <v>20</v>
      </c>
      <c r="H75" s="1211"/>
      <c r="I75" s="3" t="s">
        <v>3</v>
      </c>
      <c r="J75" s="50"/>
      <c r="K75" s="6" t="s">
        <v>1104</v>
      </c>
      <c r="L75" s="99"/>
      <c r="M75" s="175" t="s">
        <v>7</v>
      </c>
      <c r="N75" s="80" t="s">
        <v>7</v>
      </c>
      <c r="O75" s="4" t="s">
        <v>9</v>
      </c>
      <c r="Q75" s="47"/>
      <c r="R75" s="1252"/>
      <c r="S75" s="1253"/>
      <c r="T75" s="1253"/>
      <c r="U75" s="1254"/>
      <c r="V75" s="1250"/>
      <c r="W75" s="1251"/>
      <c r="X75" s="357"/>
      <c r="Y75" s="313"/>
      <c r="Z75" s="13"/>
      <c r="AA75" s="317"/>
      <c r="AB75" s="179"/>
      <c r="AC75" s="87"/>
      <c r="AD75" s="181"/>
    </row>
    <row r="76" spans="1:32" ht="15">
      <c r="B76" s="47" t="s">
        <v>16</v>
      </c>
      <c r="C76" s="1212"/>
      <c r="D76" s="1212"/>
      <c r="E76" s="1212"/>
      <c r="F76" s="1212"/>
      <c r="G76" s="1212"/>
      <c r="H76" s="1212"/>
      <c r="I76" s="1" t="s">
        <v>24</v>
      </c>
      <c r="J76" s="48"/>
      <c r="K76" s="48"/>
      <c r="L76" s="100"/>
      <c r="M76" s="176" t="s">
        <v>651</v>
      </c>
      <c r="N76" s="81" t="s">
        <v>23</v>
      </c>
      <c r="O76" s="68" t="s">
        <v>93</v>
      </c>
      <c r="Q76" s="47"/>
      <c r="R76" s="1252"/>
      <c r="S76" s="1253"/>
      <c r="T76" s="1253"/>
      <c r="U76" s="1254"/>
      <c r="V76" s="1250"/>
      <c r="W76" s="1251"/>
      <c r="X76" s="315"/>
      <c r="Y76" s="313"/>
      <c r="Z76" s="13"/>
      <c r="AA76" s="317"/>
      <c r="AB76" s="179"/>
      <c r="AC76" s="87"/>
      <c r="AD76" s="181"/>
    </row>
    <row r="77" spans="1:32" ht="15.75" thickBot="1">
      <c r="B77" s="47"/>
      <c r="C77" s="1217"/>
      <c r="D77" s="1217"/>
      <c r="E77" s="1217"/>
      <c r="F77" s="1217"/>
      <c r="G77" s="1214"/>
      <c r="H77" s="1214"/>
      <c r="I77" s="59"/>
      <c r="J77" s="15"/>
      <c r="K77" s="13"/>
      <c r="L77" s="79"/>
      <c r="M77" s="179"/>
      <c r="N77" s="87"/>
      <c r="O77" s="13"/>
      <c r="Q77" s="49"/>
      <c r="R77" s="1230"/>
      <c r="S77" s="1230"/>
      <c r="T77" s="1230"/>
      <c r="U77" s="1230"/>
      <c r="V77" s="1261"/>
      <c r="W77" s="1262"/>
      <c r="X77" s="316"/>
      <c r="Y77" s="314"/>
      <c r="Z77" s="14"/>
      <c r="AA77" s="7"/>
      <c r="AB77" s="180"/>
      <c r="AC77" s="88"/>
      <c r="AD77" s="178"/>
    </row>
    <row r="78" spans="1:32" ht="15">
      <c r="B78" s="47"/>
      <c r="C78" s="1217"/>
      <c r="D78" s="1217"/>
      <c r="E78" s="1217"/>
      <c r="F78" s="1217"/>
      <c r="G78" s="1214"/>
      <c r="H78" s="1214"/>
      <c r="I78" s="59" t="s">
        <v>1144</v>
      </c>
      <c r="J78" s="15"/>
      <c r="K78" s="13"/>
      <c r="L78" s="79"/>
      <c r="M78" s="179"/>
      <c r="N78" s="87"/>
      <c r="O78" s="13"/>
    </row>
    <row r="79" spans="1:32" ht="18">
      <c r="A79" s="69"/>
      <c r="B79" s="403">
        <v>1</v>
      </c>
      <c r="C79" s="1210" t="s">
        <v>368</v>
      </c>
      <c r="D79" s="1207"/>
      <c r="E79" s="1207"/>
      <c r="F79" s="1207"/>
      <c r="G79" s="1208" t="s">
        <v>49</v>
      </c>
      <c r="H79" s="1208"/>
      <c r="I79" s="462" t="s">
        <v>864</v>
      </c>
      <c r="J79" s="404"/>
      <c r="K79" s="406">
        <v>368.33</v>
      </c>
      <c r="L79" s="456"/>
      <c r="M79" s="89">
        <f>K79/$G$26*1.2</f>
        <v>15.050156291498967</v>
      </c>
      <c r="N79" s="87"/>
      <c r="O79" s="385">
        <f>'Таблиця цін схема №1'!HX43+'Таблиця цін схема №2'!GL76+'Таблиця цін схема №3'!DF14</f>
        <v>99</v>
      </c>
      <c r="Y79" s="507">
        <v>0.6</v>
      </c>
    </row>
    <row r="80" spans="1:32" ht="15.75" thickBot="1">
      <c r="B80" s="443">
        <v>2</v>
      </c>
      <c r="C80" s="1210" t="s">
        <v>368</v>
      </c>
      <c r="D80" s="1207"/>
      <c r="E80" s="1207"/>
      <c r="F80" s="1207"/>
      <c r="G80" s="1208" t="s">
        <v>49</v>
      </c>
      <c r="H80" s="1208"/>
      <c r="I80" s="462" t="s">
        <v>109</v>
      </c>
      <c r="J80" s="444"/>
      <c r="K80" s="406">
        <v>368.33</v>
      </c>
      <c r="L80" s="460"/>
      <c r="M80" s="89">
        <f>K80/$G$26*1.2</f>
        <v>15.050156291498967</v>
      </c>
      <c r="N80" s="88"/>
      <c r="O80" s="386">
        <f>'Таблиця цін схема №1'!IB43+'Таблиця цін схема №2'!GP76+'Таблиця цін схема №3'!DJ14</f>
        <v>299</v>
      </c>
      <c r="Q80" s="1197" t="s">
        <v>819</v>
      </c>
      <c r="R80" s="1198"/>
      <c r="S80" s="1198"/>
      <c r="T80" s="1198"/>
      <c r="U80" s="1198"/>
      <c r="V80" s="1198"/>
      <c r="W80" s="1198"/>
      <c r="X80" s="1198"/>
      <c r="Y80" s="1198"/>
      <c r="Z80" s="1198"/>
      <c r="AA80" s="1198"/>
      <c r="AB80" s="1198"/>
      <c r="AC80" s="1198"/>
    </row>
    <row r="81" spans="1:33">
      <c r="O81" s="201"/>
      <c r="Q81" s="2" t="s">
        <v>15</v>
      </c>
      <c r="R81" s="1199" t="s">
        <v>17</v>
      </c>
      <c r="S81" s="1200"/>
      <c r="T81" s="1200"/>
      <c r="U81" s="1201"/>
      <c r="V81" s="1199" t="s">
        <v>20</v>
      </c>
      <c r="W81" s="1201"/>
      <c r="X81" s="3" t="s">
        <v>3</v>
      </c>
      <c r="Y81" s="50" t="s">
        <v>21</v>
      </c>
      <c r="Z81" s="50" t="s">
        <v>22</v>
      </c>
      <c r="AA81" s="4"/>
      <c r="AB81" s="175" t="s">
        <v>7</v>
      </c>
      <c r="AC81" s="80" t="s">
        <v>7</v>
      </c>
      <c r="AD81" s="4" t="s">
        <v>9</v>
      </c>
    </row>
    <row r="82" spans="1:33">
      <c r="Q82" s="47" t="s">
        <v>16</v>
      </c>
      <c r="R82" s="1202"/>
      <c r="S82" s="1203"/>
      <c r="T82" s="1203"/>
      <c r="U82" s="1204"/>
      <c r="V82" s="1202"/>
      <c r="W82" s="1204"/>
      <c r="X82" s="1" t="s">
        <v>24</v>
      </c>
      <c r="Y82" s="161" t="s">
        <v>1</v>
      </c>
      <c r="Z82" s="161" t="s">
        <v>2</v>
      </c>
      <c r="AA82" s="517" t="s">
        <v>1111</v>
      </c>
      <c r="AB82" s="176" t="s">
        <v>651</v>
      </c>
      <c r="AC82" s="81" t="s">
        <v>23</v>
      </c>
      <c r="AD82" s="321" t="s">
        <v>93</v>
      </c>
    </row>
    <row r="83" spans="1:33" ht="15.75" thickBot="1">
      <c r="I83" s="507">
        <v>0.3</v>
      </c>
      <c r="Q83" s="403">
        <v>1</v>
      </c>
      <c r="R83" s="1275" t="s">
        <v>818</v>
      </c>
      <c r="S83" s="1194"/>
      <c r="T83" s="1194"/>
      <c r="U83" s="1195"/>
      <c r="V83" s="1196" t="s">
        <v>42</v>
      </c>
      <c r="W83" s="1196"/>
      <c r="X83" s="452" t="s">
        <v>45</v>
      </c>
      <c r="Y83" s="447">
        <v>0.63</v>
      </c>
      <c r="Z83" s="406">
        <v>15</v>
      </c>
      <c r="AA83" s="448">
        <v>6390.32</v>
      </c>
      <c r="AB83" s="89">
        <f>(AA83-AA83*$Y$79)/$G$26*1.2</f>
        <v>104.44472592804462</v>
      </c>
      <c r="AC83" s="87"/>
      <c r="AD83" s="381">
        <f>'Таблиця цін схема №1'!BA43+'Таблиця цін схема №1'!BO43+'Таблиця цін схема №2'!AW76+'Таблиця цін схема №2'!BK76+'Таблиця цін схема №3'!AK14</f>
        <v>2</v>
      </c>
    </row>
    <row r="84" spans="1:33" ht="15.75" thickBot="1">
      <c r="B84" s="1265" t="s">
        <v>57</v>
      </c>
      <c r="C84" s="1266"/>
      <c r="D84" s="1266"/>
      <c r="E84" s="1266"/>
      <c r="F84" s="1266"/>
      <c r="G84" s="1266"/>
      <c r="H84" s="1266"/>
      <c r="I84" s="1266"/>
      <c r="J84" s="1266"/>
      <c r="K84" s="1266"/>
      <c r="L84" s="1266"/>
      <c r="M84" s="1266"/>
      <c r="N84" s="1267"/>
      <c r="O84" s="101"/>
      <c r="Q84" s="403">
        <v>2</v>
      </c>
      <c r="R84" s="1275" t="s">
        <v>818</v>
      </c>
      <c r="S84" s="1194"/>
      <c r="T84" s="1194"/>
      <c r="U84" s="1195"/>
      <c r="V84" s="1196" t="s">
        <v>42</v>
      </c>
      <c r="W84" s="1196"/>
      <c r="X84" s="452" t="s">
        <v>45</v>
      </c>
      <c r="Y84" s="447">
        <v>1</v>
      </c>
      <c r="Z84" s="406">
        <v>15</v>
      </c>
      <c r="AA84" s="448">
        <v>6390.32</v>
      </c>
      <c r="AB84" s="89">
        <f t="shared" ref="AB84:AB92" si="5">(AA84-AA84*$Y$79)/$G$26*1.2</f>
        <v>104.44472592804462</v>
      </c>
      <c r="AC84" s="87"/>
      <c r="AD84" s="381">
        <f>'Таблиця цін схема №1'!BA44+'Таблиця цін схема №1'!BO44+'Таблиця цін схема №2'!AW77+'Таблиця цін схема №2'!BK77+'Таблиця цін схема №3'!AK15</f>
        <v>2</v>
      </c>
    </row>
    <row r="85" spans="1:33" ht="15">
      <c r="B85" s="2" t="s">
        <v>15</v>
      </c>
      <c r="C85" s="1211" t="s">
        <v>17</v>
      </c>
      <c r="D85" s="1211"/>
      <c r="E85" s="1211"/>
      <c r="F85" s="1211"/>
      <c r="G85" s="1211" t="s">
        <v>20</v>
      </c>
      <c r="H85" s="1211"/>
      <c r="I85" s="3" t="s">
        <v>3</v>
      </c>
      <c r="J85" s="50"/>
      <c r="K85" s="50"/>
      <c r="L85" s="99"/>
      <c r="M85" s="175" t="s">
        <v>7</v>
      </c>
      <c r="N85" s="80" t="s">
        <v>7</v>
      </c>
      <c r="O85" s="4" t="s">
        <v>9</v>
      </c>
      <c r="Q85" s="403">
        <v>3</v>
      </c>
      <c r="R85" s="1275" t="s">
        <v>818</v>
      </c>
      <c r="S85" s="1194"/>
      <c r="T85" s="1194"/>
      <c r="U85" s="1195"/>
      <c r="V85" s="1196" t="s">
        <v>42</v>
      </c>
      <c r="W85" s="1196"/>
      <c r="X85" s="452" t="s">
        <v>45</v>
      </c>
      <c r="Y85" s="447">
        <v>1.6</v>
      </c>
      <c r="Z85" s="406">
        <v>15</v>
      </c>
      <c r="AA85" s="448">
        <v>6390.32</v>
      </c>
      <c r="AB85" s="89">
        <f t="shared" si="5"/>
        <v>104.44472592804462</v>
      </c>
      <c r="AC85" s="87"/>
      <c r="AD85" s="381">
        <f>'Таблиця цін схема №1'!BA45+'Таблиця цін схема №1'!BO45+'Таблиця цін схема №2'!AW78+'Таблиця цін схема №2'!BK78+'Таблиця цін схема №3'!AK16</f>
        <v>10</v>
      </c>
    </row>
    <row r="86" spans="1:33" ht="15">
      <c r="B86" s="47" t="s">
        <v>16</v>
      </c>
      <c r="C86" s="1212"/>
      <c r="D86" s="1212"/>
      <c r="E86" s="1212"/>
      <c r="F86" s="1212"/>
      <c r="G86" s="1212"/>
      <c r="H86" s="1212"/>
      <c r="I86" s="1" t="s">
        <v>24</v>
      </c>
      <c r="J86" s="48"/>
      <c r="K86" s="48"/>
      <c r="L86" s="100"/>
      <c r="M86" s="176" t="s">
        <v>651</v>
      </c>
      <c r="N86" s="81" t="s">
        <v>23</v>
      </c>
      <c r="O86" s="68" t="s">
        <v>93</v>
      </c>
      <c r="Q86" s="403">
        <v>4</v>
      </c>
      <c r="R86" s="1275" t="s">
        <v>818</v>
      </c>
      <c r="S86" s="1194"/>
      <c r="T86" s="1194"/>
      <c r="U86" s="1195"/>
      <c r="V86" s="1196" t="s">
        <v>42</v>
      </c>
      <c r="W86" s="1196"/>
      <c r="X86" s="452" t="s">
        <v>45</v>
      </c>
      <c r="Y86" s="447">
        <v>2.5</v>
      </c>
      <c r="Z86" s="406">
        <v>15</v>
      </c>
      <c r="AA86" s="448">
        <v>6390.32</v>
      </c>
      <c r="AB86" s="89">
        <f t="shared" si="5"/>
        <v>104.44472592804462</v>
      </c>
      <c r="AC86" s="87"/>
      <c r="AD86" s="381">
        <f>'Таблиця цін схема №1'!BA46+'Таблиця цін схема №1'!BO46+'Таблиця цін схема №2'!AW79+'Таблиця цін схема №2'!BK79+'Таблиця цін схема №3'!AK17</f>
        <v>4</v>
      </c>
    </row>
    <row r="87" spans="1:33" ht="18">
      <c r="A87" s="69"/>
      <c r="B87" s="403">
        <v>1</v>
      </c>
      <c r="C87" s="1207" t="s">
        <v>58</v>
      </c>
      <c r="D87" s="1207"/>
      <c r="E87" s="1207"/>
      <c r="F87" s="1207"/>
      <c r="G87" s="1208"/>
      <c r="H87" s="1208"/>
      <c r="I87" s="423" t="s">
        <v>383</v>
      </c>
      <c r="J87" s="404"/>
      <c r="K87" s="406"/>
      <c r="L87" s="456"/>
      <c r="M87" s="89">
        <f>396/G26</f>
        <v>13.483972460007763</v>
      </c>
      <c r="N87" s="87"/>
      <c r="O87" s="383">
        <f>'Таблиця цін схема №1'!IZ43+'Таблиця цін схема №2'!HN76+'Таблиця цін схема №3'!EH14</f>
        <v>103</v>
      </c>
      <c r="Q87" s="403">
        <v>5</v>
      </c>
      <c r="R87" s="1275" t="s">
        <v>818</v>
      </c>
      <c r="S87" s="1194"/>
      <c r="T87" s="1194"/>
      <c r="U87" s="1195"/>
      <c r="V87" s="1196" t="s">
        <v>42</v>
      </c>
      <c r="W87" s="1196"/>
      <c r="X87" s="452" t="s">
        <v>45</v>
      </c>
      <c r="Y87" s="447">
        <v>4</v>
      </c>
      <c r="Z87" s="406">
        <v>15</v>
      </c>
      <c r="AA87" s="448">
        <v>6390.32</v>
      </c>
      <c r="AB87" s="89">
        <f t="shared" si="5"/>
        <v>104.44472592804462</v>
      </c>
      <c r="AC87" s="87"/>
      <c r="AD87" s="381">
        <f>'Таблиця цін схема №1'!BA47+'Таблиця цін схема №1'!BO47+'Таблиця цін схема №2'!AW80+'Таблиця цін схема №2'!BK80+'Таблиця цін схема №3'!AK18</f>
        <v>14</v>
      </c>
    </row>
    <row r="88" spans="1:33" ht="18">
      <c r="A88" s="69"/>
      <c r="B88" s="403">
        <v>2</v>
      </c>
      <c r="C88" s="1207" t="s">
        <v>59</v>
      </c>
      <c r="D88" s="1207"/>
      <c r="E88" s="1207"/>
      <c r="F88" s="1207"/>
      <c r="G88" s="1208"/>
      <c r="H88" s="1208"/>
      <c r="I88" s="423" t="s">
        <v>1016</v>
      </c>
      <c r="J88" s="404"/>
      <c r="K88" s="406"/>
      <c r="L88" s="456"/>
      <c r="M88" s="89">
        <f>388/G26</f>
        <v>13.211568975967202</v>
      </c>
      <c r="N88" s="87"/>
      <c r="O88" s="383">
        <f>'Таблиця цін схема №1'!IV43+'Таблиця цін схема №2'!HJ76+'Таблиця цін схема №3'!ED14</f>
        <v>709</v>
      </c>
      <c r="Q88" s="403">
        <v>6</v>
      </c>
      <c r="R88" s="1275" t="s">
        <v>818</v>
      </c>
      <c r="S88" s="1194"/>
      <c r="T88" s="1194"/>
      <c r="U88" s="1195"/>
      <c r="V88" s="1196" t="s">
        <v>42</v>
      </c>
      <c r="W88" s="1196"/>
      <c r="X88" s="452" t="s">
        <v>45</v>
      </c>
      <c r="Y88" s="447">
        <v>6.3</v>
      </c>
      <c r="Z88" s="406">
        <v>20</v>
      </c>
      <c r="AA88" s="448">
        <v>6922.4</v>
      </c>
      <c r="AB88" s="89">
        <f t="shared" si="5"/>
        <v>113.14115267534271</v>
      </c>
      <c r="AC88" s="87"/>
      <c r="AD88" s="381">
        <f>'Таблиця цін схема №1'!BA48+'Таблиця цін схема №1'!BO48+'Таблиця цін схема №2'!AW81+'Таблиця цін схема №2'!BK81+'Таблиця цін схема №3'!AK19</f>
        <v>29</v>
      </c>
    </row>
    <row r="89" spans="1:33" ht="15">
      <c r="B89" s="403">
        <v>3</v>
      </c>
      <c r="C89" s="1209" t="s">
        <v>865</v>
      </c>
      <c r="D89" s="1207"/>
      <c r="E89" s="1207"/>
      <c r="F89" s="1207"/>
      <c r="G89" s="1208"/>
      <c r="H89" s="1208"/>
      <c r="I89" s="430" t="s">
        <v>1015</v>
      </c>
      <c r="J89" s="404"/>
      <c r="K89" s="406"/>
      <c r="L89" s="456"/>
      <c r="M89" s="89">
        <f>(88.59-88.59*I83)*1.2+M90</f>
        <v>79.523165325760516</v>
      </c>
      <c r="N89" s="87"/>
      <c r="O89" s="383">
        <f>'Таблиця цін схема №1'!IR43+'Таблиця цін схема №2'!HF76+'Таблиця цін схема №3'!DZ14</f>
        <v>610</v>
      </c>
      <c r="Q89" s="403">
        <v>7</v>
      </c>
      <c r="R89" s="1275" t="s">
        <v>818</v>
      </c>
      <c r="S89" s="1194"/>
      <c r="T89" s="1194"/>
      <c r="U89" s="1195"/>
      <c r="V89" s="1196" t="s">
        <v>42</v>
      </c>
      <c r="W89" s="1196"/>
      <c r="X89" s="452" t="s">
        <v>45</v>
      </c>
      <c r="Y89" s="447">
        <v>10</v>
      </c>
      <c r="Z89" s="406">
        <v>25</v>
      </c>
      <c r="AA89" s="448">
        <v>7189.4</v>
      </c>
      <c r="AB89" s="89">
        <f t="shared" si="5"/>
        <v>117.50505648967251</v>
      </c>
      <c r="AC89" s="87"/>
      <c r="AD89" s="381">
        <f>'Таблиця цін схема №1'!BA49+'Таблиця цін схема №1'!BO49+'Таблиця цін схема №2'!AW82+'Таблиця цін схема №2'!BK82+'Таблиця цін схема №3'!AK20</f>
        <v>62</v>
      </c>
    </row>
    <row r="90" spans="1:33" ht="18.75" thickBot="1">
      <c r="A90" s="69"/>
      <c r="B90" s="49"/>
      <c r="C90" s="1263" t="s">
        <v>1102</v>
      </c>
      <c r="D90" s="1263"/>
      <c r="E90" s="1263"/>
      <c r="F90" s="1263"/>
      <c r="G90" s="1264"/>
      <c r="H90" s="1264"/>
      <c r="I90" s="510"/>
      <c r="J90" s="511"/>
      <c r="K90" s="512"/>
      <c r="L90" s="513"/>
      <c r="M90" s="514">
        <f>150/G26</f>
        <v>5.1075653257605165</v>
      </c>
      <c r="N90" s="88"/>
      <c r="O90" s="384">
        <f>O89</f>
        <v>610</v>
      </c>
      <c r="Q90" s="403">
        <v>8</v>
      </c>
      <c r="R90" s="1275" t="s">
        <v>818</v>
      </c>
      <c r="S90" s="1194"/>
      <c r="T90" s="1194"/>
      <c r="U90" s="1195"/>
      <c r="V90" s="1196" t="s">
        <v>42</v>
      </c>
      <c r="W90" s="1196"/>
      <c r="X90" s="452" t="s">
        <v>45</v>
      </c>
      <c r="Y90" s="447">
        <v>16</v>
      </c>
      <c r="Z90" s="406">
        <v>32</v>
      </c>
      <c r="AA90" s="448">
        <v>7986.88</v>
      </c>
      <c r="AB90" s="89">
        <f t="shared" si="5"/>
        <v>130.5392363168325</v>
      </c>
      <c r="AC90" s="87"/>
      <c r="AD90" s="381">
        <f>'Таблиця цін схема №1'!BA50+'Таблиця цін схема №1'!BO50+'Таблиця цін схема №2'!AW83+'Таблиця цін схема №2'!BK83+'Таблиця цін схема №3'!AK21</f>
        <v>53</v>
      </c>
    </row>
    <row r="91" spans="1:33" ht="15">
      <c r="O91" s="201"/>
      <c r="Q91" s="403">
        <v>9</v>
      </c>
      <c r="R91" s="1275" t="s">
        <v>818</v>
      </c>
      <c r="S91" s="1194"/>
      <c r="T91" s="1194"/>
      <c r="U91" s="1195"/>
      <c r="V91" s="1196" t="s">
        <v>42</v>
      </c>
      <c r="W91" s="1196"/>
      <c r="X91" s="452" t="s">
        <v>45</v>
      </c>
      <c r="Y91" s="447">
        <v>25</v>
      </c>
      <c r="Z91" s="406">
        <v>40</v>
      </c>
      <c r="AA91" s="448">
        <v>9584.86</v>
      </c>
      <c r="AB91" s="89">
        <f t="shared" si="5"/>
        <v>156.6569554824606</v>
      </c>
      <c r="AC91" s="87"/>
      <c r="AD91" s="381">
        <f>'Таблиця цін схема №1'!BA51+'Таблиця цін схема №1'!BO51+'Таблиця цін схема №2'!AW84+'Таблиця цін схема №2'!BK84+'Таблиця цін схема №3'!AK22</f>
        <v>18</v>
      </c>
    </row>
    <row r="92" spans="1:33" ht="15">
      <c r="Q92" s="403">
        <v>10</v>
      </c>
      <c r="R92" s="1275" t="s">
        <v>818</v>
      </c>
      <c r="S92" s="1194"/>
      <c r="T92" s="1194"/>
      <c r="U92" s="1195"/>
      <c r="V92" s="1196" t="s">
        <v>42</v>
      </c>
      <c r="W92" s="1196"/>
      <c r="X92" s="452" t="s">
        <v>45</v>
      </c>
      <c r="Y92" s="447">
        <v>40</v>
      </c>
      <c r="Z92" s="406">
        <v>50</v>
      </c>
      <c r="AA92" s="448">
        <v>11714.83</v>
      </c>
      <c r="AB92" s="89">
        <f t="shared" si="5"/>
        <v>191.46963041657298</v>
      </c>
      <c r="AC92" s="87"/>
      <c r="AD92" s="381">
        <f>'Таблиця цін схема №1'!BA52+'Таблиця цін схема №1'!BO52+'Таблиця цін схема №2'!AW85+'Таблиця цін схема №2'!BK85+'Таблиця цін схема №3'!AK23</f>
        <v>7</v>
      </c>
    </row>
    <row r="93" spans="1:33" ht="15">
      <c r="Q93" s="403">
        <v>11</v>
      </c>
      <c r="R93" s="1275" t="s">
        <v>818</v>
      </c>
      <c r="S93" s="1194"/>
      <c r="T93" s="1194"/>
      <c r="U93" s="1195"/>
      <c r="V93" s="1276" t="s">
        <v>19</v>
      </c>
      <c r="W93" s="1257"/>
      <c r="X93" s="453" t="s">
        <v>823</v>
      </c>
      <c r="Y93" s="454">
        <v>63</v>
      </c>
      <c r="Z93" s="406">
        <v>65</v>
      </c>
      <c r="AA93" s="448"/>
      <c r="AB93" s="89">
        <f>AF93-AF93*AE93</f>
        <v>680</v>
      </c>
      <c r="AC93" s="87"/>
      <c r="AD93" s="381">
        <f>'Таблиця цін схема №1'!BA53+'Таблиця цін схема №1'!BO53+'Таблиця цін схема №2'!AW86+'Таблиця цін схема №2'!BK86+'Таблиця цін схема №3'!AK24</f>
        <v>1</v>
      </c>
      <c r="AE93" s="518">
        <v>0</v>
      </c>
      <c r="AF93">
        <v>680</v>
      </c>
      <c r="AG93" s="113" t="s">
        <v>1399</v>
      </c>
    </row>
    <row r="94" spans="1:33" ht="26.25" hidden="1">
      <c r="N94" s="200" t="s">
        <v>652</v>
      </c>
      <c r="O94" s="201">
        <f>O91+O81+O74+O58+O47+O16+AD18+AD37+AD56</f>
        <v>0</v>
      </c>
      <c r="Q94" s="47">
        <v>12</v>
      </c>
      <c r="R94" s="1252" t="s">
        <v>27</v>
      </c>
      <c r="S94" s="1253"/>
      <c r="T94" s="1253"/>
      <c r="U94" s="1254"/>
      <c r="V94" s="1250" t="s">
        <v>364</v>
      </c>
      <c r="W94" s="1251"/>
      <c r="X94" s="318" t="s">
        <v>809</v>
      </c>
      <c r="Y94" s="319"/>
      <c r="Z94" s="13">
        <v>200</v>
      </c>
      <c r="AA94" s="321"/>
      <c r="AB94" s="177"/>
      <c r="AC94" s="87"/>
      <c r="AD94" s="74"/>
    </row>
    <row r="95" spans="1:33" ht="15.75" hidden="1" thickBot="1">
      <c r="N95" s="202"/>
      <c r="Q95" s="49">
        <v>13</v>
      </c>
      <c r="R95" s="1230" t="s">
        <v>27</v>
      </c>
      <c r="S95" s="1230"/>
      <c r="T95" s="1230"/>
      <c r="U95" s="1230"/>
      <c r="V95" s="1261" t="s">
        <v>364</v>
      </c>
      <c r="W95" s="1262"/>
      <c r="X95" s="318" t="s">
        <v>809</v>
      </c>
      <c r="Y95" s="320"/>
      <c r="Z95" s="14">
        <v>250</v>
      </c>
      <c r="AA95" s="7"/>
      <c r="AB95" s="178"/>
      <c r="AC95" s="88"/>
      <c r="AD95" s="76"/>
    </row>
    <row r="96" spans="1:33" hidden="1">
      <c r="N96" s="200" t="s">
        <v>653</v>
      </c>
      <c r="O96" s="201">
        <f>O94+'Ціни контур теплопостачання'!G133</f>
        <v>654</v>
      </c>
    </row>
    <row r="97" spans="2:31" hidden="1">
      <c r="N97" s="202"/>
    </row>
    <row r="98" spans="2:31" ht="25.5" hidden="1">
      <c r="N98" s="200" t="s">
        <v>654</v>
      </c>
      <c r="O98" t="e">
        <f>#REF!+'Таблиця цін схема №1'!#REF!</f>
        <v>#REF!</v>
      </c>
    </row>
    <row r="100" spans="2:31">
      <c r="B100" s="113"/>
      <c r="M100" s="205"/>
      <c r="Y100" s="507">
        <v>0.65</v>
      </c>
    </row>
    <row r="101" spans="2:31" ht="13.5" thickBot="1">
      <c r="M101" s="147"/>
      <c r="Q101" s="1197" t="s">
        <v>820</v>
      </c>
      <c r="R101" s="1198"/>
      <c r="S101" s="1198"/>
      <c r="T101" s="1198"/>
      <c r="U101" s="1198"/>
      <c r="V101" s="1198"/>
      <c r="W101" s="1198"/>
      <c r="X101" s="1198"/>
      <c r="Y101" s="1198"/>
      <c r="Z101" s="1198"/>
      <c r="AA101" s="1198"/>
      <c r="AB101" s="1198"/>
      <c r="AC101" s="1198"/>
    </row>
    <row r="102" spans="2:31" ht="15">
      <c r="B102" s="213"/>
      <c r="M102" s="154"/>
      <c r="Q102" s="2" t="s">
        <v>15</v>
      </c>
      <c r="R102" s="1199" t="s">
        <v>17</v>
      </c>
      <c r="S102" s="1200"/>
      <c r="T102" s="1200"/>
      <c r="U102" s="1201"/>
      <c r="V102" s="1199" t="s">
        <v>20</v>
      </c>
      <c r="W102" s="1201"/>
      <c r="X102" s="3" t="s">
        <v>3</v>
      </c>
      <c r="Y102" s="50" t="s">
        <v>21</v>
      </c>
      <c r="Z102" s="50" t="s">
        <v>22</v>
      </c>
      <c r="AA102" s="4"/>
      <c r="AB102" s="175" t="s">
        <v>7</v>
      </c>
      <c r="AC102" s="80" t="s">
        <v>7</v>
      </c>
      <c r="AD102" s="4" t="s">
        <v>9</v>
      </c>
    </row>
    <row r="103" spans="2:31" ht="15">
      <c r="B103" s="213"/>
      <c r="M103" s="154"/>
      <c r="Q103" s="47" t="s">
        <v>16</v>
      </c>
      <c r="R103" s="1202"/>
      <c r="S103" s="1203"/>
      <c r="T103" s="1203"/>
      <c r="U103" s="1204"/>
      <c r="V103" s="1202"/>
      <c r="W103" s="1204"/>
      <c r="X103" s="1" t="s">
        <v>24</v>
      </c>
      <c r="Y103" s="161" t="s">
        <v>1</v>
      </c>
      <c r="Z103" s="161" t="s">
        <v>2</v>
      </c>
      <c r="AA103" s="517" t="s">
        <v>1111</v>
      </c>
      <c r="AB103" s="176" t="s">
        <v>651</v>
      </c>
      <c r="AC103" s="81" t="s">
        <v>23</v>
      </c>
      <c r="AD103" s="322" t="s">
        <v>93</v>
      </c>
    </row>
    <row r="104" spans="2:31" ht="15">
      <c r="B104" s="213"/>
      <c r="M104" s="154"/>
      <c r="Q104" s="403">
        <v>1</v>
      </c>
      <c r="R104" s="1193"/>
      <c r="S104" s="1194"/>
      <c r="T104" s="1194"/>
      <c r="U104" s="1195"/>
      <c r="V104" s="1196"/>
      <c r="W104" s="1196"/>
      <c r="X104" s="461"/>
      <c r="Y104" s="447"/>
      <c r="Z104" s="406"/>
      <c r="AA104" s="448"/>
      <c r="AB104" s="89"/>
      <c r="AC104" s="87"/>
      <c r="AD104" s="390">
        <f>'Таблиця цін схема №1'!BF43+'Таблиця цін схема №1'!BT43+'Таблиця цін схема №2'!BB76+'Таблиця цін схема №2'!BP76+'Таблиця цін схема №3'!AP14</f>
        <v>0</v>
      </c>
    </row>
    <row r="105" spans="2:31" ht="15">
      <c r="B105" s="213"/>
      <c r="M105" s="197"/>
      <c r="Q105" s="403">
        <v>2</v>
      </c>
      <c r="R105" s="1193"/>
      <c r="S105" s="1194"/>
      <c r="T105" s="1194"/>
      <c r="U105" s="1195"/>
      <c r="V105" s="1196"/>
      <c r="W105" s="1196"/>
      <c r="X105" s="461"/>
      <c r="Y105" s="447"/>
      <c r="Z105" s="406"/>
      <c r="AA105" s="448"/>
      <c r="AB105" s="89"/>
      <c r="AC105" s="87"/>
      <c r="AD105" s="390">
        <f>'Таблиця цін схема №1'!BF44+'Таблиця цін схема №1'!BT44+'Таблиця цін схема №2'!BB77+'Таблиця цін схема №2'!BP77+'Таблиця цін схема №3'!AP15</f>
        <v>0</v>
      </c>
    </row>
    <row r="106" spans="2:31" ht="15">
      <c r="M106" s="214"/>
      <c r="Q106" s="403">
        <v>3</v>
      </c>
      <c r="R106" s="1193"/>
      <c r="S106" s="1194"/>
      <c r="T106" s="1194"/>
      <c r="U106" s="1195"/>
      <c r="V106" s="1196"/>
      <c r="W106" s="1196"/>
      <c r="X106" s="461"/>
      <c r="Y106" s="447"/>
      <c r="Z106" s="406"/>
      <c r="AA106" s="448"/>
      <c r="AB106" s="89"/>
      <c r="AC106" s="87"/>
      <c r="AD106" s="390">
        <f>'Таблиця цін схема №1'!BF45+'Таблиця цін схема №1'!BT45+'Таблиця цін схема №2'!BB78+'Таблиця цін схема №2'!BP78+'Таблиця цін схема №3'!AP16</f>
        <v>0</v>
      </c>
    </row>
    <row r="107" spans="2:31" ht="15">
      <c r="Q107" s="403">
        <v>4</v>
      </c>
      <c r="R107" s="1193" t="s">
        <v>822</v>
      </c>
      <c r="S107" s="1194"/>
      <c r="T107" s="1194"/>
      <c r="U107" s="1195"/>
      <c r="V107" s="1196" t="s">
        <v>42</v>
      </c>
      <c r="W107" s="1196"/>
      <c r="X107" s="1095" t="s">
        <v>821</v>
      </c>
      <c r="Y107" s="1096">
        <v>4</v>
      </c>
      <c r="Z107" s="1097">
        <v>15</v>
      </c>
      <c r="AA107" s="1114">
        <v>16597.95</v>
      </c>
      <c r="AB107" s="89">
        <f t="shared" ref="AB107:AB112" si="6">(AA107-AA107*$Y$100)/$G$26*1.2+($AA$116-$AA$116*$Y$116)/$G$26*1.2</f>
        <v>251.13923223078018</v>
      </c>
      <c r="AC107" s="87"/>
      <c r="AD107" s="1113">
        <f>'Таблиця цін схема №1'!BF46+'Таблиця цін схема №1'!BT46+'Таблиця цін схема №2'!BB79+'Таблиця цін схема №2'!BP79+'Таблиця цін схема №3'!AP17</f>
        <v>0</v>
      </c>
      <c r="AE107">
        <v>32</v>
      </c>
    </row>
    <row r="108" spans="2:31" ht="15">
      <c r="Q108" s="403">
        <v>5</v>
      </c>
      <c r="R108" s="1193" t="s">
        <v>822</v>
      </c>
      <c r="S108" s="1194"/>
      <c r="T108" s="1194"/>
      <c r="U108" s="1195"/>
      <c r="V108" s="1196" t="s">
        <v>42</v>
      </c>
      <c r="W108" s="1196"/>
      <c r="X108" s="1095" t="s">
        <v>821</v>
      </c>
      <c r="Y108" s="1096">
        <v>6.3</v>
      </c>
      <c r="Z108" s="1097">
        <v>20</v>
      </c>
      <c r="AA108" s="1114">
        <v>17205.93</v>
      </c>
      <c r="AB108" s="89">
        <f t="shared" si="6"/>
        <v>259.83406541769665</v>
      </c>
      <c r="AC108" s="87"/>
      <c r="AD108" s="1113">
        <f>'Таблиця цін схема №1'!BF47+'Таблиця цін схема №1'!BT47+'Таблиця цін схема №2'!BB80+'Таблиця цін схема №2'!BP80+'Таблиця цін схема №3'!AP18</f>
        <v>29</v>
      </c>
      <c r="AE108">
        <v>29</v>
      </c>
    </row>
    <row r="109" spans="2:31" ht="15">
      <c r="Q109" s="403">
        <v>6</v>
      </c>
      <c r="R109" s="1193" t="s">
        <v>822</v>
      </c>
      <c r="S109" s="1194"/>
      <c r="T109" s="1194"/>
      <c r="U109" s="1195"/>
      <c r="V109" s="1196" t="s">
        <v>42</v>
      </c>
      <c r="W109" s="1196"/>
      <c r="X109" s="1095" t="s">
        <v>821</v>
      </c>
      <c r="Y109" s="1096">
        <v>8</v>
      </c>
      <c r="Z109" s="1097">
        <v>25</v>
      </c>
      <c r="AA109" s="1114">
        <v>18482.7</v>
      </c>
      <c r="AB109" s="89">
        <f t="shared" si="6"/>
        <v>278.09338672441618</v>
      </c>
      <c r="AC109" s="87"/>
      <c r="AD109" s="1113">
        <f>'Таблиця цін схема №1'!BF48+'Таблиця цін схема №1'!BT48+'Таблиця цін схема №2'!BB81+'Таблиця цін схема №2'!BP81+'Таблиця цін схема №3'!AP19</f>
        <v>29</v>
      </c>
      <c r="AE109">
        <v>28</v>
      </c>
    </row>
    <row r="110" spans="2:31" ht="15">
      <c r="Q110" s="403">
        <v>7</v>
      </c>
      <c r="R110" s="1193" t="s">
        <v>822</v>
      </c>
      <c r="S110" s="1194"/>
      <c r="T110" s="1194"/>
      <c r="U110" s="1195"/>
      <c r="V110" s="1196" t="s">
        <v>42</v>
      </c>
      <c r="W110" s="1196"/>
      <c r="X110" s="1095" t="s">
        <v>821</v>
      </c>
      <c r="Y110" s="1096">
        <v>12.5</v>
      </c>
      <c r="Z110" s="1097">
        <v>32</v>
      </c>
      <c r="AA110" s="1114">
        <v>29507.46</v>
      </c>
      <c r="AB110" s="89">
        <f t="shared" si="6"/>
        <v>435.76049604674444</v>
      </c>
      <c r="AC110" s="87"/>
      <c r="AD110" s="1113">
        <f>'Таблиця цін схема №1'!BF49+'Таблиця цін схема №1'!BT49+'Таблиця цін схема №2'!BB82+'Таблиця цін схема №2'!BP82+'Таблиця цін схема №3'!AP20</f>
        <v>14</v>
      </c>
      <c r="AE110">
        <v>66</v>
      </c>
    </row>
    <row r="111" spans="2:31" ht="15">
      <c r="Q111" s="403">
        <v>8</v>
      </c>
      <c r="R111" s="1193" t="s">
        <v>822</v>
      </c>
      <c r="S111" s="1194"/>
      <c r="T111" s="1194"/>
      <c r="U111" s="1195"/>
      <c r="V111" s="1196" t="s">
        <v>42</v>
      </c>
      <c r="W111" s="1196"/>
      <c r="X111" s="1095" t="s">
        <v>821</v>
      </c>
      <c r="Y111" s="1096">
        <v>20</v>
      </c>
      <c r="Z111" s="1097">
        <v>40</v>
      </c>
      <c r="AA111" s="1114">
        <v>30378.91</v>
      </c>
      <c r="AB111" s="89">
        <f t="shared" si="6"/>
        <v>448.22326189551967</v>
      </c>
      <c r="AC111" s="87"/>
      <c r="AD111" s="1113">
        <f>'Таблиця цін схема №1'!BF50+'Таблиця цін схема №1'!BT50+'Таблиця цін схема №2'!BB83+'Таблиця цін схема №2'!BP83+'Таблиця цін схема №3'!AP21</f>
        <v>10</v>
      </c>
      <c r="AE111">
        <v>21</v>
      </c>
    </row>
    <row r="112" spans="2:31" ht="15">
      <c r="Q112" s="403">
        <v>9</v>
      </c>
      <c r="R112" s="1193" t="s">
        <v>822</v>
      </c>
      <c r="S112" s="1194"/>
      <c r="T112" s="1194"/>
      <c r="U112" s="1195"/>
      <c r="V112" s="1196" t="s">
        <v>42</v>
      </c>
      <c r="W112" s="1196"/>
      <c r="X112" s="1095" t="s">
        <v>821</v>
      </c>
      <c r="Y112" s="1096">
        <v>25</v>
      </c>
      <c r="Z112" s="1097">
        <v>50</v>
      </c>
      <c r="AA112" s="1114">
        <v>31979.93</v>
      </c>
      <c r="AB112" s="89">
        <f t="shared" si="6"/>
        <v>471.1197417614971</v>
      </c>
      <c r="AC112" s="87"/>
      <c r="AD112" s="1113">
        <f>'Таблиця цін схема №1'!BF51+'Таблиця цін схема №1'!BT51+'Таблиця цін схема №2'!BB84+'Таблиця цін схема №2'!BP84+'Таблиця цін схема №3'!AP22</f>
        <v>2</v>
      </c>
      <c r="AE112">
        <v>13</v>
      </c>
    </row>
    <row r="113" spans="17:31" ht="15">
      <c r="Q113" s="403">
        <v>10</v>
      </c>
      <c r="R113" s="1193" t="s">
        <v>822</v>
      </c>
      <c r="S113" s="1194"/>
      <c r="T113" s="1194"/>
      <c r="U113" s="1195"/>
      <c r="V113" s="1196" t="s">
        <v>42</v>
      </c>
      <c r="W113" s="1196"/>
      <c r="X113" s="1095" t="s">
        <v>1021</v>
      </c>
      <c r="Y113" s="1096">
        <v>32</v>
      </c>
      <c r="Z113" s="1097">
        <v>50</v>
      </c>
      <c r="AA113" s="1114">
        <f>23141.88+51524.58</f>
        <v>74666.460000000006</v>
      </c>
      <c r="AB113" s="89">
        <f>(AA113-AA113*$Y$100)/$G$26*1.2+($AA$116-$AA$116*$Y$116)/$G$26*1.2</f>
        <v>1081.5876151755979</v>
      </c>
      <c r="AC113" s="87"/>
      <c r="AD113" s="1113">
        <f>'Таблиця цін схема №1'!BF52+'Таблиця цін схема №1'!BT52+'Таблиця цін схема №2'!BB85+'Таблиця цін схема №2'!BP85+'Таблиця цін схема №3'!AP23</f>
        <v>3</v>
      </c>
      <c r="AE113">
        <v>11</v>
      </c>
    </row>
    <row r="114" spans="17:31" ht="15">
      <c r="Q114" s="403">
        <v>11</v>
      </c>
      <c r="R114" s="1193" t="s">
        <v>822</v>
      </c>
      <c r="S114" s="1194"/>
      <c r="T114" s="1194"/>
      <c r="U114" s="1195"/>
      <c r="V114" s="1196" t="s">
        <v>42</v>
      </c>
      <c r="W114" s="1196"/>
      <c r="X114" s="1095" t="s">
        <v>1021</v>
      </c>
      <c r="Y114" s="1098">
        <v>50</v>
      </c>
      <c r="Z114" s="1097">
        <v>65</v>
      </c>
      <c r="AA114" s="1114">
        <f>23141.88+51524.58</f>
        <v>74666.460000000006</v>
      </c>
      <c r="AB114" s="89">
        <f>(AA114-AA114*$Y$100)/$G$26*1.2+($AA$116-$AA$116*$Y$116)/$G$26*1.2</f>
        <v>1081.5876151755979</v>
      </c>
      <c r="AC114" s="87"/>
      <c r="AD114" s="1113">
        <f>'Таблиця цін схема №1'!BF53+'Таблиця цін схема №1'!BT53+'Таблиця цін схема №2'!BB86+'Таблиця цін схема №2'!BP86+'Таблиця цін схема №3'!AP24</f>
        <v>6</v>
      </c>
      <c r="AE114">
        <v>2</v>
      </c>
    </row>
    <row r="116" spans="17:31">
      <c r="S116" s="113" t="s">
        <v>1112</v>
      </c>
      <c r="Y116" s="507">
        <v>0.55000000000000004</v>
      </c>
      <c r="AA116">
        <v>748.83</v>
      </c>
    </row>
    <row r="117" spans="17:31">
      <c r="S117" s="113" t="s">
        <v>1113</v>
      </c>
      <c r="Y117" s="507">
        <v>0.55000000000000004</v>
      </c>
      <c r="AA117">
        <v>279.08</v>
      </c>
      <c r="AE117" s="389"/>
    </row>
    <row r="118" spans="17:31">
      <c r="Y118" s="507">
        <v>0.55000000000000004</v>
      </c>
      <c r="AA118">
        <v>435.53</v>
      </c>
    </row>
    <row r="119" spans="17:31">
      <c r="Y119" s="507">
        <v>0.55000000000000004</v>
      </c>
      <c r="AA119">
        <v>658.22</v>
      </c>
    </row>
  </sheetData>
  <mergeCells count="288">
    <mergeCell ref="R91:U91"/>
    <mergeCell ref="V91:W91"/>
    <mergeCell ref="R92:U92"/>
    <mergeCell ref="V92:W92"/>
    <mergeCell ref="R93:U93"/>
    <mergeCell ref="V93:W93"/>
    <mergeCell ref="R94:U94"/>
    <mergeCell ref="V94:W94"/>
    <mergeCell ref="R95:U95"/>
    <mergeCell ref="V95:W95"/>
    <mergeCell ref="R86:U86"/>
    <mergeCell ref="V86:W86"/>
    <mergeCell ref="R87:U87"/>
    <mergeCell ref="V87:W87"/>
    <mergeCell ref="R88:U88"/>
    <mergeCell ref="V88:W88"/>
    <mergeCell ref="R89:U89"/>
    <mergeCell ref="V89:W89"/>
    <mergeCell ref="R90:U90"/>
    <mergeCell ref="V90:W90"/>
    <mergeCell ref="Q80:AC80"/>
    <mergeCell ref="R81:U82"/>
    <mergeCell ref="V81:W82"/>
    <mergeCell ref="R83:U83"/>
    <mergeCell ref="V83:W83"/>
    <mergeCell ref="R84:U84"/>
    <mergeCell ref="V84:W84"/>
    <mergeCell ref="R85:U85"/>
    <mergeCell ref="V85:W85"/>
    <mergeCell ref="R73:U73"/>
    <mergeCell ref="V73:W73"/>
    <mergeCell ref="R74:U74"/>
    <mergeCell ref="V74:W74"/>
    <mergeCell ref="R75:U75"/>
    <mergeCell ref="V75:W75"/>
    <mergeCell ref="R76:U76"/>
    <mergeCell ref="V76:W76"/>
    <mergeCell ref="R77:U77"/>
    <mergeCell ref="V77:W77"/>
    <mergeCell ref="R67:U67"/>
    <mergeCell ref="V67:W67"/>
    <mergeCell ref="R68:U68"/>
    <mergeCell ref="V68:W68"/>
    <mergeCell ref="R69:U69"/>
    <mergeCell ref="V69:W69"/>
    <mergeCell ref="R70:U70"/>
    <mergeCell ref="V70:W70"/>
    <mergeCell ref="R71:U71"/>
    <mergeCell ref="V71:W71"/>
    <mergeCell ref="Q61:AC61"/>
    <mergeCell ref="R62:U63"/>
    <mergeCell ref="V62:W63"/>
    <mergeCell ref="R64:U64"/>
    <mergeCell ref="V64:W64"/>
    <mergeCell ref="R65:U65"/>
    <mergeCell ref="V65:W65"/>
    <mergeCell ref="R66:U66"/>
    <mergeCell ref="V66:W66"/>
    <mergeCell ref="C90:F90"/>
    <mergeCell ref="G90:H90"/>
    <mergeCell ref="B84:N84"/>
    <mergeCell ref="C85:F86"/>
    <mergeCell ref="G85:H86"/>
    <mergeCell ref="B49:O49"/>
    <mergeCell ref="B61:O61"/>
    <mergeCell ref="B21:O21"/>
    <mergeCell ref="R46:U46"/>
    <mergeCell ref="R55:U55"/>
    <mergeCell ref="C38:F38"/>
    <mergeCell ref="G38:H38"/>
    <mergeCell ref="C39:F39"/>
    <mergeCell ref="G39:H39"/>
    <mergeCell ref="C40:F40"/>
    <mergeCell ref="G40:H40"/>
    <mergeCell ref="C41:F41"/>
    <mergeCell ref="G41:H41"/>
    <mergeCell ref="C42:F42"/>
    <mergeCell ref="G42:H42"/>
    <mergeCell ref="C43:F43"/>
    <mergeCell ref="G43:H43"/>
    <mergeCell ref="C44:F44"/>
    <mergeCell ref="G44:H44"/>
    <mergeCell ref="V46:W46"/>
    <mergeCell ref="R47:U47"/>
    <mergeCell ref="R53:U53"/>
    <mergeCell ref="V53:W53"/>
    <mergeCell ref="R49:U49"/>
    <mergeCell ref="V49:W49"/>
    <mergeCell ref="R45:U45"/>
    <mergeCell ref="R54:U54"/>
    <mergeCell ref="V54:W54"/>
    <mergeCell ref="V47:W47"/>
    <mergeCell ref="R48:U48"/>
    <mergeCell ref="V48:W48"/>
    <mergeCell ref="V55:W55"/>
    <mergeCell ref="R50:U50"/>
    <mergeCell ref="V50:W50"/>
    <mergeCell ref="R51:U51"/>
    <mergeCell ref="V51:W51"/>
    <mergeCell ref="R52:U52"/>
    <mergeCell ref="V52:W52"/>
    <mergeCell ref="Q2:AC2"/>
    <mergeCell ref="R3:U4"/>
    <mergeCell ref="V3:W4"/>
    <mergeCell ref="R5:U5"/>
    <mergeCell ref="V5:W5"/>
    <mergeCell ref="R6:U6"/>
    <mergeCell ref="V6:W6"/>
    <mergeCell ref="R15:U15"/>
    <mergeCell ref="V15:W15"/>
    <mergeCell ref="R12:U12"/>
    <mergeCell ref="V12:W12"/>
    <mergeCell ref="R13:U13"/>
    <mergeCell ref="V13:W13"/>
    <mergeCell ref="R14:U14"/>
    <mergeCell ref="V14:W14"/>
    <mergeCell ref="V45:W45"/>
    <mergeCell ref="R44:U44"/>
    <mergeCell ref="V44:W44"/>
    <mergeCell ref="R35:U35"/>
    <mergeCell ref="V35:W35"/>
    <mergeCell ref="V41:W42"/>
    <mergeCell ref="R43:U43"/>
    <mergeCell ref="V43:W43"/>
    <mergeCell ref="Q40:AC40"/>
    <mergeCell ref="R41:U42"/>
    <mergeCell ref="R36:U36"/>
    <mergeCell ref="V36:W36"/>
    <mergeCell ref="R7:U7"/>
    <mergeCell ref="V7:W7"/>
    <mergeCell ref="R8:U8"/>
    <mergeCell ref="V8:W8"/>
    <mergeCell ref="Q21:AC21"/>
    <mergeCell ref="R22:U23"/>
    <mergeCell ref="V22:W23"/>
    <mergeCell ref="R29:U29"/>
    <mergeCell ref="V29:W29"/>
    <mergeCell ref="R27:U27"/>
    <mergeCell ref="V27:W27"/>
    <mergeCell ref="R9:U9"/>
    <mergeCell ref="V9:W9"/>
    <mergeCell ref="R10:U10"/>
    <mergeCell ref="V10:W10"/>
    <mergeCell ref="R11:U11"/>
    <mergeCell ref="V11:W11"/>
    <mergeCell ref="R16:U16"/>
    <mergeCell ref="V16:W16"/>
    <mergeCell ref="R17:U17"/>
    <mergeCell ref="V17:W17"/>
    <mergeCell ref="R26:U26"/>
    <mergeCell ref="V26:W26"/>
    <mergeCell ref="R24:U24"/>
    <mergeCell ref="V25:W25"/>
    <mergeCell ref="V24:W24"/>
    <mergeCell ref="R25:U25"/>
    <mergeCell ref="C37:F37"/>
    <mergeCell ref="G37:H37"/>
    <mergeCell ref="R30:U30"/>
    <mergeCell ref="V30:W30"/>
    <mergeCell ref="R31:U31"/>
    <mergeCell ref="V31:W31"/>
    <mergeCell ref="R28:U28"/>
    <mergeCell ref="V28:W28"/>
    <mergeCell ref="R32:U32"/>
    <mergeCell ref="V32:W32"/>
    <mergeCell ref="R33:U33"/>
    <mergeCell ref="V33:W33"/>
    <mergeCell ref="R34:U34"/>
    <mergeCell ref="V34:W34"/>
    <mergeCell ref="G30:H30"/>
    <mergeCell ref="C36:F36"/>
    <mergeCell ref="G36:H36"/>
    <mergeCell ref="G14:H14"/>
    <mergeCell ref="C15:F15"/>
    <mergeCell ref="G15:H15"/>
    <mergeCell ref="C13:F13"/>
    <mergeCell ref="G13:H13"/>
    <mergeCell ref="C11:F11"/>
    <mergeCell ref="G11:H11"/>
    <mergeCell ref="C12:F12"/>
    <mergeCell ref="G12:H12"/>
    <mergeCell ref="B2:N2"/>
    <mergeCell ref="C3:F4"/>
    <mergeCell ref="G3:H4"/>
    <mergeCell ref="B31:N31"/>
    <mergeCell ref="C32:F33"/>
    <mergeCell ref="G32:H33"/>
    <mergeCell ref="C34:F34"/>
    <mergeCell ref="G34:H34"/>
    <mergeCell ref="C35:F35"/>
    <mergeCell ref="G35:H35"/>
    <mergeCell ref="C7:F7"/>
    <mergeCell ref="G7:H7"/>
    <mergeCell ref="C5:F5"/>
    <mergeCell ref="G5:H5"/>
    <mergeCell ref="C6:F6"/>
    <mergeCell ref="G6:H6"/>
    <mergeCell ref="C8:F8"/>
    <mergeCell ref="G8:H8"/>
    <mergeCell ref="C30:F30"/>
    <mergeCell ref="C9:F9"/>
    <mergeCell ref="G9:H9"/>
    <mergeCell ref="C10:F10"/>
    <mergeCell ref="G10:H10"/>
    <mergeCell ref="C14:F14"/>
    <mergeCell ref="G57:H57"/>
    <mergeCell ref="C45:F45"/>
    <mergeCell ref="G45:H45"/>
    <mergeCell ref="C50:F51"/>
    <mergeCell ref="G50:H51"/>
    <mergeCell ref="C52:F52"/>
    <mergeCell ref="G52:H52"/>
    <mergeCell ref="C53:F53"/>
    <mergeCell ref="G53:H53"/>
    <mergeCell ref="C46:F46"/>
    <mergeCell ref="G46:H46"/>
    <mergeCell ref="C54:F54"/>
    <mergeCell ref="G54:H54"/>
    <mergeCell ref="C55:F55"/>
    <mergeCell ref="G55:H55"/>
    <mergeCell ref="C56:F56"/>
    <mergeCell ref="G56:H56"/>
    <mergeCell ref="C57:F57"/>
    <mergeCell ref="C87:F87"/>
    <mergeCell ref="C64:F64"/>
    <mergeCell ref="G64:H64"/>
    <mergeCell ref="C65:F65"/>
    <mergeCell ref="G65:H65"/>
    <mergeCell ref="C66:F66"/>
    <mergeCell ref="G66:H66"/>
    <mergeCell ref="C67:F67"/>
    <mergeCell ref="G67:H67"/>
    <mergeCell ref="C68:F68"/>
    <mergeCell ref="G68:H68"/>
    <mergeCell ref="G87:H87"/>
    <mergeCell ref="C71:F71"/>
    <mergeCell ref="G71:H71"/>
    <mergeCell ref="C72:F72"/>
    <mergeCell ref="G72:H72"/>
    <mergeCell ref="Q58:AC58"/>
    <mergeCell ref="C88:F88"/>
    <mergeCell ref="G88:H88"/>
    <mergeCell ref="C89:F89"/>
    <mergeCell ref="G89:H89"/>
    <mergeCell ref="C79:F79"/>
    <mergeCell ref="G79:H79"/>
    <mergeCell ref="C80:F80"/>
    <mergeCell ref="C62:F63"/>
    <mergeCell ref="G62:H63"/>
    <mergeCell ref="G80:H80"/>
    <mergeCell ref="C69:F69"/>
    <mergeCell ref="G69:H69"/>
    <mergeCell ref="B74:N74"/>
    <mergeCell ref="C75:F76"/>
    <mergeCell ref="G75:H76"/>
    <mergeCell ref="C77:F77"/>
    <mergeCell ref="G77:H77"/>
    <mergeCell ref="C78:F78"/>
    <mergeCell ref="G78:H78"/>
    <mergeCell ref="C70:F70"/>
    <mergeCell ref="G70:H70"/>
    <mergeCell ref="C73:F73"/>
    <mergeCell ref="G73:H73"/>
    <mergeCell ref="Q101:AC101"/>
    <mergeCell ref="R102:U103"/>
    <mergeCell ref="V102:W103"/>
    <mergeCell ref="R104:U104"/>
    <mergeCell ref="V104:W104"/>
    <mergeCell ref="R105:U105"/>
    <mergeCell ref="V105:W105"/>
    <mergeCell ref="R106:U106"/>
    <mergeCell ref="V106:W106"/>
    <mergeCell ref="R112:U112"/>
    <mergeCell ref="V112:W112"/>
    <mergeCell ref="R113:U113"/>
    <mergeCell ref="V113:W113"/>
    <mergeCell ref="R114:U114"/>
    <mergeCell ref="V114:W114"/>
    <mergeCell ref="R107:U107"/>
    <mergeCell ref="V107:W107"/>
    <mergeCell ref="R108:U108"/>
    <mergeCell ref="V108:W108"/>
    <mergeCell ref="R109:U109"/>
    <mergeCell ref="V109:W109"/>
    <mergeCell ref="R110:U110"/>
    <mergeCell ref="V110:W110"/>
    <mergeCell ref="R111:U111"/>
    <mergeCell ref="V111:W111"/>
  </mergeCells>
  <pageMargins left="0.70866141732283472" right="0.70866141732283472" top="0.74803149606299213" bottom="0.74803149606299213" header="0.31496062992125984" footer="0.31496062992125984"/>
  <pageSetup paperSize="8" scale="70" fitToHeight="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FFFF00"/>
    <pageSetUpPr fitToPage="1"/>
  </sheetPr>
  <dimension ref="A1:AZ133"/>
  <sheetViews>
    <sheetView topLeftCell="A67" zoomScale="85" zoomScaleNormal="85" workbookViewId="0">
      <selection activeCell="AX25" sqref="AX25"/>
    </sheetView>
  </sheetViews>
  <sheetFormatPr defaultRowHeight="12.75"/>
  <cols>
    <col min="2" max="2" width="5.7109375" customWidth="1"/>
    <col min="3" max="4" width="14.7109375" customWidth="1"/>
    <col min="12" max="13" width="10.140625" bestFit="1" customWidth="1"/>
    <col min="16" max="16" width="5.85546875" customWidth="1"/>
    <col min="22" max="22" width="18" customWidth="1"/>
    <col min="23" max="23" width="17.42578125" customWidth="1"/>
    <col min="25" max="25" width="10.7109375" bestFit="1" customWidth="1"/>
    <col min="26" max="27" width="10.140625" bestFit="1" customWidth="1"/>
    <col min="30" max="30" width="12.7109375" customWidth="1"/>
    <col min="31" max="31" width="3" customWidth="1"/>
    <col min="36" max="36" width="14.28515625" customWidth="1"/>
    <col min="39" max="39" width="12.5703125" customWidth="1"/>
    <col min="42" max="43" width="10.140625" bestFit="1" customWidth="1"/>
  </cols>
  <sheetData>
    <row r="1" spans="1:49">
      <c r="I1" s="518">
        <v>0.17</v>
      </c>
      <c r="K1" s="113"/>
      <c r="L1" s="185"/>
      <c r="M1" s="17"/>
      <c r="Y1" s="113"/>
      <c r="Z1" s="185"/>
      <c r="AA1" s="17"/>
      <c r="AP1" s="507">
        <v>0.1</v>
      </c>
    </row>
    <row r="2" spans="1:49" ht="13.5" thickBot="1">
      <c r="B2" s="1206" t="s">
        <v>25</v>
      </c>
      <c r="C2" s="1206"/>
      <c r="D2" s="1206"/>
      <c r="E2" s="1206"/>
      <c r="F2" s="1206"/>
      <c r="G2" s="1206"/>
      <c r="H2" s="1206"/>
      <c r="I2" s="1206"/>
      <c r="J2" s="1206"/>
      <c r="K2" s="1206"/>
      <c r="L2" s="1206"/>
      <c r="M2" s="1206"/>
      <c r="N2" s="1206"/>
      <c r="P2" s="1197" t="s">
        <v>1034</v>
      </c>
      <c r="Q2" s="1198"/>
      <c r="R2" s="1198"/>
      <c r="S2" s="1198"/>
      <c r="T2" s="1198"/>
      <c r="U2" s="1198"/>
      <c r="V2" s="1198"/>
      <c r="W2" s="1198"/>
      <c r="X2" s="1198"/>
      <c r="Y2" s="1198"/>
      <c r="Z2" s="1198"/>
      <c r="AA2" s="1198"/>
      <c r="AB2" s="1198"/>
      <c r="AD2" s="17"/>
      <c r="AE2" s="17"/>
      <c r="AP2">
        <f>Z58</f>
        <v>0.94259999999999999</v>
      </c>
    </row>
    <row r="3" spans="1:49" ht="13.5" thickBot="1">
      <c r="B3" s="2" t="s">
        <v>15</v>
      </c>
      <c r="C3" s="1211" t="s">
        <v>17</v>
      </c>
      <c r="D3" s="1211"/>
      <c r="E3" s="1211"/>
      <c r="F3" s="1211"/>
      <c r="G3" s="1211" t="s">
        <v>20</v>
      </c>
      <c r="H3" s="1211"/>
      <c r="I3" s="3" t="s">
        <v>3</v>
      </c>
      <c r="J3" s="8" t="s">
        <v>21</v>
      </c>
      <c r="K3" s="8" t="s">
        <v>22</v>
      </c>
      <c r="L3" s="99"/>
      <c r="M3" s="175" t="s">
        <v>7</v>
      </c>
      <c r="N3" s="80" t="s">
        <v>7</v>
      </c>
      <c r="O3" s="4" t="s">
        <v>9</v>
      </c>
      <c r="P3" s="2" t="s">
        <v>15</v>
      </c>
      <c r="Q3" s="1199" t="s">
        <v>17</v>
      </c>
      <c r="R3" s="1200"/>
      <c r="S3" s="1200"/>
      <c r="T3" s="1201"/>
      <c r="U3" s="1199" t="s">
        <v>20</v>
      </c>
      <c r="V3" s="1201"/>
      <c r="W3" s="3" t="s">
        <v>3</v>
      </c>
      <c r="X3" s="50" t="s">
        <v>21</v>
      </c>
      <c r="Y3" s="50" t="s">
        <v>22</v>
      </c>
      <c r="Z3" s="99"/>
      <c r="AA3" s="175" t="s">
        <v>7</v>
      </c>
      <c r="AB3" s="80" t="s">
        <v>7</v>
      </c>
      <c r="AC3" s="4" t="s">
        <v>9</v>
      </c>
      <c r="AF3" s="1311" t="s">
        <v>69</v>
      </c>
      <c r="AG3" s="1312"/>
      <c r="AH3" s="1312"/>
      <c r="AI3" s="1312"/>
      <c r="AJ3" s="1312"/>
      <c r="AK3" s="1312"/>
      <c r="AL3" s="1312"/>
      <c r="AM3" s="1312"/>
      <c r="AN3" s="1312"/>
      <c r="AO3" s="1312"/>
      <c r="AP3" s="1312"/>
      <c r="AQ3" s="1312"/>
      <c r="AR3" s="1312"/>
      <c r="AU3" t="s">
        <v>1109</v>
      </c>
      <c r="AW3" s="113" t="s">
        <v>1398</v>
      </c>
    </row>
    <row r="4" spans="1:49">
      <c r="B4" s="9" t="s">
        <v>16</v>
      </c>
      <c r="C4" s="1212"/>
      <c r="D4" s="1212"/>
      <c r="E4" s="1212"/>
      <c r="F4" s="1212"/>
      <c r="G4" s="1212"/>
      <c r="H4" s="1212"/>
      <c r="I4" s="1" t="s">
        <v>24</v>
      </c>
      <c r="J4" s="10" t="s">
        <v>1</v>
      </c>
      <c r="K4" s="10" t="s">
        <v>2</v>
      </c>
      <c r="L4" s="331" t="s">
        <v>1114</v>
      </c>
      <c r="M4" s="493" t="s">
        <v>651</v>
      </c>
      <c r="N4" s="81" t="s">
        <v>23</v>
      </c>
      <c r="O4" s="120" t="s">
        <v>93</v>
      </c>
      <c r="P4" s="47" t="s">
        <v>16</v>
      </c>
      <c r="Q4" s="1202"/>
      <c r="R4" s="1203"/>
      <c r="S4" s="1203"/>
      <c r="T4" s="1204"/>
      <c r="U4" s="1202"/>
      <c r="V4" s="1204"/>
      <c r="W4" s="1" t="s">
        <v>24</v>
      </c>
      <c r="X4" s="48" t="s">
        <v>1</v>
      </c>
      <c r="Y4" s="48" t="s">
        <v>2</v>
      </c>
      <c r="Z4" s="100"/>
      <c r="AA4" s="176" t="s">
        <v>651</v>
      </c>
      <c r="AB4" s="81" t="s">
        <v>23</v>
      </c>
      <c r="AC4" s="120" t="s">
        <v>93</v>
      </c>
      <c r="AD4" s="113"/>
      <c r="AF4" s="32" t="s">
        <v>15</v>
      </c>
      <c r="AG4" s="1239" t="s">
        <v>17</v>
      </c>
      <c r="AH4" s="1239"/>
      <c r="AI4" s="1239"/>
      <c r="AJ4" s="1239"/>
      <c r="AK4" s="1239" t="s">
        <v>20</v>
      </c>
      <c r="AL4" s="1239"/>
      <c r="AM4" s="27" t="s">
        <v>3</v>
      </c>
      <c r="AN4" s="31" t="s">
        <v>39</v>
      </c>
      <c r="AO4" s="33" t="s">
        <v>22</v>
      </c>
      <c r="AP4" s="99"/>
      <c r="AQ4" s="175" t="s">
        <v>7</v>
      </c>
      <c r="AR4" s="130" t="s">
        <v>7</v>
      </c>
      <c r="AS4" s="4" t="s">
        <v>9</v>
      </c>
    </row>
    <row r="5" spans="1:49" ht="15">
      <c r="B5" s="9">
        <v>1</v>
      </c>
      <c r="C5" s="1217" t="s">
        <v>12</v>
      </c>
      <c r="D5" s="1217"/>
      <c r="E5" s="1217"/>
      <c r="F5" s="1217"/>
      <c r="G5" s="1219" t="s">
        <v>18</v>
      </c>
      <c r="H5" s="1219"/>
      <c r="I5" s="335">
        <v>924</v>
      </c>
      <c r="J5" s="12"/>
      <c r="K5" s="13">
        <v>15</v>
      </c>
      <c r="L5" s="100"/>
      <c r="M5" s="179"/>
      <c r="N5" s="87"/>
      <c r="O5" s="392">
        <f>'Таблиця цін схема №1'!EG43+'Таблиця цін схема №1'!EK43+'Таблиця цін схема №1'!EO43+'Таблиця цін схема №1'!ES43+'Таблиця цін схема №2'!DM76+'Таблиця цін схема №2'!DQ76+'Таблиця цін схема №2'!DU76+'Таблиця цін схема №3'!BY14</f>
        <v>0</v>
      </c>
      <c r="P5" s="403">
        <v>1</v>
      </c>
      <c r="Q5" s="1255" t="s">
        <v>26</v>
      </c>
      <c r="R5" s="1194"/>
      <c r="S5" s="1194"/>
      <c r="T5" s="1195"/>
      <c r="U5" s="1309" t="s">
        <v>833</v>
      </c>
      <c r="V5" s="1257"/>
      <c r="W5" s="429" t="s">
        <v>834</v>
      </c>
      <c r="X5" s="405"/>
      <c r="Y5" s="406">
        <v>15</v>
      </c>
      <c r="Z5" s="407"/>
      <c r="AA5" s="89">
        <f>AQ20</f>
        <v>2.464</v>
      </c>
      <c r="AB5" s="87"/>
      <c r="AC5" s="390">
        <f>'Таблиця цін схема №1'!CS43+'Таблиця цін схема №1'!DE43+'Таблиця цін схема №1'!DI43+'Таблиця цін схема №2'!CK76+'Таблиця цін схема №2'!CW76+'Таблиця цін схема №3'!BE14+'Таблиця цін схема №1'!DY43+'Таблиця цін схема №2'!DE76+'Таблиця цін схема №3'!BM14</f>
        <v>878</v>
      </c>
      <c r="AF5" s="28" t="s">
        <v>16</v>
      </c>
      <c r="AG5" s="1240"/>
      <c r="AH5" s="1240"/>
      <c r="AI5" s="1240"/>
      <c r="AJ5" s="1240"/>
      <c r="AK5" s="1240"/>
      <c r="AL5" s="1240"/>
      <c r="AM5" s="29" t="s">
        <v>24</v>
      </c>
      <c r="AN5" s="26" t="s">
        <v>1</v>
      </c>
      <c r="AO5" s="26" t="s">
        <v>2</v>
      </c>
      <c r="AP5" s="100"/>
      <c r="AQ5" s="176" t="s">
        <v>651</v>
      </c>
      <c r="AR5" s="131" t="s">
        <v>23</v>
      </c>
      <c r="AS5" s="5" t="s">
        <v>93</v>
      </c>
    </row>
    <row r="6" spans="1:49" ht="15">
      <c r="B6" s="403">
        <v>2</v>
      </c>
      <c r="C6" s="1207" t="s">
        <v>12</v>
      </c>
      <c r="D6" s="1207"/>
      <c r="E6" s="1207"/>
      <c r="F6" s="1207"/>
      <c r="G6" s="1196" t="s">
        <v>18</v>
      </c>
      <c r="H6" s="1196"/>
      <c r="I6" s="404">
        <v>924</v>
      </c>
      <c r="J6" s="405"/>
      <c r="K6" s="406">
        <v>20</v>
      </c>
      <c r="L6" s="407">
        <v>4.3</v>
      </c>
      <c r="M6" s="1174">
        <v>3.48</v>
      </c>
      <c r="N6" s="87"/>
      <c r="O6" s="392">
        <f>'Таблиця цін схема №1'!EG44+'Таблиця цін схема №1'!EK44+'Таблиця цін схема №1'!EO44+'Таблиця цін схема №1'!ES44+'Таблиця цін схема №2'!DM77+'Таблиця цін схема №2'!DQ77+'Таблиця цін схема №2'!DU77+'Таблиця цін схема №3'!BY15</f>
        <v>53</v>
      </c>
      <c r="P6" s="403">
        <v>2</v>
      </c>
      <c r="Q6" s="1255" t="s">
        <v>26</v>
      </c>
      <c r="R6" s="1194"/>
      <c r="S6" s="1194"/>
      <c r="T6" s="1195"/>
      <c r="U6" s="1309" t="s">
        <v>833</v>
      </c>
      <c r="V6" s="1257"/>
      <c r="W6" s="429" t="s">
        <v>834</v>
      </c>
      <c r="X6" s="405"/>
      <c r="Y6" s="406">
        <v>20</v>
      </c>
      <c r="Z6" s="407"/>
      <c r="AA6" s="89">
        <f t="shared" ref="AA6:AA8" si="0">AQ21</f>
        <v>3.577</v>
      </c>
      <c r="AB6" s="87"/>
      <c r="AC6" s="390">
        <f>'Таблиця цін схема №1'!CS44+'Таблиця цін схема №1'!DE44+'Таблиця цін схема №1'!DI44+'Таблиця цін схема №2'!CK77+'Таблиця цін схема №2'!CW77+'Таблиця цін схема №3'!BA15+'Таблиця цін схема №3'!BE15+'Таблиця цін схема №1'!DQ43+'Таблиця цін схема №1'!DU43+'Таблиця цін схема №2'!DA76+'Таблиця цін схема №3'!BI14</f>
        <v>254</v>
      </c>
      <c r="AF6" s="403">
        <v>1</v>
      </c>
      <c r="AG6" s="1313" t="s">
        <v>611</v>
      </c>
      <c r="AH6" s="1207"/>
      <c r="AI6" s="1207"/>
      <c r="AJ6" s="1207"/>
      <c r="AK6" s="1196" t="s">
        <v>38</v>
      </c>
      <c r="AL6" s="1196"/>
      <c r="AM6" s="441" t="s">
        <v>86</v>
      </c>
      <c r="AN6" s="404">
        <v>1.5</v>
      </c>
      <c r="AO6" s="406">
        <v>15</v>
      </c>
      <c r="AP6" s="92"/>
      <c r="AQ6" s="1174">
        <f>(AU6-AU6*$AP$1)*$AP$2</f>
        <v>19.51182</v>
      </c>
      <c r="AR6" s="87"/>
      <c r="AS6" s="392">
        <f>'Таблиця цін схема №1'!HK43+'Таблиця цін схема №2'!GC76</f>
        <v>11</v>
      </c>
      <c r="AU6">
        <v>23</v>
      </c>
      <c r="AW6" s="521">
        <v>20.350000000000001</v>
      </c>
    </row>
    <row r="7" spans="1:49" ht="15">
      <c r="B7" s="403">
        <v>3</v>
      </c>
      <c r="C7" s="1207" t="s">
        <v>12</v>
      </c>
      <c r="D7" s="1207"/>
      <c r="E7" s="1207"/>
      <c r="F7" s="1207"/>
      <c r="G7" s="1196" t="s">
        <v>18</v>
      </c>
      <c r="H7" s="1196"/>
      <c r="I7" s="404">
        <v>924</v>
      </c>
      <c r="J7" s="405"/>
      <c r="K7" s="406">
        <v>25</v>
      </c>
      <c r="L7" s="407">
        <v>5.9</v>
      </c>
      <c r="M7" s="1174">
        <v>4.78</v>
      </c>
      <c r="N7" s="87"/>
      <c r="O7" s="392">
        <f>'Таблиця цін схема №1'!EG45+'Таблиця цін схема №1'!EK45+'Таблиця цін схема №1'!EO45+'Таблиця цін схема №1'!ES45+'Таблиця цін схема №2'!DM78+'Таблиця цін схема №2'!DQ78+'Таблиця цін схема №2'!DU78+'Таблиця цін схема №3'!BY16</f>
        <v>57</v>
      </c>
      <c r="P7" s="403">
        <v>3</v>
      </c>
      <c r="Q7" s="1255" t="s">
        <v>26</v>
      </c>
      <c r="R7" s="1194"/>
      <c r="S7" s="1194"/>
      <c r="T7" s="1195"/>
      <c r="U7" s="1309" t="s">
        <v>833</v>
      </c>
      <c r="V7" s="1257"/>
      <c r="W7" s="429" t="s">
        <v>834</v>
      </c>
      <c r="X7" s="405"/>
      <c r="Y7" s="406">
        <v>25</v>
      </c>
      <c r="Z7" s="407"/>
      <c r="AA7" s="89">
        <f t="shared" si="0"/>
        <v>6.3070000000000004</v>
      </c>
      <c r="AB7" s="87"/>
      <c r="AC7" s="381">
        <f>'Таблиця цін схема №1'!CS45+'Таблиця цін схема №1'!DE45+'Таблиця цін схема №1'!DI45+'Таблиця цін схема №2'!CK78+'Таблиця цін схема №2'!CW78+'Таблиця цін схема №3'!BA16+'Таблиця цін схема №3'!BE16+'Таблиця цін схема №1'!DQ44</f>
        <v>58</v>
      </c>
      <c r="AF7" s="403">
        <v>2</v>
      </c>
      <c r="AG7" s="1313" t="s">
        <v>611</v>
      </c>
      <c r="AH7" s="1207"/>
      <c r="AI7" s="1207"/>
      <c r="AJ7" s="1207"/>
      <c r="AK7" s="1196" t="s">
        <v>38</v>
      </c>
      <c r="AL7" s="1196"/>
      <c r="AM7" s="442" t="s">
        <v>87</v>
      </c>
      <c r="AN7" s="404">
        <v>2.5</v>
      </c>
      <c r="AO7" s="406">
        <v>20</v>
      </c>
      <c r="AP7" s="92"/>
      <c r="AQ7" s="1174">
        <f t="shared" ref="AQ7:AQ13" si="1">(AU7-AU7*$AP$1)*$AP$2</f>
        <v>23.753519999999998</v>
      </c>
      <c r="AR7" s="87"/>
      <c r="AS7" s="392">
        <f>'Таблиця цін схема №1'!HK44+'Таблиця цін схема №2'!GC77</f>
        <v>10</v>
      </c>
      <c r="AU7">
        <v>28</v>
      </c>
      <c r="AW7" s="521">
        <v>24.8</v>
      </c>
    </row>
    <row r="8" spans="1:49" ht="15">
      <c r="B8" s="403">
        <v>4</v>
      </c>
      <c r="C8" s="1207" t="s">
        <v>12</v>
      </c>
      <c r="D8" s="1207"/>
      <c r="E8" s="1207"/>
      <c r="F8" s="1207"/>
      <c r="G8" s="1196" t="s">
        <v>18</v>
      </c>
      <c r="H8" s="1196"/>
      <c r="I8" s="404">
        <v>924</v>
      </c>
      <c r="J8" s="405"/>
      <c r="K8" s="406">
        <v>32</v>
      </c>
      <c r="L8" s="407">
        <v>11.7</v>
      </c>
      <c r="M8" s="1174">
        <v>9.48</v>
      </c>
      <c r="N8" s="87"/>
      <c r="O8" s="392">
        <f>'Таблиця цін схема №1'!EG46+'Таблиця цін схема №1'!EK46+'Таблиця цін схема №1'!EO46+'Таблиця цін схема №1'!ES46+'Таблиця цін схема №2'!DM79+'Таблиця цін схема №2'!DQ79+'Таблиця цін схема №2'!DU79+'Таблиця цін схема №3'!BY17</f>
        <v>48</v>
      </c>
      <c r="P8" s="403">
        <v>4</v>
      </c>
      <c r="Q8" s="1255" t="s">
        <v>26</v>
      </c>
      <c r="R8" s="1194"/>
      <c r="S8" s="1194"/>
      <c r="T8" s="1195"/>
      <c r="U8" s="1309" t="s">
        <v>833</v>
      </c>
      <c r="V8" s="1257"/>
      <c r="W8" s="429" t="s">
        <v>834</v>
      </c>
      <c r="X8" s="405"/>
      <c r="Y8" s="406">
        <v>32</v>
      </c>
      <c r="Z8" s="407"/>
      <c r="AA8" s="89">
        <f t="shared" si="0"/>
        <v>10.381</v>
      </c>
      <c r="AB8" s="87"/>
      <c r="AC8" s="390">
        <f>'Таблиця цін схема №1'!CS46+'Таблиця цін схема №1'!DE46+'Таблиця цін схема №1'!DI46+'Таблиця цін схема №2'!CK79+'Таблиця цін схема №2'!CW79+'Таблиця цін схема №3'!BA17+'Таблиця цін схема №3'!BE17</f>
        <v>206</v>
      </c>
      <c r="AF8" s="403">
        <v>3</v>
      </c>
      <c r="AG8" s="1313" t="s">
        <v>611</v>
      </c>
      <c r="AH8" s="1207"/>
      <c r="AI8" s="1207"/>
      <c r="AJ8" s="1207"/>
      <c r="AK8" s="1196" t="s">
        <v>38</v>
      </c>
      <c r="AL8" s="1196"/>
      <c r="AM8" s="442" t="s">
        <v>88</v>
      </c>
      <c r="AN8" s="404">
        <v>3.5</v>
      </c>
      <c r="AO8" s="406">
        <v>25</v>
      </c>
      <c r="AP8" s="92"/>
      <c r="AQ8" s="1174">
        <f t="shared" si="1"/>
        <v>76.3506</v>
      </c>
      <c r="AR8" s="87"/>
      <c r="AS8" s="392">
        <f>'Таблиця цін схема №1'!HK45+'Таблиця цін схема №2'!GC78</f>
        <v>16</v>
      </c>
      <c r="AU8">
        <v>90</v>
      </c>
      <c r="AW8" s="521">
        <v>79.599999999999994</v>
      </c>
    </row>
    <row r="9" spans="1:49" ht="15">
      <c r="B9" s="403">
        <v>5</v>
      </c>
      <c r="C9" s="1207" t="s">
        <v>14</v>
      </c>
      <c r="D9" s="1207"/>
      <c r="E9" s="1207"/>
      <c r="F9" s="1207"/>
      <c r="G9" s="1305" t="s">
        <v>56</v>
      </c>
      <c r="H9" s="1196"/>
      <c r="I9" s="429" t="s">
        <v>848</v>
      </c>
      <c r="J9" s="405"/>
      <c r="K9" s="406">
        <v>40</v>
      </c>
      <c r="L9" s="407"/>
      <c r="M9" s="89">
        <f>'Ціни контур мережний'!AB9</f>
        <v>23.225999999999999</v>
      </c>
      <c r="N9" s="87"/>
      <c r="O9" s="392">
        <f>'Таблиця цін схема №1'!EG47+'Таблиця цін схема №1'!EK47+'Таблиця цін схема №1'!EO47+'Таблиця цін схема №1'!ES47+'Таблиця цін схема №2'!DM80+'Таблиця цін схема №2'!DQ80+'Таблиця цін схема №2'!DU80+'Таблиця цін схема №3'!BY18</f>
        <v>47</v>
      </c>
      <c r="P9" s="403">
        <v>5</v>
      </c>
      <c r="Q9" s="1255" t="s">
        <v>27</v>
      </c>
      <c r="R9" s="1194"/>
      <c r="S9" s="1194"/>
      <c r="T9" s="1195"/>
      <c r="U9" s="1256" t="s">
        <v>364</v>
      </c>
      <c r="V9" s="1257"/>
      <c r="W9" s="430" t="s">
        <v>809</v>
      </c>
      <c r="X9" s="405"/>
      <c r="Y9" s="406">
        <v>40</v>
      </c>
      <c r="Z9" s="407"/>
      <c r="AA9" s="89">
        <f>'Ціни контур мережний'!AB28</f>
        <v>18.42400964308333</v>
      </c>
      <c r="AB9" s="87"/>
      <c r="AC9" s="381">
        <f>'Таблиця цін схема №1'!CS47+'Таблиця цін схема №1'!DE47+'Таблиця цін схема №1'!DI47+'Таблиця цін схема №2'!CK80+'Таблиця цін схема №2'!CW80+'Таблиця цін схема №3'!BA18+'Таблиця цін схема №3'!BE18</f>
        <v>166</v>
      </c>
      <c r="AF9" s="403">
        <v>4</v>
      </c>
      <c r="AG9" s="1313" t="s">
        <v>611</v>
      </c>
      <c r="AH9" s="1207"/>
      <c r="AI9" s="1207"/>
      <c r="AJ9" s="1207"/>
      <c r="AK9" s="1196" t="s">
        <v>38</v>
      </c>
      <c r="AL9" s="1196"/>
      <c r="AM9" s="442" t="s">
        <v>89</v>
      </c>
      <c r="AN9" s="404">
        <v>6</v>
      </c>
      <c r="AO9" s="406">
        <v>32</v>
      </c>
      <c r="AP9" s="92"/>
      <c r="AQ9" s="1174">
        <f t="shared" si="1"/>
        <v>85.682340000000011</v>
      </c>
      <c r="AR9" s="87"/>
      <c r="AS9" s="392">
        <f>'Таблиця цін схема №1'!HK46+'Таблиця цін схема №2'!GC79</f>
        <v>35</v>
      </c>
      <c r="AU9">
        <v>101</v>
      </c>
    </row>
    <row r="10" spans="1:49" ht="15">
      <c r="A10" s="144"/>
      <c r="B10" s="403">
        <v>6</v>
      </c>
      <c r="C10" s="1207" t="s">
        <v>14</v>
      </c>
      <c r="D10" s="1207"/>
      <c r="E10" s="1207"/>
      <c r="F10" s="1207"/>
      <c r="G10" s="1305" t="s">
        <v>56</v>
      </c>
      <c r="H10" s="1196"/>
      <c r="I10" s="429" t="s">
        <v>848</v>
      </c>
      <c r="J10" s="405"/>
      <c r="K10" s="406">
        <v>50</v>
      </c>
      <c r="L10" s="456"/>
      <c r="M10" s="89">
        <f>'Ціни контур мережний'!AB10</f>
        <v>26.284999999999997</v>
      </c>
      <c r="N10" s="87"/>
      <c r="O10" s="385">
        <f>'Таблиця цін схема №1'!EG48+'Таблиця цін схема №1'!EK48+'Таблиця цін схема №1'!EO48+'Таблиця цін схема №1'!ES48+'Таблиця цін схема №2'!DM81+'Таблиця цін схема №2'!DQ81+'Таблиця цін схема №2'!DU81+'Таблиця цін схема №3'!BY19</f>
        <v>37</v>
      </c>
      <c r="P10" s="403">
        <v>6</v>
      </c>
      <c r="Q10" s="1255" t="s">
        <v>27</v>
      </c>
      <c r="R10" s="1194"/>
      <c r="S10" s="1194"/>
      <c r="T10" s="1195"/>
      <c r="U10" s="1256" t="s">
        <v>364</v>
      </c>
      <c r="V10" s="1257"/>
      <c r="W10" s="430" t="s">
        <v>809</v>
      </c>
      <c r="X10" s="405"/>
      <c r="Y10" s="406">
        <v>50</v>
      </c>
      <c r="Z10" s="456"/>
      <c r="AA10" s="89">
        <f>'Ціни контур мережний'!AB29</f>
        <v>23.2782130224622</v>
      </c>
      <c r="AB10" s="87"/>
      <c r="AC10" s="383">
        <f>'Таблиця цін схема №1'!CS48+'Таблиця цін схема №1'!DE48+'Таблиця цін схема №1'!DI48+'Таблиця цін схема №2'!CK81+'Таблиця цін схема №2'!CW81+'Таблиця цін схема №3'!BA19+'Таблиця цін схема №3'!BE19</f>
        <v>257</v>
      </c>
      <c r="AF10" s="403">
        <v>5</v>
      </c>
      <c r="AG10" s="1313" t="s">
        <v>611</v>
      </c>
      <c r="AH10" s="1207"/>
      <c r="AI10" s="1207"/>
      <c r="AJ10" s="1207"/>
      <c r="AK10" s="1196" t="s">
        <v>38</v>
      </c>
      <c r="AL10" s="1196"/>
      <c r="AM10" s="440" t="s">
        <v>857</v>
      </c>
      <c r="AN10" s="404">
        <v>15</v>
      </c>
      <c r="AO10" s="406">
        <v>40</v>
      </c>
      <c r="AP10" s="92"/>
      <c r="AQ10" s="1174">
        <f t="shared" si="1"/>
        <v>140.82444000000001</v>
      </c>
      <c r="AR10" s="87"/>
      <c r="AS10" s="392">
        <f>'Таблиця цін схема №1'!HK47+'Таблиця цін схема №2'!GC80</f>
        <v>25</v>
      </c>
      <c r="AU10">
        <v>166</v>
      </c>
    </row>
    <row r="11" spans="1:49" ht="15">
      <c r="B11" s="403">
        <v>7</v>
      </c>
      <c r="C11" s="1207" t="s">
        <v>14</v>
      </c>
      <c r="D11" s="1207"/>
      <c r="E11" s="1207"/>
      <c r="F11" s="1207"/>
      <c r="G11" s="1305" t="s">
        <v>56</v>
      </c>
      <c r="H11" s="1196"/>
      <c r="I11" s="429" t="s">
        <v>848</v>
      </c>
      <c r="J11" s="405"/>
      <c r="K11" s="406">
        <v>65</v>
      </c>
      <c r="L11" s="456"/>
      <c r="M11" s="89">
        <f>'Ціни контур мережний'!AB11</f>
        <v>39.731999999999999</v>
      </c>
      <c r="N11" s="87"/>
      <c r="O11" s="385">
        <f>'Таблиця цін схема №1'!EG49+'Таблиця цін схема №1'!EK49+'Таблиця цін схема №1'!EO49+'Таблиця цін схема №1'!ES49</f>
        <v>21</v>
      </c>
      <c r="P11" s="403">
        <v>7</v>
      </c>
      <c r="Q11" s="1255" t="s">
        <v>27</v>
      </c>
      <c r="R11" s="1194"/>
      <c r="S11" s="1194"/>
      <c r="T11" s="1195"/>
      <c r="U11" s="1256" t="s">
        <v>364</v>
      </c>
      <c r="V11" s="1257"/>
      <c r="W11" s="430" t="s">
        <v>809</v>
      </c>
      <c r="X11" s="405"/>
      <c r="Y11" s="406">
        <v>65</v>
      </c>
      <c r="Z11" s="456"/>
      <c r="AA11" s="89">
        <f>'Ціни контур мережний'!AB30</f>
        <v>30.19184015363556</v>
      </c>
      <c r="AB11" s="87"/>
      <c r="AC11" s="383">
        <f>'Таблиця цін схема №1'!CS49+'Таблиця цін схема №1'!DE49+'Таблиця цін схема №1'!DI49+'Таблиця цін схема №2'!CK82+'Таблиця цін схема №2'!CW82+'Таблиця цін схема №3'!BA20+'Таблиця цін схема №3'!BE20</f>
        <v>164</v>
      </c>
      <c r="AF11" s="28">
        <v>6</v>
      </c>
      <c r="AG11" s="1314" t="s">
        <v>611</v>
      </c>
      <c r="AH11" s="1217"/>
      <c r="AI11" s="1217"/>
      <c r="AJ11" s="1217"/>
      <c r="AK11" s="1219" t="s">
        <v>38</v>
      </c>
      <c r="AL11" s="1219"/>
      <c r="AM11" s="378" t="s">
        <v>91</v>
      </c>
      <c r="AN11" s="15">
        <v>15</v>
      </c>
      <c r="AO11" s="13">
        <v>50</v>
      </c>
      <c r="AP11" s="92"/>
      <c r="AQ11" s="1192"/>
      <c r="AR11" s="87"/>
      <c r="AS11" s="392">
        <f>'Таблиця цін схема №1'!HK48+'Таблиця цін схема №2'!GC81</f>
        <v>0</v>
      </c>
    </row>
    <row r="12" spans="1:49" ht="15">
      <c r="B12" s="403">
        <v>8</v>
      </c>
      <c r="C12" s="1207" t="s">
        <v>14</v>
      </c>
      <c r="D12" s="1207"/>
      <c r="E12" s="1207"/>
      <c r="F12" s="1207"/>
      <c r="G12" s="1305" t="s">
        <v>56</v>
      </c>
      <c r="H12" s="1196"/>
      <c r="I12" s="429" t="s">
        <v>848</v>
      </c>
      <c r="J12" s="405"/>
      <c r="K12" s="406">
        <v>80</v>
      </c>
      <c r="L12" s="456"/>
      <c r="M12" s="89">
        <f>'Ціни контур мережний'!AB12</f>
        <v>50.12</v>
      </c>
      <c r="N12" s="87"/>
      <c r="O12" s="385">
        <f>'Таблиця цін схема №1'!EG50+'Таблиця цін схема №1'!EK50+'Таблиця цін схема №1'!EO50+'Таблиця цін схема №1'!ES50+'Таблиця цін схема №2'!DM83+'Таблиця цін схема №2'!DQ83+'Таблиця цін схема №2'!DU83+'Таблиця цін схема №3'!BY21</f>
        <v>32</v>
      </c>
      <c r="P12" s="403">
        <v>8</v>
      </c>
      <c r="Q12" s="1255" t="s">
        <v>27</v>
      </c>
      <c r="R12" s="1194"/>
      <c r="S12" s="1194"/>
      <c r="T12" s="1195"/>
      <c r="U12" s="1256" t="s">
        <v>364</v>
      </c>
      <c r="V12" s="1257"/>
      <c r="W12" s="430" t="s">
        <v>809</v>
      </c>
      <c r="X12" s="405"/>
      <c r="Y12" s="406">
        <v>80</v>
      </c>
      <c r="Z12" s="456"/>
      <c r="AA12" s="89">
        <f>'Ціни контур мережний'!AB31</f>
        <v>37.693832104112609</v>
      </c>
      <c r="AB12" s="87"/>
      <c r="AC12" s="383">
        <f>'Таблиця цін схема №1'!CS50+'Таблиця цін схема №1'!DE50+'Таблиця цін схема №1'!DI50+'Таблиця цін схема №2'!CK83+'Таблиця цін схема №2'!CW83+'Таблиця цін схема №3'!BA21+'Таблиця цін схема №3'!BE21</f>
        <v>126</v>
      </c>
      <c r="AF12" s="403">
        <v>7</v>
      </c>
      <c r="AG12" s="1313" t="s">
        <v>611</v>
      </c>
      <c r="AH12" s="1207"/>
      <c r="AI12" s="1207"/>
      <c r="AJ12" s="1207"/>
      <c r="AK12" s="1196" t="s">
        <v>38</v>
      </c>
      <c r="AL12" s="1196"/>
      <c r="AM12" s="442" t="s">
        <v>92</v>
      </c>
      <c r="AN12" s="404">
        <v>25</v>
      </c>
      <c r="AO12" s="406">
        <v>65</v>
      </c>
      <c r="AP12" s="92"/>
      <c r="AQ12" s="1174">
        <f t="shared" si="1"/>
        <v>156.09456</v>
      </c>
      <c r="AR12" s="87"/>
      <c r="AS12" s="392">
        <f>'Таблиця цін схема №1'!HK49+'Таблиця цін схема №2'!GC82</f>
        <v>1</v>
      </c>
      <c r="AU12">
        <v>184</v>
      </c>
    </row>
    <row r="13" spans="1:49" ht="15.75" thickBot="1">
      <c r="B13" s="403">
        <v>9</v>
      </c>
      <c r="C13" s="1207" t="s">
        <v>14</v>
      </c>
      <c r="D13" s="1207"/>
      <c r="E13" s="1207"/>
      <c r="F13" s="1207"/>
      <c r="G13" s="1305" t="s">
        <v>56</v>
      </c>
      <c r="H13" s="1196"/>
      <c r="I13" s="429" t="s">
        <v>848</v>
      </c>
      <c r="J13" s="405"/>
      <c r="K13" s="406">
        <v>100</v>
      </c>
      <c r="L13" s="456"/>
      <c r="M13" s="89">
        <f>'Ціни контур мережний'!AB13</f>
        <v>70.903000000000006</v>
      </c>
      <c r="N13" s="87"/>
      <c r="O13" s="385">
        <f>'Таблиця цін схема №1'!EG51+'Таблиця цін схема №1'!EK51+'Таблиця цін схема №1'!EO51+'Таблиця цін схема №1'!ES51+'Таблиця цін схема №2'!DM84+'Таблиця цін схема №2'!DQ84+'Таблиця цін схема №2'!DU84+'Таблиця цін схема №3'!BY22</f>
        <v>8</v>
      </c>
      <c r="P13" s="403">
        <v>9</v>
      </c>
      <c r="Q13" s="1255" t="s">
        <v>27</v>
      </c>
      <c r="R13" s="1194"/>
      <c r="S13" s="1194"/>
      <c r="T13" s="1195"/>
      <c r="U13" s="1256" t="s">
        <v>364</v>
      </c>
      <c r="V13" s="1257"/>
      <c r="W13" s="430" t="s">
        <v>809</v>
      </c>
      <c r="X13" s="405"/>
      <c r="Y13" s="406">
        <v>100</v>
      </c>
      <c r="Z13" s="456"/>
      <c r="AA13" s="89">
        <f>'Ціни контур мережний'!AB32</f>
        <v>61.045620773489688</v>
      </c>
      <c r="AB13" s="87"/>
      <c r="AC13" s="383">
        <f>'Таблиця цін схема №1'!CS51+'Таблиця цін схема №1'!DE51+'Таблиця цін схема №1'!DI51+'Таблиця цін схема №2'!CK84+'Таблиця цін схема №2'!CW84+'Таблиця цін схема №3'!BA22+'Таблиця цін схема №3'!BE22</f>
        <v>28</v>
      </c>
      <c r="AF13" s="443"/>
      <c r="AG13" s="1313" t="s">
        <v>611</v>
      </c>
      <c r="AH13" s="1207"/>
      <c r="AI13" s="1207"/>
      <c r="AJ13" s="1207"/>
      <c r="AK13" s="1196" t="s">
        <v>38</v>
      </c>
      <c r="AL13" s="1196"/>
      <c r="AM13" s="440" t="s">
        <v>858</v>
      </c>
      <c r="AN13" s="444">
        <v>40</v>
      </c>
      <c r="AO13" s="445">
        <v>80</v>
      </c>
      <c r="AP13" s="92"/>
      <c r="AQ13" s="1174">
        <f t="shared" si="1"/>
        <v>162.88128</v>
      </c>
      <c r="AR13" s="88"/>
      <c r="AS13" s="392">
        <f>'Таблиця цін схема №1'!HK50+'Таблиця цін схема №2'!GC83</f>
        <v>1</v>
      </c>
      <c r="AU13">
        <v>192</v>
      </c>
    </row>
    <row r="14" spans="1:49" ht="15">
      <c r="B14" s="403">
        <v>10</v>
      </c>
      <c r="C14" s="1207" t="s">
        <v>14</v>
      </c>
      <c r="D14" s="1207"/>
      <c r="E14" s="1207"/>
      <c r="F14" s="1207"/>
      <c r="G14" s="1305" t="s">
        <v>56</v>
      </c>
      <c r="H14" s="1196"/>
      <c r="I14" s="429" t="s">
        <v>848</v>
      </c>
      <c r="J14" s="405"/>
      <c r="K14" s="406">
        <v>125</v>
      </c>
      <c r="L14" s="456"/>
      <c r="M14" s="89">
        <f>'Ціни контур мережний'!AB14</f>
        <v>106.351</v>
      </c>
      <c r="N14" s="87"/>
      <c r="O14" s="385">
        <f>'Таблиця цін схема №1'!EG52+'Таблиця цін схема №1'!EK52+'Таблиця цін схема №1'!EO52+'Таблиця цін схема №1'!ES52+'Таблиця цін схема №2'!DM85+'Таблиця цін схема №2'!DQ85+'Таблиця цін схема №2'!DU85+'Таблиця цін схема №3'!BY23</f>
        <v>3</v>
      </c>
      <c r="P14" s="403">
        <v>10</v>
      </c>
      <c r="Q14" s="1255" t="s">
        <v>27</v>
      </c>
      <c r="R14" s="1194"/>
      <c r="S14" s="1194"/>
      <c r="T14" s="1195"/>
      <c r="U14" s="1256" t="s">
        <v>364</v>
      </c>
      <c r="V14" s="1257"/>
      <c r="W14" s="430" t="s">
        <v>809</v>
      </c>
      <c r="X14" s="405"/>
      <c r="Y14" s="406">
        <v>125</v>
      </c>
      <c r="Z14" s="456"/>
      <c r="AA14" s="89">
        <f>'Ціни контур мережний'!AB33</f>
        <v>89.509060820887896</v>
      </c>
      <c r="AB14" s="87"/>
      <c r="AC14" s="383">
        <f>'Таблиця цін схема №1'!CS52+'Таблиця цін схема №1'!DE52+'Таблиця цін схема №1'!DI52+'Таблиця цін схема №2'!CK85+'Таблиця цін схема №2'!CW85+'Таблиця цін схема №3'!BA23+'Таблиця цін схема №3'!BE23</f>
        <v>12</v>
      </c>
      <c r="AQ14" s="144"/>
      <c r="AS14" s="144"/>
    </row>
    <row r="15" spans="1:49" ht="15">
      <c r="B15" s="28"/>
      <c r="C15" s="1217"/>
      <c r="D15" s="1217"/>
      <c r="E15" s="1217"/>
      <c r="F15" s="1217"/>
      <c r="G15" s="1219"/>
      <c r="H15" s="1219"/>
      <c r="I15" s="354"/>
      <c r="J15" s="354"/>
      <c r="K15" s="13"/>
      <c r="L15" s="79"/>
      <c r="M15" s="179"/>
      <c r="N15" s="87"/>
      <c r="O15" s="13"/>
      <c r="P15" s="47"/>
      <c r="Q15" s="1252"/>
      <c r="R15" s="1253"/>
      <c r="S15" s="1253"/>
      <c r="T15" s="1254"/>
      <c r="U15" s="1250"/>
      <c r="V15" s="1251"/>
      <c r="W15" s="118"/>
      <c r="X15" s="114"/>
      <c r="Y15" s="13"/>
      <c r="Z15" s="79"/>
      <c r="AA15" s="179"/>
      <c r="AB15" s="87"/>
      <c r="AC15" s="363"/>
      <c r="AN15" s="507">
        <v>0.3</v>
      </c>
    </row>
    <row r="16" spans="1:49" ht="15">
      <c r="B16" s="28"/>
      <c r="C16" s="1217"/>
      <c r="D16" s="1217"/>
      <c r="E16" s="1217"/>
      <c r="F16" s="1217"/>
      <c r="G16" s="1219"/>
      <c r="H16" s="1219"/>
      <c r="I16" s="354"/>
      <c r="J16" s="354"/>
      <c r="K16" s="13"/>
      <c r="L16" s="79"/>
      <c r="M16" s="179"/>
      <c r="N16" s="87"/>
      <c r="O16" s="13"/>
      <c r="P16" s="47"/>
      <c r="Q16" s="1252"/>
      <c r="R16" s="1253"/>
      <c r="S16" s="1253"/>
      <c r="T16" s="1254"/>
      <c r="U16" s="1250"/>
      <c r="V16" s="1251"/>
      <c r="W16" s="118"/>
      <c r="X16" s="114"/>
      <c r="Y16" s="13"/>
      <c r="Z16" s="79"/>
      <c r="AA16" s="179"/>
      <c r="AB16" s="87"/>
      <c r="AC16" s="363"/>
      <c r="AN16" s="507">
        <v>0.17</v>
      </c>
      <c r="AO16" s="113"/>
      <c r="AP16" s="185"/>
      <c r="AQ16" s="17"/>
    </row>
    <row r="17" spans="1:48" ht="15.75" thickBot="1">
      <c r="B17" s="30"/>
      <c r="C17" s="1230"/>
      <c r="D17" s="1230"/>
      <c r="E17" s="1230"/>
      <c r="F17" s="1230"/>
      <c r="G17" s="1232"/>
      <c r="H17" s="1232"/>
      <c r="I17" s="356"/>
      <c r="J17" s="356"/>
      <c r="K17" s="14"/>
      <c r="L17" s="79"/>
      <c r="M17" s="180"/>
      <c r="N17" s="88"/>
      <c r="O17" s="13"/>
      <c r="P17" s="49"/>
      <c r="Q17" s="1230"/>
      <c r="R17" s="1230"/>
      <c r="S17" s="1230"/>
      <c r="T17" s="1230"/>
      <c r="U17" s="1261"/>
      <c r="V17" s="1262"/>
      <c r="W17" s="119"/>
      <c r="X17" s="115"/>
      <c r="Y17" s="14"/>
      <c r="Z17" s="86"/>
      <c r="AA17" s="180"/>
      <c r="AB17" s="88"/>
      <c r="AC17" s="362"/>
      <c r="AF17" s="1197" t="s">
        <v>838</v>
      </c>
      <c r="AG17" s="1198"/>
      <c r="AH17" s="1198"/>
      <c r="AI17" s="1198"/>
      <c r="AJ17" s="1198"/>
      <c r="AK17" s="1198"/>
      <c r="AL17" s="1198"/>
      <c r="AM17" s="1198"/>
      <c r="AN17" s="1198"/>
      <c r="AO17" s="1198"/>
      <c r="AP17" s="1198"/>
      <c r="AQ17" s="1198"/>
      <c r="AR17" s="1198"/>
      <c r="AT17" s="113" t="s">
        <v>1109</v>
      </c>
      <c r="AU17" s="113" t="s">
        <v>1104</v>
      </c>
      <c r="AV17" s="113" t="s">
        <v>1114</v>
      </c>
    </row>
    <row r="18" spans="1:48">
      <c r="M18" s="144"/>
      <c r="N18" s="192"/>
      <c r="AA18" s="144"/>
      <c r="AF18" s="2" t="s">
        <v>15</v>
      </c>
      <c r="AG18" s="1211" t="s">
        <v>17</v>
      </c>
      <c r="AH18" s="1211"/>
      <c r="AI18" s="1211"/>
      <c r="AJ18" s="1211"/>
      <c r="AK18" s="1211" t="s">
        <v>20</v>
      </c>
      <c r="AL18" s="1211"/>
      <c r="AM18" s="3" t="s">
        <v>3</v>
      </c>
      <c r="AN18" s="50" t="s">
        <v>21</v>
      </c>
      <c r="AO18" s="50" t="s">
        <v>22</v>
      </c>
      <c r="AP18" s="99"/>
      <c r="AQ18" s="175" t="s">
        <v>7</v>
      </c>
      <c r="AR18" s="80" t="s">
        <v>7</v>
      </c>
      <c r="AS18" s="4" t="s">
        <v>9</v>
      </c>
    </row>
    <row r="19" spans="1:48">
      <c r="A19" s="144"/>
      <c r="B19" s="144"/>
      <c r="C19" s="144"/>
      <c r="D19" s="144"/>
      <c r="E19" s="144"/>
      <c r="F19" s="144"/>
      <c r="G19" s="144"/>
      <c r="H19" s="144"/>
      <c r="I19" s="191"/>
      <c r="J19" s="144"/>
      <c r="K19" s="144"/>
      <c r="L19" s="144"/>
      <c r="M19" s="144"/>
      <c r="N19" s="193"/>
      <c r="AA19" s="144"/>
      <c r="AF19" s="47" t="s">
        <v>16</v>
      </c>
      <c r="AG19" s="1212"/>
      <c r="AH19" s="1212"/>
      <c r="AI19" s="1212"/>
      <c r="AJ19" s="1212"/>
      <c r="AK19" s="1212"/>
      <c r="AL19" s="1212"/>
      <c r="AM19" s="1" t="s">
        <v>24</v>
      </c>
      <c r="AN19" s="48" t="s">
        <v>1</v>
      </c>
      <c r="AO19" s="48" t="s">
        <v>2</v>
      </c>
      <c r="AP19" s="100"/>
      <c r="AQ19" s="176" t="s">
        <v>651</v>
      </c>
      <c r="AR19" s="81" t="s">
        <v>23</v>
      </c>
      <c r="AS19" s="120" t="s">
        <v>93</v>
      </c>
    </row>
    <row r="20" spans="1:48" ht="15">
      <c r="A20" s="144"/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X20" s="1176">
        <v>0.155</v>
      </c>
      <c r="Y20" s="113"/>
      <c r="Z20" s="185"/>
      <c r="AA20" s="17"/>
      <c r="AF20" s="28">
        <v>1</v>
      </c>
      <c r="AG20" s="1301" t="s">
        <v>26</v>
      </c>
      <c r="AH20" s="1301"/>
      <c r="AI20" s="1301"/>
      <c r="AJ20" s="1301"/>
      <c r="AK20" s="1317" t="s">
        <v>833</v>
      </c>
      <c r="AL20" s="1251"/>
      <c r="AM20" s="473" t="s">
        <v>834</v>
      </c>
      <c r="AN20" s="474"/>
      <c r="AO20" s="35">
        <v>15</v>
      </c>
      <c r="AP20" s="136"/>
      <c r="AQ20" s="497">
        <f>AV20-AV20*$AN$15</f>
        <v>2.464</v>
      </c>
      <c r="AR20" s="138"/>
      <c r="AS20" s="397">
        <f>'Таблиця цін схема №1'!CW43+'Таблиця цін схема №1'!DA43+'Таблиця цін схема №2'!CO76+'Таблиця цін схема №2'!CS76</f>
        <v>0</v>
      </c>
      <c r="AV20">
        <v>3.52</v>
      </c>
    </row>
    <row r="21" spans="1:48" ht="15.75" thickBot="1">
      <c r="A21" s="146"/>
      <c r="B21" s="1311"/>
      <c r="C21" s="1312"/>
      <c r="D21" s="1312"/>
      <c r="E21" s="1312"/>
      <c r="F21" s="1312"/>
      <c r="G21" s="1312"/>
      <c r="H21" s="1312"/>
      <c r="I21" s="1312"/>
      <c r="J21" s="1312"/>
      <c r="K21" s="1312"/>
      <c r="L21" s="1312"/>
      <c r="M21" s="1312"/>
      <c r="N21" s="1312"/>
      <c r="O21" s="62"/>
      <c r="P21" s="1206" t="s">
        <v>28</v>
      </c>
      <c r="Q21" s="1206"/>
      <c r="R21" s="1206"/>
      <c r="S21" s="1206"/>
      <c r="T21" s="1206"/>
      <c r="U21" s="1206"/>
      <c r="V21" s="1206"/>
      <c r="W21" s="1206"/>
      <c r="X21" s="1206"/>
      <c r="Y21" s="1206"/>
      <c r="Z21" s="1206"/>
      <c r="AA21" s="1206"/>
      <c r="AB21" s="1206"/>
      <c r="AD21" s="113" t="s">
        <v>1114</v>
      </c>
      <c r="AF21" s="403">
        <v>2</v>
      </c>
      <c r="AG21" s="1294" t="s">
        <v>26</v>
      </c>
      <c r="AH21" s="1294"/>
      <c r="AI21" s="1294"/>
      <c r="AJ21" s="1294"/>
      <c r="AK21" s="1309" t="s">
        <v>833</v>
      </c>
      <c r="AL21" s="1257"/>
      <c r="AM21" s="429" t="s">
        <v>834</v>
      </c>
      <c r="AN21" s="408"/>
      <c r="AO21" s="409">
        <v>20</v>
      </c>
      <c r="AP21" s="410"/>
      <c r="AQ21" s="187">
        <f>AV21-AV21*$AN$15</f>
        <v>3.577</v>
      </c>
      <c r="AR21" s="138"/>
      <c r="AS21" s="397">
        <f>'Таблиця цін схема №1'!CW44+'Таблиця цін схема №1'!DA44+'Таблиця цін схема №2'!CO77+'Таблиця цін схема №2'!CS77</f>
        <v>150</v>
      </c>
      <c r="AV21">
        <v>5.1100000000000003</v>
      </c>
    </row>
    <row r="22" spans="1:48" ht="15">
      <c r="A22" s="146"/>
      <c r="B22" s="124"/>
      <c r="C22" s="1319"/>
      <c r="D22" s="1319"/>
      <c r="E22" s="1319"/>
      <c r="F22" s="1319"/>
      <c r="G22" s="1319"/>
      <c r="H22" s="1319"/>
      <c r="I22" s="124"/>
      <c r="J22" s="124"/>
      <c r="K22" s="124"/>
      <c r="L22" s="124"/>
      <c r="M22" s="124"/>
      <c r="N22" s="124"/>
      <c r="O22" s="62"/>
      <c r="P22" s="2" t="s">
        <v>15</v>
      </c>
      <c r="Q22" s="1308" t="s">
        <v>36</v>
      </c>
      <c r="R22" s="1211"/>
      <c r="S22" s="1211"/>
      <c r="T22" s="1211"/>
      <c r="U22" s="1211" t="s">
        <v>20</v>
      </c>
      <c r="V22" s="1211"/>
      <c r="W22" s="3" t="s">
        <v>3</v>
      </c>
      <c r="X22" s="50" t="s">
        <v>21</v>
      </c>
      <c r="Y22" s="50" t="s">
        <v>22</v>
      </c>
      <c r="Z22" s="99"/>
      <c r="AA22" s="175" t="s">
        <v>7</v>
      </c>
      <c r="AB22" s="80" t="s">
        <v>7</v>
      </c>
      <c r="AC22" s="4" t="s">
        <v>9</v>
      </c>
      <c r="AF22" s="403">
        <v>3</v>
      </c>
      <c r="AG22" s="1294" t="s">
        <v>26</v>
      </c>
      <c r="AH22" s="1294"/>
      <c r="AI22" s="1294"/>
      <c r="AJ22" s="1294"/>
      <c r="AK22" s="1309" t="s">
        <v>833</v>
      </c>
      <c r="AL22" s="1257"/>
      <c r="AM22" s="429" t="s">
        <v>834</v>
      </c>
      <c r="AN22" s="408"/>
      <c r="AO22" s="409">
        <v>25</v>
      </c>
      <c r="AP22" s="410"/>
      <c r="AQ22" s="187">
        <f t="shared" ref="AQ22:AQ23" si="2">AV22-AV22*$AN$15</f>
        <v>6.3070000000000004</v>
      </c>
      <c r="AR22" s="138"/>
      <c r="AS22" s="397">
        <f>'Таблиця цін схема №1'!CW45+'Таблиця цін схема №1'!DA45+'Таблиця цін схема №2'!CO78+'Таблиця цін схема №2'!CS78</f>
        <v>114</v>
      </c>
      <c r="AV22">
        <v>9.01</v>
      </c>
    </row>
    <row r="23" spans="1:48" ht="15">
      <c r="A23" s="146"/>
      <c r="B23" s="124"/>
      <c r="C23" s="1319"/>
      <c r="D23" s="1319"/>
      <c r="E23" s="1319"/>
      <c r="F23" s="1319"/>
      <c r="G23" s="1319"/>
      <c r="H23" s="1319"/>
      <c r="I23" s="124"/>
      <c r="J23" s="124"/>
      <c r="K23" s="124"/>
      <c r="L23" s="124"/>
      <c r="M23" s="147"/>
      <c r="N23" s="124"/>
      <c r="O23" s="62"/>
      <c r="P23" s="47" t="s">
        <v>16</v>
      </c>
      <c r="Q23" s="1212"/>
      <c r="R23" s="1212"/>
      <c r="S23" s="1212"/>
      <c r="T23" s="1212"/>
      <c r="U23" s="1212"/>
      <c r="V23" s="1212"/>
      <c r="W23" s="1" t="s">
        <v>24</v>
      </c>
      <c r="X23" s="48" t="s">
        <v>1</v>
      </c>
      <c r="Y23" s="48" t="s">
        <v>2</v>
      </c>
      <c r="Z23" s="100"/>
      <c r="AA23" s="176" t="s">
        <v>651</v>
      </c>
      <c r="AB23" s="81" t="s">
        <v>23</v>
      </c>
      <c r="AC23" s="126" t="s">
        <v>93</v>
      </c>
      <c r="AF23" s="403">
        <v>4</v>
      </c>
      <c r="AG23" s="1294" t="s">
        <v>26</v>
      </c>
      <c r="AH23" s="1294"/>
      <c r="AI23" s="1294"/>
      <c r="AJ23" s="1294"/>
      <c r="AK23" s="1309" t="s">
        <v>833</v>
      </c>
      <c r="AL23" s="1257"/>
      <c r="AM23" s="429" t="s">
        <v>834</v>
      </c>
      <c r="AN23" s="408"/>
      <c r="AO23" s="409">
        <v>32</v>
      </c>
      <c r="AP23" s="410"/>
      <c r="AQ23" s="187">
        <f t="shared" si="2"/>
        <v>10.381</v>
      </c>
      <c r="AR23" s="138"/>
      <c r="AS23" s="397">
        <f>'Таблиця цін схема №1'!CW46+'Таблиця цін схема №1'!DA46+'Таблиця цін схема №2'!CO79+'Таблиця цін схема №2'!CS79</f>
        <v>192</v>
      </c>
      <c r="AV23">
        <v>14.83</v>
      </c>
    </row>
    <row r="24" spans="1:48" ht="15">
      <c r="A24" s="146"/>
      <c r="B24" s="124"/>
      <c r="C24" s="1245"/>
      <c r="D24" s="1245"/>
      <c r="E24" s="1245"/>
      <c r="F24" s="1245"/>
      <c r="G24" s="1258"/>
      <c r="H24" s="1258"/>
      <c r="I24" s="125"/>
      <c r="J24" s="125"/>
      <c r="K24" s="22"/>
      <c r="L24" s="22"/>
      <c r="M24" s="22"/>
      <c r="N24" s="22"/>
      <c r="O24" s="62"/>
      <c r="P24" s="47">
        <v>1</v>
      </c>
      <c r="Q24" s="1217" t="s">
        <v>29</v>
      </c>
      <c r="R24" s="1217"/>
      <c r="S24" s="1217"/>
      <c r="T24" s="1217"/>
      <c r="U24" s="1219" t="s">
        <v>18</v>
      </c>
      <c r="V24" s="1219"/>
      <c r="W24" s="188" t="s">
        <v>30</v>
      </c>
      <c r="X24" s="121"/>
      <c r="Y24" s="13">
        <v>15</v>
      </c>
      <c r="Z24" s="100"/>
      <c r="AA24" s="179"/>
      <c r="AB24" s="87"/>
      <c r="AC24" s="396">
        <f>'Таблиця цін схема №1'!EW43+'Таблиця цін схема №2'!DY76+'Таблиця цін схема №2'!EC76+'Таблиця цін схема №3'!BU14+'Таблиця цін схема №3'!CC14</f>
        <v>0</v>
      </c>
      <c r="AF24" s="403">
        <v>5</v>
      </c>
      <c r="AG24" s="1304" t="s">
        <v>835</v>
      </c>
      <c r="AH24" s="1294"/>
      <c r="AI24" s="1294"/>
      <c r="AJ24" s="1294"/>
      <c r="AK24" s="1310" t="s">
        <v>950</v>
      </c>
      <c r="AL24" s="1293"/>
      <c r="AM24" s="431" t="s">
        <v>951</v>
      </c>
      <c r="AN24" s="408"/>
      <c r="AO24" s="409">
        <v>40</v>
      </c>
      <c r="AP24" s="410"/>
      <c r="AQ24" s="187">
        <f>AT24*0.9</f>
        <v>37.980000000000004</v>
      </c>
      <c r="AR24" s="138"/>
      <c r="AS24" s="397">
        <f>'Таблиця цін схема №1'!CW47+'Таблиця цін схема №1'!DA47+'Таблиця цін схема №2'!CO80+'Таблиця цін схема №2'!CS80</f>
        <v>213</v>
      </c>
      <c r="AT24">
        <v>42.2</v>
      </c>
    </row>
    <row r="25" spans="1:48" ht="15">
      <c r="A25" s="146"/>
      <c r="B25" s="124"/>
      <c r="C25" s="1245"/>
      <c r="D25" s="1245"/>
      <c r="E25" s="1245"/>
      <c r="F25" s="1245"/>
      <c r="G25" s="1258"/>
      <c r="H25" s="1258"/>
      <c r="I25" s="125"/>
      <c r="J25" s="125"/>
      <c r="K25" s="22"/>
      <c r="L25" s="22"/>
      <c r="M25" s="22"/>
      <c r="N25" s="22"/>
      <c r="O25" s="62"/>
      <c r="P25" s="403">
        <v>2</v>
      </c>
      <c r="Q25" s="1207" t="s">
        <v>29</v>
      </c>
      <c r="R25" s="1207"/>
      <c r="S25" s="1207"/>
      <c r="T25" s="1207"/>
      <c r="U25" s="1196" t="s">
        <v>18</v>
      </c>
      <c r="V25" s="1196"/>
      <c r="W25" s="405" t="s">
        <v>30</v>
      </c>
      <c r="X25" s="405"/>
      <c r="Y25" s="406">
        <v>20</v>
      </c>
      <c r="Z25" s="407"/>
      <c r="AA25" s="89">
        <f>AQ39</f>
        <v>4.5359999999999996</v>
      </c>
      <c r="AB25" s="87"/>
      <c r="AC25" s="396">
        <f>'Таблиця цін схема №1'!EW44+'Таблиця цін схема №1'!FI43+'Таблиця цін схема №2'!DY77+'Таблиця цін схема №2'!EC77+'Таблиця цін схема №3'!BU15+'Таблиця цін схема №3'!CC15</f>
        <v>10</v>
      </c>
      <c r="AF25" s="403">
        <v>6</v>
      </c>
      <c r="AG25" s="1304" t="s">
        <v>835</v>
      </c>
      <c r="AH25" s="1294"/>
      <c r="AI25" s="1294"/>
      <c r="AJ25" s="1294"/>
      <c r="AK25" s="1305" t="s">
        <v>836</v>
      </c>
      <c r="AL25" s="1293"/>
      <c r="AM25" s="429" t="s">
        <v>837</v>
      </c>
      <c r="AN25" s="408"/>
      <c r="AO25" s="409">
        <v>50</v>
      </c>
      <c r="AP25" s="410"/>
      <c r="AQ25" s="187">
        <f>AU25*1.2/'Ціни контур мережний'!$G$26</f>
        <v>37.588411955788914</v>
      </c>
      <c r="AR25" s="138"/>
      <c r="AS25" s="397">
        <f>'Таблиця цін схема №1'!CW48+'Таблиця цін схема №1'!DA48+'Таблиця цін схема №2'!CO81+'Таблиця цін схема №2'!CS81</f>
        <v>129</v>
      </c>
      <c r="AU25">
        <v>919.92</v>
      </c>
    </row>
    <row r="26" spans="1:48" ht="15">
      <c r="A26" s="146"/>
      <c r="B26" s="124"/>
      <c r="C26" s="1245"/>
      <c r="D26" s="1245"/>
      <c r="E26" s="1245"/>
      <c r="F26" s="1245"/>
      <c r="G26" s="1258"/>
      <c r="H26" s="1258"/>
      <c r="I26" s="125"/>
      <c r="J26" s="125"/>
      <c r="K26" s="22"/>
      <c r="L26" s="22"/>
      <c r="M26" s="22"/>
      <c r="N26" s="22"/>
      <c r="O26" s="62"/>
      <c r="P26" s="403">
        <v>3</v>
      </c>
      <c r="Q26" s="1207" t="s">
        <v>29</v>
      </c>
      <c r="R26" s="1207"/>
      <c r="S26" s="1207"/>
      <c r="T26" s="1207"/>
      <c r="U26" s="1196" t="s">
        <v>18</v>
      </c>
      <c r="V26" s="1196"/>
      <c r="W26" s="405" t="s">
        <v>30</v>
      </c>
      <c r="X26" s="405"/>
      <c r="Y26" s="406">
        <v>25</v>
      </c>
      <c r="Z26" s="407"/>
      <c r="AA26" s="89">
        <f t="shared" ref="AA26:AA27" si="3">AQ40</f>
        <v>6.9659999999999993</v>
      </c>
      <c r="AB26" s="87"/>
      <c r="AC26" s="396">
        <f>'Таблиця цін схема №1'!EW45+'Таблиця цін схема №1'!FI44+'Таблиця цін схема №2'!DY78+'Таблиця цін схема №2'!EC78+'Таблиця цін схема №3'!BU16+'Таблиця цін схема №3'!CC16</f>
        <v>26</v>
      </c>
      <c r="AF26" s="403">
        <v>7</v>
      </c>
      <c r="AG26" s="1304" t="s">
        <v>835</v>
      </c>
      <c r="AH26" s="1294"/>
      <c r="AI26" s="1294"/>
      <c r="AJ26" s="1294"/>
      <c r="AK26" s="1305" t="s">
        <v>836</v>
      </c>
      <c r="AL26" s="1293"/>
      <c r="AM26" s="429" t="s">
        <v>837</v>
      </c>
      <c r="AN26" s="408"/>
      <c r="AO26" s="409">
        <v>65</v>
      </c>
      <c r="AP26" s="410"/>
      <c r="AQ26" s="187">
        <f>AU26*1.2/'Ціни контур мережний'!$G$26</f>
        <v>42.675547020246391</v>
      </c>
      <c r="AR26" s="138"/>
      <c r="AS26" s="397">
        <f>'Таблиця цін схема №1'!CW49+'Таблиця цін схема №1'!DA49+'Таблиця цін схема №2'!CO82+'Таблиця цін схема №2'!CS82</f>
        <v>69</v>
      </c>
      <c r="AU26">
        <v>1044.42</v>
      </c>
    </row>
    <row r="27" spans="1:48" ht="15">
      <c r="A27" s="146"/>
      <c r="B27" s="124"/>
      <c r="C27" s="1245"/>
      <c r="D27" s="1245"/>
      <c r="E27" s="1245"/>
      <c r="F27" s="1245"/>
      <c r="G27" s="1258"/>
      <c r="H27" s="1258"/>
      <c r="I27" s="125"/>
      <c r="J27" s="125"/>
      <c r="K27" s="22"/>
      <c r="L27" s="22"/>
      <c r="M27" s="22"/>
      <c r="N27" s="22"/>
      <c r="O27" s="62"/>
      <c r="P27" s="403">
        <v>4</v>
      </c>
      <c r="Q27" s="1207" t="s">
        <v>29</v>
      </c>
      <c r="R27" s="1207"/>
      <c r="S27" s="1207"/>
      <c r="T27" s="1207"/>
      <c r="U27" s="1196" t="s">
        <v>18</v>
      </c>
      <c r="V27" s="1196"/>
      <c r="W27" s="405" t="s">
        <v>30</v>
      </c>
      <c r="X27" s="405"/>
      <c r="Y27" s="406">
        <v>32</v>
      </c>
      <c r="Z27" s="407"/>
      <c r="AA27" s="89">
        <f t="shared" si="3"/>
        <v>10.773</v>
      </c>
      <c r="AB27" s="87"/>
      <c r="AC27" s="396">
        <f>'Таблиця цін схема №1'!EW46+'Таблиця цін схема №2'!DY79+'Таблиця цін схема №2'!EC79+'Таблиця цін схема №3'!BU17+'Таблиця цін схема №3'!CC17</f>
        <v>18</v>
      </c>
      <c r="AF27" s="403">
        <v>8</v>
      </c>
      <c r="AG27" s="1304" t="s">
        <v>835</v>
      </c>
      <c r="AH27" s="1294"/>
      <c r="AI27" s="1294"/>
      <c r="AJ27" s="1294"/>
      <c r="AK27" s="1305" t="s">
        <v>836</v>
      </c>
      <c r="AL27" s="1293"/>
      <c r="AM27" s="429" t="s">
        <v>837</v>
      </c>
      <c r="AN27" s="408"/>
      <c r="AO27" s="409">
        <v>80</v>
      </c>
      <c r="AP27" s="410"/>
      <c r="AQ27" s="187">
        <f>AU27*1.2/'Ціни контур мережний'!$G$26</f>
        <v>67.828467526099658</v>
      </c>
      <c r="AR27" s="138"/>
      <c r="AS27" s="397">
        <f>'Таблиця цін схема №1'!CW50+'Таблиця цін схема №1'!DA50+'Таблиця цін схема №2'!CO83+'Таблиця цін схема №2'!CS83</f>
        <v>18</v>
      </c>
      <c r="AU27">
        <v>1660</v>
      </c>
    </row>
    <row r="28" spans="1:48" ht="15">
      <c r="A28" s="146"/>
      <c r="B28" s="124"/>
      <c r="C28" s="1245"/>
      <c r="D28" s="1245"/>
      <c r="E28" s="1245"/>
      <c r="F28" s="1245"/>
      <c r="G28" s="1258"/>
      <c r="H28" s="1258"/>
      <c r="I28" s="125"/>
      <c r="J28" s="125"/>
      <c r="K28" s="22"/>
      <c r="L28" s="22"/>
      <c r="M28" s="22"/>
      <c r="N28" s="22"/>
      <c r="O28" s="62"/>
      <c r="P28" s="403">
        <v>5</v>
      </c>
      <c r="Q28" s="1304" t="s">
        <v>849</v>
      </c>
      <c r="R28" s="1207"/>
      <c r="S28" s="1207"/>
      <c r="T28" s="1207"/>
      <c r="U28" s="1196" t="s">
        <v>18</v>
      </c>
      <c r="V28" s="1196"/>
      <c r="W28" s="411">
        <v>656</v>
      </c>
      <c r="X28" s="405"/>
      <c r="Y28" s="406">
        <v>40</v>
      </c>
      <c r="Z28" s="407"/>
      <c r="AA28" s="1174">
        <f>AD28-AD28*$X$20</f>
        <v>20.3645</v>
      </c>
      <c r="AB28" s="87"/>
      <c r="AC28" s="396">
        <f>'Таблиця цін схема №1'!EW47+'Таблиця цін схема №2'!DY80+'Таблиця цін схема №2'!EC80+'Таблиця цін схема №3'!BU18+'Таблиця цін схема №3'!CC18</f>
        <v>18</v>
      </c>
      <c r="AD28">
        <v>24.1</v>
      </c>
      <c r="AF28" s="403">
        <v>9</v>
      </c>
      <c r="AG28" s="1304" t="s">
        <v>835</v>
      </c>
      <c r="AH28" s="1294"/>
      <c r="AI28" s="1294"/>
      <c r="AJ28" s="1294"/>
      <c r="AK28" s="1305" t="s">
        <v>836</v>
      </c>
      <c r="AL28" s="1293"/>
      <c r="AM28" s="429" t="s">
        <v>837</v>
      </c>
      <c r="AN28" s="408"/>
      <c r="AO28" s="409">
        <v>100</v>
      </c>
      <c r="AP28" s="410"/>
      <c r="AQ28" s="187">
        <f>AU28*1.2/'Ціни контур мережний'!$G$26</f>
        <v>105.41687948188857</v>
      </c>
      <c r="AR28" s="138"/>
      <c r="AS28" s="397">
        <f>'Таблиця цін схема №1'!CW51+'Таблиця цін схема №1'!DA51+'Таблиця цін схема №2'!CO84+'Таблиця цін схема №2'!CS84</f>
        <v>6</v>
      </c>
      <c r="AU28">
        <v>2579.92</v>
      </c>
    </row>
    <row r="29" spans="1:48" ht="15">
      <c r="A29" s="146"/>
      <c r="B29" s="124"/>
      <c r="C29" s="1245"/>
      <c r="D29" s="1245"/>
      <c r="E29" s="1245"/>
      <c r="F29" s="1245"/>
      <c r="G29" s="1318"/>
      <c r="H29" s="1258"/>
      <c r="I29" s="148"/>
      <c r="J29" s="125"/>
      <c r="K29" s="22"/>
      <c r="L29" s="22"/>
      <c r="M29" s="142"/>
      <c r="N29" s="22"/>
      <c r="O29" s="62"/>
      <c r="P29" s="403">
        <v>6</v>
      </c>
      <c r="Q29" s="1207" t="s">
        <v>31</v>
      </c>
      <c r="R29" s="1207"/>
      <c r="S29" s="1207"/>
      <c r="T29" s="1207"/>
      <c r="U29" s="1196" t="s">
        <v>18</v>
      </c>
      <c r="V29" s="1196"/>
      <c r="W29" s="411">
        <v>656</v>
      </c>
      <c r="X29" s="405"/>
      <c r="Y29" s="406">
        <v>50</v>
      </c>
      <c r="Z29" s="407"/>
      <c r="AA29" s="1174">
        <f t="shared" ref="AA29:AA33" si="4">AD29-AD29*$X$20</f>
        <v>28.560999999999996</v>
      </c>
      <c r="AB29" s="87"/>
      <c r="AC29" s="396">
        <f>'Таблиця цін схема №1'!EW48+'Таблиця цін схема №2'!DY81+'Таблиця цін схема №2'!EC81+'Таблиця цін схема №3'!BU19+'Таблиця цін схема №3'!CC19</f>
        <v>40</v>
      </c>
      <c r="AD29">
        <v>33.799999999999997</v>
      </c>
      <c r="AF29" s="47">
        <v>10</v>
      </c>
      <c r="AG29" s="1306" t="s">
        <v>835</v>
      </c>
      <c r="AH29" s="1301"/>
      <c r="AI29" s="1301"/>
      <c r="AJ29" s="1301"/>
      <c r="AK29" s="1307" t="s">
        <v>836</v>
      </c>
      <c r="AL29" s="1302"/>
      <c r="AM29" s="334" t="s">
        <v>837</v>
      </c>
      <c r="AN29" s="116"/>
      <c r="AO29" s="35">
        <v>125</v>
      </c>
      <c r="AP29" s="136"/>
      <c r="AQ29" s="497"/>
      <c r="AR29" s="138"/>
      <c r="AS29" s="397">
        <f>'Таблиця цін схема №1'!CW52+'Таблиця цін схема №1'!DA52+'Таблиця цін схема №2'!CO85+'Таблиця цін схема №2'!CS85</f>
        <v>0</v>
      </c>
    </row>
    <row r="30" spans="1:48" ht="15">
      <c r="A30" s="146"/>
      <c r="B30" s="124"/>
      <c r="C30" s="1245"/>
      <c r="D30" s="1245"/>
      <c r="E30" s="1245"/>
      <c r="F30" s="1245"/>
      <c r="G30" s="1318"/>
      <c r="H30" s="1258"/>
      <c r="I30" s="148"/>
      <c r="J30" s="125"/>
      <c r="K30" s="22"/>
      <c r="L30" s="22"/>
      <c r="M30" s="142"/>
      <c r="N30" s="22"/>
      <c r="O30" s="62"/>
      <c r="P30" s="403">
        <v>7</v>
      </c>
      <c r="Q30" s="1207" t="s">
        <v>31</v>
      </c>
      <c r="R30" s="1207"/>
      <c r="S30" s="1207"/>
      <c r="T30" s="1207"/>
      <c r="U30" s="1196" t="s">
        <v>18</v>
      </c>
      <c r="V30" s="1196"/>
      <c r="W30" s="411">
        <f>W29</f>
        <v>656</v>
      </c>
      <c r="X30" s="405"/>
      <c r="Y30" s="406">
        <v>65</v>
      </c>
      <c r="Z30" s="407"/>
      <c r="AA30" s="1174">
        <f t="shared" si="4"/>
        <v>42.080999999999996</v>
      </c>
      <c r="AB30" s="87"/>
      <c r="AC30" s="396">
        <f>'Таблиця цін схема №1'!EW49+'Таблиця цін схема №2'!DY82+'Таблиця цін схема №2'!EC82+'Таблиця цін схема №3'!BU20+'Таблиця цін схема №3'!CC20</f>
        <v>94</v>
      </c>
      <c r="AD30">
        <v>49.8</v>
      </c>
      <c r="AF30" s="47"/>
      <c r="AG30" s="1301"/>
      <c r="AH30" s="1301"/>
      <c r="AI30" s="1301"/>
      <c r="AJ30" s="1301"/>
      <c r="AK30" s="1302"/>
      <c r="AL30" s="1302"/>
      <c r="AM30" s="116"/>
      <c r="AN30" s="116"/>
      <c r="AO30" s="35"/>
      <c r="AP30" s="136"/>
      <c r="AQ30" s="495"/>
      <c r="AR30" s="138"/>
      <c r="AS30" s="376"/>
    </row>
    <row r="31" spans="1:48" ht="15">
      <c r="A31" s="146"/>
      <c r="B31" s="124"/>
      <c r="C31" s="1245"/>
      <c r="D31" s="1245"/>
      <c r="E31" s="1245"/>
      <c r="F31" s="1245"/>
      <c r="G31" s="1318"/>
      <c r="H31" s="1258"/>
      <c r="I31" s="148"/>
      <c r="J31" s="125"/>
      <c r="K31" s="22"/>
      <c r="L31" s="22"/>
      <c r="M31" s="142"/>
      <c r="N31" s="22"/>
      <c r="O31" s="62"/>
      <c r="P31" s="403">
        <v>8</v>
      </c>
      <c r="Q31" s="1207" t="s">
        <v>31</v>
      </c>
      <c r="R31" s="1207"/>
      <c r="S31" s="1207"/>
      <c r="T31" s="1207"/>
      <c r="U31" s="1196" t="s">
        <v>18</v>
      </c>
      <c r="V31" s="1196"/>
      <c r="W31" s="411">
        <f t="shared" ref="W31:W33" si="5">W30</f>
        <v>656</v>
      </c>
      <c r="X31" s="405"/>
      <c r="Y31" s="406">
        <v>80</v>
      </c>
      <c r="Z31" s="407"/>
      <c r="AA31" s="1174">
        <f t="shared" si="4"/>
        <v>60.079499999999996</v>
      </c>
      <c r="AB31" s="87"/>
      <c r="AC31" s="396">
        <f>'Таблиця цін схема №1'!EW50+'Таблиця цін схема №2'!DY83+'Таблиця цін схема №2'!EC83+'Таблиця цін схема №3'!BU21+'Таблиця цін схема №3'!CC21</f>
        <v>78</v>
      </c>
      <c r="AD31">
        <v>71.099999999999994</v>
      </c>
      <c r="AF31" s="47"/>
      <c r="AG31" s="1301"/>
      <c r="AH31" s="1301"/>
      <c r="AI31" s="1301"/>
      <c r="AJ31" s="1301"/>
      <c r="AK31" s="1302"/>
      <c r="AL31" s="1302"/>
      <c r="AM31" s="116"/>
      <c r="AN31" s="116"/>
      <c r="AO31" s="35"/>
      <c r="AP31" s="136"/>
      <c r="AQ31" s="495"/>
      <c r="AR31" s="138"/>
      <c r="AS31" s="376"/>
    </row>
    <row r="32" spans="1:48" ht="15.75" thickBot="1">
      <c r="A32" s="146"/>
      <c r="B32" s="124"/>
      <c r="C32" s="1245"/>
      <c r="D32" s="1245"/>
      <c r="E32" s="1245"/>
      <c r="F32" s="1245"/>
      <c r="G32" s="1318"/>
      <c r="H32" s="1258"/>
      <c r="I32" s="148"/>
      <c r="J32" s="125"/>
      <c r="K32" s="22"/>
      <c r="L32" s="22"/>
      <c r="M32" s="142"/>
      <c r="N32" s="22"/>
      <c r="O32" s="62"/>
      <c r="P32" s="403">
        <v>9</v>
      </c>
      <c r="Q32" s="1207" t="s">
        <v>31</v>
      </c>
      <c r="R32" s="1207"/>
      <c r="S32" s="1207"/>
      <c r="T32" s="1207"/>
      <c r="U32" s="1196" t="s">
        <v>18</v>
      </c>
      <c r="V32" s="1196"/>
      <c r="W32" s="411">
        <f t="shared" si="5"/>
        <v>656</v>
      </c>
      <c r="X32" s="405"/>
      <c r="Y32" s="406">
        <v>100</v>
      </c>
      <c r="Z32" s="407"/>
      <c r="AA32" s="1174">
        <f t="shared" si="4"/>
        <v>87.795500000000004</v>
      </c>
      <c r="AB32" s="87"/>
      <c r="AC32" s="396">
        <f>'Таблиця цін схема №1'!EW51+'Таблиця цін схема №2'!DY84+'Таблиця цін схема №2'!EC84+'Таблиця цін схема №3'!BU22+'Таблиця цін схема №3'!CC22</f>
        <v>19</v>
      </c>
      <c r="AD32">
        <v>103.9</v>
      </c>
      <c r="AF32" s="49"/>
      <c r="AG32" s="1303"/>
      <c r="AH32" s="1303"/>
      <c r="AI32" s="1303"/>
      <c r="AJ32" s="1303"/>
      <c r="AK32" s="1281"/>
      <c r="AL32" s="1281"/>
      <c r="AM32" s="117"/>
      <c r="AN32" s="117"/>
      <c r="AO32" s="36"/>
      <c r="AP32" s="137"/>
      <c r="AQ32" s="498"/>
      <c r="AR32" s="139"/>
      <c r="AS32" s="377"/>
    </row>
    <row r="33" spans="1:47" ht="15">
      <c r="A33" s="146"/>
      <c r="B33" s="124"/>
      <c r="C33" s="1245"/>
      <c r="D33" s="1245"/>
      <c r="E33" s="1245"/>
      <c r="F33" s="1245"/>
      <c r="G33" s="1318"/>
      <c r="H33" s="1258"/>
      <c r="I33" s="148"/>
      <c r="J33" s="125"/>
      <c r="K33" s="22"/>
      <c r="L33" s="22"/>
      <c r="M33" s="142"/>
      <c r="N33" s="22"/>
      <c r="O33" s="62"/>
      <c r="P33" s="403">
        <v>10</v>
      </c>
      <c r="Q33" s="1207" t="s">
        <v>31</v>
      </c>
      <c r="R33" s="1207"/>
      <c r="S33" s="1207"/>
      <c r="T33" s="1207"/>
      <c r="U33" s="1196" t="s">
        <v>18</v>
      </c>
      <c r="V33" s="1196"/>
      <c r="W33" s="411">
        <f t="shared" si="5"/>
        <v>656</v>
      </c>
      <c r="X33" s="405"/>
      <c r="Y33" s="406">
        <v>125</v>
      </c>
      <c r="Z33" s="407"/>
      <c r="AA33" s="1174">
        <f t="shared" si="4"/>
        <v>181.92850000000001</v>
      </c>
      <c r="AB33" s="87"/>
      <c r="AC33" s="396">
        <f>'Таблиця цін схема №1'!EW52+'Таблиця цін схема №2'!DY85+'Таблиця цін схема №2'!EC85+'Таблиця цін схема №3'!BU23+'Таблиця цін схема №3'!CC23</f>
        <v>6</v>
      </c>
      <c r="AD33">
        <v>215.3</v>
      </c>
      <c r="AQ33" s="144"/>
    </row>
    <row r="34" spans="1:47" ht="15">
      <c r="A34" s="146"/>
      <c r="B34" s="124"/>
      <c r="C34" s="1245"/>
      <c r="D34" s="1245"/>
      <c r="E34" s="1245"/>
      <c r="F34" s="1245"/>
      <c r="G34" s="1318"/>
      <c r="H34" s="1258"/>
      <c r="I34" s="148"/>
      <c r="J34" s="125"/>
      <c r="K34" s="22"/>
      <c r="L34" s="22"/>
      <c r="M34" s="142"/>
      <c r="N34" s="22"/>
      <c r="O34" s="62"/>
      <c r="P34" s="47"/>
      <c r="Q34" s="1217"/>
      <c r="R34" s="1217"/>
      <c r="S34" s="1217"/>
      <c r="T34" s="1217"/>
      <c r="U34" s="1219"/>
      <c r="V34" s="1219"/>
      <c r="W34" s="46"/>
      <c r="X34" s="121"/>
      <c r="Y34" s="13"/>
      <c r="Z34" s="100"/>
      <c r="AA34" s="177"/>
      <c r="AB34" s="87"/>
      <c r="AC34" s="359"/>
      <c r="AN34" s="507">
        <v>0.19</v>
      </c>
      <c r="AP34" s="185"/>
      <c r="AQ34" s="17"/>
    </row>
    <row r="35" spans="1:47" ht="15.75" thickBot="1">
      <c r="A35" s="146"/>
      <c r="B35" s="124"/>
      <c r="C35" s="1245"/>
      <c r="D35" s="1245"/>
      <c r="E35" s="1245"/>
      <c r="F35" s="1245"/>
      <c r="G35" s="1318"/>
      <c r="H35" s="1258"/>
      <c r="I35" s="148"/>
      <c r="J35" s="125"/>
      <c r="K35" s="22"/>
      <c r="L35" s="22"/>
      <c r="M35" s="142"/>
      <c r="N35" s="22"/>
      <c r="O35" s="62"/>
      <c r="P35" s="47"/>
      <c r="Q35" s="1217"/>
      <c r="R35" s="1217"/>
      <c r="S35" s="1217"/>
      <c r="T35" s="1217"/>
      <c r="U35" s="1219"/>
      <c r="V35" s="1219"/>
      <c r="W35" s="46"/>
      <c r="X35" s="121"/>
      <c r="Y35" s="13"/>
      <c r="Z35" s="79"/>
      <c r="AA35" s="177"/>
      <c r="AB35" s="87"/>
      <c r="AC35" s="363"/>
      <c r="AF35" s="1205" t="s">
        <v>72</v>
      </c>
      <c r="AG35" s="1206"/>
      <c r="AH35" s="1206"/>
      <c r="AI35" s="1206"/>
      <c r="AJ35" s="1206"/>
      <c r="AK35" s="1206"/>
      <c r="AL35" s="1206"/>
      <c r="AM35" s="1206"/>
      <c r="AN35" s="1206"/>
      <c r="AO35" s="1206"/>
      <c r="AP35" s="1206"/>
      <c r="AQ35" s="1206"/>
      <c r="AR35" s="1206"/>
      <c r="AU35" s="113" t="s">
        <v>1114</v>
      </c>
    </row>
    <row r="36" spans="1:47" ht="15.75" thickBot="1">
      <c r="A36" s="146"/>
      <c r="B36" s="124"/>
      <c r="C36" s="1245"/>
      <c r="D36" s="1245"/>
      <c r="E36" s="1245"/>
      <c r="F36" s="1245"/>
      <c r="G36" s="1318"/>
      <c r="H36" s="1258"/>
      <c r="I36" s="148"/>
      <c r="J36" s="125"/>
      <c r="K36" s="22"/>
      <c r="L36" s="22"/>
      <c r="M36" s="142"/>
      <c r="N36" s="22"/>
      <c r="O36" s="62"/>
      <c r="P36" s="49"/>
      <c r="Q36" s="1230"/>
      <c r="R36" s="1230"/>
      <c r="S36" s="1230"/>
      <c r="T36" s="1230"/>
      <c r="U36" s="1232"/>
      <c r="V36" s="1232"/>
      <c r="W36" s="129"/>
      <c r="X36" s="123"/>
      <c r="Y36" s="14"/>
      <c r="Z36" s="86"/>
      <c r="AA36" s="178"/>
      <c r="AB36" s="88"/>
      <c r="AC36" s="362"/>
      <c r="AF36" s="2" t="s">
        <v>15</v>
      </c>
      <c r="AG36" s="1308" t="s">
        <v>36</v>
      </c>
      <c r="AH36" s="1211"/>
      <c r="AI36" s="1211"/>
      <c r="AJ36" s="1211"/>
      <c r="AK36" s="1211" t="s">
        <v>20</v>
      </c>
      <c r="AL36" s="1211"/>
      <c r="AM36" s="3" t="s">
        <v>3</v>
      </c>
      <c r="AN36" s="50" t="s">
        <v>21</v>
      </c>
      <c r="AO36" s="50" t="s">
        <v>22</v>
      </c>
      <c r="AP36" s="99"/>
      <c r="AQ36" s="175" t="s">
        <v>7</v>
      </c>
      <c r="AR36" s="80" t="s">
        <v>7</v>
      </c>
      <c r="AS36" s="4" t="s">
        <v>9</v>
      </c>
    </row>
    <row r="37" spans="1:47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62"/>
      <c r="AA37" s="144"/>
      <c r="AB37" s="186"/>
      <c r="AF37" s="47" t="s">
        <v>16</v>
      </c>
      <c r="AG37" s="1212"/>
      <c r="AH37" s="1212"/>
      <c r="AI37" s="1212"/>
      <c r="AJ37" s="1212"/>
      <c r="AK37" s="1212"/>
      <c r="AL37" s="1212"/>
      <c r="AM37" s="1" t="s">
        <v>24</v>
      </c>
      <c r="AN37" s="48" t="s">
        <v>1</v>
      </c>
      <c r="AO37" s="48" t="s">
        <v>2</v>
      </c>
      <c r="AP37" s="100"/>
      <c r="AQ37" s="176" t="s">
        <v>651</v>
      </c>
      <c r="AR37" s="81" t="s">
        <v>23</v>
      </c>
      <c r="AS37" s="380" t="s">
        <v>93</v>
      </c>
    </row>
    <row r="38" spans="1:47" ht="15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AA38" s="144"/>
      <c r="AF38" s="47">
        <v>1</v>
      </c>
      <c r="AG38" s="1301" t="s">
        <v>29</v>
      </c>
      <c r="AH38" s="1301"/>
      <c r="AI38" s="1301"/>
      <c r="AJ38" s="1301"/>
      <c r="AK38" s="1302" t="s">
        <v>18</v>
      </c>
      <c r="AL38" s="1302"/>
      <c r="AM38" s="188" t="s">
        <v>30</v>
      </c>
      <c r="AN38" s="116"/>
      <c r="AO38" s="35">
        <v>15</v>
      </c>
      <c r="AP38" s="136"/>
      <c r="AQ38" s="497"/>
      <c r="AR38" s="138"/>
      <c r="AS38" s="397">
        <f>'Таблиця цін схема №1'!FA43+'Таблиця цін схема №1'!FE43+'Таблиця цін схема №2'!EG76+'Таблиця цін схема №2'!EK76</f>
        <v>0</v>
      </c>
    </row>
    <row r="39" spans="1:47" ht="15">
      <c r="AF39" s="403">
        <v>2</v>
      </c>
      <c r="AG39" s="1294" t="s">
        <v>29</v>
      </c>
      <c r="AH39" s="1294"/>
      <c r="AI39" s="1294"/>
      <c r="AJ39" s="1294"/>
      <c r="AK39" s="1293" t="s">
        <v>18</v>
      </c>
      <c r="AL39" s="1293"/>
      <c r="AM39" s="408" t="s">
        <v>30</v>
      </c>
      <c r="AN39" s="408"/>
      <c r="AO39" s="409">
        <v>20</v>
      </c>
      <c r="AP39" s="410"/>
      <c r="AQ39" s="187">
        <f>AU39-AU39*$AN$34</f>
        <v>4.5359999999999996</v>
      </c>
      <c r="AR39" s="138"/>
      <c r="AS39" s="397">
        <f>'Таблиця цін схема №1'!FA44+'Таблиця цін схема №1'!FE44+'Таблиця цін схема №2'!EG77+'Таблиця цін схема №2'!EK77</f>
        <v>43</v>
      </c>
      <c r="AU39">
        <v>5.6</v>
      </c>
    </row>
    <row r="40" spans="1:47" ht="15.75" thickBot="1">
      <c r="B40" s="1206" t="s">
        <v>32</v>
      </c>
      <c r="C40" s="1206"/>
      <c r="D40" s="1206"/>
      <c r="E40" s="1206"/>
      <c r="F40" s="1206"/>
      <c r="G40" s="1206"/>
      <c r="H40" s="1206"/>
      <c r="I40" s="1206"/>
      <c r="J40" s="1206"/>
      <c r="K40" s="1206"/>
      <c r="L40" s="1206"/>
      <c r="M40" s="1206"/>
      <c r="N40" s="1206"/>
      <c r="P40" s="1205"/>
      <c r="Q40" s="1206"/>
      <c r="R40" s="1206"/>
      <c r="S40" s="1206"/>
      <c r="T40" s="1206"/>
      <c r="U40" s="1206"/>
      <c r="V40" s="1206"/>
      <c r="W40" s="1206"/>
      <c r="X40" s="1206"/>
      <c r="Y40" s="1206"/>
      <c r="Z40" s="1206"/>
      <c r="AA40" s="1206"/>
      <c r="AB40" s="1206"/>
      <c r="AF40" s="403">
        <v>3</v>
      </c>
      <c r="AG40" s="1294" t="s">
        <v>29</v>
      </c>
      <c r="AH40" s="1294"/>
      <c r="AI40" s="1294"/>
      <c r="AJ40" s="1294"/>
      <c r="AK40" s="1293" t="s">
        <v>18</v>
      </c>
      <c r="AL40" s="1293"/>
      <c r="AM40" s="408" t="s">
        <v>30</v>
      </c>
      <c r="AN40" s="408"/>
      <c r="AO40" s="409">
        <v>25</v>
      </c>
      <c r="AP40" s="410"/>
      <c r="AQ40" s="187">
        <f t="shared" ref="AQ40:AQ41" si="6">AU40-AU40*$AN$34</f>
        <v>6.9659999999999993</v>
      </c>
      <c r="AR40" s="138"/>
      <c r="AS40" s="397">
        <f>'Таблиця цін схема №1'!FA45+'Таблиця цін схема №1'!FE45+'Таблиця цін схема №2'!EG78+'Таблиця цін схема №2'!EK78</f>
        <v>33</v>
      </c>
      <c r="AU40">
        <v>8.6</v>
      </c>
    </row>
    <row r="41" spans="1:47" ht="25.5">
      <c r="B41" s="2" t="s">
        <v>15</v>
      </c>
      <c r="C41" s="1211" t="s">
        <v>17</v>
      </c>
      <c r="D41" s="1211"/>
      <c r="E41" s="1211"/>
      <c r="F41" s="1211"/>
      <c r="G41" s="1211" t="s">
        <v>20</v>
      </c>
      <c r="H41" s="1211"/>
      <c r="I41" s="3" t="s">
        <v>3</v>
      </c>
      <c r="J41" s="50" t="s">
        <v>34</v>
      </c>
      <c r="K41" s="50" t="s">
        <v>22</v>
      </c>
      <c r="L41" s="99"/>
      <c r="M41" s="175" t="s">
        <v>7</v>
      </c>
      <c r="N41" s="80" t="s">
        <v>7</v>
      </c>
      <c r="O41" s="4" t="s">
        <v>9</v>
      </c>
      <c r="P41" s="122"/>
      <c r="Q41" s="368"/>
      <c r="R41" s="369"/>
      <c r="S41" s="110" t="s">
        <v>395</v>
      </c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F41" s="403">
        <v>4</v>
      </c>
      <c r="AG41" s="1294" t="s">
        <v>29</v>
      </c>
      <c r="AH41" s="1294"/>
      <c r="AI41" s="1294"/>
      <c r="AJ41" s="1294"/>
      <c r="AK41" s="1293" t="s">
        <v>18</v>
      </c>
      <c r="AL41" s="1293"/>
      <c r="AM41" s="408" t="s">
        <v>30</v>
      </c>
      <c r="AN41" s="408"/>
      <c r="AO41" s="409">
        <v>32</v>
      </c>
      <c r="AP41" s="410"/>
      <c r="AQ41" s="187">
        <f t="shared" si="6"/>
        <v>10.773</v>
      </c>
      <c r="AR41" s="138"/>
      <c r="AS41" s="397">
        <f>'Таблиця цін схема №1'!FA46+'Таблиця цін схема №1'!FE46+'Таблиця цін схема №2'!EG79+'Таблиця цін схема №2'!EK79</f>
        <v>42</v>
      </c>
      <c r="AU41">
        <v>13.3</v>
      </c>
    </row>
    <row r="42" spans="1:47" ht="15.75" thickBot="1">
      <c r="B42" s="47" t="s">
        <v>16</v>
      </c>
      <c r="C42" s="1212"/>
      <c r="D42" s="1212"/>
      <c r="E42" s="1212"/>
      <c r="F42" s="1212"/>
      <c r="G42" s="1212"/>
      <c r="H42" s="1212"/>
      <c r="I42" s="1" t="s">
        <v>24</v>
      </c>
      <c r="J42" s="48" t="s">
        <v>4</v>
      </c>
      <c r="K42" s="48" t="s">
        <v>2</v>
      </c>
      <c r="L42" s="100"/>
      <c r="M42" s="176" t="s">
        <v>651</v>
      </c>
      <c r="N42" s="81" t="s">
        <v>23</v>
      </c>
      <c r="O42" s="126" t="s">
        <v>93</v>
      </c>
      <c r="P42" s="122"/>
      <c r="Q42" s="370"/>
      <c r="R42" s="371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62"/>
      <c r="AF42" s="403">
        <v>5</v>
      </c>
      <c r="AG42" s="1294" t="s">
        <v>31</v>
      </c>
      <c r="AH42" s="1294"/>
      <c r="AI42" s="1294"/>
      <c r="AJ42" s="1294"/>
      <c r="AK42" s="1293" t="s">
        <v>18</v>
      </c>
      <c r="AL42" s="1293"/>
      <c r="AM42" s="411" t="s">
        <v>366</v>
      </c>
      <c r="AN42" s="408"/>
      <c r="AO42" s="409">
        <v>40</v>
      </c>
      <c r="AP42" s="410"/>
      <c r="AQ42" s="187">
        <f>AA28</f>
        <v>20.3645</v>
      </c>
      <c r="AR42" s="138"/>
      <c r="AS42" s="397">
        <f>'Таблиця цін схема №1'!FA47+'Таблиця цін схема №1'!FE47+'Таблиця цін схема №2'!EG80+'Таблиця цін схема №2'!EK80</f>
        <v>41</v>
      </c>
    </row>
    <row r="43" spans="1:47" ht="15">
      <c r="A43" s="144"/>
      <c r="B43" s="47">
        <v>1</v>
      </c>
      <c r="C43" s="1217" t="s">
        <v>33</v>
      </c>
      <c r="D43" s="1217"/>
      <c r="E43" s="1217"/>
      <c r="F43" s="1217"/>
      <c r="G43" s="1219" t="s">
        <v>35</v>
      </c>
      <c r="H43" s="1219"/>
      <c r="I43" s="121"/>
      <c r="J43" s="15">
        <v>50</v>
      </c>
      <c r="K43" s="13">
        <v>25</v>
      </c>
      <c r="L43" s="100"/>
      <c r="M43" s="177"/>
      <c r="N43" s="87"/>
      <c r="O43" s="390">
        <f>'Таблиця цін схема №1'!GS43</f>
        <v>0</v>
      </c>
      <c r="P43" s="122"/>
      <c r="Q43" s="122"/>
      <c r="R43" s="106"/>
      <c r="S43" s="106"/>
      <c r="T43" s="106"/>
      <c r="U43" s="106"/>
      <c r="V43" s="106"/>
      <c r="W43" s="106"/>
      <c r="X43" s="122"/>
      <c r="Y43" s="122"/>
      <c r="Z43" s="122"/>
      <c r="AA43" s="122"/>
      <c r="AB43" s="122"/>
      <c r="AC43" s="122"/>
      <c r="AD43" s="62"/>
      <c r="AF43" s="403">
        <v>6</v>
      </c>
      <c r="AG43" s="1294" t="s">
        <v>31</v>
      </c>
      <c r="AH43" s="1294"/>
      <c r="AI43" s="1294"/>
      <c r="AJ43" s="1294"/>
      <c r="AK43" s="1293" t="s">
        <v>18</v>
      </c>
      <c r="AL43" s="1293"/>
      <c r="AM43" s="411" t="s">
        <v>366</v>
      </c>
      <c r="AN43" s="408"/>
      <c r="AO43" s="409">
        <v>50</v>
      </c>
      <c r="AP43" s="410"/>
      <c r="AQ43" s="187">
        <f t="shared" ref="AQ43:AQ46" si="7">AA29</f>
        <v>28.560999999999996</v>
      </c>
      <c r="AR43" s="138"/>
      <c r="AS43" s="397">
        <f>'Таблиця цін схема №1'!FA48+'Таблиця цін схема №1'!FE48+'Таблиця цін схема №2'!EG81+'Таблиця цін схема №2'!EK81</f>
        <v>23</v>
      </c>
    </row>
    <row r="44" spans="1:47" ht="20.25">
      <c r="B44" s="47">
        <v>2</v>
      </c>
      <c r="C44" s="1217" t="s">
        <v>33</v>
      </c>
      <c r="D44" s="1217"/>
      <c r="E44" s="1217"/>
      <c r="F44" s="1217"/>
      <c r="G44" s="1219" t="s">
        <v>35</v>
      </c>
      <c r="H44" s="1219"/>
      <c r="I44" s="121"/>
      <c r="J44" s="15">
        <v>80</v>
      </c>
      <c r="K44" s="13">
        <v>25</v>
      </c>
      <c r="L44" s="100"/>
      <c r="M44" s="179"/>
      <c r="N44" s="87"/>
      <c r="O44" s="390">
        <f>'Таблиця цін схема №1'!GS44</f>
        <v>0</v>
      </c>
      <c r="P44" s="122"/>
      <c r="Q44" s="1270" t="s">
        <v>396</v>
      </c>
      <c r="R44" s="1270"/>
      <c r="S44" s="1270"/>
      <c r="T44" s="1270"/>
      <c r="U44" s="1270"/>
      <c r="V44" s="1270"/>
      <c r="W44" s="1270"/>
      <c r="X44" s="1270"/>
      <c r="Y44" s="1270"/>
      <c r="Z44" s="1270"/>
      <c r="AA44" s="1270"/>
      <c r="AB44" s="1270"/>
      <c r="AC44" s="1270"/>
      <c r="AD44" s="1270"/>
      <c r="AF44" s="403">
        <v>7</v>
      </c>
      <c r="AG44" s="1294" t="s">
        <v>31</v>
      </c>
      <c r="AH44" s="1294"/>
      <c r="AI44" s="1294"/>
      <c r="AJ44" s="1294"/>
      <c r="AK44" s="1293" t="s">
        <v>18</v>
      </c>
      <c r="AL44" s="1293"/>
      <c r="AM44" s="411" t="str">
        <f>AM43</f>
        <v>656</v>
      </c>
      <c r="AN44" s="408"/>
      <c r="AO44" s="409">
        <v>65</v>
      </c>
      <c r="AP44" s="410"/>
      <c r="AQ44" s="187">
        <f t="shared" si="7"/>
        <v>42.080999999999996</v>
      </c>
      <c r="AR44" s="138"/>
      <c r="AS44" s="397">
        <f>'Таблиця цін схема №1'!FA49+'Таблиця цін схема №1'!FE49+'Таблиця цін схема №2'!EG82+'Таблиця цін схема №2'!EK82</f>
        <v>12</v>
      </c>
    </row>
    <row r="45" spans="1:47" ht="15">
      <c r="B45" s="47">
        <v>3</v>
      </c>
      <c r="C45" s="1217" t="s">
        <v>33</v>
      </c>
      <c r="D45" s="1217"/>
      <c r="E45" s="1217"/>
      <c r="F45" s="1217"/>
      <c r="G45" s="1219" t="s">
        <v>35</v>
      </c>
      <c r="H45" s="1219"/>
      <c r="I45" s="121"/>
      <c r="J45" s="15">
        <v>100</v>
      </c>
      <c r="K45" s="13">
        <v>25</v>
      </c>
      <c r="L45" s="100"/>
      <c r="M45" s="179"/>
      <c r="N45" s="87"/>
      <c r="O45" s="390">
        <f>'Таблиця цін схема №1'!GS45</f>
        <v>0</v>
      </c>
      <c r="P45" s="122"/>
      <c r="Q45" s="108"/>
      <c r="R45" s="108"/>
      <c r="S45" s="108"/>
      <c r="T45" s="108"/>
      <c r="U45" s="109"/>
      <c r="V45" s="109"/>
      <c r="W45" s="125"/>
      <c r="X45" s="98"/>
      <c r="Y45" s="22"/>
      <c r="Z45" s="22"/>
      <c r="AA45" s="22"/>
      <c r="AB45" s="22"/>
      <c r="AF45" s="403">
        <v>8</v>
      </c>
      <c r="AG45" s="1294" t="s">
        <v>31</v>
      </c>
      <c r="AH45" s="1294"/>
      <c r="AI45" s="1294"/>
      <c r="AJ45" s="1294"/>
      <c r="AK45" s="1293" t="s">
        <v>18</v>
      </c>
      <c r="AL45" s="1293"/>
      <c r="AM45" s="411" t="str">
        <f t="shared" ref="AM45:AM47" si="8">AM44</f>
        <v>656</v>
      </c>
      <c r="AN45" s="408"/>
      <c r="AO45" s="409">
        <v>80</v>
      </c>
      <c r="AP45" s="410"/>
      <c r="AQ45" s="187">
        <f t="shared" si="7"/>
        <v>60.079499999999996</v>
      </c>
      <c r="AR45" s="138"/>
      <c r="AS45" s="397">
        <f>'Таблиця цін схема №1'!FA50+'Таблиця цін схема №1'!FE50+'Таблиця цін схема №2'!EG83+'Таблиця цін схема №2'!EK83</f>
        <v>3</v>
      </c>
    </row>
    <row r="46" spans="1:47" ht="15">
      <c r="B46" s="47">
        <v>4</v>
      </c>
      <c r="C46" s="1217" t="s">
        <v>33</v>
      </c>
      <c r="D46" s="1217"/>
      <c r="E46" s="1217"/>
      <c r="F46" s="1217"/>
      <c r="G46" s="1219" t="s">
        <v>35</v>
      </c>
      <c r="H46" s="1219"/>
      <c r="I46" s="121"/>
      <c r="J46" s="15">
        <v>150</v>
      </c>
      <c r="K46" s="13">
        <v>25</v>
      </c>
      <c r="L46" s="100"/>
      <c r="M46" s="179"/>
      <c r="N46" s="87"/>
      <c r="O46" s="390">
        <f>'Таблиця цін схема №1'!GS46</f>
        <v>0</v>
      </c>
      <c r="P46" s="122"/>
      <c r="Q46" s="108"/>
      <c r="R46" s="108"/>
      <c r="S46" s="108"/>
      <c r="T46" s="108"/>
      <c r="U46" s="109"/>
      <c r="V46" s="109"/>
      <c r="W46" s="125"/>
      <c r="X46" s="98"/>
      <c r="Y46" s="22"/>
      <c r="Z46" s="22"/>
      <c r="AA46" s="22"/>
      <c r="AB46" s="22"/>
      <c r="AF46" s="403">
        <v>9</v>
      </c>
      <c r="AG46" s="1294" t="s">
        <v>31</v>
      </c>
      <c r="AH46" s="1294"/>
      <c r="AI46" s="1294"/>
      <c r="AJ46" s="1294"/>
      <c r="AK46" s="1293" t="s">
        <v>18</v>
      </c>
      <c r="AL46" s="1293"/>
      <c r="AM46" s="411" t="str">
        <f t="shared" si="8"/>
        <v>656</v>
      </c>
      <c r="AN46" s="408"/>
      <c r="AO46" s="409">
        <v>100</v>
      </c>
      <c r="AP46" s="410"/>
      <c r="AQ46" s="187">
        <f t="shared" si="7"/>
        <v>87.795500000000004</v>
      </c>
      <c r="AR46" s="138"/>
      <c r="AS46" s="397">
        <f>'Таблиця цін схема №1'!FA51+'Таблиця цін схема №1'!FE51+'Таблиця цін схема №2'!EG84+'Таблиця цін схема №2'!EK84</f>
        <v>1</v>
      </c>
    </row>
    <row r="47" spans="1:47" ht="15">
      <c r="B47" s="47">
        <v>5</v>
      </c>
      <c r="C47" s="1217" t="s">
        <v>33</v>
      </c>
      <c r="D47" s="1217"/>
      <c r="E47" s="1217"/>
      <c r="F47" s="1217"/>
      <c r="G47" s="1219" t="s">
        <v>35</v>
      </c>
      <c r="H47" s="1219"/>
      <c r="I47" s="121"/>
      <c r="J47" s="15">
        <v>200</v>
      </c>
      <c r="K47" s="13">
        <v>25</v>
      </c>
      <c r="L47" s="100"/>
      <c r="M47" s="179"/>
      <c r="N47" s="87"/>
      <c r="O47" s="390">
        <f>'Таблиця цін схема №1'!GS47</f>
        <v>0</v>
      </c>
      <c r="P47" s="122"/>
      <c r="Q47" s="108"/>
      <c r="R47" s="108"/>
      <c r="S47" s="108"/>
      <c r="T47" s="108"/>
      <c r="U47" s="109"/>
      <c r="V47" s="109"/>
      <c r="W47" s="125"/>
      <c r="X47" s="98"/>
      <c r="Y47" s="22"/>
      <c r="Z47" s="22"/>
      <c r="AA47" s="22"/>
      <c r="AB47" s="22"/>
      <c r="AF47" s="28">
        <v>10</v>
      </c>
      <c r="AG47" s="1301" t="s">
        <v>31</v>
      </c>
      <c r="AH47" s="1301"/>
      <c r="AI47" s="1301"/>
      <c r="AJ47" s="1301"/>
      <c r="AK47" s="1302" t="s">
        <v>18</v>
      </c>
      <c r="AL47" s="1302"/>
      <c r="AM47" s="46" t="str">
        <f t="shared" si="8"/>
        <v>656</v>
      </c>
      <c r="AN47" s="474"/>
      <c r="AO47" s="35">
        <v>125</v>
      </c>
      <c r="AP47" s="136"/>
      <c r="AQ47" s="495"/>
      <c r="AR47" s="138"/>
      <c r="AS47" s="397">
        <f>'Таблиця цін схема №1'!FA52+'Таблиця цін схема №1'!FE52+'Таблиця цін схема №2'!EG85+'Таблиця цін схема №2'!EK85</f>
        <v>0</v>
      </c>
    </row>
    <row r="48" spans="1:47" ht="15">
      <c r="B48" s="403">
        <v>6</v>
      </c>
      <c r="C48" s="1207" t="s">
        <v>33</v>
      </c>
      <c r="D48" s="1207"/>
      <c r="E48" s="1207"/>
      <c r="F48" s="1207"/>
      <c r="G48" s="1196" t="s">
        <v>35</v>
      </c>
      <c r="H48" s="1196"/>
      <c r="I48" s="405"/>
      <c r="J48" s="404">
        <v>300</v>
      </c>
      <c r="K48" s="406">
        <v>32</v>
      </c>
      <c r="L48" s="407"/>
      <c r="M48" s="89">
        <v>152.54</v>
      </c>
      <c r="N48" s="87"/>
      <c r="O48" s="390">
        <f>'Таблиця цін схема №1'!GS48</f>
        <v>2</v>
      </c>
      <c r="P48" s="122"/>
      <c r="Q48" s="143"/>
      <c r="R48" s="108"/>
      <c r="S48" s="108"/>
      <c r="T48" s="108"/>
      <c r="U48" s="109"/>
      <c r="V48" s="109"/>
      <c r="W48" s="141"/>
      <c r="X48" s="98"/>
      <c r="Y48" s="22"/>
      <c r="Z48" s="22"/>
      <c r="AA48" s="22"/>
      <c r="AB48" s="22"/>
      <c r="AF48" s="47"/>
      <c r="AG48" s="1301"/>
      <c r="AH48" s="1301"/>
      <c r="AI48" s="1301"/>
      <c r="AJ48" s="1301"/>
      <c r="AK48" s="1302"/>
      <c r="AL48" s="1302"/>
      <c r="AM48" s="46"/>
      <c r="AN48" s="116"/>
      <c r="AO48" s="35"/>
      <c r="AP48" s="136"/>
      <c r="AQ48" s="495"/>
      <c r="AR48" s="138"/>
      <c r="AS48" s="376"/>
    </row>
    <row r="49" spans="2:52" ht="15">
      <c r="B49" s="403">
        <v>7</v>
      </c>
      <c r="C49" s="1207" t="s">
        <v>33</v>
      </c>
      <c r="D49" s="1207"/>
      <c r="E49" s="1207"/>
      <c r="F49" s="1207"/>
      <c r="G49" s="1196" t="s">
        <v>35</v>
      </c>
      <c r="H49" s="1196"/>
      <c r="I49" s="405"/>
      <c r="J49" s="404">
        <v>500</v>
      </c>
      <c r="K49" s="406">
        <v>32</v>
      </c>
      <c r="L49" s="407"/>
      <c r="M49" s="89">
        <v>249.72</v>
      </c>
      <c r="N49" s="87"/>
      <c r="O49" s="390">
        <f>'Таблиця цін схема №1'!GS49</f>
        <v>10</v>
      </c>
      <c r="P49" s="122"/>
      <c r="Q49" s="1245"/>
      <c r="R49" s="1245"/>
      <c r="S49" s="1245"/>
      <c r="T49" s="1245"/>
      <c r="U49" s="1258"/>
      <c r="V49" s="1258"/>
      <c r="W49" s="125"/>
      <c r="X49" s="98"/>
      <c r="Y49" s="22"/>
      <c r="Z49" s="22"/>
      <c r="AA49" s="142"/>
      <c r="AB49" s="22"/>
      <c r="AF49" s="47"/>
      <c r="AG49" s="1301"/>
      <c r="AH49" s="1301"/>
      <c r="AI49" s="1301"/>
      <c r="AJ49" s="1301"/>
      <c r="AK49" s="1302"/>
      <c r="AL49" s="1302"/>
      <c r="AM49" s="46"/>
      <c r="AN49" s="116"/>
      <c r="AO49" s="35"/>
      <c r="AP49" s="136"/>
      <c r="AQ49" s="495"/>
      <c r="AR49" s="138"/>
      <c r="AS49" s="376"/>
    </row>
    <row r="50" spans="2:52" ht="15.75" thickBot="1">
      <c r="B50" s="403">
        <v>8</v>
      </c>
      <c r="C50" s="1207" t="s">
        <v>33</v>
      </c>
      <c r="D50" s="1207"/>
      <c r="E50" s="1207"/>
      <c r="F50" s="1207"/>
      <c r="G50" s="1196" t="s">
        <v>35</v>
      </c>
      <c r="H50" s="1196"/>
      <c r="I50" s="405"/>
      <c r="J50" s="404">
        <v>750</v>
      </c>
      <c r="K50" s="406">
        <v>32</v>
      </c>
      <c r="L50" s="407"/>
      <c r="M50" s="89">
        <v>376.94</v>
      </c>
      <c r="N50" s="87"/>
      <c r="O50" s="390">
        <f>'Таблиця цін схема №1'!GS50</f>
        <v>18</v>
      </c>
      <c r="P50" s="122"/>
      <c r="Q50" s="1245"/>
      <c r="R50" s="1245"/>
      <c r="S50" s="1245"/>
      <c r="T50" s="1245"/>
      <c r="U50" s="1258"/>
      <c r="V50" s="1258"/>
      <c r="W50" s="125"/>
      <c r="X50" s="98"/>
      <c r="Y50" s="22"/>
      <c r="Z50" s="22"/>
      <c r="AA50" s="142"/>
      <c r="AB50" s="22"/>
      <c r="AF50" s="49"/>
      <c r="AG50" s="1303"/>
      <c r="AH50" s="1303"/>
      <c r="AI50" s="1303"/>
      <c r="AJ50" s="1303"/>
      <c r="AK50" s="1281"/>
      <c r="AL50" s="1281"/>
      <c r="AM50" s="129"/>
      <c r="AN50" s="117"/>
      <c r="AO50" s="36"/>
      <c r="AP50" s="137"/>
      <c r="AQ50" s="496"/>
      <c r="AR50" s="140"/>
      <c r="AS50" s="377"/>
    </row>
    <row r="51" spans="2:52" ht="15">
      <c r="B51" s="403">
        <v>9</v>
      </c>
      <c r="C51" s="1207" t="s">
        <v>33</v>
      </c>
      <c r="D51" s="1207"/>
      <c r="E51" s="1207"/>
      <c r="F51" s="1207"/>
      <c r="G51" s="1196" t="s">
        <v>35</v>
      </c>
      <c r="H51" s="1196"/>
      <c r="I51" s="405"/>
      <c r="J51" s="404">
        <v>1000</v>
      </c>
      <c r="K51" s="406">
        <v>50</v>
      </c>
      <c r="L51" s="407"/>
      <c r="M51" s="89">
        <v>603.23</v>
      </c>
      <c r="N51" s="87"/>
      <c r="O51" s="390">
        <f>'Таблиця цін схема №1'!GS51</f>
        <v>9</v>
      </c>
      <c r="P51" s="122"/>
      <c r="Q51" s="1245"/>
      <c r="R51" s="1245"/>
      <c r="S51" s="1245"/>
      <c r="T51" s="1245"/>
      <c r="U51" s="1258"/>
      <c r="V51" s="1258"/>
      <c r="W51" s="125"/>
      <c r="X51" s="98"/>
      <c r="Y51" s="22"/>
      <c r="Z51" s="22"/>
      <c r="AA51" s="142"/>
      <c r="AB51" s="22"/>
      <c r="AN51" s="507">
        <v>0.21</v>
      </c>
    </row>
    <row r="52" spans="2:52" ht="15.75" thickBot="1">
      <c r="B52" s="47">
        <v>10</v>
      </c>
      <c r="C52" s="1217" t="s">
        <v>33</v>
      </c>
      <c r="D52" s="1217"/>
      <c r="E52" s="1217"/>
      <c r="F52" s="1217"/>
      <c r="G52" s="1219" t="s">
        <v>35</v>
      </c>
      <c r="H52" s="1219"/>
      <c r="I52" s="121"/>
      <c r="J52" s="15">
        <v>1500</v>
      </c>
      <c r="K52" s="13">
        <v>65</v>
      </c>
      <c r="L52" s="100"/>
      <c r="M52" s="177"/>
      <c r="N52" s="87"/>
      <c r="O52" s="390">
        <f>'Таблиця цін схема №1'!GS52</f>
        <v>0</v>
      </c>
      <c r="P52" s="122"/>
      <c r="Q52" s="1245"/>
      <c r="R52" s="1245"/>
      <c r="S52" s="1245"/>
      <c r="T52" s="1245"/>
      <c r="U52" s="1258"/>
      <c r="V52" s="1258"/>
      <c r="W52" s="125"/>
      <c r="X52" s="98"/>
      <c r="Y52" s="22"/>
      <c r="Z52" s="22"/>
      <c r="AA52" s="142"/>
      <c r="AB52" s="22"/>
      <c r="AF52" s="1295" t="s">
        <v>73</v>
      </c>
      <c r="AG52" s="1295"/>
      <c r="AH52" s="1295"/>
      <c r="AI52" s="1295"/>
      <c r="AJ52" s="1295"/>
      <c r="AK52" s="1295"/>
      <c r="AL52" s="1295"/>
      <c r="AM52" s="1295"/>
      <c r="AN52" s="1295"/>
      <c r="AO52" s="1295"/>
      <c r="AP52" s="1295"/>
      <c r="AQ52" s="1295"/>
      <c r="AR52" s="1295"/>
      <c r="AU52" s="113" t="s">
        <v>1142</v>
      </c>
    </row>
    <row r="53" spans="2:52" ht="15">
      <c r="B53" s="47">
        <v>11</v>
      </c>
      <c r="C53" s="1217" t="s">
        <v>33</v>
      </c>
      <c r="D53" s="1217"/>
      <c r="E53" s="1217"/>
      <c r="F53" s="1217"/>
      <c r="G53" s="1219" t="s">
        <v>35</v>
      </c>
      <c r="H53" s="1219"/>
      <c r="I53" s="121"/>
      <c r="J53" s="15">
        <v>2000</v>
      </c>
      <c r="K53" s="13">
        <v>80</v>
      </c>
      <c r="L53" s="100"/>
      <c r="M53" s="177"/>
      <c r="N53" s="87"/>
      <c r="O53" s="390">
        <f>'Таблиця цін схема №1'!GS53</f>
        <v>0</v>
      </c>
      <c r="P53" s="122"/>
      <c r="Q53" s="1245"/>
      <c r="R53" s="1245"/>
      <c r="S53" s="1245"/>
      <c r="T53" s="1245"/>
      <c r="U53" s="1258"/>
      <c r="V53" s="1258"/>
      <c r="W53" s="125"/>
      <c r="X53" s="98"/>
      <c r="Y53" s="22"/>
      <c r="Z53" s="22"/>
      <c r="AA53" s="142"/>
      <c r="AB53" s="22"/>
      <c r="AF53" s="2" t="s">
        <v>15</v>
      </c>
      <c r="AG53" s="1287" t="s">
        <v>36</v>
      </c>
      <c r="AH53" s="1200"/>
      <c r="AI53" s="1200"/>
      <c r="AJ53" s="1201"/>
      <c r="AK53" s="1199" t="s">
        <v>20</v>
      </c>
      <c r="AL53" s="1201"/>
      <c r="AM53" s="3" t="s">
        <v>3</v>
      </c>
      <c r="AN53" s="50" t="s">
        <v>21</v>
      </c>
      <c r="AO53" s="50" t="s">
        <v>22</v>
      </c>
      <c r="AP53" s="99"/>
      <c r="AQ53" s="175" t="s">
        <v>7</v>
      </c>
      <c r="AR53" s="80" t="s">
        <v>7</v>
      </c>
      <c r="AS53" s="4" t="s">
        <v>9</v>
      </c>
    </row>
    <row r="54" spans="2:52" ht="15">
      <c r="B54" s="47">
        <v>12</v>
      </c>
      <c r="C54" s="1217" t="s">
        <v>33</v>
      </c>
      <c r="D54" s="1217"/>
      <c r="E54" s="1217"/>
      <c r="F54" s="1217"/>
      <c r="G54" s="1219" t="s">
        <v>35</v>
      </c>
      <c r="H54" s="1219"/>
      <c r="I54" s="121"/>
      <c r="J54" s="15">
        <v>3000</v>
      </c>
      <c r="K54" s="13">
        <v>80</v>
      </c>
      <c r="L54" s="100"/>
      <c r="M54" s="177"/>
      <c r="N54" s="87"/>
      <c r="O54" s="390">
        <f>'Таблиця цін схема №1'!GS54</f>
        <v>0</v>
      </c>
      <c r="P54" s="122"/>
      <c r="Q54" s="1245"/>
      <c r="R54" s="1245"/>
      <c r="S54" s="1245"/>
      <c r="T54" s="1245"/>
      <c r="U54" s="1258"/>
      <c r="V54" s="1258"/>
      <c r="W54" s="125"/>
      <c r="X54" s="98"/>
      <c r="Y54" s="22"/>
      <c r="Z54" s="22"/>
      <c r="AA54" s="142"/>
      <c r="AB54" s="22"/>
      <c r="AF54" s="47" t="s">
        <v>16</v>
      </c>
      <c r="AG54" s="1202"/>
      <c r="AH54" s="1203"/>
      <c r="AI54" s="1203"/>
      <c r="AJ54" s="1204"/>
      <c r="AK54" s="1202"/>
      <c r="AL54" s="1204"/>
      <c r="AM54" s="1" t="s">
        <v>24</v>
      </c>
      <c r="AN54" s="338" t="s">
        <v>1</v>
      </c>
      <c r="AO54" s="338" t="s">
        <v>2</v>
      </c>
      <c r="AP54" s="100"/>
      <c r="AQ54" s="176" t="s">
        <v>651</v>
      </c>
      <c r="AR54" s="81" t="s">
        <v>23</v>
      </c>
      <c r="AS54" s="339" t="s">
        <v>93</v>
      </c>
    </row>
    <row r="55" spans="2:52" ht="15.75" thickBot="1">
      <c r="B55" s="49">
        <v>13</v>
      </c>
      <c r="C55" s="1230" t="s">
        <v>33</v>
      </c>
      <c r="D55" s="1230"/>
      <c r="E55" s="1230"/>
      <c r="F55" s="1230"/>
      <c r="G55" s="1232" t="s">
        <v>35</v>
      </c>
      <c r="H55" s="1232"/>
      <c r="I55" s="123"/>
      <c r="J55" s="16">
        <v>4000</v>
      </c>
      <c r="K55" s="14">
        <v>100</v>
      </c>
      <c r="L55" s="149"/>
      <c r="M55" s="178"/>
      <c r="N55" s="88"/>
      <c r="O55" s="393">
        <f>'Таблиця цін схема №1'!GS55</f>
        <v>0</v>
      </c>
      <c r="P55" s="122"/>
      <c r="Q55" s="1245"/>
      <c r="R55" s="1245"/>
      <c r="S55" s="1245"/>
      <c r="T55" s="1245"/>
      <c r="U55" s="1258"/>
      <c r="V55" s="1258"/>
      <c r="W55" s="125"/>
      <c r="X55" s="98"/>
      <c r="Y55" s="22"/>
      <c r="Z55" s="22"/>
      <c r="AA55" s="142"/>
      <c r="AB55" s="22"/>
      <c r="AF55" s="47">
        <v>1</v>
      </c>
      <c r="AG55" s="1290" t="s">
        <v>859</v>
      </c>
      <c r="AH55" s="1291"/>
      <c r="AI55" s="1291"/>
      <c r="AJ55" s="1292"/>
      <c r="AK55" s="1288" t="s">
        <v>74</v>
      </c>
      <c r="AL55" s="1289"/>
      <c r="AM55" s="358" t="s">
        <v>75</v>
      </c>
      <c r="AN55" s="337"/>
      <c r="AO55" s="35">
        <v>15</v>
      </c>
      <c r="AP55" s="100"/>
      <c r="AQ55" s="494"/>
      <c r="AR55" s="138"/>
      <c r="AS55" s="381">
        <f>'Таблиця цін схема №1'!HP43+'Таблиця цін схема №2'!GH76</f>
        <v>0</v>
      </c>
    </row>
    <row r="56" spans="2:52" ht="15">
      <c r="M56" s="144"/>
      <c r="N56" s="372"/>
      <c r="AF56" s="403">
        <v>2</v>
      </c>
      <c r="AG56" s="1284" t="s">
        <v>859</v>
      </c>
      <c r="AH56" s="1285"/>
      <c r="AI56" s="1285"/>
      <c r="AJ56" s="1286"/>
      <c r="AK56" s="1282" t="s">
        <v>74</v>
      </c>
      <c r="AL56" s="1283"/>
      <c r="AM56" s="408" t="s">
        <v>76</v>
      </c>
      <c r="AN56" s="408"/>
      <c r="AO56" s="409">
        <v>20</v>
      </c>
      <c r="AP56" s="407"/>
      <c r="AQ56" s="344">
        <f>AU56-AU56*$AN$51</f>
        <v>98.75</v>
      </c>
      <c r="AR56" s="138"/>
      <c r="AS56" s="381">
        <f>'Таблиця цін схема №1'!HP44+'Таблиця цін схема №2'!GH77</f>
        <v>7</v>
      </c>
      <c r="AU56" s="516">
        <f>875/AS56</f>
        <v>125</v>
      </c>
      <c r="AV56" s="516"/>
      <c r="AW56" s="516"/>
      <c r="AX56" s="516"/>
      <c r="AY56" s="516"/>
      <c r="AZ56" s="516"/>
    </row>
    <row r="57" spans="2:52" ht="15">
      <c r="K57" s="113"/>
      <c r="L57" s="185"/>
      <c r="M57" s="17"/>
      <c r="N57" s="62"/>
      <c r="Z57" s="507">
        <v>0.1</v>
      </c>
      <c r="AF57" s="403">
        <v>3</v>
      </c>
      <c r="AG57" s="1284" t="s">
        <v>859</v>
      </c>
      <c r="AH57" s="1285"/>
      <c r="AI57" s="1285"/>
      <c r="AJ57" s="1286"/>
      <c r="AK57" s="1282" t="s">
        <v>74</v>
      </c>
      <c r="AL57" s="1283"/>
      <c r="AM57" s="408" t="s">
        <v>77</v>
      </c>
      <c r="AN57" s="408"/>
      <c r="AO57" s="409">
        <v>25</v>
      </c>
      <c r="AP57" s="407"/>
      <c r="AQ57" s="344">
        <f t="shared" ref="AQ57:AQ63" si="9">AU57-AU57*$AN$51</f>
        <v>122.45</v>
      </c>
      <c r="AR57" s="138"/>
      <c r="AS57" s="381">
        <f>'Таблиця цін схема №1'!HP45+'Таблиця цін схема №2'!GH78</f>
        <v>5</v>
      </c>
      <c r="AT57" s="144"/>
      <c r="AU57" s="516">
        <f>775/AS57</f>
        <v>155</v>
      </c>
      <c r="AV57" s="516"/>
      <c r="AW57" s="516"/>
      <c r="AX57" s="516"/>
      <c r="AY57" s="516"/>
      <c r="AZ57" s="516"/>
    </row>
    <row r="58" spans="2:52" ht="15">
      <c r="J58" s="507">
        <v>0.19</v>
      </c>
      <c r="K58" s="113"/>
      <c r="L58" s="185"/>
      <c r="M58" s="212"/>
      <c r="Z58">
        <v>0.94259999999999999</v>
      </c>
      <c r="AF58" s="403">
        <v>4</v>
      </c>
      <c r="AG58" s="1284" t="s">
        <v>859</v>
      </c>
      <c r="AH58" s="1285"/>
      <c r="AI58" s="1285"/>
      <c r="AJ58" s="1286"/>
      <c r="AK58" s="1282" t="s">
        <v>74</v>
      </c>
      <c r="AL58" s="1283"/>
      <c r="AM58" s="408" t="s">
        <v>78</v>
      </c>
      <c r="AN58" s="408"/>
      <c r="AO58" s="409">
        <v>32</v>
      </c>
      <c r="AP58" s="407"/>
      <c r="AQ58" s="344">
        <f t="shared" si="9"/>
        <v>150.1</v>
      </c>
      <c r="AR58" s="138"/>
      <c r="AS58" s="381">
        <f>'Таблиця цін схема №1'!HP46+'Таблиця цін схема №2'!GH79</f>
        <v>22</v>
      </c>
      <c r="AU58" s="516">
        <f>4180/AS58</f>
        <v>190</v>
      </c>
      <c r="AV58" s="516"/>
      <c r="AW58" s="516"/>
      <c r="AX58" s="516"/>
      <c r="AY58" s="516"/>
      <c r="AZ58" s="516"/>
    </row>
    <row r="59" spans="2:52" ht="15.75" thickBot="1">
      <c r="B59" s="1205" t="s">
        <v>862</v>
      </c>
      <c r="C59" s="1206"/>
      <c r="D59" s="1206"/>
      <c r="E59" s="1206"/>
      <c r="F59" s="1206"/>
      <c r="G59" s="1206"/>
      <c r="H59" s="1206"/>
      <c r="I59" s="1206"/>
      <c r="J59" s="1206"/>
      <c r="K59" s="1206"/>
      <c r="L59" s="1206"/>
      <c r="M59" s="1206"/>
      <c r="N59" s="1206"/>
      <c r="P59" s="1311" t="s">
        <v>66</v>
      </c>
      <c r="Q59" s="1312"/>
      <c r="R59" s="1312"/>
      <c r="S59" s="1312"/>
      <c r="T59" s="1312"/>
      <c r="U59" s="1312"/>
      <c r="V59" s="1312"/>
      <c r="W59" s="1312"/>
      <c r="X59" s="1312"/>
      <c r="Y59" s="1312"/>
      <c r="Z59" s="1312"/>
      <c r="AA59" s="1312"/>
      <c r="AB59" s="1312"/>
      <c r="AD59" t="s">
        <v>1109</v>
      </c>
      <c r="AF59" s="403">
        <v>5</v>
      </c>
      <c r="AG59" s="1284" t="s">
        <v>859</v>
      </c>
      <c r="AH59" s="1285"/>
      <c r="AI59" s="1285"/>
      <c r="AJ59" s="1286"/>
      <c r="AK59" s="1282" t="s">
        <v>74</v>
      </c>
      <c r="AL59" s="1283"/>
      <c r="AM59" s="408" t="s">
        <v>79</v>
      </c>
      <c r="AN59" s="408"/>
      <c r="AO59" s="409">
        <v>40</v>
      </c>
      <c r="AP59" s="407"/>
      <c r="AQ59" s="344">
        <f t="shared" si="9"/>
        <v>193.55</v>
      </c>
      <c r="AR59" s="138"/>
      <c r="AS59" s="381">
        <f>'Таблиця цін схема №1'!HP47+'Таблиця цін схема №2'!GH80</f>
        <v>30</v>
      </c>
      <c r="AU59" s="516">
        <f>7350/AS59</f>
        <v>245</v>
      </c>
      <c r="AV59" s="516"/>
      <c r="AW59" s="516"/>
      <c r="AX59" s="516"/>
      <c r="AY59" s="516"/>
      <c r="AZ59" s="516"/>
    </row>
    <row r="60" spans="2:52" ht="15">
      <c r="B60" s="2" t="s">
        <v>15</v>
      </c>
      <c r="C60" s="1211" t="s">
        <v>17</v>
      </c>
      <c r="D60" s="1211"/>
      <c r="E60" s="1211"/>
      <c r="F60" s="1211"/>
      <c r="G60" s="1211" t="s">
        <v>20</v>
      </c>
      <c r="H60" s="1211"/>
      <c r="I60" s="3" t="s">
        <v>3</v>
      </c>
      <c r="J60" s="8" t="s">
        <v>21</v>
      </c>
      <c r="K60" s="8" t="s">
        <v>22</v>
      </c>
      <c r="L60" s="77"/>
      <c r="M60" s="175" t="s">
        <v>7</v>
      </c>
      <c r="N60" s="80" t="s">
        <v>7</v>
      </c>
      <c r="O60" s="4" t="s">
        <v>9</v>
      </c>
      <c r="P60" s="32" t="s">
        <v>15</v>
      </c>
      <c r="Q60" s="1239" t="s">
        <v>17</v>
      </c>
      <c r="R60" s="1239"/>
      <c r="S60" s="1239"/>
      <c r="T60" s="1239"/>
      <c r="U60" s="1239" t="s">
        <v>20</v>
      </c>
      <c r="V60" s="1239"/>
      <c r="W60" s="27" t="s">
        <v>3</v>
      </c>
      <c r="X60" s="31" t="s">
        <v>39</v>
      </c>
      <c r="Y60" s="33" t="s">
        <v>22</v>
      </c>
      <c r="Z60" s="77"/>
      <c r="AA60" s="175" t="s">
        <v>7</v>
      </c>
      <c r="AB60" s="130" t="s">
        <v>7</v>
      </c>
      <c r="AC60" s="4" t="s">
        <v>9</v>
      </c>
      <c r="AE60" s="34"/>
      <c r="AF60" s="403">
        <v>6</v>
      </c>
      <c r="AG60" s="1298" t="s">
        <v>859</v>
      </c>
      <c r="AH60" s="1294"/>
      <c r="AI60" s="1294"/>
      <c r="AJ60" s="1294"/>
      <c r="AK60" s="1282" t="s">
        <v>74</v>
      </c>
      <c r="AL60" s="1283"/>
      <c r="AM60" s="408" t="s">
        <v>80</v>
      </c>
      <c r="AN60" s="408"/>
      <c r="AO60" s="409">
        <v>50</v>
      </c>
      <c r="AP60" s="407"/>
      <c r="AQ60" s="344">
        <f t="shared" si="9"/>
        <v>355.5</v>
      </c>
      <c r="AR60" s="138"/>
      <c r="AS60" s="381">
        <f>'Таблиця цін схема №1'!HP48+'Таблиця цін схема №2'!GH81</f>
        <v>20</v>
      </c>
      <c r="AU60" s="516">
        <f>9000/AS60</f>
        <v>450</v>
      </c>
      <c r="AV60" s="516"/>
      <c r="AW60" s="516"/>
      <c r="AX60" s="516"/>
      <c r="AY60" s="516"/>
      <c r="AZ60" s="516"/>
    </row>
    <row r="61" spans="2:52" ht="15">
      <c r="B61" s="9" t="s">
        <v>16</v>
      </c>
      <c r="C61" s="1212"/>
      <c r="D61" s="1212"/>
      <c r="E61" s="1212"/>
      <c r="F61" s="1212"/>
      <c r="G61" s="1212"/>
      <c r="H61" s="1212"/>
      <c r="I61" s="1" t="s">
        <v>24</v>
      </c>
      <c r="J61" s="10" t="s">
        <v>1</v>
      </c>
      <c r="K61" s="10" t="s">
        <v>2</v>
      </c>
      <c r="L61" s="100"/>
      <c r="M61" s="176" t="s">
        <v>651</v>
      </c>
      <c r="N61" s="81" t="s">
        <v>23</v>
      </c>
      <c r="O61" s="5" t="s">
        <v>93</v>
      </c>
      <c r="P61" s="28" t="s">
        <v>16</v>
      </c>
      <c r="Q61" s="1240"/>
      <c r="R61" s="1240"/>
      <c r="S61" s="1240"/>
      <c r="T61" s="1240"/>
      <c r="U61" s="1240"/>
      <c r="V61" s="1240"/>
      <c r="W61" s="29" t="s">
        <v>24</v>
      </c>
      <c r="X61" s="26" t="s">
        <v>1</v>
      </c>
      <c r="Y61" s="26" t="s">
        <v>2</v>
      </c>
      <c r="Z61" s="78"/>
      <c r="AA61" s="176" t="s">
        <v>651</v>
      </c>
      <c r="AB61" s="131" t="s">
        <v>23</v>
      </c>
      <c r="AC61" s="120" t="s">
        <v>93</v>
      </c>
      <c r="AE61" s="18"/>
      <c r="AF61" s="432">
        <v>7</v>
      </c>
      <c r="AG61" s="1299" t="s">
        <v>859</v>
      </c>
      <c r="AH61" s="1300"/>
      <c r="AI61" s="1300"/>
      <c r="AJ61" s="1300"/>
      <c r="AK61" s="1296" t="s">
        <v>74</v>
      </c>
      <c r="AL61" s="1297"/>
      <c r="AM61" s="433" t="s">
        <v>609</v>
      </c>
      <c r="AN61" s="434"/>
      <c r="AO61" s="435">
        <v>65</v>
      </c>
      <c r="AP61" s="436"/>
      <c r="AQ61" s="344">
        <f t="shared" si="9"/>
        <v>426.6</v>
      </c>
      <c r="AR61" s="342"/>
      <c r="AS61" s="398">
        <f>'Таблиця цін схема №1'!HP49+'Таблиця цін схема №2'!GH82</f>
        <v>11</v>
      </c>
      <c r="AU61" s="516">
        <f>5940/AS61</f>
        <v>540</v>
      </c>
      <c r="AV61" s="516"/>
      <c r="AW61" s="516"/>
      <c r="AX61" s="516"/>
      <c r="AY61" s="516"/>
      <c r="AZ61" s="516"/>
    </row>
    <row r="62" spans="2:52" ht="15">
      <c r="B62" s="28">
        <v>1</v>
      </c>
      <c r="C62" s="1320" t="s">
        <v>863</v>
      </c>
      <c r="D62" s="1217"/>
      <c r="E62" s="1217"/>
      <c r="F62" s="1217"/>
      <c r="G62" s="1214"/>
      <c r="H62" s="1214"/>
      <c r="I62" s="52"/>
      <c r="J62" s="15"/>
      <c r="K62" s="13">
        <v>15</v>
      </c>
      <c r="L62" s="92"/>
      <c r="M62" s="177"/>
      <c r="N62" s="87"/>
      <c r="O62" s="392">
        <v>0</v>
      </c>
      <c r="P62" s="28">
        <v>1</v>
      </c>
      <c r="Q62" s="1217" t="s">
        <v>37</v>
      </c>
      <c r="R62" s="1217"/>
      <c r="S62" s="1217"/>
      <c r="T62" s="1217"/>
      <c r="U62" s="1219" t="s">
        <v>38</v>
      </c>
      <c r="V62" s="1219"/>
      <c r="W62" s="150" t="s">
        <v>63</v>
      </c>
      <c r="X62" s="15">
        <v>1.5</v>
      </c>
      <c r="Y62" s="13">
        <v>15</v>
      </c>
      <c r="Z62" s="92"/>
      <c r="AA62" s="179"/>
      <c r="AB62" s="87"/>
      <c r="AC62" s="390">
        <f>'Таблиця цін схема №1'!HG43</f>
        <v>0</v>
      </c>
      <c r="AD62" s="144"/>
      <c r="AE62" s="18"/>
      <c r="AF62" s="437">
        <v>8</v>
      </c>
      <c r="AG62" s="1299" t="s">
        <v>859</v>
      </c>
      <c r="AH62" s="1300"/>
      <c r="AI62" s="1300"/>
      <c r="AJ62" s="1300"/>
      <c r="AK62" s="1296" t="s">
        <v>74</v>
      </c>
      <c r="AL62" s="1297"/>
      <c r="AM62" s="433" t="s">
        <v>860</v>
      </c>
      <c r="AN62" s="402"/>
      <c r="AO62" s="438">
        <v>80</v>
      </c>
      <c r="AP62" s="439"/>
      <c r="AQ62" s="344">
        <f t="shared" si="9"/>
        <v>782.1</v>
      </c>
      <c r="AR62" s="343"/>
      <c r="AS62" s="399">
        <f>'Таблиця цін схема №1'!HP50+'Таблиця цін схема №2'!GH83</f>
        <v>3</v>
      </c>
      <c r="AU62" s="516">
        <f>2970/AS62</f>
        <v>990</v>
      </c>
      <c r="AV62" s="516"/>
      <c r="AW62" s="516"/>
      <c r="AX62" s="516"/>
      <c r="AY62" s="516"/>
      <c r="AZ62" s="516"/>
    </row>
    <row r="63" spans="2:52" ht="15">
      <c r="B63" s="403">
        <v>2</v>
      </c>
      <c r="C63" s="1321" t="s">
        <v>863</v>
      </c>
      <c r="D63" s="1207"/>
      <c r="E63" s="1207"/>
      <c r="F63" s="1207"/>
      <c r="G63" s="1208" t="s">
        <v>1106</v>
      </c>
      <c r="H63" s="1208"/>
      <c r="I63" s="424" t="s">
        <v>1105</v>
      </c>
      <c r="J63" s="404"/>
      <c r="K63" s="406">
        <v>20</v>
      </c>
      <c r="L63" s="425"/>
      <c r="M63" s="515">
        <v>91.13</v>
      </c>
      <c r="N63" s="87"/>
      <c r="O63" s="394">
        <f>'Таблиця цін схема №1'!HT43</f>
        <v>10</v>
      </c>
      <c r="P63" s="403">
        <v>2</v>
      </c>
      <c r="Q63" s="1207" t="s">
        <v>37</v>
      </c>
      <c r="R63" s="1207"/>
      <c r="S63" s="1207"/>
      <c r="T63" s="1207"/>
      <c r="U63" s="1196" t="s">
        <v>38</v>
      </c>
      <c r="V63" s="1196"/>
      <c r="W63" s="405" t="s">
        <v>64</v>
      </c>
      <c r="X63" s="404">
        <v>2.5</v>
      </c>
      <c r="Y63" s="406">
        <v>20</v>
      </c>
      <c r="Z63" s="425"/>
      <c r="AA63" s="1174">
        <f>(AD63-AD63*$Z$57)*$Z$58</f>
        <v>23.753519999999998</v>
      </c>
      <c r="AB63" s="87"/>
      <c r="AC63" s="390">
        <f>'Таблиця цін схема №1'!HG44</f>
        <v>10</v>
      </c>
      <c r="AD63">
        <v>28</v>
      </c>
      <c r="AE63" s="18"/>
      <c r="AF63" s="437">
        <v>9</v>
      </c>
      <c r="AG63" s="1298" t="s">
        <v>859</v>
      </c>
      <c r="AH63" s="1294"/>
      <c r="AI63" s="1294"/>
      <c r="AJ63" s="1294"/>
      <c r="AK63" s="1293" t="s">
        <v>74</v>
      </c>
      <c r="AL63" s="1293"/>
      <c r="AM63" s="440" t="s">
        <v>861</v>
      </c>
      <c r="AN63" s="402"/>
      <c r="AO63" s="438">
        <v>100</v>
      </c>
      <c r="AP63" s="439"/>
      <c r="AQ63" s="344">
        <f t="shared" si="9"/>
        <v>1204.75</v>
      </c>
      <c r="AR63" s="343"/>
      <c r="AS63" s="399">
        <f>'Таблиця цін схема №1'!HP51+'Таблиця цін схема №2'!GH84</f>
        <v>1</v>
      </c>
      <c r="AU63" s="516">
        <f>1525/AS63</f>
        <v>1525</v>
      </c>
      <c r="AV63" s="516"/>
      <c r="AW63" s="516"/>
      <c r="AX63" s="516"/>
      <c r="AY63" s="516"/>
      <c r="AZ63" s="516"/>
    </row>
    <row r="64" spans="2:52" ht="15">
      <c r="B64" s="403">
        <v>3</v>
      </c>
      <c r="C64" s="1321" t="s">
        <v>863</v>
      </c>
      <c r="D64" s="1207"/>
      <c r="E64" s="1207"/>
      <c r="F64" s="1207"/>
      <c r="G64" s="1208" t="s">
        <v>1106</v>
      </c>
      <c r="H64" s="1208"/>
      <c r="I64" s="424" t="s">
        <v>1107</v>
      </c>
      <c r="J64" s="404"/>
      <c r="K64" s="406">
        <v>25</v>
      </c>
      <c r="L64" s="425"/>
      <c r="M64" s="89">
        <v>92.91</v>
      </c>
      <c r="N64" s="87"/>
      <c r="O64" s="394">
        <f>'Таблиця цін схема №1'!HT44</f>
        <v>23</v>
      </c>
      <c r="P64" s="403">
        <v>3</v>
      </c>
      <c r="Q64" s="1207" t="s">
        <v>37</v>
      </c>
      <c r="R64" s="1207"/>
      <c r="S64" s="1207"/>
      <c r="T64" s="1207"/>
      <c r="U64" s="1196" t="s">
        <v>38</v>
      </c>
      <c r="V64" s="1196"/>
      <c r="W64" s="405" t="s">
        <v>65</v>
      </c>
      <c r="X64" s="404">
        <v>3.5</v>
      </c>
      <c r="Y64" s="406">
        <v>25</v>
      </c>
      <c r="Z64" s="428"/>
      <c r="AA64" s="1174">
        <f>(AD64-AD64*$Z$57)*$Z$58</f>
        <v>89.924040000000005</v>
      </c>
      <c r="AB64" s="87"/>
      <c r="AC64" s="383">
        <f>'Таблиця цін схема №1'!HG45</f>
        <v>23</v>
      </c>
      <c r="AD64">
        <v>106</v>
      </c>
      <c r="AE64" s="18"/>
      <c r="AF64" s="19"/>
      <c r="AG64" s="20"/>
      <c r="AH64" s="20"/>
      <c r="AI64" s="20"/>
      <c r="AJ64" s="19"/>
      <c r="AK64" s="19"/>
      <c r="AL64" s="21"/>
      <c r="AN64" s="507">
        <v>0.3</v>
      </c>
      <c r="AQ64" s="144"/>
      <c r="AU64" s="144"/>
      <c r="AV64" s="144"/>
      <c r="AW64" s="144"/>
      <c r="AX64" s="144"/>
      <c r="AY64" s="144"/>
      <c r="AZ64" s="144"/>
    </row>
    <row r="65" spans="2:47" ht="15.75" thickBot="1">
      <c r="B65" s="28"/>
      <c r="C65" s="1246"/>
      <c r="D65" s="1217"/>
      <c r="E65" s="1217"/>
      <c r="F65" s="1217"/>
      <c r="G65" s="1247"/>
      <c r="H65" s="1219"/>
      <c r="I65" s="26"/>
      <c r="J65" s="15"/>
      <c r="K65" s="13"/>
      <c r="L65" s="92"/>
      <c r="M65" s="177"/>
      <c r="N65" s="87"/>
      <c r="O65" s="26"/>
      <c r="P65" s="28">
        <v>4</v>
      </c>
      <c r="Q65" s="1217" t="s">
        <v>37</v>
      </c>
      <c r="R65" s="1217"/>
      <c r="S65" s="1217"/>
      <c r="T65" s="1217"/>
      <c r="U65" s="1219" t="s">
        <v>38</v>
      </c>
      <c r="V65" s="1219"/>
      <c r="W65" s="340" t="s">
        <v>856</v>
      </c>
      <c r="X65" s="15">
        <v>6</v>
      </c>
      <c r="Y65" s="13">
        <v>32</v>
      </c>
      <c r="Z65" s="91"/>
      <c r="AA65" s="177"/>
      <c r="AB65" s="87"/>
      <c r="AC65" s="383">
        <f>'Таблиця цін схема №1'!HG46</f>
        <v>0</v>
      </c>
      <c r="AE65" s="23"/>
      <c r="AF65" s="1332" t="s">
        <v>855</v>
      </c>
      <c r="AG65" s="1333"/>
      <c r="AH65" s="1333"/>
      <c r="AI65" s="1333"/>
      <c r="AJ65" s="1333"/>
      <c r="AK65" s="1333"/>
      <c r="AL65" s="1333"/>
      <c r="AM65" s="1333"/>
      <c r="AN65" s="1333"/>
      <c r="AO65" s="1333"/>
      <c r="AP65" s="1333"/>
      <c r="AQ65" s="1333"/>
      <c r="AR65" s="1333"/>
      <c r="AS65" s="1333"/>
      <c r="AU65" s="113" t="s">
        <v>1108</v>
      </c>
    </row>
    <row r="66" spans="2:47" ht="15">
      <c r="B66" s="28"/>
      <c r="C66" s="1246"/>
      <c r="D66" s="1217"/>
      <c r="E66" s="1217"/>
      <c r="F66" s="1217"/>
      <c r="G66" s="1247"/>
      <c r="H66" s="1219"/>
      <c r="I66" s="26"/>
      <c r="J66" s="15"/>
      <c r="K66" s="13"/>
      <c r="L66" s="92"/>
      <c r="M66" s="177"/>
      <c r="N66" s="87"/>
      <c r="O66" s="26"/>
      <c r="P66" s="28"/>
      <c r="Q66" s="1217"/>
      <c r="R66" s="1217"/>
      <c r="S66" s="1217"/>
      <c r="T66" s="1217"/>
      <c r="U66" s="1219"/>
      <c r="V66" s="1219"/>
      <c r="W66" s="341"/>
      <c r="X66" s="15"/>
      <c r="Y66" s="13"/>
      <c r="Z66" s="91"/>
      <c r="AA66" s="177"/>
      <c r="AB66" s="87"/>
      <c r="AC66" s="363"/>
      <c r="AE66" s="23"/>
      <c r="AF66" s="2" t="s">
        <v>15</v>
      </c>
      <c r="AG66" s="1199" t="s">
        <v>17</v>
      </c>
      <c r="AH66" s="1200"/>
      <c r="AI66" s="1200"/>
      <c r="AJ66" s="1201"/>
      <c r="AK66" s="1199" t="s">
        <v>20</v>
      </c>
      <c r="AL66" s="1201"/>
      <c r="AM66" s="3" t="s">
        <v>3</v>
      </c>
      <c r="AN66" s="50" t="s">
        <v>21</v>
      </c>
      <c r="AO66" s="50" t="s">
        <v>22</v>
      </c>
      <c r="AP66" s="4"/>
      <c r="AQ66" s="175" t="s">
        <v>7</v>
      </c>
      <c r="AR66" s="80" t="s">
        <v>7</v>
      </c>
      <c r="AS66" s="4" t="s">
        <v>9</v>
      </c>
    </row>
    <row r="67" spans="2:47" ht="15.75" thickBot="1">
      <c r="B67" s="30"/>
      <c r="C67" s="1246"/>
      <c r="D67" s="1217"/>
      <c r="E67" s="1217"/>
      <c r="F67" s="1217"/>
      <c r="G67" s="1247"/>
      <c r="H67" s="1219"/>
      <c r="I67" s="26"/>
      <c r="J67" s="16"/>
      <c r="K67" s="209"/>
      <c r="L67" s="92"/>
      <c r="M67" s="178"/>
      <c r="N67" s="88"/>
      <c r="O67" s="26"/>
      <c r="P67" s="28"/>
      <c r="Q67" s="1217"/>
      <c r="R67" s="1217"/>
      <c r="S67" s="1217"/>
      <c r="T67" s="1217"/>
      <c r="U67" s="1219"/>
      <c r="V67" s="1219"/>
      <c r="W67" s="38"/>
      <c r="X67" s="15"/>
      <c r="Y67" s="13"/>
      <c r="Z67" s="91"/>
      <c r="AA67" s="177"/>
      <c r="AB67" s="87"/>
      <c r="AC67" s="363"/>
      <c r="AE67" s="23"/>
      <c r="AF67" s="47" t="s">
        <v>16</v>
      </c>
      <c r="AG67" s="1202"/>
      <c r="AH67" s="1203"/>
      <c r="AI67" s="1203"/>
      <c r="AJ67" s="1204"/>
      <c r="AK67" s="1202"/>
      <c r="AL67" s="1204"/>
      <c r="AM67" s="1" t="s">
        <v>24</v>
      </c>
      <c r="AN67" s="332" t="s">
        <v>1</v>
      </c>
      <c r="AO67" s="332" t="s">
        <v>2</v>
      </c>
      <c r="AP67" s="333"/>
      <c r="AQ67" s="176" t="s">
        <v>651</v>
      </c>
      <c r="AR67" s="81" t="s">
        <v>23</v>
      </c>
      <c r="AS67" s="333" t="s">
        <v>93</v>
      </c>
    </row>
    <row r="68" spans="2:47" ht="15">
      <c r="P68" s="28"/>
      <c r="Q68" s="1217"/>
      <c r="R68" s="1217"/>
      <c r="S68" s="1217"/>
      <c r="T68" s="1217"/>
      <c r="U68" s="1219"/>
      <c r="V68" s="1219"/>
      <c r="W68" s="114"/>
      <c r="X68" s="15"/>
      <c r="Y68" s="13"/>
      <c r="Z68" s="373"/>
      <c r="AA68" s="177"/>
      <c r="AB68" s="87"/>
      <c r="AC68" s="363"/>
      <c r="AE68" s="23"/>
      <c r="AF68" s="403">
        <v>1</v>
      </c>
      <c r="AG68" s="1326" t="s">
        <v>851</v>
      </c>
      <c r="AH68" s="1194"/>
      <c r="AI68" s="1194"/>
      <c r="AJ68" s="1195"/>
      <c r="AK68" s="1325" t="s">
        <v>853</v>
      </c>
      <c r="AL68" s="1196"/>
      <c r="AM68" s="446" t="s">
        <v>854</v>
      </c>
      <c r="AN68" s="447">
        <v>1.67</v>
      </c>
      <c r="AO68" s="406">
        <v>15</v>
      </c>
      <c r="AP68" s="448"/>
      <c r="AQ68" s="89">
        <f>AU68-AU68*$AN$64</f>
        <v>22.777999999999999</v>
      </c>
      <c r="AR68" s="87"/>
      <c r="AS68" s="390">
        <f>'Таблиця цін схема №1'!GY43+'Таблиця цін схема №2'!FU76+'Таблиця цін схема №3'!CW14</f>
        <v>6</v>
      </c>
      <c r="AU68">
        <v>32.54</v>
      </c>
    </row>
    <row r="69" spans="2:47" ht="15.75" thickBot="1">
      <c r="P69" s="30"/>
      <c r="Q69" s="1230"/>
      <c r="R69" s="1230"/>
      <c r="S69" s="1230"/>
      <c r="T69" s="1230"/>
      <c r="U69" s="1232"/>
      <c r="V69" s="1232"/>
      <c r="W69" s="115"/>
      <c r="X69" s="16"/>
      <c r="Y69" s="14"/>
      <c r="Z69" s="374"/>
      <c r="AA69" s="178"/>
      <c r="AB69" s="88"/>
      <c r="AC69" s="362"/>
      <c r="AE69" s="23"/>
      <c r="AF69" s="403">
        <v>2</v>
      </c>
      <c r="AG69" s="1326" t="s">
        <v>851</v>
      </c>
      <c r="AH69" s="1194"/>
      <c r="AI69" s="1194"/>
      <c r="AJ69" s="1195"/>
      <c r="AK69" s="1325" t="s">
        <v>853</v>
      </c>
      <c r="AL69" s="1196"/>
      <c r="AM69" s="446" t="s">
        <v>854</v>
      </c>
      <c r="AN69" s="447">
        <v>3.25</v>
      </c>
      <c r="AO69" s="406">
        <v>20</v>
      </c>
      <c r="AP69" s="448"/>
      <c r="AQ69" s="89">
        <f t="shared" ref="AQ69:AQ75" si="10">AU69-AU69*$AN$64</f>
        <v>25.102</v>
      </c>
      <c r="AR69" s="87"/>
      <c r="AS69" s="390">
        <f>'Таблиця цін схема №1'!GY44+'Таблиця цін схема №2'!FU77+'Таблиця цін схема №3'!CW15</f>
        <v>14</v>
      </c>
      <c r="AU69">
        <v>35.86</v>
      </c>
    </row>
    <row r="70" spans="2:47" ht="15">
      <c r="K70" s="113"/>
      <c r="L70" s="185"/>
      <c r="M70" s="336"/>
      <c r="AE70" s="23"/>
      <c r="AF70" s="403">
        <v>3</v>
      </c>
      <c r="AG70" s="1326" t="s">
        <v>851</v>
      </c>
      <c r="AH70" s="1194"/>
      <c r="AI70" s="1194"/>
      <c r="AJ70" s="1195"/>
      <c r="AK70" s="1325" t="s">
        <v>853</v>
      </c>
      <c r="AL70" s="1196"/>
      <c r="AM70" s="446" t="s">
        <v>854</v>
      </c>
      <c r="AN70" s="447">
        <v>5.83</v>
      </c>
      <c r="AO70" s="406">
        <v>25</v>
      </c>
      <c r="AP70" s="448"/>
      <c r="AQ70" s="89">
        <f t="shared" si="10"/>
        <v>26.495000000000001</v>
      </c>
      <c r="AR70" s="87"/>
      <c r="AS70" s="390">
        <f>'Таблиця цін схема №1'!GY45+'Таблиця цін схема №2'!FU78+'Таблиця цін схема №3'!CW16</f>
        <v>70</v>
      </c>
      <c r="AU70">
        <v>37.85</v>
      </c>
    </row>
    <row r="71" spans="2:47" ht="15.75" thickBot="1">
      <c r="B71" s="1205" t="s">
        <v>60</v>
      </c>
      <c r="C71" s="1206"/>
      <c r="D71" s="1206"/>
      <c r="E71" s="1206"/>
      <c r="F71" s="1206"/>
      <c r="G71" s="1206"/>
      <c r="H71" s="1206"/>
      <c r="I71" s="1206"/>
      <c r="J71" s="1206"/>
      <c r="K71" s="1206"/>
      <c r="L71" s="1206"/>
      <c r="M71" s="1206"/>
      <c r="N71" s="1206"/>
      <c r="Y71" s="113"/>
      <c r="Z71" s="185"/>
      <c r="AA71" s="17"/>
      <c r="AE71" s="23"/>
      <c r="AF71" s="403">
        <v>4</v>
      </c>
      <c r="AG71" s="1326" t="s">
        <v>851</v>
      </c>
      <c r="AH71" s="1194"/>
      <c r="AI71" s="1194"/>
      <c r="AJ71" s="1195"/>
      <c r="AK71" s="1325" t="s">
        <v>853</v>
      </c>
      <c r="AL71" s="1196"/>
      <c r="AM71" s="446" t="s">
        <v>854</v>
      </c>
      <c r="AN71" s="447">
        <v>11.13</v>
      </c>
      <c r="AO71" s="406">
        <v>32</v>
      </c>
      <c r="AP71" s="448"/>
      <c r="AQ71" s="89">
        <f t="shared" si="10"/>
        <v>37.183999999999997</v>
      </c>
      <c r="AR71" s="87"/>
      <c r="AS71" s="390">
        <f>'Таблиця цін схема №1'!GY46+'Таблиця цін схема №2'!FU79+'Таблиця цін схема №3'!CW17</f>
        <v>136</v>
      </c>
      <c r="AU71">
        <v>53.12</v>
      </c>
    </row>
    <row r="72" spans="2:47" ht="15">
      <c r="B72" s="2" t="s">
        <v>15</v>
      </c>
      <c r="C72" s="1211" t="s">
        <v>17</v>
      </c>
      <c r="D72" s="1211"/>
      <c r="E72" s="1211"/>
      <c r="F72" s="1211"/>
      <c r="G72" s="1211" t="s">
        <v>20</v>
      </c>
      <c r="H72" s="1211"/>
      <c r="I72" s="3" t="s">
        <v>3</v>
      </c>
      <c r="J72" s="50"/>
      <c r="K72" s="50" t="s">
        <v>22</v>
      </c>
      <c r="L72" s="99"/>
      <c r="M72" s="175" t="s">
        <v>7</v>
      </c>
      <c r="N72" s="80" t="s">
        <v>7</v>
      </c>
      <c r="O72" s="4" t="s">
        <v>9</v>
      </c>
      <c r="Y72" s="17"/>
      <c r="Z72" s="211"/>
      <c r="AA72" s="17"/>
      <c r="AE72" s="23"/>
      <c r="AF72" s="403">
        <v>5</v>
      </c>
      <c r="AG72" s="1326" t="s">
        <v>852</v>
      </c>
      <c r="AH72" s="1194"/>
      <c r="AI72" s="1194"/>
      <c r="AJ72" s="1195"/>
      <c r="AK72" s="1325" t="s">
        <v>853</v>
      </c>
      <c r="AL72" s="1196"/>
      <c r="AM72" s="446">
        <v>447</v>
      </c>
      <c r="AN72" s="447">
        <v>22.36</v>
      </c>
      <c r="AO72" s="406">
        <v>40</v>
      </c>
      <c r="AP72" s="448"/>
      <c r="AQ72" s="89">
        <f t="shared" si="10"/>
        <v>43.225000000000001</v>
      </c>
      <c r="AR72" s="87"/>
      <c r="AS72" s="390">
        <f>'Таблиця цін схема №1'!GY47+'Таблиця цін схема №2'!FU80+'Таблиця цін схема №3'!CW18</f>
        <v>28</v>
      </c>
      <c r="AU72">
        <v>61.75</v>
      </c>
    </row>
    <row r="73" spans="2:47" ht="15.75" thickBot="1">
      <c r="B73" s="47" t="s">
        <v>16</v>
      </c>
      <c r="C73" s="1212"/>
      <c r="D73" s="1212"/>
      <c r="E73" s="1212"/>
      <c r="F73" s="1212"/>
      <c r="G73" s="1212"/>
      <c r="H73" s="1212"/>
      <c r="I73" s="1" t="s">
        <v>24</v>
      </c>
      <c r="J73" s="48"/>
      <c r="K73" s="48" t="s">
        <v>2</v>
      </c>
      <c r="L73" s="100"/>
      <c r="M73" s="176" t="s">
        <v>651</v>
      </c>
      <c r="N73" s="81" t="s">
        <v>23</v>
      </c>
      <c r="O73" s="120" t="s">
        <v>93</v>
      </c>
      <c r="P73" s="1205" t="s">
        <v>51</v>
      </c>
      <c r="Q73" s="1206"/>
      <c r="R73" s="1206"/>
      <c r="S73" s="1206"/>
      <c r="T73" s="1206"/>
      <c r="U73" s="1206"/>
      <c r="V73" s="1206"/>
      <c r="W73" s="1206"/>
      <c r="X73" s="1206"/>
      <c r="Y73" s="1206"/>
      <c r="Z73" s="1206"/>
      <c r="AA73" s="1206"/>
      <c r="AB73" s="1206"/>
      <c r="AC73" s="23"/>
      <c r="AD73" s="24" t="s">
        <v>1399</v>
      </c>
      <c r="AE73" s="24"/>
      <c r="AF73" s="47">
        <v>6</v>
      </c>
      <c r="AG73" s="1328" t="s">
        <v>852</v>
      </c>
      <c r="AH73" s="1253"/>
      <c r="AI73" s="1253"/>
      <c r="AJ73" s="1254"/>
      <c r="AK73" s="1329" t="s">
        <v>853</v>
      </c>
      <c r="AL73" s="1219"/>
      <c r="AM73" s="323">
        <v>447</v>
      </c>
      <c r="AN73" s="323">
        <v>32.15</v>
      </c>
      <c r="AO73" s="13">
        <v>50</v>
      </c>
      <c r="AP73" s="333"/>
      <c r="AQ73" s="179">
        <f t="shared" si="10"/>
        <v>0</v>
      </c>
      <c r="AR73" s="87"/>
      <c r="AS73" s="390">
        <f>'Таблиця цін схема №1'!GY48+'Таблиця цін схема №2'!FU81+'Таблиця цін схема №3'!CW19</f>
        <v>0</v>
      </c>
    </row>
    <row r="74" spans="2:47" ht="15">
      <c r="B74" s="403">
        <v>1</v>
      </c>
      <c r="C74" s="1207" t="s">
        <v>61</v>
      </c>
      <c r="D74" s="1207"/>
      <c r="E74" s="1207"/>
      <c r="F74" s="1207"/>
      <c r="G74" s="1305" t="s">
        <v>715</v>
      </c>
      <c r="H74" s="1196"/>
      <c r="I74" s="426">
        <v>369</v>
      </c>
      <c r="J74" s="404"/>
      <c r="K74" s="406">
        <v>15</v>
      </c>
      <c r="L74" s="407"/>
      <c r="M74" s="89">
        <v>13.33</v>
      </c>
      <c r="N74" s="87"/>
      <c r="O74" s="395">
        <f>'Таблиця цін схема №1'!FZ43+'Таблиця цін схема №2'!FB76+'Таблиця цін схема №3'!CL14</f>
        <v>20</v>
      </c>
      <c r="P74" s="2" t="s">
        <v>15</v>
      </c>
      <c r="Q74" s="1211" t="s">
        <v>17</v>
      </c>
      <c r="R74" s="1211"/>
      <c r="S74" s="1211"/>
      <c r="T74" s="1211"/>
      <c r="U74" s="1211" t="s">
        <v>20</v>
      </c>
      <c r="V74" s="1211"/>
      <c r="W74" s="50" t="s">
        <v>3</v>
      </c>
      <c r="X74" s="6"/>
      <c r="Y74" s="50" t="s">
        <v>22</v>
      </c>
      <c r="Z74" s="99"/>
      <c r="AA74" s="175" t="s">
        <v>7</v>
      </c>
      <c r="AB74" s="132" t="s">
        <v>7</v>
      </c>
      <c r="AC74" s="4" t="s">
        <v>9</v>
      </c>
      <c r="AD74" s="24"/>
      <c r="AE74" s="24"/>
      <c r="AF74" s="47">
        <v>7</v>
      </c>
      <c r="AG74" s="1328" t="s">
        <v>852</v>
      </c>
      <c r="AH74" s="1253"/>
      <c r="AI74" s="1253"/>
      <c r="AJ74" s="1254"/>
      <c r="AK74" s="1329" t="s">
        <v>853</v>
      </c>
      <c r="AL74" s="1219"/>
      <c r="AM74" s="323">
        <v>447</v>
      </c>
      <c r="AN74" s="323">
        <v>88.8</v>
      </c>
      <c r="AO74" s="13">
        <v>65</v>
      </c>
      <c r="AP74" s="333"/>
      <c r="AQ74" s="179">
        <f t="shared" si="10"/>
        <v>0</v>
      </c>
      <c r="AR74" s="87"/>
      <c r="AS74" s="390">
        <f>'Таблиця цін схема №1'!GY49+'Таблиця цін схема №2'!FU82+'Таблиця цін схема №3'!CW20</f>
        <v>0</v>
      </c>
    </row>
    <row r="75" spans="2:47" ht="15">
      <c r="B75" s="403">
        <v>2</v>
      </c>
      <c r="C75" s="1207" t="s">
        <v>61</v>
      </c>
      <c r="D75" s="1207"/>
      <c r="E75" s="1207"/>
      <c r="F75" s="1207"/>
      <c r="G75" s="1305" t="s">
        <v>715</v>
      </c>
      <c r="H75" s="1196"/>
      <c r="I75" s="406">
        <v>369</v>
      </c>
      <c r="J75" s="404"/>
      <c r="K75" s="406">
        <v>20</v>
      </c>
      <c r="L75" s="407"/>
      <c r="M75" s="89">
        <v>16.440000000000001</v>
      </c>
      <c r="N75" s="87"/>
      <c r="O75" s="395">
        <f>'Таблиця цін схема №1'!FZ44+'Таблиця цін схема №2'!FB77+'Таблиця цін схема №3'!CL15</f>
        <v>30</v>
      </c>
      <c r="P75" s="47" t="s">
        <v>16</v>
      </c>
      <c r="Q75" s="1212"/>
      <c r="R75" s="1212"/>
      <c r="S75" s="1212"/>
      <c r="T75" s="1212"/>
      <c r="U75" s="1212"/>
      <c r="V75" s="1212"/>
      <c r="W75" s="48" t="s">
        <v>24</v>
      </c>
      <c r="X75" s="48"/>
      <c r="Y75" s="48" t="s">
        <v>2</v>
      </c>
      <c r="Z75" s="100"/>
      <c r="AA75" s="176" t="s">
        <v>651</v>
      </c>
      <c r="AB75" s="133" t="s">
        <v>23</v>
      </c>
      <c r="AC75" s="120" t="s">
        <v>93</v>
      </c>
      <c r="AD75" s="24"/>
      <c r="AE75" s="24"/>
      <c r="AF75" s="47">
        <v>8</v>
      </c>
      <c r="AG75" s="1328" t="s">
        <v>852</v>
      </c>
      <c r="AH75" s="1253"/>
      <c r="AI75" s="1253"/>
      <c r="AJ75" s="1254"/>
      <c r="AK75" s="1329" t="s">
        <v>853</v>
      </c>
      <c r="AL75" s="1219"/>
      <c r="AM75" s="323">
        <v>447</v>
      </c>
      <c r="AN75" s="323">
        <v>113.4</v>
      </c>
      <c r="AO75" s="13">
        <v>80</v>
      </c>
      <c r="AP75" s="333"/>
      <c r="AQ75" s="179">
        <f t="shared" si="10"/>
        <v>0</v>
      </c>
      <c r="AR75" s="87"/>
      <c r="AS75" s="390">
        <f>'Таблиця цін схема №1'!GY50+'Таблиця цін схема №2'!FU83+'Таблиця цін схема №3'!CW21</f>
        <v>0</v>
      </c>
    </row>
    <row r="76" spans="2:47" ht="15">
      <c r="B76" s="403">
        <v>3</v>
      </c>
      <c r="C76" s="1207" t="s">
        <v>61</v>
      </c>
      <c r="D76" s="1207"/>
      <c r="E76" s="1207"/>
      <c r="F76" s="1207"/>
      <c r="G76" s="1305" t="s">
        <v>715</v>
      </c>
      <c r="H76" s="1196"/>
      <c r="I76" s="406">
        <v>369</v>
      </c>
      <c r="J76" s="404"/>
      <c r="K76" s="406">
        <v>25</v>
      </c>
      <c r="L76" s="407"/>
      <c r="M76" s="89">
        <v>22.22</v>
      </c>
      <c r="N76" s="87"/>
      <c r="O76" s="395">
        <f>'Таблиця цін схема №1'!FZ45+'Таблиця цін схема №2'!FB78+'Таблиця цін схема №3'!CL16</f>
        <v>54</v>
      </c>
      <c r="P76" s="47">
        <v>1</v>
      </c>
      <c r="Q76" s="1217" t="s">
        <v>53</v>
      </c>
      <c r="R76" s="1217"/>
      <c r="S76" s="1217"/>
      <c r="T76" s="1217"/>
      <c r="U76" s="1315"/>
      <c r="V76" s="1315"/>
      <c r="W76" s="354" t="s">
        <v>54</v>
      </c>
      <c r="X76" s="15"/>
      <c r="Y76" s="13">
        <v>15</v>
      </c>
      <c r="Z76" s="100"/>
      <c r="AA76" s="179"/>
      <c r="AB76" s="134"/>
      <c r="AC76" s="390">
        <f>'Таблиця цін схема №1'!FM43+'Таблиця цін схема №1'!FQ43+'Таблиця цін схема №1'!FU43+'Таблиця цін схема №2'!EO76+'Таблиця цін схема №2'!ES76+'Таблиця цін схема №2'!EW76+'Таблиця цін схема №3'!CG14</f>
        <v>0</v>
      </c>
      <c r="AD76" s="144"/>
      <c r="AE76" s="24"/>
      <c r="AF76" s="47">
        <v>9</v>
      </c>
      <c r="AG76" s="1328" t="s">
        <v>852</v>
      </c>
      <c r="AH76" s="1253"/>
      <c r="AI76" s="1253"/>
      <c r="AJ76" s="1254"/>
      <c r="AK76" s="1329" t="s">
        <v>853</v>
      </c>
      <c r="AL76" s="1219"/>
      <c r="AM76" s="323">
        <v>447</v>
      </c>
      <c r="AN76" s="323">
        <v>184.7</v>
      </c>
      <c r="AO76" s="13">
        <v>100</v>
      </c>
      <c r="AP76" s="333"/>
      <c r="AQ76" s="179"/>
      <c r="AR76" s="87"/>
      <c r="AS76" s="390">
        <f>'Таблиця цін схема №1'!GY51+'Таблиця цін схема №2'!FU84+'Таблиця цін схема №3'!CW22</f>
        <v>0</v>
      </c>
    </row>
    <row r="77" spans="2:47" ht="15">
      <c r="B77" s="403">
        <v>4</v>
      </c>
      <c r="C77" s="1207" t="s">
        <v>61</v>
      </c>
      <c r="D77" s="1207"/>
      <c r="E77" s="1207"/>
      <c r="F77" s="1207"/>
      <c r="G77" s="1305" t="s">
        <v>715</v>
      </c>
      <c r="H77" s="1196"/>
      <c r="I77" s="406">
        <v>369</v>
      </c>
      <c r="J77" s="404"/>
      <c r="K77" s="406">
        <v>32</v>
      </c>
      <c r="L77" s="407"/>
      <c r="M77" s="89">
        <v>33.68</v>
      </c>
      <c r="N77" s="87"/>
      <c r="O77" s="395">
        <f>'Таблиця цін схема №1'!FZ46+'Таблиця цін схема №2'!FB79+'Таблиця цін схема №3'!CL17</f>
        <v>64</v>
      </c>
      <c r="P77" s="403">
        <v>2</v>
      </c>
      <c r="Q77" s="1207" t="s">
        <v>53</v>
      </c>
      <c r="R77" s="1207"/>
      <c r="S77" s="1207"/>
      <c r="T77" s="1207"/>
      <c r="U77" s="1316"/>
      <c r="V77" s="1316"/>
      <c r="W77" s="405" t="s">
        <v>54</v>
      </c>
      <c r="X77" s="404"/>
      <c r="Y77" s="406">
        <v>20</v>
      </c>
      <c r="Z77" s="407"/>
      <c r="AA77" s="1174">
        <f>AD77</f>
        <v>11.45</v>
      </c>
      <c r="AB77" s="134"/>
      <c r="AC77" s="520">
        <f>'Таблиця цін схема №1'!FM44+'Таблиця цін схема №1'!FQ44+'Таблиця цін схема №1'!FU44+'Таблиця цін схема №2'!EO77+'Таблиця цін схема №2'!ES77+'Таблиця цін схема №2'!EW77+'Таблиця цін схема №3'!CG15</f>
        <v>71</v>
      </c>
      <c r="AD77" s="521">
        <v>11.45</v>
      </c>
      <c r="AE77" s="24"/>
      <c r="AF77" s="47">
        <v>10</v>
      </c>
      <c r="AG77" s="1328" t="s">
        <v>852</v>
      </c>
      <c r="AH77" s="1253"/>
      <c r="AI77" s="1253"/>
      <c r="AJ77" s="1254"/>
      <c r="AK77" s="1329" t="s">
        <v>853</v>
      </c>
      <c r="AL77" s="1219"/>
      <c r="AM77" s="323">
        <v>447</v>
      </c>
      <c r="AN77" s="323">
        <v>285.10000000000002</v>
      </c>
      <c r="AO77" s="13">
        <v>125</v>
      </c>
      <c r="AP77" s="333"/>
      <c r="AQ77" s="179"/>
      <c r="AR77" s="87"/>
      <c r="AS77" s="390">
        <f>'Таблиця цін схема №1'!GY52+'Таблиця цін схема №2'!FU85+'Таблиця цін схема №3'!CW23</f>
        <v>0</v>
      </c>
    </row>
    <row r="78" spans="2:47" ht="15">
      <c r="B78" s="403">
        <v>5</v>
      </c>
      <c r="C78" s="1207" t="s">
        <v>61</v>
      </c>
      <c r="D78" s="1207"/>
      <c r="E78" s="1207"/>
      <c r="F78" s="1207"/>
      <c r="G78" s="1305" t="s">
        <v>715</v>
      </c>
      <c r="H78" s="1196"/>
      <c r="I78" s="406">
        <v>369</v>
      </c>
      <c r="J78" s="404"/>
      <c r="K78" s="406">
        <v>40</v>
      </c>
      <c r="L78" s="407"/>
      <c r="M78" s="89">
        <v>43.19</v>
      </c>
      <c r="N78" s="87"/>
      <c r="O78" s="395">
        <f>'Таблиця цін схема №1'!FZ47+'Таблиця цін схема №2'!FB80+'Таблиця цін схема №3'!CL18</f>
        <v>26</v>
      </c>
      <c r="P78" s="403">
        <v>3</v>
      </c>
      <c r="Q78" s="1207" t="s">
        <v>53</v>
      </c>
      <c r="R78" s="1207"/>
      <c r="S78" s="1207"/>
      <c r="T78" s="1207"/>
      <c r="U78" s="1316"/>
      <c r="V78" s="1316"/>
      <c r="W78" s="405" t="s">
        <v>54</v>
      </c>
      <c r="X78" s="404"/>
      <c r="Y78" s="406">
        <v>25</v>
      </c>
      <c r="Z78" s="407"/>
      <c r="AA78" s="1174">
        <f t="shared" ref="AA78:AA84" si="11">AD78</f>
        <v>11.45</v>
      </c>
      <c r="AB78" s="134"/>
      <c r="AC78" s="520">
        <f>'Таблиця цін схема №1'!FM45+'Таблиця цін схема №1'!FQ45+'Таблиця цін схема №1'!FU45+'Таблиця цін схема №2'!EO78+'Таблиця цін схема №2'!ES78+'Таблиця цін схема №2'!EW78+'Таблиця цін схема №3'!CG16</f>
        <v>41</v>
      </c>
      <c r="AD78" s="1175">
        <v>11.45</v>
      </c>
      <c r="AE78" s="24"/>
      <c r="AF78" s="47">
        <v>11</v>
      </c>
      <c r="AG78" s="1330"/>
      <c r="AH78" s="1253"/>
      <c r="AI78" s="1253"/>
      <c r="AJ78" s="1254"/>
      <c r="AK78" s="1331"/>
      <c r="AL78" s="1251"/>
      <c r="AM78" s="375"/>
      <c r="AN78" s="326"/>
      <c r="AO78" s="13"/>
      <c r="AP78" s="333"/>
      <c r="AQ78" s="179"/>
      <c r="AR78" s="87"/>
      <c r="AS78" s="359"/>
    </row>
    <row r="79" spans="2:47" ht="15">
      <c r="B79" s="403">
        <v>6</v>
      </c>
      <c r="C79" s="1207" t="s">
        <v>61</v>
      </c>
      <c r="D79" s="1207"/>
      <c r="E79" s="1207"/>
      <c r="F79" s="1207"/>
      <c r="G79" s="1305" t="s">
        <v>715</v>
      </c>
      <c r="H79" s="1196"/>
      <c r="I79" s="427">
        <v>369</v>
      </c>
      <c r="J79" s="404"/>
      <c r="K79" s="406">
        <v>50</v>
      </c>
      <c r="L79" s="407"/>
      <c r="M79" s="89">
        <v>48.94</v>
      </c>
      <c r="N79" s="87"/>
      <c r="O79" s="395">
        <f>'Таблиця цін схема №1'!FZ48+'Таблиця цін схема №2'!FB81+'Таблиця цін схема №3'!CL19</f>
        <v>12</v>
      </c>
      <c r="P79" s="403">
        <v>4</v>
      </c>
      <c r="Q79" s="1207" t="s">
        <v>53</v>
      </c>
      <c r="R79" s="1207"/>
      <c r="S79" s="1207"/>
      <c r="T79" s="1207"/>
      <c r="U79" s="1316"/>
      <c r="V79" s="1316"/>
      <c r="W79" s="405" t="s">
        <v>54</v>
      </c>
      <c r="X79" s="404"/>
      <c r="Y79" s="406">
        <v>32</v>
      </c>
      <c r="Z79" s="407"/>
      <c r="AA79" s="1174">
        <f t="shared" si="11"/>
        <v>13.15</v>
      </c>
      <c r="AB79" s="134"/>
      <c r="AC79" s="520">
        <f>'Таблиця цін схема №1'!FM46+'Таблиця цін схема №1'!FQ46+'Таблиця цін схема №1'!FU46+'Таблиця цін схема №2'!EO79+'Таблиця цін схема №2'!ES79+'Таблиця цін схема №2'!EW79+'Таблиця цін схема №3'!CG17</f>
        <v>194</v>
      </c>
      <c r="AD79" s="1175">
        <v>13.15</v>
      </c>
      <c r="AE79" s="24"/>
      <c r="AF79" s="210"/>
      <c r="AG79" s="24"/>
      <c r="AH79" s="24"/>
      <c r="AI79" s="24"/>
      <c r="AJ79" s="25"/>
    </row>
    <row r="80" spans="2:47" ht="15">
      <c r="B80" s="127"/>
      <c r="C80" s="1279"/>
      <c r="D80" s="1217"/>
      <c r="E80" s="1217"/>
      <c r="F80" s="1217"/>
      <c r="G80" s="1324"/>
      <c r="H80" s="1219"/>
      <c r="I80" s="114"/>
      <c r="J80" s="15"/>
      <c r="K80" s="13"/>
      <c r="L80" s="79"/>
      <c r="M80" s="177"/>
      <c r="N80" s="87"/>
      <c r="O80" s="144"/>
      <c r="P80" s="403">
        <v>5</v>
      </c>
      <c r="Q80" s="1207" t="s">
        <v>55</v>
      </c>
      <c r="R80" s="1207"/>
      <c r="S80" s="1207"/>
      <c r="T80" s="1207"/>
      <c r="U80" s="1316"/>
      <c r="V80" s="1316"/>
      <c r="W80" s="405" t="s">
        <v>52</v>
      </c>
      <c r="X80" s="404"/>
      <c r="Y80" s="406">
        <v>40</v>
      </c>
      <c r="Z80" s="407"/>
      <c r="AA80" s="1174">
        <f t="shared" si="11"/>
        <v>16.809999999999999</v>
      </c>
      <c r="AB80" s="134"/>
      <c r="AC80" s="520">
        <f>'Таблиця цін схема №1'!FM47+'Таблиця цін схема №1'!FQ47+'Таблиця цін схема №1'!FU47+'Таблиця цін схема №2'!EO80+'Таблиця цін схема №2'!ES80+'Таблиця цін схема №2'!EW80+'Таблиця цін схема №3'!CG18</f>
        <v>183</v>
      </c>
      <c r="AD80" s="1175">
        <v>16.809999999999999</v>
      </c>
      <c r="AE80" s="24"/>
      <c r="AF80" s="210"/>
      <c r="AG80" s="24"/>
      <c r="AH80" s="24"/>
      <c r="AI80" s="24"/>
      <c r="AJ80" s="25"/>
    </row>
    <row r="81" spans="1:45" ht="15">
      <c r="B81" s="127"/>
      <c r="C81" s="1279"/>
      <c r="D81" s="1217"/>
      <c r="E81" s="1217"/>
      <c r="F81" s="1217"/>
      <c r="G81" s="1324"/>
      <c r="H81" s="1219"/>
      <c r="I81" s="114"/>
      <c r="J81" s="15"/>
      <c r="K81" s="13"/>
      <c r="L81" s="79"/>
      <c r="M81" s="177"/>
      <c r="N81" s="87"/>
      <c r="O81" s="144"/>
      <c r="P81" s="403">
        <v>6</v>
      </c>
      <c r="Q81" s="1207" t="s">
        <v>55</v>
      </c>
      <c r="R81" s="1207"/>
      <c r="S81" s="1207"/>
      <c r="T81" s="1207"/>
      <c r="U81" s="1316"/>
      <c r="V81" s="1316"/>
      <c r="W81" s="405" t="s">
        <v>52</v>
      </c>
      <c r="X81" s="404"/>
      <c r="Y81" s="406">
        <v>50</v>
      </c>
      <c r="Z81" s="407"/>
      <c r="AA81" s="1174">
        <f t="shared" si="11"/>
        <v>20.6</v>
      </c>
      <c r="AB81" s="134"/>
      <c r="AC81" s="520">
        <f>'Таблиця цін схема №1'!FM48+'Таблиця цін схема №1'!FQ48+'Таблиця цін схема №1'!FU48+'Таблиця цін схема №2'!EO81+'Таблиця цін схема №2'!ES81+'Таблиця цін схема №2'!EW81+'Таблиця цін схема №3'!CG19</f>
        <v>215</v>
      </c>
      <c r="AD81" s="1175">
        <v>20.6</v>
      </c>
      <c r="AE81" s="24"/>
      <c r="AF81" s="210"/>
      <c r="AG81" s="24"/>
      <c r="AH81" s="24"/>
      <c r="AI81" s="24"/>
      <c r="AJ81" s="25"/>
    </row>
    <row r="82" spans="1:45" ht="15">
      <c r="B82" s="127"/>
      <c r="C82" s="1279"/>
      <c r="D82" s="1217"/>
      <c r="E82" s="1217"/>
      <c r="F82" s="1217"/>
      <c r="G82" s="1324"/>
      <c r="H82" s="1219"/>
      <c r="I82" s="114"/>
      <c r="J82" s="15"/>
      <c r="K82" s="13"/>
      <c r="L82" s="79"/>
      <c r="M82" s="177"/>
      <c r="N82" s="87"/>
      <c r="O82" s="144"/>
      <c r="P82" s="403">
        <v>7</v>
      </c>
      <c r="Q82" s="1207" t="s">
        <v>55</v>
      </c>
      <c r="R82" s="1207"/>
      <c r="S82" s="1207"/>
      <c r="T82" s="1207"/>
      <c r="U82" s="1316"/>
      <c r="V82" s="1316"/>
      <c r="W82" s="405" t="s">
        <v>52</v>
      </c>
      <c r="X82" s="404"/>
      <c r="Y82" s="406">
        <v>65</v>
      </c>
      <c r="Z82" s="407"/>
      <c r="AA82" s="1174">
        <f t="shared" si="11"/>
        <v>26.33</v>
      </c>
      <c r="AB82" s="134"/>
      <c r="AC82" s="520">
        <f>'Таблиця цін схема №1'!FM49+'Таблиця цін схема №1'!FQ49+'Таблиця цін схема №1'!FU49+'Таблиця цін схема №2'!EO82+'Таблиця цін схема №2'!ES82+'Таблиця цін схема №2'!EW82+'Таблиця цін схема №3'!CG20</f>
        <v>28</v>
      </c>
      <c r="AD82" s="1175">
        <v>26.33</v>
      </c>
      <c r="AE82" s="24"/>
      <c r="AF82" s="210"/>
      <c r="AG82" s="24"/>
      <c r="AH82" s="24"/>
      <c r="AI82" s="24"/>
      <c r="AJ82" s="25"/>
    </row>
    <row r="83" spans="1:45" ht="15.75" thickBot="1">
      <c r="B83" s="128"/>
      <c r="C83" s="1322"/>
      <c r="D83" s="1230"/>
      <c r="E83" s="1230"/>
      <c r="F83" s="1230"/>
      <c r="G83" s="1323"/>
      <c r="H83" s="1232"/>
      <c r="I83" s="115"/>
      <c r="J83" s="16"/>
      <c r="K83" s="14"/>
      <c r="L83" s="86"/>
      <c r="M83" s="178"/>
      <c r="N83" s="88"/>
      <c r="O83" s="144"/>
      <c r="P83" s="403">
        <v>8</v>
      </c>
      <c r="Q83" s="1207" t="s">
        <v>55</v>
      </c>
      <c r="R83" s="1207"/>
      <c r="S83" s="1207"/>
      <c r="T83" s="1207"/>
      <c r="U83" s="1316"/>
      <c r="V83" s="1316"/>
      <c r="W83" s="405" t="s">
        <v>52</v>
      </c>
      <c r="X83" s="404"/>
      <c r="Y83" s="406">
        <v>80</v>
      </c>
      <c r="Z83" s="407"/>
      <c r="AA83" s="1174">
        <f t="shared" si="11"/>
        <v>31.42</v>
      </c>
      <c r="AB83" s="134"/>
      <c r="AC83" s="520">
        <f>'Таблиця цін схема №1'!FM50+'Таблиця цін схема №1'!FQ50+'Таблиця цін схема №1'!FU50+'Таблиця цін схема №2'!EO83+'Таблиця цін схема №2'!ES83+'Таблиця цін схема №2'!EW83+'Таблиця цін схема №3'!CG21</f>
        <v>13</v>
      </c>
      <c r="AD83" s="1175">
        <v>31.42</v>
      </c>
      <c r="AE83" s="24"/>
      <c r="AF83" s="210"/>
      <c r="AG83" s="24"/>
      <c r="AH83" s="24"/>
      <c r="AI83" s="24"/>
      <c r="AJ83" s="25"/>
      <c r="AS83" s="389"/>
    </row>
    <row r="84" spans="1:45" ht="15">
      <c r="M84" s="144"/>
      <c r="P84" s="403">
        <v>9</v>
      </c>
      <c r="Q84" s="1207" t="s">
        <v>55</v>
      </c>
      <c r="R84" s="1207"/>
      <c r="S84" s="1207"/>
      <c r="T84" s="1207"/>
      <c r="U84" s="1316"/>
      <c r="V84" s="1316"/>
      <c r="W84" s="405" t="s">
        <v>52</v>
      </c>
      <c r="X84" s="404"/>
      <c r="Y84" s="406">
        <v>100</v>
      </c>
      <c r="Z84" s="407"/>
      <c r="AA84" s="1174">
        <f t="shared" si="11"/>
        <v>40.590000000000003</v>
      </c>
      <c r="AB84" s="134"/>
      <c r="AC84" s="520">
        <f>'Таблиця цін схема №1'!FM51+'Таблиця цін схема №1'!FQ51+'Таблиця цін схема №1'!FU51+'Таблиця цін схема №2'!EO84+'Таблиця цін схема №2'!ES84+'Таблиця цін схема №2'!EW84+'Таблиця цін схема №3'!CG22</f>
        <v>1</v>
      </c>
      <c r="AD84" s="1175">
        <v>40.590000000000003</v>
      </c>
      <c r="AE84" s="24"/>
      <c r="AF84" s="210"/>
      <c r="AG84" s="24"/>
      <c r="AH84" s="24"/>
      <c r="AI84" s="24"/>
      <c r="AJ84" s="25"/>
    </row>
    <row r="85" spans="1:45" ht="15">
      <c r="P85" s="47">
        <v>10</v>
      </c>
      <c r="Q85" s="1217" t="s">
        <v>55</v>
      </c>
      <c r="R85" s="1217"/>
      <c r="S85" s="1217"/>
      <c r="T85" s="1217"/>
      <c r="U85" s="1315"/>
      <c r="V85" s="1315"/>
      <c r="W85" s="354" t="s">
        <v>52</v>
      </c>
      <c r="X85" s="15"/>
      <c r="Y85" s="13">
        <v>125</v>
      </c>
      <c r="Z85" s="100"/>
      <c r="AA85" s="179"/>
      <c r="AB85" s="134"/>
      <c r="AC85" s="520">
        <f>'Таблиця цін схема №1'!FM52+'Таблиця цін схема №1'!FQ52+'Таблиця цін схема №1'!FU52+'Таблиця цін схема №2'!EO85+'Таблиця цін схема №2'!ES85+'Таблиця цін схема №2'!EW85+'Таблиця цін схема №3'!CG23</f>
        <v>0</v>
      </c>
      <c r="AD85" s="1175"/>
      <c r="AE85" s="24"/>
      <c r="AF85" s="210"/>
      <c r="AG85" s="24"/>
      <c r="AH85" s="24"/>
      <c r="AI85" s="24"/>
      <c r="AJ85" s="25"/>
    </row>
    <row r="86" spans="1:45" ht="15">
      <c r="B86" s="1205" t="s">
        <v>605</v>
      </c>
      <c r="C86" s="1206"/>
      <c r="D86" s="1206"/>
      <c r="E86" s="1206"/>
      <c r="F86" s="1206"/>
      <c r="G86" s="1206"/>
      <c r="H86" s="1206"/>
      <c r="I86" s="1206"/>
      <c r="J86" s="1206"/>
      <c r="K86" s="1206"/>
      <c r="L86" s="1206"/>
      <c r="M86" s="1206"/>
      <c r="N86" s="1206"/>
      <c r="P86" s="47"/>
      <c r="Q86" s="1217"/>
      <c r="R86" s="1217"/>
      <c r="S86" s="1217"/>
      <c r="T86" s="1217"/>
      <c r="U86" s="1219"/>
      <c r="V86" s="1219"/>
      <c r="W86" s="114"/>
      <c r="X86" s="15"/>
      <c r="Y86" s="13"/>
      <c r="Z86" s="79"/>
      <c r="AA86" s="179"/>
      <c r="AB86" s="134"/>
      <c r="AC86" s="363"/>
      <c r="AD86" s="24"/>
      <c r="AE86" s="24"/>
      <c r="AF86" s="24"/>
      <c r="AG86" s="24"/>
      <c r="AH86" s="24"/>
      <c r="AI86" s="24"/>
      <c r="AJ86" s="25"/>
    </row>
    <row r="87" spans="1:45" ht="15">
      <c r="B87" s="379" t="s">
        <v>15</v>
      </c>
      <c r="C87" s="1212" t="s">
        <v>17</v>
      </c>
      <c r="D87" s="1212"/>
      <c r="E87" s="1212"/>
      <c r="F87" s="1212"/>
      <c r="G87" s="1212" t="s">
        <v>20</v>
      </c>
      <c r="H87" s="1212"/>
      <c r="I87" s="379" t="s">
        <v>3</v>
      </c>
      <c r="J87" s="379"/>
      <c r="K87" s="379" t="s">
        <v>22</v>
      </c>
      <c r="L87" s="379"/>
      <c r="M87" s="500" t="s">
        <v>7</v>
      </c>
      <c r="N87" s="379" t="s">
        <v>7</v>
      </c>
      <c r="O87" s="26" t="s">
        <v>9</v>
      </c>
      <c r="P87" s="133"/>
      <c r="Q87" s="1217"/>
      <c r="R87" s="1217"/>
      <c r="S87" s="1217"/>
      <c r="T87" s="1217"/>
      <c r="U87" s="1219"/>
      <c r="V87" s="1219"/>
      <c r="W87" s="114"/>
      <c r="X87" s="15"/>
      <c r="Y87" s="13"/>
      <c r="Z87" s="79"/>
      <c r="AA87" s="179"/>
      <c r="AB87" s="134"/>
      <c r="AC87" s="363"/>
      <c r="AD87" s="24"/>
      <c r="AE87" s="24"/>
      <c r="AF87" s="24"/>
      <c r="AG87" s="24"/>
      <c r="AH87" s="24"/>
      <c r="AI87" s="24"/>
      <c r="AJ87" s="25"/>
    </row>
    <row r="88" spans="1:45" ht="15.75" thickBot="1">
      <c r="B88" s="379" t="s">
        <v>16</v>
      </c>
      <c r="C88" s="1212"/>
      <c r="D88" s="1212"/>
      <c r="E88" s="1212"/>
      <c r="F88" s="1212"/>
      <c r="G88" s="1212"/>
      <c r="H88" s="1212"/>
      <c r="I88" s="379" t="s">
        <v>24</v>
      </c>
      <c r="J88" s="379"/>
      <c r="K88" s="379" t="s">
        <v>2</v>
      </c>
      <c r="L88" s="379"/>
      <c r="M88" s="501" t="s">
        <v>651</v>
      </c>
      <c r="N88" s="379" t="s">
        <v>23</v>
      </c>
      <c r="O88" s="26" t="s">
        <v>93</v>
      </c>
      <c r="P88" s="145"/>
      <c r="Q88" s="1230"/>
      <c r="R88" s="1230"/>
      <c r="S88" s="1230"/>
      <c r="T88" s="1230"/>
      <c r="U88" s="1232"/>
      <c r="V88" s="1232"/>
      <c r="W88" s="115"/>
      <c r="X88" s="16"/>
      <c r="Y88" s="14"/>
      <c r="Z88" s="86"/>
      <c r="AA88" s="180"/>
      <c r="AB88" s="135"/>
      <c r="AC88" s="362"/>
      <c r="AD88" s="24"/>
      <c r="AE88" s="24"/>
      <c r="AF88" s="24"/>
      <c r="AG88" s="24"/>
      <c r="AH88" s="24"/>
      <c r="AI88" s="24"/>
      <c r="AJ88" s="25"/>
    </row>
    <row r="89" spans="1:45" ht="15">
      <c r="A89" s="204"/>
      <c r="B89" s="379">
        <v>1</v>
      </c>
      <c r="C89" s="1278" t="s">
        <v>1094</v>
      </c>
      <c r="D89" s="1217"/>
      <c r="E89" s="1217"/>
      <c r="F89" s="1217"/>
      <c r="G89" s="1280" t="s">
        <v>606</v>
      </c>
      <c r="H89" s="1219"/>
      <c r="I89" s="470"/>
      <c r="J89" s="15"/>
      <c r="K89" s="13"/>
      <c r="L89" s="26"/>
      <c r="M89" s="1177">
        <f>Q89*1.2</f>
        <v>80.399999999999991</v>
      </c>
      <c r="N89" s="13"/>
      <c r="O89" s="471">
        <f>'Таблиця цін схема №2'!FI76+'Таблиця цін схема №3'!CS14</f>
        <v>16</v>
      </c>
      <c r="Q89">
        <v>67</v>
      </c>
      <c r="R89">
        <f>Q89*O89</f>
        <v>1072</v>
      </c>
      <c r="AA89" s="144"/>
      <c r="AE89" s="23"/>
      <c r="AF89" s="24"/>
      <c r="AG89" s="24"/>
      <c r="AH89" s="24"/>
      <c r="AI89" s="24"/>
      <c r="AJ89" s="24"/>
      <c r="AK89" s="24"/>
      <c r="AL89" s="25"/>
    </row>
    <row r="90" spans="1:45" ht="15">
      <c r="B90" s="379">
        <v>2</v>
      </c>
      <c r="C90" s="1278" t="s">
        <v>1093</v>
      </c>
      <c r="D90" s="1217"/>
      <c r="E90" s="1217"/>
      <c r="F90" s="1217"/>
      <c r="G90" s="1277" t="s">
        <v>606</v>
      </c>
      <c r="H90" s="1219"/>
      <c r="I90" s="470"/>
      <c r="J90" s="15"/>
      <c r="K90" s="13"/>
      <c r="L90" s="26"/>
      <c r="M90" s="1177">
        <f t="shared" ref="M90:M105" si="12">Q90*1.2</f>
        <v>198.83999999999997</v>
      </c>
      <c r="N90" s="13"/>
      <c r="O90" s="471">
        <f>'Таблиця цін схема №2'!FI77</f>
        <v>6</v>
      </c>
      <c r="Q90">
        <v>165.7</v>
      </c>
      <c r="R90">
        <f t="shared" ref="R90:R105" si="13">Q90*O90</f>
        <v>994.19999999999993</v>
      </c>
      <c r="AE90" s="23"/>
      <c r="AF90" s="24"/>
      <c r="AG90" s="24"/>
      <c r="AH90" s="24"/>
      <c r="AI90" s="24"/>
      <c r="AJ90" s="24"/>
      <c r="AK90" s="24"/>
      <c r="AL90" s="25"/>
    </row>
    <row r="91" spans="1:45" ht="15">
      <c r="B91" s="379">
        <v>3</v>
      </c>
      <c r="C91" s="1278" t="s">
        <v>120</v>
      </c>
      <c r="D91" s="1217"/>
      <c r="E91" s="1217"/>
      <c r="F91" s="1217"/>
      <c r="G91" s="1277" t="s">
        <v>606</v>
      </c>
      <c r="H91" s="1219"/>
      <c r="I91" s="470"/>
      <c r="J91" s="15"/>
      <c r="K91" s="13"/>
      <c r="L91" s="26"/>
      <c r="M91" s="1177">
        <f t="shared" si="12"/>
        <v>198.83999999999997</v>
      </c>
      <c r="N91" s="13"/>
      <c r="O91" s="471">
        <f>'Таблиця цін схема №2'!FI78+'Таблиця цін схема №3'!CS15</f>
        <v>8</v>
      </c>
      <c r="Q91">
        <v>165.7</v>
      </c>
      <c r="R91">
        <f t="shared" si="13"/>
        <v>1325.6</v>
      </c>
    </row>
    <row r="92" spans="1:45" ht="15" customHeight="1">
      <c r="B92" s="379">
        <v>4</v>
      </c>
      <c r="C92" s="1278" t="s">
        <v>1091</v>
      </c>
      <c r="D92" s="1217"/>
      <c r="E92" s="1217"/>
      <c r="F92" s="1217"/>
      <c r="G92" s="1277" t="s">
        <v>606</v>
      </c>
      <c r="H92" s="1219"/>
      <c r="I92" s="470"/>
      <c r="J92" s="15"/>
      <c r="K92" s="13"/>
      <c r="L92" s="26"/>
      <c r="M92" s="1177">
        <f t="shared" si="12"/>
        <v>198.83999999999997</v>
      </c>
      <c r="N92" s="13"/>
      <c r="O92" s="471">
        <f>'Таблиця цін схема №2'!FI79</f>
        <v>20</v>
      </c>
      <c r="Q92">
        <v>165.7</v>
      </c>
      <c r="R92">
        <f t="shared" si="13"/>
        <v>3314</v>
      </c>
    </row>
    <row r="93" spans="1:45" ht="15">
      <c r="B93" s="379">
        <v>5</v>
      </c>
      <c r="C93" s="1278" t="s">
        <v>122</v>
      </c>
      <c r="D93" s="1217"/>
      <c r="E93" s="1217"/>
      <c r="F93" s="1217"/>
      <c r="G93" s="1277" t="s">
        <v>606</v>
      </c>
      <c r="H93" s="1219"/>
      <c r="I93" s="470"/>
      <c r="J93" s="15"/>
      <c r="K93" s="13"/>
      <c r="L93" s="26"/>
      <c r="M93" s="1177">
        <f t="shared" si="12"/>
        <v>260.71199999999999</v>
      </c>
      <c r="N93" s="13"/>
      <c r="O93" s="471">
        <f>'Таблиця цін схема №1'!GG43</f>
        <v>4</v>
      </c>
      <c r="Q93">
        <v>217.26</v>
      </c>
      <c r="R93">
        <f t="shared" si="13"/>
        <v>869.04</v>
      </c>
    </row>
    <row r="94" spans="1:45" ht="15">
      <c r="B94" s="379">
        <v>6</v>
      </c>
      <c r="C94" s="1278" t="s">
        <v>1092</v>
      </c>
      <c r="D94" s="1217"/>
      <c r="E94" s="1217"/>
      <c r="F94" s="1217"/>
      <c r="G94" s="1277" t="s">
        <v>606</v>
      </c>
      <c r="H94" s="1219"/>
      <c r="I94" s="472"/>
      <c r="J94" s="15"/>
      <c r="K94" s="13"/>
      <c r="L94" s="26"/>
      <c r="M94" s="1177">
        <f t="shared" si="12"/>
        <v>276.99599999999998</v>
      </c>
      <c r="N94" s="13"/>
      <c r="O94" s="471">
        <f>'Таблиця цін схема №2'!FI80</f>
        <v>4</v>
      </c>
      <c r="Q94">
        <v>230.83</v>
      </c>
      <c r="R94">
        <f t="shared" si="13"/>
        <v>923.32</v>
      </c>
    </row>
    <row r="95" spans="1:45" ht="15">
      <c r="B95" s="379">
        <f>B94+1</f>
        <v>7</v>
      </c>
      <c r="C95" s="1278" t="s">
        <v>123</v>
      </c>
      <c r="D95" s="1217"/>
      <c r="E95" s="1217"/>
      <c r="F95" s="1217"/>
      <c r="G95" s="1277" t="s">
        <v>606</v>
      </c>
      <c r="H95" s="1219"/>
      <c r="I95" s="470"/>
      <c r="J95" s="15"/>
      <c r="K95" s="13"/>
      <c r="L95" s="13"/>
      <c r="M95" s="1177">
        <f t="shared" si="12"/>
        <v>387.45599999999996</v>
      </c>
      <c r="N95" s="13"/>
      <c r="O95" s="471">
        <f>'Таблиця цін схема №1'!GG44+'Таблиця цін схема №2'!FI81+'Таблиця цін схема №3'!CS16</f>
        <v>38</v>
      </c>
      <c r="Q95">
        <v>322.88</v>
      </c>
      <c r="R95">
        <f t="shared" si="13"/>
        <v>12269.44</v>
      </c>
    </row>
    <row r="96" spans="1:45" ht="15">
      <c r="B96" s="379">
        <f t="shared" ref="B96:B98" si="14">B95+1</f>
        <v>8</v>
      </c>
      <c r="C96" s="1278" t="s">
        <v>1090</v>
      </c>
      <c r="D96" s="1279"/>
      <c r="E96" s="1279"/>
      <c r="F96" s="1279"/>
      <c r="G96" s="1277" t="s">
        <v>606</v>
      </c>
      <c r="H96" s="1219"/>
      <c r="I96" s="470"/>
      <c r="J96" s="15"/>
      <c r="K96" s="13"/>
      <c r="L96" s="13"/>
      <c r="M96" s="1177">
        <f t="shared" si="12"/>
        <v>648.69600000000003</v>
      </c>
      <c r="N96" s="13"/>
      <c r="O96" s="471">
        <f>'Таблиця цін схема №1'!GG45+'Таблиця цін схема №2'!FI82</f>
        <v>40</v>
      </c>
      <c r="Q96">
        <v>540.58000000000004</v>
      </c>
      <c r="R96">
        <f t="shared" si="13"/>
        <v>21623.200000000001</v>
      </c>
    </row>
    <row r="97" spans="2:18" ht="15">
      <c r="B97" s="379">
        <f t="shared" si="14"/>
        <v>9</v>
      </c>
      <c r="C97" s="1278" t="s">
        <v>119</v>
      </c>
      <c r="D97" s="1279"/>
      <c r="E97" s="1279"/>
      <c r="F97" s="1279"/>
      <c r="G97" s="1277" t="s">
        <v>606</v>
      </c>
      <c r="H97" s="1219"/>
      <c r="I97" s="470"/>
      <c r="J97" s="15"/>
      <c r="K97" s="13"/>
      <c r="L97" s="13"/>
      <c r="M97" s="1177">
        <f t="shared" si="12"/>
        <v>391.06799999999998</v>
      </c>
      <c r="N97" s="13"/>
      <c r="O97" s="471">
        <f>'Таблиця цін схема №1'!GG46+'Таблиця цін схема №2'!FI83</f>
        <v>46</v>
      </c>
      <c r="Q97">
        <v>325.89</v>
      </c>
      <c r="R97">
        <f t="shared" si="13"/>
        <v>14990.939999999999</v>
      </c>
    </row>
    <row r="98" spans="2:18" ht="15">
      <c r="B98" s="379">
        <f t="shared" si="14"/>
        <v>10</v>
      </c>
      <c r="C98" s="1278" t="s">
        <v>124</v>
      </c>
      <c r="D98" s="1279"/>
      <c r="E98" s="1279"/>
      <c r="F98" s="1279"/>
      <c r="G98" s="1277" t="s">
        <v>606</v>
      </c>
      <c r="H98" s="1219"/>
      <c r="I98" s="470"/>
      <c r="J98" s="15"/>
      <c r="K98" s="13"/>
      <c r="L98" s="13"/>
      <c r="M98" s="1177">
        <f t="shared" si="12"/>
        <v>678</v>
      </c>
      <c r="N98" s="13"/>
      <c r="O98" s="471">
        <f>'Таблиця цін схема №1'!GG47+'Таблиця цін схема №2'!FI84</f>
        <v>16</v>
      </c>
      <c r="Q98">
        <v>565</v>
      </c>
      <c r="R98">
        <f t="shared" si="13"/>
        <v>9040</v>
      </c>
    </row>
    <row r="99" spans="2:18" ht="15">
      <c r="B99" s="379">
        <f t="shared" ref="B99:B104" si="15">B98+1</f>
        <v>11</v>
      </c>
      <c r="C99" s="1278" t="s">
        <v>125</v>
      </c>
      <c r="D99" s="1279"/>
      <c r="E99" s="1279"/>
      <c r="F99" s="1279"/>
      <c r="G99" s="1277" t="s">
        <v>606</v>
      </c>
      <c r="H99" s="1219"/>
      <c r="I99" s="470"/>
      <c r="J99" s="15"/>
      <c r="K99" s="13"/>
      <c r="L99" s="13"/>
      <c r="M99" s="1177">
        <f t="shared" si="12"/>
        <v>662.4</v>
      </c>
      <c r="N99" s="13"/>
      <c r="O99" s="471">
        <f>'Таблиця цін схема №2'!FI85</f>
        <v>2</v>
      </c>
      <c r="Q99">
        <v>552</v>
      </c>
      <c r="R99">
        <f t="shared" si="13"/>
        <v>1104</v>
      </c>
    </row>
    <row r="100" spans="2:18" ht="15">
      <c r="B100" s="379">
        <f t="shared" si="15"/>
        <v>12</v>
      </c>
      <c r="C100" s="1278" t="s">
        <v>126</v>
      </c>
      <c r="D100" s="1279"/>
      <c r="E100" s="1279"/>
      <c r="F100" s="1279"/>
      <c r="G100" s="1277" t="s">
        <v>606</v>
      </c>
      <c r="H100" s="1219"/>
      <c r="I100" s="470"/>
      <c r="J100" s="15"/>
      <c r="K100" s="13"/>
      <c r="L100" s="13"/>
      <c r="M100" s="1177">
        <f t="shared" si="12"/>
        <v>682.99199999999996</v>
      </c>
      <c r="N100" s="13"/>
      <c r="O100" s="471">
        <f>'Таблиця цін схема №1'!GG48</f>
        <v>6</v>
      </c>
      <c r="Q100">
        <v>569.16</v>
      </c>
      <c r="R100">
        <f t="shared" si="13"/>
        <v>3414.96</v>
      </c>
    </row>
    <row r="101" spans="2:18" ht="15">
      <c r="B101" s="379">
        <f t="shared" si="15"/>
        <v>13</v>
      </c>
      <c r="C101" s="1278" t="s">
        <v>1096</v>
      </c>
      <c r="D101" s="1279"/>
      <c r="E101" s="1279"/>
      <c r="F101" s="1279"/>
      <c r="G101" s="1277" t="s">
        <v>606</v>
      </c>
      <c r="H101" s="1219"/>
      <c r="I101" s="470"/>
      <c r="J101" s="15"/>
      <c r="K101" s="13"/>
      <c r="L101" s="13"/>
      <c r="M101" s="1177">
        <f t="shared" si="12"/>
        <v>162.96</v>
      </c>
      <c r="N101" s="13"/>
      <c r="O101" s="502">
        <f>'Таблиця цін схема №2'!FP76</f>
        <v>4</v>
      </c>
      <c r="P101" s="144"/>
      <c r="Q101" s="113">
        <v>135.80000000000001</v>
      </c>
      <c r="R101">
        <f t="shared" si="13"/>
        <v>543.20000000000005</v>
      </c>
    </row>
    <row r="102" spans="2:18" ht="15">
      <c r="B102" s="379">
        <f t="shared" si="15"/>
        <v>14</v>
      </c>
      <c r="C102" s="1278" t="s">
        <v>1097</v>
      </c>
      <c r="D102" s="1279"/>
      <c r="E102" s="1279"/>
      <c r="F102" s="1279"/>
      <c r="G102" s="1277" t="s">
        <v>606</v>
      </c>
      <c r="H102" s="1219"/>
      <c r="I102" s="470"/>
      <c r="J102" s="15"/>
      <c r="K102" s="152"/>
      <c r="L102" s="152"/>
      <c r="M102" s="1177">
        <f t="shared" si="12"/>
        <v>241.2</v>
      </c>
      <c r="N102" s="13"/>
      <c r="O102" s="502">
        <f>'Таблиця цін схема №1'!GN43+'Таблиця цін схема №2'!FP77</f>
        <v>83</v>
      </c>
      <c r="Q102">
        <v>201</v>
      </c>
      <c r="R102">
        <f t="shared" si="13"/>
        <v>16683</v>
      </c>
    </row>
    <row r="103" spans="2:18" ht="15">
      <c r="B103" s="379">
        <f t="shared" si="15"/>
        <v>15</v>
      </c>
      <c r="C103" s="1278" t="s">
        <v>1095</v>
      </c>
      <c r="D103" s="1279"/>
      <c r="E103" s="1279"/>
      <c r="F103" s="1279"/>
      <c r="G103" s="1277" t="s">
        <v>606</v>
      </c>
      <c r="H103" s="1219"/>
      <c r="I103" s="470"/>
      <c r="J103" s="15"/>
      <c r="K103" s="13"/>
      <c r="L103" s="13"/>
      <c r="M103" s="1177">
        <f t="shared" si="12"/>
        <v>585.6</v>
      </c>
      <c r="N103" s="13"/>
      <c r="O103" s="502">
        <f>'Таблиця цін схема №1'!GN44</f>
        <v>1</v>
      </c>
      <c r="Q103">
        <v>488</v>
      </c>
      <c r="R103">
        <f t="shared" si="13"/>
        <v>488</v>
      </c>
    </row>
    <row r="104" spans="2:18" ht="15">
      <c r="B104" s="379">
        <f t="shared" si="15"/>
        <v>16</v>
      </c>
      <c r="C104" s="1278" t="s">
        <v>1098</v>
      </c>
      <c r="D104" s="1279"/>
      <c r="E104" s="1279"/>
      <c r="F104" s="1279"/>
      <c r="G104" s="1277" t="s">
        <v>606</v>
      </c>
      <c r="H104" s="1219"/>
      <c r="I104" s="470"/>
      <c r="J104" s="15"/>
      <c r="K104" s="13"/>
      <c r="L104" s="13"/>
      <c r="M104" s="1177">
        <f t="shared" si="12"/>
        <v>80.399999999999991</v>
      </c>
      <c r="N104" s="13"/>
      <c r="O104" s="502">
        <f>'Таблиця цін схема №1'!GN45+'Таблиця цін схема №2'!FP78</f>
        <v>11</v>
      </c>
      <c r="Q104">
        <v>67</v>
      </c>
      <c r="R104">
        <f t="shared" si="13"/>
        <v>737</v>
      </c>
    </row>
    <row r="105" spans="2:18" ht="15">
      <c r="B105" s="469">
        <v>17</v>
      </c>
      <c r="C105" s="1327" t="s">
        <v>1033</v>
      </c>
      <c r="D105" s="1212"/>
      <c r="E105" s="1212"/>
      <c r="F105" s="1212"/>
      <c r="G105" s="1277" t="s">
        <v>606</v>
      </c>
      <c r="H105" s="1219"/>
      <c r="I105" s="162"/>
      <c r="J105" s="162"/>
      <c r="K105" s="152"/>
      <c r="L105" s="152"/>
      <c r="M105" s="1177">
        <f t="shared" si="12"/>
        <v>66.611999999999995</v>
      </c>
      <c r="N105" s="499"/>
      <c r="O105" s="471">
        <v>103</v>
      </c>
      <c r="Q105">
        <v>55.51</v>
      </c>
      <c r="R105">
        <f t="shared" si="13"/>
        <v>5717.53</v>
      </c>
    </row>
    <row r="106" spans="2:18">
      <c r="K106" s="144"/>
      <c r="L106" s="144"/>
      <c r="M106" s="144"/>
      <c r="N106" s="144"/>
      <c r="O106" s="144"/>
      <c r="R106">
        <f>SUM(R89:R105)</f>
        <v>95109.430000000008</v>
      </c>
    </row>
    <row r="107" spans="2:18">
      <c r="D107" s="113"/>
      <c r="K107" s="144"/>
      <c r="L107" s="144"/>
      <c r="M107" s="144"/>
      <c r="N107" s="144"/>
      <c r="O107" s="144"/>
    </row>
    <row r="108" spans="2:18">
      <c r="D108" s="113"/>
      <c r="K108" s="144"/>
      <c r="L108" s="144"/>
      <c r="M108" s="144"/>
      <c r="N108" s="144"/>
      <c r="O108" s="144"/>
      <c r="Q108" s="113" t="s">
        <v>1400</v>
      </c>
    </row>
    <row r="109" spans="2:18">
      <c r="D109" s="113"/>
      <c r="K109" s="144"/>
      <c r="L109" s="144"/>
      <c r="M109" s="144"/>
      <c r="N109" s="144"/>
      <c r="O109" s="144"/>
    </row>
    <row r="110" spans="2:18">
      <c r="G110" s="563"/>
      <c r="K110" s="144"/>
      <c r="L110" s="144"/>
      <c r="M110" s="144"/>
      <c r="N110" s="144"/>
      <c r="O110" s="144"/>
    </row>
    <row r="111" spans="2:18">
      <c r="K111" s="144"/>
      <c r="L111" s="144"/>
      <c r="M111" s="144"/>
      <c r="N111" s="144"/>
      <c r="O111" s="144"/>
    </row>
    <row r="112" spans="2:18">
      <c r="K112" s="144"/>
      <c r="L112" s="144"/>
      <c r="M112" s="144"/>
      <c r="N112" s="144"/>
      <c r="O112" s="144"/>
    </row>
    <row r="113" spans="1:15" ht="13.5" thickBot="1">
      <c r="C113" t="s">
        <v>635</v>
      </c>
      <c r="K113" s="144"/>
      <c r="L113" s="144"/>
      <c r="M113" s="144"/>
      <c r="N113" s="144"/>
      <c r="O113" s="144"/>
    </row>
    <row r="114" spans="1:15">
      <c r="A114" s="155"/>
      <c r="B114" s="61"/>
      <c r="C114" s="61"/>
      <c r="D114" s="61"/>
      <c r="E114" s="61"/>
      <c r="F114" s="61"/>
      <c r="G114" s="101"/>
    </row>
    <row r="115" spans="1:15" ht="38.25">
      <c r="A115" s="156"/>
      <c r="B115" s="157" t="s">
        <v>614</v>
      </c>
      <c r="C115" s="157" t="s">
        <v>650</v>
      </c>
      <c r="D115" s="196"/>
      <c r="E115" s="194" t="s">
        <v>634</v>
      </c>
      <c r="F115" s="196"/>
      <c r="G115" s="163"/>
    </row>
    <row r="116" spans="1:15">
      <c r="A116" s="156"/>
      <c r="B116" s="161" t="s">
        <v>617</v>
      </c>
      <c r="C116" s="198">
        <f>6000</f>
        <v>6000</v>
      </c>
      <c r="D116" s="62"/>
      <c r="E116" s="195" t="e">
        <f>#REF!</f>
        <v>#REF!</v>
      </c>
      <c r="F116" s="62"/>
      <c r="G116" s="163"/>
    </row>
    <row r="117" spans="1:15">
      <c r="A117" s="156"/>
      <c r="B117" s="161" t="s">
        <v>608</v>
      </c>
      <c r="C117" s="198">
        <f>8000</f>
        <v>8000</v>
      </c>
      <c r="D117" s="62"/>
      <c r="E117" s="62"/>
      <c r="F117" s="62"/>
      <c r="G117" s="163"/>
    </row>
    <row r="118" spans="1:15">
      <c r="A118" s="156"/>
      <c r="B118" s="161" t="s">
        <v>613</v>
      </c>
      <c r="C118" s="199">
        <f>10000</f>
        <v>10000</v>
      </c>
      <c r="D118" s="62"/>
      <c r="E118" s="62"/>
      <c r="F118" s="62"/>
      <c r="G118" s="163"/>
    </row>
    <row r="119" spans="1:15">
      <c r="A119" s="156"/>
      <c r="B119" s="161">
        <v>30</v>
      </c>
      <c r="C119" s="198">
        <f>16000</f>
        <v>16000</v>
      </c>
      <c r="D119" s="62"/>
      <c r="E119" s="62"/>
      <c r="F119" s="62"/>
      <c r="G119" s="163"/>
    </row>
    <row r="120" spans="1:15">
      <c r="A120" s="156"/>
      <c r="B120" s="161" t="s">
        <v>618</v>
      </c>
      <c r="C120" s="198">
        <f>18000</f>
        <v>18000</v>
      </c>
      <c r="D120" s="62"/>
      <c r="E120" s="62"/>
      <c r="F120" s="62"/>
      <c r="G120" s="163"/>
    </row>
    <row r="121" spans="1:15">
      <c r="A121" s="156"/>
      <c r="B121" s="62"/>
      <c r="C121" s="62"/>
      <c r="D121" s="62"/>
      <c r="E121" s="62"/>
      <c r="F121" s="62"/>
      <c r="G121" s="163"/>
    </row>
    <row r="122" spans="1:15" ht="38.25">
      <c r="A122" s="156"/>
      <c r="B122" s="157" t="s">
        <v>614</v>
      </c>
      <c r="C122" s="157" t="s">
        <v>633</v>
      </c>
      <c r="D122" s="153" t="s">
        <v>655</v>
      </c>
      <c r="E122" s="157" t="s">
        <v>615</v>
      </c>
      <c r="F122" s="157" t="s">
        <v>616</v>
      </c>
      <c r="G122" s="163"/>
    </row>
    <row r="123" spans="1:15">
      <c r="A123" s="156"/>
      <c r="B123" s="161" t="s">
        <v>617</v>
      </c>
      <c r="C123" s="161">
        <v>8.1199999999999992</v>
      </c>
      <c r="D123" s="159" t="e">
        <f>C116/$E$116</f>
        <v>#REF!</v>
      </c>
      <c r="E123" s="161">
        <v>1.1000000000000001</v>
      </c>
      <c r="F123" s="161">
        <v>1</v>
      </c>
      <c r="G123" s="163"/>
    </row>
    <row r="124" spans="1:15">
      <c r="A124" s="156"/>
      <c r="B124" s="161" t="s">
        <v>608</v>
      </c>
      <c r="C124" s="161">
        <v>10.82</v>
      </c>
      <c r="D124" s="159" t="e">
        <f>C117/$E$116</f>
        <v>#REF!</v>
      </c>
      <c r="E124" s="161">
        <v>1.1000000000000001</v>
      </c>
      <c r="F124" s="161">
        <v>1</v>
      </c>
      <c r="G124" s="163"/>
    </row>
    <row r="125" spans="1:15">
      <c r="A125" s="156"/>
      <c r="B125" s="161" t="s">
        <v>613</v>
      </c>
      <c r="C125" s="161">
        <v>17.05</v>
      </c>
      <c r="D125" s="159" t="e">
        <f>C118/$E$116</f>
        <v>#REF!</v>
      </c>
      <c r="E125" s="161">
        <v>1.1000000000000001</v>
      </c>
      <c r="F125" s="161">
        <v>1</v>
      </c>
      <c r="G125" s="163"/>
    </row>
    <row r="126" spans="1:15">
      <c r="A126" s="156"/>
      <c r="B126" s="161" t="s">
        <v>641</v>
      </c>
      <c r="C126" s="161">
        <v>15.64</v>
      </c>
      <c r="D126" s="159" t="e">
        <f>C119/$E$116</f>
        <v>#REF!</v>
      </c>
      <c r="E126" s="161">
        <v>1.1000000000000001</v>
      </c>
      <c r="F126" s="161">
        <v>1</v>
      </c>
      <c r="G126" s="163"/>
    </row>
    <row r="127" spans="1:15">
      <c r="A127" s="156"/>
      <c r="B127" s="161" t="s">
        <v>618</v>
      </c>
      <c r="C127" s="161">
        <v>20.66</v>
      </c>
      <c r="D127" s="159" t="e">
        <f>C120/$E$116</f>
        <v>#REF!</v>
      </c>
      <c r="E127" s="161">
        <v>1.1000000000000001</v>
      </c>
      <c r="F127" s="161">
        <v>1</v>
      </c>
      <c r="G127" s="163"/>
    </row>
    <row r="128" spans="1:15" ht="13.5" thickBot="1">
      <c r="A128" s="164"/>
      <c r="B128" s="63"/>
      <c r="C128" s="63"/>
      <c r="D128" s="63"/>
      <c r="E128" s="63"/>
      <c r="F128" s="63"/>
      <c r="G128" s="165"/>
    </row>
    <row r="130" spans="5:7">
      <c r="E130" t="e">
        <f>'Теплообмінники №1'!F26+'Теплообмінники №2'!F267+'Теплообмінники №2'!M267</f>
        <v>#REF!</v>
      </c>
      <c r="G130">
        <f>264*2+23</f>
        <v>551</v>
      </c>
    </row>
    <row r="133" spans="5:7" ht="25.5">
      <c r="F133" s="200" t="s">
        <v>652</v>
      </c>
      <c r="G133">
        <f>G130+O105+O84+O68+O56+O18+AC18+AC37+AC70+AC89+AS64+AS33+AS14</f>
        <v>654</v>
      </c>
    </row>
  </sheetData>
  <mergeCells count="407">
    <mergeCell ref="C105:F105"/>
    <mergeCell ref="G105:H105"/>
    <mergeCell ref="AG62:AJ62"/>
    <mergeCell ref="AG63:AJ63"/>
    <mergeCell ref="AK62:AL62"/>
    <mergeCell ref="AK63:AL63"/>
    <mergeCell ref="AG77:AJ77"/>
    <mergeCell ref="AK77:AL77"/>
    <mergeCell ref="AG78:AJ78"/>
    <mergeCell ref="AK78:AL78"/>
    <mergeCell ref="AF65:AS65"/>
    <mergeCell ref="AG72:AJ72"/>
    <mergeCell ref="AK72:AL72"/>
    <mergeCell ref="AG73:AJ73"/>
    <mergeCell ref="AK73:AL73"/>
    <mergeCell ref="AG74:AJ74"/>
    <mergeCell ref="AK74:AL74"/>
    <mergeCell ref="AG75:AJ75"/>
    <mergeCell ref="AK75:AL75"/>
    <mergeCell ref="AG76:AJ76"/>
    <mergeCell ref="AK76:AL76"/>
    <mergeCell ref="AG66:AJ67"/>
    <mergeCell ref="AK66:AL67"/>
    <mergeCell ref="AG68:AJ68"/>
    <mergeCell ref="AK68:AL68"/>
    <mergeCell ref="AG69:AJ69"/>
    <mergeCell ref="AK69:AL69"/>
    <mergeCell ref="AG70:AJ70"/>
    <mergeCell ref="AK70:AL70"/>
    <mergeCell ref="AG71:AJ71"/>
    <mergeCell ref="AK71:AL71"/>
    <mergeCell ref="Q44:AD44"/>
    <mergeCell ref="C82:F82"/>
    <mergeCell ref="G82:H82"/>
    <mergeCell ref="B71:N71"/>
    <mergeCell ref="C72:F73"/>
    <mergeCell ref="G72:H73"/>
    <mergeCell ref="C74:F74"/>
    <mergeCell ref="G74:H74"/>
    <mergeCell ref="C75:F75"/>
    <mergeCell ref="G75:H75"/>
    <mergeCell ref="C76:F76"/>
    <mergeCell ref="G76:H76"/>
    <mergeCell ref="Q65:T65"/>
    <mergeCell ref="U65:V65"/>
    <mergeCell ref="Q66:T66"/>
    <mergeCell ref="U66:V66"/>
    <mergeCell ref="Q67:T67"/>
    <mergeCell ref="C83:F83"/>
    <mergeCell ref="G83:H83"/>
    <mergeCell ref="C77:F77"/>
    <mergeCell ref="G77:H77"/>
    <mergeCell ref="C78:F78"/>
    <mergeCell ref="G78:H78"/>
    <mergeCell ref="C79:F79"/>
    <mergeCell ref="G79:H79"/>
    <mergeCell ref="C80:F80"/>
    <mergeCell ref="G80:H80"/>
    <mergeCell ref="C81:F81"/>
    <mergeCell ref="G81:H81"/>
    <mergeCell ref="U67:V67"/>
    <mergeCell ref="Q68:T68"/>
    <mergeCell ref="U68:V68"/>
    <mergeCell ref="Q69:T69"/>
    <mergeCell ref="U69:V69"/>
    <mergeCell ref="P73:AB73"/>
    <mergeCell ref="Q74:T75"/>
    <mergeCell ref="U74:V75"/>
    <mergeCell ref="Q76:T76"/>
    <mergeCell ref="U76:V76"/>
    <mergeCell ref="C65:F65"/>
    <mergeCell ref="G65:H65"/>
    <mergeCell ref="C66:F66"/>
    <mergeCell ref="G66:H66"/>
    <mergeCell ref="C67:F67"/>
    <mergeCell ref="G67:H67"/>
    <mergeCell ref="B59:N59"/>
    <mergeCell ref="C60:F61"/>
    <mergeCell ref="G60:H61"/>
    <mergeCell ref="C62:F62"/>
    <mergeCell ref="G62:H62"/>
    <mergeCell ref="C63:F63"/>
    <mergeCell ref="G63:H63"/>
    <mergeCell ref="C64:F64"/>
    <mergeCell ref="G64:H64"/>
    <mergeCell ref="C7:F7"/>
    <mergeCell ref="C9:F9"/>
    <mergeCell ref="C10:F10"/>
    <mergeCell ref="C11:F11"/>
    <mergeCell ref="C12:F12"/>
    <mergeCell ref="C8:F8"/>
    <mergeCell ref="G5:H5"/>
    <mergeCell ref="G6:H6"/>
    <mergeCell ref="G7:H7"/>
    <mergeCell ref="B2:N2"/>
    <mergeCell ref="Q7:T7"/>
    <mergeCell ref="U7:V7"/>
    <mergeCell ref="Q8:T8"/>
    <mergeCell ref="U8:V8"/>
    <mergeCell ref="G14:H14"/>
    <mergeCell ref="G15:H15"/>
    <mergeCell ref="G16:H16"/>
    <mergeCell ref="G17:H17"/>
    <mergeCell ref="G3:H4"/>
    <mergeCell ref="G8:H8"/>
    <mergeCell ref="G9:H9"/>
    <mergeCell ref="G10:H10"/>
    <mergeCell ref="G11:H11"/>
    <mergeCell ref="G12:H12"/>
    <mergeCell ref="G13:H13"/>
    <mergeCell ref="C13:F13"/>
    <mergeCell ref="C14:F14"/>
    <mergeCell ref="C15:F15"/>
    <mergeCell ref="C16:F16"/>
    <mergeCell ref="C17:F17"/>
    <mergeCell ref="C3:F4"/>
    <mergeCell ref="C5:F5"/>
    <mergeCell ref="C6:F6"/>
    <mergeCell ref="Q9:T9"/>
    <mergeCell ref="U9:V9"/>
    <mergeCell ref="Q10:T10"/>
    <mergeCell ref="U10:V10"/>
    <mergeCell ref="Q11:T11"/>
    <mergeCell ref="U11:V11"/>
    <mergeCell ref="P2:AB2"/>
    <mergeCell ref="Q3:T4"/>
    <mergeCell ref="U3:V4"/>
    <mergeCell ref="Q5:T5"/>
    <mergeCell ref="U5:V5"/>
    <mergeCell ref="Q6:T6"/>
    <mergeCell ref="U6:V6"/>
    <mergeCell ref="Q15:T15"/>
    <mergeCell ref="U15:V15"/>
    <mergeCell ref="Q16:T16"/>
    <mergeCell ref="U16:V16"/>
    <mergeCell ref="Q17:T17"/>
    <mergeCell ref="U17:V17"/>
    <mergeCell ref="Q12:T12"/>
    <mergeCell ref="U12:V12"/>
    <mergeCell ref="Q13:T13"/>
    <mergeCell ref="U13:V13"/>
    <mergeCell ref="Q14:T14"/>
    <mergeCell ref="U14:V14"/>
    <mergeCell ref="P21:AB21"/>
    <mergeCell ref="Q29:T29"/>
    <mergeCell ref="U29:V29"/>
    <mergeCell ref="Q30:T30"/>
    <mergeCell ref="U30:V30"/>
    <mergeCell ref="Q31:T31"/>
    <mergeCell ref="U31:V31"/>
    <mergeCell ref="Q26:T26"/>
    <mergeCell ref="U26:V26"/>
    <mergeCell ref="Q27:T27"/>
    <mergeCell ref="U27:V27"/>
    <mergeCell ref="Q28:T28"/>
    <mergeCell ref="U28:V28"/>
    <mergeCell ref="U35:V35"/>
    <mergeCell ref="Q36:T36"/>
    <mergeCell ref="C32:F32"/>
    <mergeCell ref="U36:V36"/>
    <mergeCell ref="U32:V32"/>
    <mergeCell ref="Q33:T33"/>
    <mergeCell ref="U33:V33"/>
    <mergeCell ref="Q34:T34"/>
    <mergeCell ref="U34:V34"/>
    <mergeCell ref="Q32:T32"/>
    <mergeCell ref="G32:H32"/>
    <mergeCell ref="C33:F33"/>
    <mergeCell ref="G33:H33"/>
    <mergeCell ref="C34:F34"/>
    <mergeCell ref="G34:H34"/>
    <mergeCell ref="G46:H46"/>
    <mergeCell ref="C47:F47"/>
    <mergeCell ref="G47:H47"/>
    <mergeCell ref="C22:F23"/>
    <mergeCell ref="U22:V23"/>
    <mergeCell ref="Q24:T24"/>
    <mergeCell ref="U24:V24"/>
    <mergeCell ref="Q25:T25"/>
    <mergeCell ref="U25:V25"/>
    <mergeCell ref="P40:AB40"/>
    <mergeCell ref="G28:H28"/>
    <mergeCell ref="C29:F29"/>
    <mergeCell ref="G29:H29"/>
    <mergeCell ref="C30:F30"/>
    <mergeCell ref="G30:H30"/>
    <mergeCell ref="C31:F31"/>
    <mergeCell ref="G31:H31"/>
    <mergeCell ref="C28:F28"/>
    <mergeCell ref="G22:H23"/>
    <mergeCell ref="C24:F24"/>
    <mergeCell ref="G24:H24"/>
    <mergeCell ref="C25:F25"/>
    <mergeCell ref="Q22:T23"/>
    <mergeCell ref="Q35:T35"/>
    <mergeCell ref="C43:F43"/>
    <mergeCell ref="G43:H43"/>
    <mergeCell ref="C44:F44"/>
    <mergeCell ref="G44:H44"/>
    <mergeCell ref="C45:F45"/>
    <mergeCell ref="G45:H45"/>
    <mergeCell ref="C35:F35"/>
    <mergeCell ref="G35:H35"/>
    <mergeCell ref="C36:F36"/>
    <mergeCell ref="G36:H36"/>
    <mergeCell ref="B40:N40"/>
    <mergeCell ref="C41:F42"/>
    <mergeCell ref="G41:H42"/>
    <mergeCell ref="P59:AB59"/>
    <mergeCell ref="Q50:T50"/>
    <mergeCell ref="U50:V50"/>
    <mergeCell ref="Q51:T51"/>
    <mergeCell ref="U51:V51"/>
    <mergeCell ref="Q55:T55"/>
    <mergeCell ref="Q52:T52"/>
    <mergeCell ref="U52:V52"/>
    <mergeCell ref="Q53:T53"/>
    <mergeCell ref="U53:V53"/>
    <mergeCell ref="Q54:T54"/>
    <mergeCell ref="U54:V54"/>
    <mergeCell ref="U55:V55"/>
    <mergeCell ref="Q49:T49"/>
    <mergeCell ref="C48:F48"/>
    <mergeCell ref="G48:H48"/>
    <mergeCell ref="Q60:T61"/>
    <mergeCell ref="U60:V61"/>
    <mergeCell ref="C55:F55"/>
    <mergeCell ref="G55:H55"/>
    <mergeCell ref="B21:N21"/>
    <mergeCell ref="C52:F52"/>
    <mergeCell ref="G52:H52"/>
    <mergeCell ref="C53:F53"/>
    <mergeCell ref="G53:H53"/>
    <mergeCell ref="C54:F54"/>
    <mergeCell ref="G54:H54"/>
    <mergeCell ref="C49:F49"/>
    <mergeCell ref="G49:H49"/>
    <mergeCell ref="C50:F50"/>
    <mergeCell ref="G50:H50"/>
    <mergeCell ref="C51:F51"/>
    <mergeCell ref="G25:H25"/>
    <mergeCell ref="C26:F26"/>
    <mergeCell ref="G26:H26"/>
    <mergeCell ref="C27:F27"/>
    <mergeCell ref="G27:H27"/>
    <mergeCell ref="G51:H51"/>
    <mergeCell ref="C46:F46"/>
    <mergeCell ref="U49:V49"/>
    <mergeCell ref="AF17:AR17"/>
    <mergeCell ref="Q82:T82"/>
    <mergeCell ref="U82:V82"/>
    <mergeCell ref="Q83:T83"/>
    <mergeCell ref="U83:V83"/>
    <mergeCell ref="Q84:T84"/>
    <mergeCell ref="U84:V84"/>
    <mergeCell ref="Q62:T62"/>
    <mergeCell ref="U62:V62"/>
    <mergeCell ref="Q63:T63"/>
    <mergeCell ref="U63:V63"/>
    <mergeCell ref="Q64:T64"/>
    <mergeCell ref="AG18:AJ19"/>
    <mergeCell ref="AK18:AL19"/>
    <mergeCell ref="AG20:AJ20"/>
    <mergeCell ref="AK20:AL20"/>
    <mergeCell ref="AG21:AJ21"/>
    <mergeCell ref="AK21:AL21"/>
    <mergeCell ref="AG22:AJ22"/>
    <mergeCell ref="AK22:AL22"/>
    <mergeCell ref="AG23:AJ23"/>
    <mergeCell ref="Q85:T85"/>
    <mergeCell ref="U85:V85"/>
    <mergeCell ref="Q77:T77"/>
    <mergeCell ref="U77:V77"/>
    <mergeCell ref="Q78:T78"/>
    <mergeCell ref="U78:V78"/>
    <mergeCell ref="Q79:T79"/>
    <mergeCell ref="U79:V79"/>
    <mergeCell ref="Q80:T80"/>
    <mergeCell ref="U80:V80"/>
    <mergeCell ref="Q81:T81"/>
    <mergeCell ref="U81:V81"/>
    <mergeCell ref="AG9:AJ9"/>
    <mergeCell ref="AK9:AL9"/>
    <mergeCell ref="AG10:AJ10"/>
    <mergeCell ref="AK10:AL10"/>
    <mergeCell ref="AG11:AJ11"/>
    <mergeCell ref="AK11:AL11"/>
    <mergeCell ref="AG12:AJ12"/>
    <mergeCell ref="AK12:AL12"/>
    <mergeCell ref="AG13:AJ13"/>
    <mergeCell ref="AK13:AL13"/>
    <mergeCell ref="AF3:AR3"/>
    <mergeCell ref="AG4:AJ5"/>
    <mergeCell ref="AK4:AL5"/>
    <mergeCell ref="AG6:AJ6"/>
    <mergeCell ref="AK6:AL6"/>
    <mergeCell ref="AG7:AJ7"/>
    <mergeCell ref="AK7:AL7"/>
    <mergeCell ref="AG8:AJ8"/>
    <mergeCell ref="AK8:AL8"/>
    <mergeCell ref="AK39:AL39"/>
    <mergeCell ref="AG40:AJ40"/>
    <mergeCell ref="AK23:AL23"/>
    <mergeCell ref="AG24:AJ24"/>
    <mergeCell ref="AK24:AL24"/>
    <mergeCell ref="AG25:AJ25"/>
    <mergeCell ref="AK25:AL25"/>
    <mergeCell ref="AG26:AJ26"/>
    <mergeCell ref="AK26:AL26"/>
    <mergeCell ref="AG27:AJ27"/>
    <mergeCell ref="AK27:AL27"/>
    <mergeCell ref="AK49:AL49"/>
    <mergeCell ref="AG50:AJ50"/>
    <mergeCell ref="AG28:AJ28"/>
    <mergeCell ref="AK28:AL28"/>
    <mergeCell ref="AG42:AJ42"/>
    <mergeCell ref="AK42:AL42"/>
    <mergeCell ref="AG43:AJ43"/>
    <mergeCell ref="AK43:AL43"/>
    <mergeCell ref="AG44:AJ44"/>
    <mergeCell ref="AK44:AL44"/>
    <mergeCell ref="AG29:AJ29"/>
    <mergeCell ref="AK29:AL29"/>
    <mergeCell ref="AG30:AJ30"/>
    <mergeCell ref="AK30:AL30"/>
    <mergeCell ref="AG31:AJ31"/>
    <mergeCell ref="AK31:AL31"/>
    <mergeCell ref="AG32:AJ32"/>
    <mergeCell ref="AK32:AL32"/>
    <mergeCell ref="AF35:AR35"/>
    <mergeCell ref="AG36:AJ37"/>
    <mergeCell ref="AK36:AL37"/>
    <mergeCell ref="AG38:AJ38"/>
    <mergeCell ref="AK38:AL38"/>
    <mergeCell ref="AG39:AJ39"/>
    <mergeCell ref="C87:F88"/>
    <mergeCell ref="G87:H88"/>
    <mergeCell ref="AK40:AL40"/>
    <mergeCell ref="AG41:AJ41"/>
    <mergeCell ref="AK41:AL41"/>
    <mergeCell ref="C90:F90"/>
    <mergeCell ref="G90:H90"/>
    <mergeCell ref="AG45:AJ45"/>
    <mergeCell ref="AK45:AL45"/>
    <mergeCell ref="AG46:AJ46"/>
    <mergeCell ref="AK46:AL46"/>
    <mergeCell ref="AF52:AR52"/>
    <mergeCell ref="AK61:AL61"/>
    <mergeCell ref="AG60:AJ60"/>
    <mergeCell ref="AK60:AL60"/>
    <mergeCell ref="AG61:AJ61"/>
    <mergeCell ref="AG57:AJ57"/>
    <mergeCell ref="AK57:AL57"/>
    <mergeCell ref="AG58:AJ58"/>
    <mergeCell ref="AG47:AJ47"/>
    <mergeCell ref="AK47:AL47"/>
    <mergeCell ref="AG48:AJ48"/>
    <mergeCell ref="AK48:AL48"/>
    <mergeCell ref="AG49:AJ49"/>
    <mergeCell ref="G93:H93"/>
    <mergeCell ref="C95:F95"/>
    <mergeCell ref="AK50:AL50"/>
    <mergeCell ref="U64:V64"/>
    <mergeCell ref="G95:H95"/>
    <mergeCell ref="C103:F103"/>
    <mergeCell ref="G102:H102"/>
    <mergeCell ref="AK58:AL58"/>
    <mergeCell ref="AG59:AJ59"/>
    <mergeCell ref="AK59:AL59"/>
    <mergeCell ref="AG53:AJ54"/>
    <mergeCell ref="AK53:AL54"/>
    <mergeCell ref="AK55:AL55"/>
    <mergeCell ref="AK56:AL56"/>
    <mergeCell ref="AG55:AJ55"/>
    <mergeCell ref="AG56:AJ56"/>
    <mergeCell ref="Q87:T87"/>
    <mergeCell ref="U87:V87"/>
    <mergeCell ref="Q88:T88"/>
    <mergeCell ref="U88:V88"/>
    <mergeCell ref="Q86:T86"/>
    <mergeCell ref="U86:V86"/>
    <mergeCell ref="G96:H96"/>
    <mergeCell ref="B86:N86"/>
    <mergeCell ref="G94:H94"/>
    <mergeCell ref="C96:F96"/>
    <mergeCell ref="C89:F89"/>
    <mergeCell ref="G89:H89"/>
    <mergeCell ref="G103:H103"/>
    <mergeCell ref="C97:F97"/>
    <mergeCell ref="C91:F91"/>
    <mergeCell ref="G91:H91"/>
    <mergeCell ref="C104:F104"/>
    <mergeCell ref="G104:H104"/>
    <mergeCell ref="C92:F92"/>
    <mergeCell ref="C98:F98"/>
    <mergeCell ref="G97:H97"/>
    <mergeCell ref="C99:F99"/>
    <mergeCell ref="G98:H98"/>
    <mergeCell ref="C100:F100"/>
    <mergeCell ref="G99:H99"/>
    <mergeCell ref="C101:F101"/>
    <mergeCell ref="G100:H100"/>
    <mergeCell ref="C102:F102"/>
    <mergeCell ref="G101:H101"/>
    <mergeCell ref="C93:F93"/>
    <mergeCell ref="G92:H92"/>
    <mergeCell ref="C94:F94"/>
  </mergeCells>
  <pageMargins left="0.25" right="0.25" top="0.75" bottom="0.75" header="0.3" footer="0.3"/>
  <pageSetup paperSize="8" scale="48" fitToHeight="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>
    <tabColor theme="4" tint="0.59999389629810485"/>
    <pageSetUpPr fitToPage="1"/>
  </sheetPr>
  <dimension ref="A1:JZ283"/>
  <sheetViews>
    <sheetView topLeftCell="B1" zoomScale="85" zoomScaleNormal="85" workbookViewId="0">
      <selection activeCell="C14" sqref="C14"/>
    </sheetView>
  </sheetViews>
  <sheetFormatPr defaultRowHeight="12"/>
  <cols>
    <col min="1" max="1" width="9.140625" style="610"/>
    <col min="2" max="2" width="5" style="610" customWidth="1"/>
    <col min="3" max="3" width="41.7109375" style="610" customWidth="1"/>
    <col min="4" max="6" width="9.85546875" style="610" hidden="1" customWidth="1"/>
    <col min="7" max="7" width="5.85546875" style="610" hidden="1" customWidth="1"/>
    <col min="8" max="8" width="11.85546875" style="610" hidden="1" customWidth="1"/>
    <col min="9" max="9" width="6" style="610" hidden="1" customWidth="1"/>
    <col min="10" max="10" width="12.42578125" style="610" hidden="1" customWidth="1"/>
    <col min="11" max="11" width="6.28515625" style="610" hidden="1" customWidth="1"/>
    <col min="12" max="12" width="10.5703125" style="610" hidden="1" customWidth="1"/>
    <col min="13" max="13" width="6.85546875" style="610" hidden="1" customWidth="1"/>
    <col min="14" max="14" width="11.140625" style="610" hidden="1" customWidth="1"/>
    <col min="15" max="15" width="6.42578125" style="610" hidden="1" customWidth="1"/>
    <col min="16" max="16" width="14" style="610" hidden="1" customWidth="1"/>
    <col min="17" max="19" width="7.7109375" style="610" hidden="1" customWidth="1"/>
    <col min="20" max="20" width="11.42578125" style="610" hidden="1" customWidth="1"/>
    <col min="21" max="22" width="10.85546875" style="610" hidden="1" customWidth="1"/>
    <col min="23" max="23" width="8.85546875" style="610" hidden="1" customWidth="1"/>
    <col min="24" max="24" width="11.7109375" style="610" hidden="1" customWidth="1"/>
    <col min="25" max="25" width="10.42578125" style="610" hidden="1" customWidth="1"/>
    <col min="26" max="27" width="8.85546875" style="610" hidden="1" customWidth="1"/>
    <col min="28" max="29" width="7.28515625" style="610" customWidth="1"/>
    <col min="30" max="30" width="8.42578125" style="611" customWidth="1"/>
    <col min="31" max="35" width="9.140625" style="611" customWidth="1"/>
    <col min="36" max="37" width="7.140625" style="610" customWidth="1"/>
    <col min="38" max="38" width="8.28515625" style="611" customWidth="1"/>
    <col min="39" max="39" width="9.28515625" style="611" customWidth="1"/>
    <col min="40" max="41" width="6.7109375" style="610" customWidth="1"/>
    <col min="42" max="42" width="8.28515625" style="611" customWidth="1"/>
    <col min="43" max="47" width="10.5703125" style="611" customWidth="1"/>
    <col min="48" max="49" width="8.140625" style="610" customWidth="1"/>
    <col min="50" max="50" width="9" style="611" customWidth="1"/>
    <col min="51" max="51" width="11.140625" style="611" customWidth="1"/>
    <col min="52" max="52" width="11.140625" style="610" customWidth="1"/>
    <col min="53" max="54" width="7.85546875" style="610" customWidth="1"/>
    <col min="55" max="56" width="8.85546875" style="611" customWidth="1"/>
    <col min="57" max="57" width="10.42578125" style="611" customWidth="1"/>
    <col min="58" max="60" width="8.85546875" style="611" customWidth="1"/>
    <col min="61" max="61" width="8.7109375" style="611" customWidth="1"/>
    <col min="62" max="62" width="10.28515625" style="611" customWidth="1"/>
    <col min="63" max="65" width="8.85546875" style="611" customWidth="1"/>
    <col min="66" max="74" width="10.42578125" style="611" customWidth="1"/>
    <col min="75" max="75" width="8.85546875" style="611" customWidth="1"/>
    <col min="76" max="77" width="10.140625" style="610" customWidth="1"/>
    <col min="78" max="78" width="7" style="610" customWidth="1"/>
    <col min="79" max="79" width="7.7109375" style="610" customWidth="1"/>
    <col min="80" max="80" width="9" style="611" customWidth="1"/>
    <col min="81" max="82" width="8.7109375" style="611" customWidth="1"/>
    <col min="83" max="83" width="9.5703125" style="611" customWidth="1"/>
    <col min="84" max="87" width="8.7109375" style="611" customWidth="1"/>
    <col min="88" max="88" width="27.42578125" style="610" customWidth="1"/>
    <col min="89" max="89" width="8.85546875" style="610" customWidth="1"/>
    <col min="90" max="90" width="12.28515625" style="611" customWidth="1"/>
    <col min="91" max="91" width="10.7109375" style="611" customWidth="1"/>
    <col min="92" max="92" width="26.7109375" style="611" customWidth="1"/>
    <col min="93" max="95" width="10.7109375" style="611" customWidth="1"/>
    <col min="96" max="97" width="9.5703125" style="610" customWidth="1"/>
    <col min="98" max="98" width="9.5703125" style="611" customWidth="1"/>
    <col min="99" max="99" width="10.42578125" style="611" customWidth="1"/>
    <col min="100" max="100" width="10.28515625" style="610" customWidth="1"/>
    <col min="101" max="101" width="10" style="610" customWidth="1"/>
    <col min="102" max="102" width="10" style="611" customWidth="1"/>
    <col min="103" max="103" width="10.140625" style="611" customWidth="1"/>
    <col min="104" max="104" width="12.42578125" style="610" customWidth="1"/>
    <col min="105" max="105" width="8.85546875" style="610" customWidth="1"/>
    <col min="106" max="106" width="8.85546875" style="611" customWidth="1"/>
    <col min="107" max="107" width="9.140625" style="611" customWidth="1"/>
    <col min="108" max="108" width="10.28515625" style="610" customWidth="1"/>
    <col min="109" max="109" width="9.42578125" style="610" customWidth="1"/>
    <col min="110" max="115" width="9.42578125" style="611" customWidth="1"/>
    <col min="116" max="116" width="6.85546875" style="610" customWidth="1"/>
    <col min="117" max="117" width="8.42578125" style="610" customWidth="1"/>
    <col min="118" max="119" width="8.42578125" style="611" customWidth="1"/>
    <col min="120" max="121" width="6.85546875" style="610" customWidth="1"/>
    <col min="122" max="122" width="8" style="611" customWidth="1"/>
    <col min="123" max="135" width="8.5703125" style="611" customWidth="1"/>
    <col min="136" max="137" width="6.5703125" style="610" customWidth="1"/>
    <col min="138" max="138" width="8.42578125" style="611" customWidth="1"/>
    <col min="139" max="139" width="8.140625" style="611" customWidth="1"/>
    <col min="140" max="140" width="6.42578125" style="611" customWidth="1"/>
    <col min="141" max="141" width="6.5703125" style="611" customWidth="1"/>
    <col min="142" max="142" width="8.85546875" style="611" customWidth="1"/>
    <col min="143" max="143" width="9.5703125" style="611" customWidth="1"/>
    <col min="144" max="144" width="7.140625" style="611" customWidth="1"/>
    <col min="145" max="145" width="8" style="611" customWidth="1"/>
    <col min="146" max="147" width="9.5703125" style="611" customWidth="1"/>
    <col min="148" max="148" width="7.5703125" style="611" customWidth="1"/>
    <col min="149" max="149" width="7" style="611" customWidth="1"/>
    <col min="150" max="151" width="9.5703125" style="611" customWidth="1"/>
    <col min="152" max="153" width="6.85546875" style="610" customWidth="1"/>
    <col min="154" max="154" width="8.5703125" style="611" customWidth="1"/>
    <col min="155" max="179" width="9.140625" style="611" customWidth="1"/>
    <col min="180" max="180" width="11.28515625" style="611" customWidth="1"/>
    <col min="181" max="181" width="7.7109375" style="611" customWidth="1"/>
    <col min="182" max="182" width="6.85546875" style="610" customWidth="1"/>
    <col min="183" max="183" width="9" style="611" customWidth="1"/>
    <col min="184" max="185" width="8.5703125" style="611" customWidth="1"/>
    <col min="186" max="186" width="10.85546875" style="611" customWidth="1"/>
    <col min="187" max="187" width="8.5703125" style="611" customWidth="1"/>
    <col min="188" max="188" width="28.42578125" style="610" customWidth="1"/>
    <col min="189" max="189" width="6.7109375" style="610" customWidth="1"/>
    <col min="190" max="190" width="8.42578125" style="611" customWidth="1"/>
    <col min="191" max="192" width="8.85546875" style="611" customWidth="1"/>
    <col min="193" max="193" width="10.140625" style="611" customWidth="1"/>
    <col min="194" max="194" width="8.85546875" style="611" customWidth="1"/>
    <col min="195" max="195" width="23.5703125" style="611" customWidth="1"/>
    <col min="196" max="198" width="8.85546875" style="611" customWidth="1"/>
    <col min="199" max="199" width="11.42578125" style="611" customWidth="1"/>
    <col min="200" max="200" width="12.42578125" style="611" customWidth="1"/>
    <col min="201" max="201" width="8.85546875" style="611" customWidth="1"/>
    <col min="202" max="202" width="6.140625" style="610" customWidth="1"/>
    <col min="203" max="203" width="8.85546875" style="611" customWidth="1"/>
    <col min="204" max="204" width="9" style="611" customWidth="1"/>
    <col min="205" max="205" width="11" style="611" customWidth="1"/>
    <col min="206" max="209" width="9" style="611" customWidth="1"/>
    <col min="210" max="210" width="8" style="610" customWidth="1"/>
    <col min="211" max="211" width="6.85546875" style="610" customWidth="1"/>
    <col min="212" max="212" width="8.42578125" style="611" customWidth="1"/>
    <col min="213" max="213" width="8.7109375" style="611" customWidth="1"/>
    <col min="214" max="217" width="9.42578125" style="611" customWidth="1"/>
    <col min="218" max="219" width="10" style="610" customWidth="1"/>
    <col min="220" max="220" width="7.7109375" style="610" customWidth="1"/>
    <col min="221" max="222" width="9" style="611" customWidth="1"/>
    <col min="223" max="223" width="6.85546875" style="610" customWidth="1"/>
    <col min="224" max="224" width="8.5703125" style="610" customWidth="1"/>
    <col min="225" max="225" width="8.5703125" style="611" customWidth="1"/>
    <col min="226" max="230" width="8.7109375" style="611" customWidth="1"/>
    <col min="231" max="231" width="11.7109375" style="610" customWidth="1"/>
    <col min="232" max="232" width="6.7109375" style="610" customWidth="1"/>
    <col min="233" max="233" width="8.28515625" style="611" customWidth="1"/>
    <col min="234" max="234" width="10.7109375" style="611" customWidth="1"/>
    <col min="235" max="235" width="13" style="611" customWidth="1"/>
    <col min="236" max="237" width="8.7109375" style="611" customWidth="1"/>
    <col min="238" max="238" width="10" style="611" customWidth="1"/>
    <col min="239" max="239" width="14" style="610" customWidth="1"/>
    <col min="240" max="240" width="9.28515625" style="610" customWidth="1"/>
    <col min="241" max="241" width="9.5703125" style="611" customWidth="1"/>
    <col min="242" max="242" width="10.42578125" style="611" customWidth="1"/>
    <col min="243" max="243" width="13.42578125" style="610" customWidth="1"/>
    <col min="244" max="244" width="6.7109375" style="610" customWidth="1"/>
    <col min="245" max="245" width="9" style="611" customWidth="1"/>
    <col min="246" max="246" width="10.42578125" style="611" customWidth="1"/>
    <col min="247" max="247" width="13.5703125" style="610" customWidth="1"/>
    <col min="248" max="248" width="7" style="610" customWidth="1"/>
    <col min="249" max="249" width="8.85546875" style="611" customWidth="1"/>
    <col min="250" max="254" width="9.28515625" style="611" customWidth="1"/>
    <col min="255" max="255" width="8.7109375" style="610" customWidth="1"/>
    <col min="256" max="256" width="7.140625" style="610" customWidth="1"/>
    <col min="257" max="258" width="9.140625" style="611" customWidth="1"/>
    <col min="259" max="260" width="9.140625" style="610" customWidth="1"/>
    <col min="261" max="262" width="9.140625" style="611" customWidth="1"/>
    <col min="263" max="263" width="19" style="610" customWidth="1"/>
    <col min="264" max="264" width="30" style="611" customWidth="1"/>
    <col min="265" max="265" width="21.5703125" style="611" customWidth="1"/>
    <col min="266" max="266" width="24.28515625" style="611" customWidth="1"/>
    <col min="267" max="267" width="29.28515625" style="611" customWidth="1"/>
    <col min="268" max="268" width="10" style="611" customWidth="1"/>
    <col min="269" max="269" width="15.140625" style="611" customWidth="1"/>
    <col min="270" max="270" width="18" style="611" customWidth="1"/>
    <col min="271" max="271" width="18.85546875" style="611" customWidth="1"/>
    <col min="272" max="273" width="16.7109375" style="611" customWidth="1"/>
    <col min="274" max="274" width="11.42578125" style="611" customWidth="1"/>
    <col min="275" max="275" width="18.85546875" style="844" customWidth="1"/>
    <col min="276" max="276" width="10.5703125" style="611" customWidth="1"/>
    <col min="277" max="277" width="24.85546875" style="621" customWidth="1"/>
    <col min="278" max="278" width="10.42578125" style="621" customWidth="1"/>
    <col min="279" max="279" width="17.28515625" style="611" customWidth="1"/>
    <col min="280" max="280" width="3.28515625" style="610" customWidth="1"/>
    <col min="281" max="281" width="15.28515625" style="615" hidden="1" customWidth="1"/>
    <col min="282" max="282" width="16.28515625" style="615" hidden="1" customWidth="1"/>
    <col min="283" max="283" width="12.85546875" style="616" hidden="1" customWidth="1"/>
    <col min="284" max="284" width="13.140625" style="615" hidden="1" customWidth="1"/>
    <col min="285" max="285" width="2.7109375" style="610" hidden="1" customWidth="1"/>
    <col min="286" max="286" width="9.140625" style="610" hidden="1" customWidth="1"/>
    <col min="287" max="291" width="9.140625" style="610" customWidth="1"/>
    <col min="292" max="16384" width="9.140625" style="610"/>
  </cols>
  <sheetData>
    <row r="1" spans="1:284">
      <c r="JE1" s="612"/>
      <c r="JF1" s="612"/>
      <c r="JO1" s="853">
        <v>7.0000000000000007E-2</v>
      </c>
      <c r="JP1" s="853">
        <v>0.1</v>
      </c>
      <c r="JQ1" s="614">
        <f>'Ціни контур мережний'!G27/'Ціни контур мережний'!G26</f>
        <v>1.0147029780510892</v>
      </c>
      <c r="JR1" s="614"/>
    </row>
    <row r="2" spans="1:284" ht="12.75" thickBot="1"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8"/>
      <c r="DO2" s="617"/>
      <c r="DP2" s="617"/>
      <c r="DQ2" s="617"/>
      <c r="DR2" s="618"/>
      <c r="DS2" s="618"/>
      <c r="DT2" s="618"/>
      <c r="DU2" s="618"/>
      <c r="DV2" s="618"/>
      <c r="DW2" s="618"/>
      <c r="DX2" s="618"/>
      <c r="DY2" s="618"/>
      <c r="DZ2" s="618"/>
      <c r="EA2" s="618"/>
      <c r="EB2" s="618"/>
      <c r="EC2" s="618"/>
      <c r="ED2" s="618"/>
      <c r="EE2" s="618"/>
      <c r="EF2" s="617"/>
      <c r="EG2" s="617"/>
      <c r="EH2" s="618"/>
      <c r="EI2" s="618"/>
      <c r="EJ2" s="618"/>
      <c r="EK2" s="618"/>
      <c r="EL2" s="618"/>
      <c r="EM2" s="618"/>
      <c r="EN2" s="618"/>
      <c r="EO2" s="618"/>
      <c r="EP2" s="618"/>
      <c r="EQ2" s="618"/>
      <c r="ER2" s="618"/>
      <c r="ES2" s="618"/>
      <c r="ET2" s="618"/>
      <c r="EU2" s="618"/>
      <c r="EV2" s="617"/>
      <c r="EW2" s="617"/>
      <c r="EX2" s="618"/>
      <c r="EY2" s="618"/>
      <c r="EZ2" s="618"/>
      <c r="FA2" s="618"/>
      <c r="FB2" s="618"/>
      <c r="FC2" s="618"/>
      <c r="FD2" s="618"/>
      <c r="FE2" s="618"/>
      <c r="FF2" s="618"/>
      <c r="FG2" s="618"/>
      <c r="FH2" s="618"/>
      <c r="FI2" s="618"/>
      <c r="FJ2" s="618"/>
      <c r="FK2" s="618"/>
      <c r="FL2" s="618"/>
      <c r="FM2" s="618"/>
      <c r="FN2" s="618"/>
      <c r="FO2" s="618"/>
      <c r="FP2" s="618"/>
      <c r="FQ2" s="618"/>
      <c r="FR2" s="618"/>
      <c r="FS2" s="618"/>
      <c r="FT2" s="618"/>
      <c r="FU2" s="618"/>
      <c r="FV2" s="618"/>
      <c r="FW2" s="618"/>
      <c r="FX2" s="618"/>
      <c r="FY2" s="618"/>
      <c r="FZ2" s="617"/>
      <c r="GA2" s="618"/>
      <c r="GB2" s="618"/>
      <c r="GC2" s="618"/>
      <c r="GD2" s="618"/>
      <c r="GE2" s="618"/>
      <c r="GF2" s="617"/>
      <c r="GG2" s="617"/>
      <c r="GH2" s="618"/>
      <c r="GI2" s="618"/>
      <c r="GJ2" s="618"/>
      <c r="GK2" s="618"/>
      <c r="GL2" s="618"/>
      <c r="GM2" s="618"/>
      <c r="GN2" s="618"/>
      <c r="GO2" s="618"/>
      <c r="GP2" s="618"/>
      <c r="GQ2" s="618"/>
      <c r="GR2" s="618"/>
      <c r="GS2" s="618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  <c r="IH2" s="617"/>
      <c r="II2" s="617"/>
      <c r="IJ2" s="617"/>
      <c r="IK2" s="617"/>
      <c r="IL2" s="617"/>
      <c r="IM2" s="617"/>
      <c r="IN2" s="617"/>
      <c r="IO2" s="617"/>
      <c r="IP2" s="617"/>
      <c r="IQ2" s="617"/>
      <c r="IR2" s="617"/>
      <c r="IS2" s="617"/>
      <c r="IT2" s="617"/>
      <c r="JG2" s="611" t="s">
        <v>664</v>
      </c>
      <c r="JO2" s="619"/>
      <c r="JP2" s="620">
        <f>JP1</f>
        <v>0.1</v>
      </c>
    </row>
    <row r="3" spans="1:284" ht="53.25" customHeight="1" thickBot="1">
      <c r="B3" s="1062" t="s">
        <v>15</v>
      </c>
      <c r="C3" s="1061" t="s">
        <v>1003</v>
      </c>
      <c r="D3" s="855" t="s">
        <v>800</v>
      </c>
      <c r="E3" s="856" t="s">
        <v>801</v>
      </c>
      <c r="F3" s="1379" t="s">
        <v>808</v>
      </c>
      <c r="G3" s="1380"/>
      <c r="H3" s="1380"/>
      <c r="I3" s="1380"/>
      <c r="J3" s="1380"/>
      <c r="K3" s="1380"/>
      <c r="L3" s="1380"/>
      <c r="M3" s="1380"/>
      <c r="N3" s="1380"/>
      <c r="O3" s="1380"/>
      <c r="P3" s="1380"/>
      <c r="Q3" s="1380"/>
      <c r="R3" s="1380"/>
      <c r="S3" s="1381"/>
      <c r="T3" s="1379" t="s">
        <v>839</v>
      </c>
      <c r="U3" s="1380"/>
      <c r="V3" s="1380"/>
      <c r="W3" s="1381"/>
      <c r="X3" s="1380" t="s">
        <v>844</v>
      </c>
      <c r="Y3" s="1380"/>
      <c r="Z3" s="1380"/>
      <c r="AA3" s="1380"/>
      <c r="AB3" s="1347" t="s">
        <v>953</v>
      </c>
      <c r="AC3" s="1348"/>
      <c r="AD3" s="1348"/>
      <c r="AE3" s="1349"/>
      <c r="AF3" s="1391" t="s">
        <v>1126</v>
      </c>
      <c r="AG3" s="1392"/>
      <c r="AH3" s="1392"/>
      <c r="AI3" s="1393"/>
      <c r="AJ3" s="1391" t="s">
        <v>952</v>
      </c>
      <c r="AK3" s="1392"/>
      <c r="AL3" s="1392"/>
      <c r="AM3" s="1393"/>
      <c r="AN3" s="1347" t="s">
        <v>954</v>
      </c>
      <c r="AO3" s="1348"/>
      <c r="AP3" s="1348"/>
      <c r="AQ3" s="1349"/>
      <c r="AR3" s="1347" t="s">
        <v>955</v>
      </c>
      <c r="AS3" s="1348"/>
      <c r="AT3" s="1348"/>
      <c r="AU3" s="1349"/>
      <c r="AV3" s="1347" t="s">
        <v>1023</v>
      </c>
      <c r="AW3" s="1348"/>
      <c r="AX3" s="1348"/>
      <c r="AY3" s="1349"/>
      <c r="AZ3" s="1347" t="s">
        <v>1022</v>
      </c>
      <c r="BA3" s="1348"/>
      <c r="BB3" s="1348"/>
      <c r="BC3" s="1348"/>
      <c r="BD3" s="1349"/>
      <c r="BE3" s="1388" t="s">
        <v>1388</v>
      </c>
      <c r="BF3" s="1389"/>
      <c r="BG3" s="1389"/>
      <c r="BH3" s="1389"/>
      <c r="BI3" s="1390"/>
      <c r="BJ3" s="1347" t="s">
        <v>1410</v>
      </c>
      <c r="BK3" s="1348"/>
      <c r="BL3" s="1348"/>
      <c r="BM3" s="1349"/>
      <c r="BN3" s="1397" t="s">
        <v>956</v>
      </c>
      <c r="BO3" s="1398"/>
      <c r="BP3" s="1398"/>
      <c r="BQ3" s="1398"/>
      <c r="BR3" s="1399"/>
      <c r="BS3" s="1405" t="s">
        <v>1020</v>
      </c>
      <c r="BT3" s="1406"/>
      <c r="BU3" s="1406"/>
      <c r="BV3" s="1406"/>
      <c r="BW3" s="1407"/>
      <c r="BX3" s="1386" t="s">
        <v>1004</v>
      </c>
      <c r="BY3" s="1367"/>
      <c r="BZ3" s="1351"/>
      <c r="CA3" s="1351"/>
      <c r="CB3" s="1351"/>
      <c r="CC3" s="1352"/>
      <c r="CD3" s="1341" t="s">
        <v>957</v>
      </c>
      <c r="CE3" s="1351"/>
      <c r="CF3" s="1351"/>
      <c r="CG3" s="1351"/>
      <c r="CH3" s="1351"/>
      <c r="CI3" s="1352"/>
      <c r="CJ3" s="1341" t="s">
        <v>958</v>
      </c>
      <c r="CK3" s="1351"/>
      <c r="CL3" s="1351"/>
      <c r="CM3" s="1352"/>
      <c r="CN3" s="1341" t="s">
        <v>959</v>
      </c>
      <c r="CO3" s="1351"/>
      <c r="CP3" s="1351"/>
      <c r="CQ3" s="1352"/>
      <c r="CR3" s="1347" t="s">
        <v>961</v>
      </c>
      <c r="CS3" s="1348"/>
      <c r="CT3" s="1348"/>
      <c r="CU3" s="1349"/>
      <c r="CV3" s="1347" t="s">
        <v>960</v>
      </c>
      <c r="CW3" s="1348"/>
      <c r="CX3" s="1348"/>
      <c r="CY3" s="1349"/>
      <c r="CZ3" s="1347" t="s">
        <v>960</v>
      </c>
      <c r="DA3" s="1348"/>
      <c r="DB3" s="1348"/>
      <c r="DC3" s="1349"/>
      <c r="DD3" s="1347" t="s">
        <v>961</v>
      </c>
      <c r="DE3" s="1348"/>
      <c r="DF3" s="1348"/>
      <c r="DG3" s="1349"/>
      <c r="DH3" s="1347" t="s">
        <v>961</v>
      </c>
      <c r="DI3" s="1348"/>
      <c r="DJ3" s="1348"/>
      <c r="DK3" s="1349"/>
      <c r="DL3" s="1347" t="s">
        <v>953</v>
      </c>
      <c r="DM3" s="1348"/>
      <c r="DN3" s="1348"/>
      <c r="DO3" s="1349"/>
      <c r="DP3" s="1347" t="s">
        <v>962</v>
      </c>
      <c r="DQ3" s="1348"/>
      <c r="DR3" s="1353"/>
      <c r="DS3" s="1354"/>
      <c r="DT3" s="1347" t="s">
        <v>963</v>
      </c>
      <c r="DU3" s="1348"/>
      <c r="DV3" s="1353"/>
      <c r="DW3" s="1354"/>
      <c r="DX3" s="1347" t="s">
        <v>964</v>
      </c>
      <c r="DY3" s="1348"/>
      <c r="DZ3" s="1353"/>
      <c r="EA3" s="1354"/>
      <c r="EB3" s="1347" t="s">
        <v>965</v>
      </c>
      <c r="EC3" s="1384"/>
      <c r="ED3" s="1384"/>
      <c r="EE3" s="1385"/>
      <c r="EF3" s="1347" t="s">
        <v>966</v>
      </c>
      <c r="EG3" s="1348"/>
      <c r="EH3" s="1353"/>
      <c r="EI3" s="1354"/>
      <c r="EJ3" s="1347" t="s">
        <v>966</v>
      </c>
      <c r="EK3" s="1348"/>
      <c r="EL3" s="1353"/>
      <c r="EM3" s="1354"/>
      <c r="EN3" s="1347" t="s">
        <v>966</v>
      </c>
      <c r="EO3" s="1348"/>
      <c r="EP3" s="1353"/>
      <c r="EQ3" s="1354"/>
      <c r="ER3" s="1387" t="s">
        <v>967</v>
      </c>
      <c r="ES3" s="1384"/>
      <c r="ET3" s="1384"/>
      <c r="EU3" s="1385"/>
      <c r="EV3" s="1347" t="s">
        <v>968</v>
      </c>
      <c r="EW3" s="1348"/>
      <c r="EX3" s="1353"/>
      <c r="EY3" s="1354"/>
      <c r="EZ3" s="1347" t="s">
        <v>968</v>
      </c>
      <c r="FA3" s="1348"/>
      <c r="FB3" s="1353"/>
      <c r="FC3" s="1354"/>
      <c r="FD3" s="1347" t="s">
        <v>968</v>
      </c>
      <c r="FE3" s="1348"/>
      <c r="FF3" s="1353"/>
      <c r="FG3" s="1354"/>
      <c r="FH3" s="1347" t="s">
        <v>969</v>
      </c>
      <c r="FI3" s="1348"/>
      <c r="FJ3" s="1353"/>
      <c r="FK3" s="1354"/>
      <c r="FL3" s="1387" t="s">
        <v>970</v>
      </c>
      <c r="FM3" s="1384"/>
      <c r="FN3" s="1384"/>
      <c r="FO3" s="1385"/>
      <c r="FP3" s="1387" t="s">
        <v>970</v>
      </c>
      <c r="FQ3" s="1384"/>
      <c r="FR3" s="1384"/>
      <c r="FS3" s="1385"/>
      <c r="FT3" s="1387" t="s">
        <v>970</v>
      </c>
      <c r="FU3" s="1384"/>
      <c r="FV3" s="1384"/>
      <c r="FW3" s="1385"/>
      <c r="FX3" s="1386" t="s">
        <v>971</v>
      </c>
      <c r="FY3" s="1351"/>
      <c r="FZ3" s="1351"/>
      <c r="GA3" s="1351"/>
      <c r="GB3" s="1352"/>
      <c r="GC3" s="1341" t="s">
        <v>972</v>
      </c>
      <c r="GD3" s="1342"/>
      <c r="GE3" s="1342"/>
      <c r="GF3" s="1342"/>
      <c r="GG3" s="1342"/>
      <c r="GH3" s="1342"/>
      <c r="GI3" s="1343"/>
      <c r="GJ3" s="1341" t="s">
        <v>973</v>
      </c>
      <c r="GK3" s="1342"/>
      <c r="GL3" s="1342"/>
      <c r="GM3" s="1342"/>
      <c r="GN3" s="1342"/>
      <c r="GO3" s="1342"/>
      <c r="GP3" s="1343"/>
      <c r="GQ3" s="1411" t="s">
        <v>974</v>
      </c>
      <c r="GR3" s="1342"/>
      <c r="GS3" s="1342"/>
      <c r="GT3" s="1342"/>
      <c r="GU3" s="1342"/>
      <c r="GV3" s="1343"/>
      <c r="GW3" s="1347" t="s">
        <v>975</v>
      </c>
      <c r="GX3" s="1348"/>
      <c r="GY3" s="1348"/>
      <c r="GZ3" s="1348"/>
      <c r="HA3" s="1349"/>
      <c r="HB3" s="1351" t="s">
        <v>976</v>
      </c>
      <c r="HC3" s="1351"/>
      <c r="HD3" s="1351"/>
      <c r="HE3" s="1352"/>
      <c r="HF3" s="1347" t="s">
        <v>977</v>
      </c>
      <c r="HG3" s="1348"/>
      <c r="HH3" s="1348"/>
      <c r="HI3" s="1349"/>
      <c r="HJ3" s="1348" t="s">
        <v>978</v>
      </c>
      <c r="HK3" s="1348"/>
      <c r="HL3" s="1348"/>
      <c r="HM3" s="1348"/>
      <c r="HN3" s="1349"/>
      <c r="HO3" s="1347" t="s">
        <v>979</v>
      </c>
      <c r="HP3" s="1348"/>
      <c r="HQ3" s="1348"/>
      <c r="HR3" s="1349"/>
      <c r="HS3" s="1383" t="s">
        <v>1089</v>
      </c>
      <c r="HT3" s="1384"/>
      <c r="HU3" s="1384"/>
      <c r="HV3" s="1385"/>
      <c r="HW3" s="1341" t="s">
        <v>1011</v>
      </c>
      <c r="HX3" s="1351"/>
      <c r="HY3" s="1351"/>
      <c r="HZ3" s="1352"/>
      <c r="IA3" s="1351" t="s">
        <v>980</v>
      </c>
      <c r="IB3" s="1351"/>
      <c r="IC3" s="1351"/>
      <c r="ID3" s="1352"/>
      <c r="IE3" s="1341" t="s">
        <v>981</v>
      </c>
      <c r="IF3" s="1351"/>
      <c r="IG3" s="1351"/>
      <c r="IH3" s="1352"/>
      <c r="II3" s="1341" t="s">
        <v>982</v>
      </c>
      <c r="IJ3" s="1351"/>
      <c r="IK3" s="1351"/>
      <c r="IL3" s="1352"/>
      <c r="IM3" s="1347" t="s">
        <v>1012</v>
      </c>
      <c r="IN3" s="1348"/>
      <c r="IO3" s="1348"/>
      <c r="IP3" s="1349"/>
      <c r="IQ3" s="1382" t="s">
        <v>1103</v>
      </c>
      <c r="IR3" s="1348"/>
      <c r="IS3" s="1348"/>
      <c r="IT3" s="1349"/>
      <c r="IU3" s="1351" t="s">
        <v>746</v>
      </c>
      <c r="IV3" s="1351"/>
      <c r="IW3" s="1351"/>
      <c r="IX3" s="1352"/>
      <c r="IY3" s="1367" t="s">
        <v>745</v>
      </c>
      <c r="IZ3" s="1351"/>
      <c r="JA3" s="1351"/>
      <c r="JB3" s="1352"/>
      <c r="JC3" s="623" t="s">
        <v>15</v>
      </c>
      <c r="JD3" s="624" t="s">
        <v>385</v>
      </c>
      <c r="JE3" s="624" t="s">
        <v>374</v>
      </c>
      <c r="JF3" s="624" t="s">
        <v>374</v>
      </c>
      <c r="JG3" s="624" t="s">
        <v>374</v>
      </c>
      <c r="JH3" s="625" t="s">
        <v>1156</v>
      </c>
      <c r="JI3" s="624" t="s">
        <v>374</v>
      </c>
      <c r="JJ3" s="624" t="s">
        <v>374</v>
      </c>
      <c r="JK3" s="626" t="s">
        <v>1149</v>
      </c>
      <c r="JL3" s="627" t="s">
        <v>1150</v>
      </c>
      <c r="JM3" s="626" t="s">
        <v>1151</v>
      </c>
      <c r="JN3" s="624" t="s">
        <v>667</v>
      </c>
      <c r="JO3" s="628" t="s">
        <v>692</v>
      </c>
      <c r="JP3" s="994" t="s">
        <v>693</v>
      </c>
      <c r="JQ3" s="995" t="s">
        <v>690</v>
      </c>
      <c r="JR3" s="995" t="s">
        <v>1148</v>
      </c>
      <c r="JS3" s="712" t="s">
        <v>385</v>
      </c>
      <c r="JU3" s="632" t="s">
        <v>758</v>
      </c>
      <c r="JV3" s="632" t="s">
        <v>756</v>
      </c>
      <c r="JW3" s="633" t="s">
        <v>757</v>
      </c>
      <c r="JX3" s="632"/>
    </row>
    <row r="4" spans="1:284" ht="13.5" customHeight="1">
      <c r="B4" s="1063"/>
      <c r="C4" s="1059"/>
      <c r="D4" s="634"/>
      <c r="E4" s="701"/>
      <c r="F4" s="1365" t="s">
        <v>804</v>
      </c>
      <c r="G4" s="1355" t="s">
        <v>22</v>
      </c>
      <c r="H4" s="1355" t="s">
        <v>805</v>
      </c>
      <c r="I4" s="1355" t="s">
        <v>22</v>
      </c>
      <c r="J4" s="1355" t="s">
        <v>802</v>
      </c>
      <c r="K4" s="1355" t="s">
        <v>22</v>
      </c>
      <c r="L4" s="1355" t="s">
        <v>806</v>
      </c>
      <c r="M4" s="1355" t="s">
        <v>22</v>
      </c>
      <c r="N4" s="1355" t="s">
        <v>803</v>
      </c>
      <c r="O4" s="1355" t="s">
        <v>22</v>
      </c>
      <c r="P4" s="1359" t="s">
        <v>807</v>
      </c>
      <c r="Q4" s="1356" t="s">
        <v>22</v>
      </c>
      <c r="R4" s="1356" t="s">
        <v>816</v>
      </c>
      <c r="S4" s="1371" t="s">
        <v>817</v>
      </c>
      <c r="T4" s="1394" t="s">
        <v>840</v>
      </c>
      <c r="U4" s="1395" t="s">
        <v>841</v>
      </c>
      <c r="V4" s="1356" t="s">
        <v>94</v>
      </c>
      <c r="W4" s="1396" t="s">
        <v>842</v>
      </c>
      <c r="X4" s="1394" t="s">
        <v>845</v>
      </c>
      <c r="Y4" s="1395" t="s">
        <v>846</v>
      </c>
      <c r="Z4" s="1395" t="s">
        <v>847</v>
      </c>
      <c r="AA4" s="1375" t="s">
        <v>850</v>
      </c>
      <c r="AB4" s="635">
        <v>1</v>
      </c>
      <c r="AC4" s="636"/>
      <c r="AD4" s="637" t="s">
        <v>374</v>
      </c>
      <c r="AE4" s="638" t="s">
        <v>10</v>
      </c>
      <c r="AF4" s="635">
        <v>3</v>
      </c>
      <c r="AG4" s="639"/>
      <c r="AH4" s="637" t="s">
        <v>374</v>
      </c>
      <c r="AI4" s="638" t="s">
        <v>10</v>
      </c>
      <c r="AJ4" s="635">
        <v>2</v>
      </c>
      <c r="AK4" s="636"/>
      <c r="AL4" s="637" t="s">
        <v>374</v>
      </c>
      <c r="AM4" s="638" t="s">
        <v>10</v>
      </c>
      <c r="AN4" s="640">
        <v>4</v>
      </c>
      <c r="AO4" s="636"/>
      <c r="AP4" s="637" t="s">
        <v>374</v>
      </c>
      <c r="AQ4" s="638" t="s">
        <v>10</v>
      </c>
      <c r="AR4" s="857">
        <v>26</v>
      </c>
      <c r="AS4" s="636"/>
      <c r="AT4" s="637" t="s">
        <v>374</v>
      </c>
      <c r="AU4" s="638" t="s">
        <v>10</v>
      </c>
      <c r="AV4" s="641" t="s">
        <v>68</v>
      </c>
      <c r="AW4" s="636"/>
      <c r="AX4" s="637" t="s">
        <v>374</v>
      </c>
      <c r="AY4" s="638" t="s">
        <v>10</v>
      </c>
      <c r="AZ4" s="642" t="s">
        <v>85</v>
      </c>
      <c r="BA4" s="636"/>
      <c r="BB4" s="636"/>
      <c r="BC4" s="637" t="s">
        <v>374</v>
      </c>
      <c r="BD4" s="638" t="s">
        <v>10</v>
      </c>
      <c r="BE4" s="643">
        <v>6</v>
      </c>
      <c r="BF4" s="644"/>
      <c r="BG4" s="644"/>
      <c r="BH4" s="645" t="s">
        <v>374</v>
      </c>
      <c r="BI4" s="644" t="s">
        <v>10</v>
      </c>
      <c r="BJ4" s="641" t="s">
        <v>870</v>
      </c>
      <c r="BK4" s="639"/>
      <c r="BL4" s="637" t="s">
        <v>374</v>
      </c>
      <c r="BM4" s="638" t="s">
        <v>10</v>
      </c>
      <c r="BN4" s="858" t="s">
        <v>869</v>
      </c>
      <c r="BO4" s="859"/>
      <c r="BP4" s="859"/>
      <c r="BQ4" s="859" t="s">
        <v>374</v>
      </c>
      <c r="BR4" s="860" t="s">
        <v>10</v>
      </c>
      <c r="BS4" s="861">
        <v>29</v>
      </c>
      <c r="BT4" s="859"/>
      <c r="BU4" s="859"/>
      <c r="BV4" s="859" t="s">
        <v>374</v>
      </c>
      <c r="BW4" s="860" t="s">
        <v>10</v>
      </c>
      <c r="BX4" s="1369" t="s">
        <v>871</v>
      </c>
      <c r="BY4" s="1370"/>
      <c r="BZ4" s="863" t="s">
        <v>1007</v>
      </c>
      <c r="CA4" s="636"/>
      <c r="CB4" s="637" t="s">
        <v>374</v>
      </c>
      <c r="CC4" s="638" t="s">
        <v>10</v>
      </c>
      <c r="CD4" s="1377" t="s">
        <v>872</v>
      </c>
      <c r="CE4" s="1378"/>
      <c r="CF4" s="862" t="s">
        <v>1008</v>
      </c>
      <c r="CG4" s="708"/>
      <c r="CH4" s="709" t="s">
        <v>374</v>
      </c>
      <c r="CI4" s="710" t="s">
        <v>10</v>
      </c>
      <c r="CJ4" s="864">
        <v>8</v>
      </c>
      <c r="CK4" s="636"/>
      <c r="CL4" s="637" t="s">
        <v>374</v>
      </c>
      <c r="CM4" s="638" t="s">
        <v>10</v>
      </c>
      <c r="CN4" s="864">
        <v>40</v>
      </c>
      <c r="CO4" s="636"/>
      <c r="CP4" s="637" t="s">
        <v>374</v>
      </c>
      <c r="CQ4" s="638" t="s">
        <v>10</v>
      </c>
      <c r="CR4" s="640">
        <v>9</v>
      </c>
      <c r="CS4" s="636"/>
      <c r="CT4" s="637" t="s">
        <v>374</v>
      </c>
      <c r="CU4" s="638" t="s">
        <v>10</v>
      </c>
      <c r="CV4" s="640">
        <v>30</v>
      </c>
      <c r="CW4" s="636"/>
      <c r="CX4" s="637" t="s">
        <v>374</v>
      </c>
      <c r="CY4" s="638" t="s">
        <v>10</v>
      </c>
      <c r="CZ4" s="640">
        <v>31</v>
      </c>
      <c r="DA4" s="636"/>
      <c r="DB4" s="637" t="s">
        <v>374</v>
      </c>
      <c r="DC4" s="638" t="s">
        <v>10</v>
      </c>
      <c r="DD4" s="640">
        <v>10</v>
      </c>
      <c r="DE4" s="636"/>
      <c r="DF4" s="637" t="s">
        <v>374</v>
      </c>
      <c r="DG4" s="638" t="s">
        <v>10</v>
      </c>
      <c r="DH4" s="640">
        <v>11</v>
      </c>
      <c r="DI4" s="636"/>
      <c r="DJ4" s="637" t="s">
        <v>374</v>
      </c>
      <c r="DK4" s="638" t="s">
        <v>10</v>
      </c>
      <c r="DL4" s="655">
        <v>20</v>
      </c>
      <c r="DM4" s="636"/>
      <c r="DN4" s="637" t="s">
        <v>374</v>
      </c>
      <c r="DO4" s="638" t="s">
        <v>10</v>
      </c>
      <c r="DP4" s="640">
        <v>23</v>
      </c>
      <c r="DQ4" s="636"/>
      <c r="DR4" s="637" t="s">
        <v>374</v>
      </c>
      <c r="DS4" s="638" t="s">
        <v>10</v>
      </c>
      <c r="DT4" s="640">
        <v>47</v>
      </c>
      <c r="DU4" s="636"/>
      <c r="DV4" s="637" t="s">
        <v>374</v>
      </c>
      <c r="DW4" s="638" t="s">
        <v>10</v>
      </c>
      <c r="DX4" s="640">
        <v>48</v>
      </c>
      <c r="DY4" s="636"/>
      <c r="DZ4" s="637" t="s">
        <v>374</v>
      </c>
      <c r="EA4" s="638" t="s">
        <v>10</v>
      </c>
      <c r="EB4" s="640">
        <v>49</v>
      </c>
      <c r="EC4" s="636"/>
      <c r="ED4" s="637" t="s">
        <v>374</v>
      </c>
      <c r="EE4" s="638" t="s">
        <v>10</v>
      </c>
      <c r="EF4" s="640">
        <v>12</v>
      </c>
      <c r="EG4" s="636"/>
      <c r="EH4" s="637" t="s">
        <v>374</v>
      </c>
      <c r="EI4" s="638" t="s">
        <v>10</v>
      </c>
      <c r="EJ4" s="640">
        <v>32</v>
      </c>
      <c r="EK4" s="636"/>
      <c r="EL4" s="637" t="s">
        <v>374</v>
      </c>
      <c r="EM4" s="638" t="s">
        <v>10</v>
      </c>
      <c r="EN4" s="640">
        <v>33</v>
      </c>
      <c r="EO4" s="636"/>
      <c r="EP4" s="637" t="s">
        <v>374</v>
      </c>
      <c r="EQ4" s="638" t="s">
        <v>10</v>
      </c>
      <c r="ER4" s="640">
        <v>22</v>
      </c>
      <c r="ES4" s="636"/>
      <c r="ET4" s="637" t="s">
        <v>374</v>
      </c>
      <c r="EU4" s="638" t="s">
        <v>10</v>
      </c>
      <c r="EV4" s="640">
        <v>13</v>
      </c>
      <c r="EW4" s="636"/>
      <c r="EX4" s="637" t="s">
        <v>374</v>
      </c>
      <c r="EY4" s="638" t="s">
        <v>10</v>
      </c>
      <c r="EZ4" s="640">
        <v>34</v>
      </c>
      <c r="FA4" s="636"/>
      <c r="FB4" s="637" t="s">
        <v>374</v>
      </c>
      <c r="FC4" s="638" t="s">
        <v>10</v>
      </c>
      <c r="FD4" s="640">
        <v>35</v>
      </c>
      <c r="FE4" s="636"/>
      <c r="FF4" s="637" t="s">
        <v>374</v>
      </c>
      <c r="FG4" s="638" t="s">
        <v>10</v>
      </c>
      <c r="FH4" s="640">
        <v>24</v>
      </c>
      <c r="FI4" s="636"/>
      <c r="FJ4" s="637" t="s">
        <v>374</v>
      </c>
      <c r="FK4" s="638" t="s">
        <v>10</v>
      </c>
      <c r="FL4" s="640">
        <v>19</v>
      </c>
      <c r="FM4" s="636"/>
      <c r="FN4" s="637" t="s">
        <v>374</v>
      </c>
      <c r="FO4" s="638" t="s">
        <v>10</v>
      </c>
      <c r="FP4" s="640">
        <v>36</v>
      </c>
      <c r="FQ4" s="636"/>
      <c r="FR4" s="637" t="s">
        <v>374</v>
      </c>
      <c r="FS4" s="638" t="s">
        <v>10</v>
      </c>
      <c r="FT4" s="640">
        <v>37</v>
      </c>
      <c r="FU4" s="636"/>
      <c r="FV4" s="637" t="s">
        <v>374</v>
      </c>
      <c r="FW4" s="651" t="s">
        <v>10</v>
      </c>
      <c r="FX4" s="996">
        <v>14</v>
      </c>
      <c r="FY4" s="649"/>
      <c r="FZ4" s="636"/>
      <c r="GA4" s="637" t="s">
        <v>374</v>
      </c>
      <c r="GB4" s="638" t="s">
        <v>10</v>
      </c>
      <c r="GC4" s="1334">
        <v>15</v>
      </c>
      <c r="GD4" s="1335"/>
      <c r="GE4" s="1335"/>
      <c r="GF4" s="1336"/>
      <c r="GG4" s="636"/>
      <c r="GH4" s="637" t="s">
        <v>374</v>
      </c>
      <c r="GI4" s="638" t="s">
        <v>10</v>
      </c>
      <c r="GJ4" s="649"/>
      <c r="GK4" s="649"/>
      <c r="GL4" s="649"/>
      <c r="GM4" s="635">
        <v>39</v>
      </c>
      <c r="GN4" s="636"/>
      <c r="GO4" s="637" t="s">
        <v>374</v>
      </c>
      <c r="GP4" s="638" t="s">
        <v>10</v>
      </c>
      <c r="GQ4" s="997"/>
      <c r="GR4" s="997">
        <v>16</v>
      </c>
      <c r="GS4" s="651"/>
      <c r="GT4" s="636"/>
      <c r="GU4" s="637" t="s">
        <v>374</v>
      </c>
      <c r="GV4" s="638" t="s">
        <v>10</v>
      </c>
      <c r="GW4" s="650"/>
      <c r="GX4" s="636">
        <v>18</v>
      </c>
      <c r="GY4" s="636"/>
      <c r="GZ4" s="637" t="s">
        <v>374</v>
      </c>
      <c r="HA4" s="638" t="s">
        <v>10</v>
      </c>
      <c r="HB4" s="635" t="s">
        <v>873</v>
      </c>
      <c r="HC4" s="636"/>
      <c r="HD4" s="637" t="s">
        <v>374</v>
      </c>
      <c r="HE4" s="638" t="s">
        <v>10</v>
      </c>
      <c r="HF4" s="998">
        <v>21</v>
      </c>
      <c r="HG4" s="636"/>
      <c r="HH4" s="637" t="s">
        <v>374</v>
      </c>
      <c r="HI4" s="638" t="s">
        <v>10</v>
      </c>
      <c r="HJ4" s="866" t="s">
        <v>874</v>
      </c>
      <c r="HK4" s="866"/>
      <c r="HL4" s="652"/>
      <c r="HM4" s="637" t="s">
        <v>374</v>
      </c>
      <c r="HN4" s="638" t="s">
        <v>10</v>
      </c>
      <c r="HO4" s="864">
        <v>42</v>
      </c>
      <c r="HP4" s="652"/>
      <c r="HQ4" s="637" t="s">
        <v>374</v>
      </c>
      <c r="HR4" s="638" t="s">
        <v>10</v>
      </c>
      <c r="HS4" s="641">
        <v>25</v>
      </c>
      <c r="HT4" s="652"/>
      <c r="HU4" s="637" t="s">
        <v>374</v>
      </c>
      <c r="HV4" s="638" t="s">
        <v>10</v>
      </c>
      <c r="HW4" s="640">
        <v>43</v>
      </c>
      <c r="HX4" s="652"/>
      <c r="HY4" s="637" t="s">
        <v>374</v>
      </c>
      <c r="HZ4" s="638" t="s">
        <v>10</v>
      </c>
      <c r="IA4" s="635">
        <v>44</v>
      </c>
      <c r="IB4" s="652"/>
      <c r="IC4" s="637" t="s">
        <v>374</v>
      </c>
      <c r="ID4" s="638" t="s">
        <v>10</v>
      </c>
      <c r="IE4" s="655">
        <v>45</v>
      </c>
      <c r="IF4" s="652"/>
      <c r="IG4" s="637" t="s">
        <v>374</v>
      </c>
      <c r="IH4" s="638" t="s">
        <v>10</v>
      </c>
      <c r="II4" s="656">
        <v>46</v>
      </c>
      <c r="IJ4" s="657"/>
      <c r="IK4" s="637" t="s">
        <v>374</v>
      </c>
      <c r="IL4" s="638" t="s">
        <v>10</v>
      </c>
      <c r="IM4" s="656">
        <v>51</v>
      </c>
      <c r="IN4" s="657"/>
      <c r="IO4" s="868" t="s">
        <v>374</v>
      </c>
      <c r="IP4" s="654" t="s">
        <v>10</v>
      </c>
      <c r="IQ4" s="658">
        <v>50</v>
      </c>
      <c r="IR4" s="657"/>
      <c r="IS4" s="637" t="s">
        <v>374</v>
      </c>
      <c r="IT4" s="638" t="s">
        <v>10</v>
      </c>
      <c r="IU4" s="999">
        <v>52</v>
      </c>
      <c r="IV4" s="657"/>
      <c r="IW4" s="637" t="s">
        <v>374</v>
      </c>
      <c r="IX4" s="638" t="s">
        <v>10</v>
      </c>
      <c r="IY4" s="659">
        <v>53</v>
      </c>
      <c r="IZ4" s="652"/>
      <c r="JA4" s="637" t="s">
        <v>374</v>
      </c>
      <c r="JB4" s="638" t="s">
        <v>10</v>
      </c>
      <c r="JC4" s="660" t="s">
        <v>387</v>
      </c>
      <c r="JD4" s="661" t="s">
        <v>386</v>
      </c>
      <c r="JE4" s="661" t="s">
        <v>389</v>
      </c>
      <c r="JF4" s="661" t="s">
        <v>389</v>
      </c>
      <c r="JG4" s="661" t="s">
        <v>665</v>
      </c>
      <c r="JH4" s="661"/>
      <c r="JI4" s="661" t="s">
        <v>392</v>
      </c>
      <c r="JJ4" s="661" t="s">
        <v>666</v>
      </c>
      <c r="JK4" s="1000"/>
      <c r="JL4" s="1000"/>
      <c r="JM4" s="1000"/>
      <c r="JN4" s="661" t="s">
        <v>668</v>
      </c>
      <c r="JO4" s="662"/>
      <c r="JP4" s="1001" t="s">
        <v>393</v>
      </c>
      <c r="JQ4" s="1002" t="s">
        <v>691</v>
      </c>
      <c r="JR4" s="1002"/>
      <c r="JS4" s="1003" t="s">
        <v>394</v>
      </c>
    </row>
    <row r="5" spans="1:284" ht="12.75" customHeight="1">
      <c r="B5" s="1063"/>
      <c r="C5" s="1059"/>
      <c r="D5" s="665"/>
      <c r="E5" s="871"/>
      <c r="F5" s="1366"/>
      <c r="G5" s="1356"/>
      <c r="H5" s="1356"/>
      <c r="I5" s="1356"/>
      <c r="J5" s="1356"/>
      <c r="K5" s="1356"/>
      <c r="L5" s="1356"/>
      <c r="M5" s="1356"/>
      <c r="N5" s="1356"/>
      <c r="O5" s="1356"/>
      <c r="P5" s="1360"/>
      <c r="Q5" s="1361"/>
      <c r="R5" s="1361"/>
      <c r="S5" s="1372"/>
      <c r="T5" s="1360"/>
      <c r="U5" s="1356"/>
      <c r="V5" s="1361"/>
      <c r="W5" s="1371"/>
      <c r="X5" s="1360"/>
      <c r="Y5" s="1356"/>
      <c r="Z5" s="1356"/>
      <c r="AA5" s="1376"/>
      <c r="AB5" s="1345" t="s">
        <v>984</v>
      </c>
      <c r="AC5" s="666" t="s">
        <v>986</v>
      </c>
      <c r="AD5" s="667" t="s">
        <v>375</v>
      </c>
      <c r="AE5" s="668" t="s">
        <v>380</v>
      </c>
      <c r="AF5" s="1345" t="s">
        <v>984</v>
      </c>
      <c r="AG5" s="666" t="s">
        <v>986</v>
      </c>
      <c r="AH5" s="667" t="s">
        <v>375</v>
      </c>
      <c r="AI5" s="668" t="s">
        <v>380</v>
      </c>
      <c r="AJ5" s="1345" t="s">
        <v>984</v>
      </c>
      <c r="AK5" s="666" t="s">
        <v>986</v>
      </c>
      <c r="AL5" s="667" t="s">
        <v>375</v>
      </c>
      <c r="AM5" s="668" t="s">
        <v>380</v>
      </c>
      <c r="AN5" s="1345" t="s">
        <v>984</v>
      </c>
      <c r="AO5" s="666" t="s">
        <v>986</v>
      </c>
      <c r="AP5" s="667" t="s">
        <v>375</v>
      </c>
      <c r="AQ5" s="668" t="s">
        <v>380</v>
      </c>
      <c r="AR5" s="1345" t="s">
        <v>984</v>
      </c>
      <c r="AS5" s="666" t="s">
        <v>986</v>
      </c>
      <c r="AT5" s="667" t="s">
        <v>375</v>
      </c>
      <c r="AU5" s="668" t="s">
        <v>380</v>
      </c>
      <c r="AV5" s="669" t="s">
        <v>990</v>
      </c>
      <c r="AW5" s="666" t="s">
        <v>986</v>
      </c>
      <c r="AX5" s="667" t="s">
        <v>375</v>
      </c>
      <c r="AY5" s="668" t="s">
        <v>380</v>
      </c>
      <c r="AZ5" s="1345" t="s">
        <v>989</v>
      </c>
      <c r="BA5" s="1345" t="s">
        <v>984</v>
      </c>
      <c r="BB5" s="666" t="s">
        <v>986</v>
      </c>
      <c r="BC5" s="667" t="s">
        <v>375</v>
      </c>
      <c r="BD5" s="668" t="s">
        <v>380</v>
      </c>
      <c r="BE5" s="1373" t="s">
        <v>989</v>
      </c>
      <c r="BF5" s="1345" t="s">
        <v>984</v>
      </c>
      <c r="BG5" s="666" t="s">
        <v>986</v>
      </c>
      <c r="BH5" s="670" t="s">
        <v>375</v>
      </c>
      <c r="BI5" s="872" t="s">
        <v>380</v>
      </c>
      <c r="BJ5" s="669" t="s">
        <v>990</v>
      </c>
      <c r="BK5" s="666" t="s">
        <v>986</v>
      </c>
      <c r="BL5" s="667" t="s">
        <v>375</v>
      </c>
      <c r="BM5" s="668" t="s">
        <v>380</v>
      </c>
      <c r="BN5" s="1368" t="s">
        <v>989</v>
      </c>
      <c r="BO5" s="1345" t="s">
        <v>984</v>
      </c>
      <c r="BP5" s="666" t="s">
        <v>986</v>
      </c>
      <c r="BQ5" s="873" t="s">
        <v>375</v>
      </c>
      <c r="BR5" s="874" t="s">
        <v>380</v>
      </c>
      <c r="BS5" s="1368" t="s">
        <v>989</v>
      </c>
      <c r="BT5" s="1345" t="s">
        <v>984</v>
      </c>
      <c r="BU5" s="666" t="s">
        <v>986</v>
      </c>
      <c r="BV5" s="873" t="s">
        <v>375</v>
      </c>
      <c r="BW5" s="874" t="s">
        <v>380</v>
      </c>
      <c r="BX5" s="1345" t="s">
        <v>984</v>
      </c>
      <c r="BY5" s="1362" t="s">
        <v>988</v>
      </c>
      <c r="BZ5" s="1362" t="s">
        <v>987</v>
      </c>
      <c r="CA5" s="666" t="s">
        <v>986</v>
      </c>
      <c r="CB5" s="667" t="s">
        <v>375</v>
      </c>
      <c r="CC5" s="668" t="s">
        <v>380</v>
      </c>
      <c r="CD5" s="1345" t="s">
        <v>984</v>
      </c>
      <c r="CE5" s="1362" t="s">
        <v>988</v>
      </c>
      <c r="CF5" s="1362" t="s">
        <v>987</v>
      </c>
      <c r="CG5" s="666" t="s">
        <v>986</v>
      </c>
      <c r="CH5" s="667" t="s">
        <v>375</v>
      </c>
      <c r="CI5" s="668" t="s">
        <v>380</v>
      </c>
      <c r="CJ5" s="875" t="s">
        <v>993</v>
      </c>
      <c r="CK5" s="666" t="s">
        <v>986</v>
      </c>
      <c r="CL5" s="667" t="s">
        <v>375</v>
      </c>
      <c r="CM5" s="668" t="s">
        <v>380</v>
      </c>
      <c r="CN5" s="875" t="s">
        <v>993</v>
      </c>
      <c r="CO5" s="666" t="s">
        <v>986</v>
      </c>
      <c r="CP5" s="667" t="s">
        <v>375</v>
      </c>
      <c r="CQ5" s="668" t="s">
        <v>380</v>
      </c>
      <c r="CR5" s="1345" t="s">
        <v>984</v>
      </c>
      <c r="CS5" s="666" t="s">
        <v>986</v>
      </c>
      <c r="CT5" s="667" t="s">
        <v>375</v>
      </c>
      <c r="CU5" s="668" t="s">
        <v>380</v>
      </c>
      <c r="CV5" s="1345" t="s">
        <v>984</v>
      </c>
      <c r="CW5" s="666" t="s">
        <v>986</v>
      </c>
      <c r="CX5" s="667" t="s">
        <v>375</v>
      </c>
      <c r="CY5" s="668" t="s">
        <v>380</v>
      </c>
      <c r="CZ5" s="1345" t="s">
        <v>984</v>
      </c>
      <c r="DA5" s="666" t="s">
        <v>986</v>
      </c>
      <c r="DB5" s="667" t="s">
        <v>375</v>
      </c>
      <c r="DC5" s="668" t="s">
        <v>380</v>
      </c>
      <c r="DD5" s="1345" t="s">
        <v>984</v>
      </c>
      <c r="DE5" s="666" t="s">
        <v>986</v>
      </c>
      <c r="DF5" s="667" t="s">
        <v>375</v>
      </c>
      <c r="DG5" s="668" t="s">
        <v>380</v>
      </c>
      <c r="DH5" s="1345" t="s">
        <v>984</v>
      </c>
      <c r="DI5" s="666" t="s">
        <v>986</v>
      </c>
      <c r="DJ5" s="667" t="s">
        <v>375</v>
      </c>
      <c r="DK5" s="668" t="s">
        <v>380</v>
      </c>
      <c r="DL5" s="1345" t="s">
        <v>984</v>
      </c>
      <c r="DM5" s="666" t="s">
        <v>986</v>
      </c>
      <c r="DN5" s="667" t="s">
        <v>375</v>
      </c>
      <c r="DO5" s="668" t="s">
        <v>380</v>
      </c>
      <c r="DP5" s="1345" t="s">
        <v>984</v>
      </c>
      <c r="DQ5" s="666" t="s">
        <v>986</v>
      </c>
      <c r="DR5" s="667" t="s">
        <v>375</v>
      </c>
      <c r="DS5" s="668" t="s">
        <v>380</v>
      </c>
      <c r="DT5" s="1345" t="s">
        <v>984</v>
      </c>
      <c r="DU5" s="666" t="s">
        <v>986</v>
      </c>
      <c r="DV5" s="667" t="s">
        <v>375</v>
      </c>
      <c r="DW5" s="668" t="s">
        <v>380</v>
      </c>
      <c r="DX5" s="1345" t="s">
        <v>984</v>
      </c>
      <c r="DY5" s="666" t="s">
        <v>986</v>
      </c>
      <c r="DZ5" s="667" t="s">
        <v>375</v>
      </c>
      <c r="EA5" s="668" t="s">
        <v>380</v>
      </c>
      <c r="EB5" s="1345" t="s">
        <v>984</v>
      </c>
      <c r="EC5" s="666" t="s">
        <v>986</v>
      </c>
      <c r="ED5" s="667" t="s">
        <v>375</v>
      </c>
      <c r="EE5" s="668" t="s">
        <v>380</v>
      </c>
      <c r="EF5" s="1345" t="s">
        <v>984</v>
      </c>
      <c r="EG5" s="666" t="s">
        <v>986</v>
      </c>
      <c r="EH5" s="667" t="s">
        <v>375</v>
      </c>
      <c r="EI5" s="668" t="s">
        <v>380</v>
      </c>
      <c r="EJ5" s="1345" t="s">
        <v>984</v>
      </c>
      <c r="EK5" s="666" t="s">
        <v>986</v>
      </c>
      <c r="EL5" s="667" t="s">
        <v>375</v>
      </c>
      <c r="EM5" s="668" t="s">
        <v>380</v>
      </c>
      <c r="EN5" s="1345" t="s">
        <v>984</v>
      </c>
      <c r="EO5" s="666" t="s">
        <v>986</v>
      </c>
      <c r="EP5" s="667" t="s">
        <v>375</v>
      </c>
      <c r="EQ5" s="668" t="s">
        <v>380</v>
      </c>
      <c r="ER5" s="1345" t="s">
        <v>984</v>
      </c>
      <c r="ES5" s="666" t="s">
        <v>986</v>
      </c>
      <c r="ET5" s="667" t="s">
        <v>375</v>
      </c>
      <c r="EU5" s="668" t="s">
        <v>380</v>
      </c>
      <c r="EV5" s="1345" t="s">
        <v>984</v>
      </c>
      <c r="EW5" s="666" t="s">
        <v>986</v>
      </c>
      <c r="EX5" s="667" t="s">
        <v>375</v>
      </c>
      <c r="EY5" s="668" t="s">
        <v>380</v>
      </c>
      <c r="EZ5" s="1345" t="s">
        <v>984</v>
      </c>
      <c r="FA5" s="666" t="s">
        <v>986</v>
      </c>
      <c r="FB5" s="667" t="s">
        <v>375</v>
      </c>
      <c r="FC5" s="668" t="s">
        <v>380</v>
      </c>
      <c r="FD5" s="1345" t="s">
        <v>984</v>
      </c>
      <c r="FE5" s="666" t="s">
        <v>986</v>
      </c>
      <c r="FF5" s="667" t="s">
        <v>375</v>
      </c>
      <c r="FG5" s="668" t="s">
        <v>380</v>
      </c>
      <c r="FH5" s="1345" t="s">
        <v>984</v>
      </c>
      <c r="FI5" s="666" t="s">
        <v>986</v>
      </c>
      <c r="FJ5" s="667" t="s">
        <v>375</v>
      </c>
      <c r="FK5" s="668" t="s">
        <v>380</v>
      </c>
      <c r="FL5" s="1345" t="s">
        <v>984</v>
      </c>
      <c r="FM5" s="666" t="s">
        <v>986</v>
      </c>
      <c r="FN5" s="667" t="s">
        <v>375</v>
      </c>
      <c r="FO5" s="668" t="s">
        <v>380</v>
      </c>
      <c r="FP5" s="1345" t="s">
        <v>984</v>
      </c>
      <c r="FQ5" s="666" t="s">
        <v>986</v>
      </c>
      <c r="FR5" s="667" t="s">
        <v>375</v>
      </c>
      <c r="FS5" s="668" t="s">
        <v>380</v>
      </c>
      <c r="FT5" s="1345" t="s">
        <v>984</v>
      </c>
      <c r="FU5" s="666" t="s">
        <v>986</v>
      </c>
      <c r="FV5" s="667" t="s">
        <v>375</v>
      </c>
      <c r="FW5" s="668" t="s">
        <v>380</v>
      </c>
      <c r="FX5" s="1357" t="s">
        <v>994</v>
      </c>
      <c r="FY5" s="1400" t="s">
        <v>984</v>
      </c>
      <c r="FZ5" s="666" t="s">
        <v>986</v>
      </c>
      <c r="GA5" s="667" t="s">
        <v>375</v>
      </c>
      <c r="GB5" s="668" t="s">
        <v>380</v>
      </c>
      <c r="GC5" s="1337" t="s">
        <v>995</v>
      </c>
      <c r="GD5" s="1339" t="s">
        <v>996</v>
      </c>
      <c r="GE5" s="1339" t="s">
        <v>997</v>
      </c>
      <c r="GF5" s="1362" t="s">
        <v>998</v>
      </c>
      <c r="GG5" s="666" t="s">
        <v>986</v>
      </c>
      <c r="GH5" s="667" t="s">
        <v>375</v>
      </c>
      <c r="GI5" s="668" t="s">
        <v>380</v>
      </c>
      <c r="GJ5" s="1337" t="s">
        <v>995</v>
      </c>
      <c r="GK5" s="1339" t="s">
        <v>996</v>
      </c>
      <c r="GL5" s="1339" t="s">
        <v>997</v>
      </c>
      <c r="GM5" s="1362" t="s">
        <v>998</v>
      </c>
      <c r="GN5" s="666" t="s">
        <v>986</v>
      </c>
      <c r="GO5" s="667" t="s">
        <v>375</v>
      </c>
      <c r="GP5" s="668" t="s">
        <v>380</v>
      </c>
      <c r="GQ5" s="1409" t="s">
        <v>999</v>
      </c>
      <c r="GR5" s="1400" t="s">
        <v>1000</v>
      </c>
      <c r="GS5" s="1345" t="s">
        <v>96</v>
      </c>
      <c r="GT5" s="666" t="s">
        <v>986</v>
      </c>
      <c r="GU5" s="667" t="s">
        <v>375</v>
      </c>
      <c r="GV5" s="668" t="s">
        <v>380</v>
      </c>
      <c r="GW5" s="1400" t="s">
        <v>989</v>
      </c>
      <c r="GX5" s="1345" t="s">
        <v>984</v>
      </c>
      <c r="GY5" s="666" t="s">
        <v>986</v>
      </c>
      <c r="GZ5" s="667" t="s">
        <v>375</v>
      </c>
      <c r="HA5" s="668" t="s">
        <v>380</v>
      </c>
      <c r="HB5" s="1345" t="s">
        <v>984</v>
      </c>
      <c r="HC5" s="666" t="s">
        <v>986</v>
      </c>
      <c r="HD5" s="667" t="s">
        <v>375</v>
      </c>
      <c r="HE5" s="668" t="s">
        <v>380</v>
      </c>
      <c r="HF5" s="1345" t="s">
        <v>984</v>
      </c>
      <c r="HG5" s="666" t="s">
        <v>986</v>
      </c>
      <c r="HH5" s="667" t="s">
        <v>375</v>
      </c>
      <c r="HI5" s="668" t="s">
        <v>380</v>
      </c>
      <c r="HJ5" s="1345" t="s">
        <v>984</v>
      </c>
      <c r="HK5" s="1400" t="s">
        <v>988</v>
      </c>
      <c r="HL5" s="666" t="s">
        <v>986</v>
      </c>
      <c r="HM5" s="674" t="s">
        <v>375</v>
      </c>
      <c r="HN5" s="675" t="s">
        <v>380</v>
      </c>
      <c r="HO5" s="1345" t="s">
        <v>984</v>
      </c>
      <c r="HP5" s="666" t="s">
        <v>986</v>
      </c>
      <c r="HQ5" s="674" t="s">
        <v>375</v>
      </c>
      <c r="HR5" s="675" t="s">
        <v>380</v>
      </c>
      <c r="HS5" s="1345" t="s">
        <v>984</v>
      </c>
      <c r="HT5" s="666" t="s">
        <v>986</v>
      </c>
      <c r="HU5" s="674" t="s">
        <v>375</v>
      </c>
      <c r="HV5" s="675" t="s">
        <v>380</v>
      </c>
      <c r="HW5" s="669" t="s">
        <v>1001</v>
      </c>
      <c r="HX5" s="666" t="s">
        <v>986</v>
      </c>
      <c r="HY5" s="674" t="s">
        <v>375</v>
      </c>
      <c r="HZ5" s="675" t="s">
        <v>380</v>
      </c>
      <c r="IA5" s="673" t="s">
        <v>1001</v>
      </c>
      <c r="IB5" s="666" t="s">
        <v>986</v>
      </c>
      <c r="IC5" s="674" t="s">
        <v>375</v>
      </c>
      <c r="ID5" s="675" t="s">
        <v>380</v>
      </c>
      <c r="IE5" s="669" t="s">
        <v>1001</v>
      </c>
      <c r="IF5" s="666" t="s">
        <v>986</v>
      </c>
      <c r="IG5" s="674" t="s">
        <v>375</v>
      </c>
      <c r="IH5" s="675" t="s">
        <v>380</v>
      </c>
      <c r="II5" s="669" t="s">
        <v>1001</v>
      </c>
      <c r="IJ5" s="666" t="s">
        <v>986</v>
      </c>
      <c r="IK5" s="674" t="s">
        <v>375</v>
      </c>
      <c r="IL5" s="675" t="s">
        <v>380</v>
      </c>
      <c r="IM5" s="669"/>
      <c r="IN5" s="666" t="s">
        <v>986</v>
      </c>
      <c r="IO5" s="667" t="s">
        <v>375</v>
      </c>
      <c r="IP5" s="668" t="s">
        <v>380</v>
      </c>
      <c r="IQ5" s="1403" t="s">
        <v>866</v>
      </c>
      <c r="IR5" s="666" t="s">
        <v>986</v>
      </c>
      <c r="IS5" s="674" t="s">
        <v>375</v>
      </c>
      <c r="IT5" s="675" t="s">
        <v>380</v>
      </c>
      <c r="IU5" s="1402" t="s">
        <v>382</v>
      </c>
      <c r="IV5" s="666" t="s">
        <v>986</v>
      </c>
      <c r="IW5" s="674" t="s">
        <v>375</v>
      </c>
      <c r="IX5" s="675" t="s">
        <v>380</v>
      </c>
      <c r="IY5" s="1402" t="s">
        <v>384</v>
      </c>
      <c r="IZ5" s="666" t="s">
        <v>986</v>
      </c>
      <c r="JA5" s="674" t="s">
        <v>375</v>
      </c>
      <c r="JB5" s="675" t="s">
        <v>380</v>
      </c>
      <c r="JC5" s="677" t="s">
        <v>84</v>
      </c>
      <c r="JD5" s="678"/>
      <c r="JE5" s="678" t="s">
        <v>390</v>
      </c>
      <c r="JF5" s="661" t="s">
        <v>391</v>
      </c>
      <c r="JG5" s="661" t="s">
        <v>388</v>
      </c>
      <c r="JH5" s="661"/>
      <c r="JI5" s="661"/>
      <c r="JJ5" s="661" t="s">
        <v>84</v>
      </c>
      <c r="JK5" s="661"/>
      <c r="JL5" s="661"/>
      <c r="JM5" s="661"/>
      <c r="JN5" s="661" t="s">
        <v>669</v>
      </c>
      <c r="JO5" s="662"/>
      <c r="JP5" s="1001"/>
      <c r="JQ5" s="1004"/>
      <c r="JR5" s="1004"/>
      <c r="JS5" s="738"/>
    </row>
    <row r="6" spans="1:284" ht="13.5" customHeight="1" thickBot="1">
      <c r="B6" s="681"/>
      <c r="C6" s="1060"/>
      <c r="D6" s="682"/>
      <c r="E6" s="686"/>
      <c r="F6" s="683"/>
      <c r="G6" s="684"/>
      <c r="H6" s="684"/>
      <c r="I6" s="684"/>
      <c r="J6" s="684"/>
      <c r="K6" s="684"/>
      <c r="L6" s="684"/>
      <c r="M6" s="684"/>
      <c r="N6" s="684"/>
      <c r="O6" s="684"/>
      <c r="P6" s="684"/>
      <c r="Q6" s="682"/>
      <c r="R6" s="682"/>
      <c r="S6" s="686"/>
      <c r="T6" s="682"/>
      <c r="U6" s="682"/>
      <c r="V6" s="682"/>
      <c r="W6" s="686"/>
      <c r="X6" s="682"/>
      <c r="Y6" s="682"/>
      <c r="Z6" s="682"/>
      <c r="AA6" s="686"/>
      <c r="AB6" s="1346"/>
      <c r="AC6" s="687" t="s">
        <v>985</v>
      </c>
      <c r="AD6" s="688" t="s">
        <v>642</v>
      </c>
      <c r="AE6" s="689" t="s">
        <v>642</v>
      </c>
      <c r="AF6" s="1346"/>
      <c r="AG6" s="687" t="s">
        <v>985</v>
      </c>
      <c r="AH6" s="688" t="s">
        <v>642</v>
      </c>
      <c r="AI6" s="689" t="s">
        <v>642</v>
      </c>
      <c r="AJ6" s="1346"/>
      <c r="AK6" s="687" t="s">
        <v>985</v>
      </c>
      <c r="AL6" s="688" t="s">
        <v>642</v>
      </c>
      <c r="AM6" s="689" t="s">
        <v>642</v>
      </c>
      <c r="AN6" s="1346"/>
      <c r="AO6" s="687" t="s">
        <v>985</v>
      </c>
      <c r="AP6" s="688" t="s">
        <v>642</v>
      </c>
      <c r="AQ6" s="689" t="s">
        <v>642</v>
      </c>
      <c r="AR6" s="1346"/>
      <c r="AS6" s="687" t="s">
        <v>985</v>
      </c>
      <c r="AT6" s="688" t="s">
        <v>642</v>
      </c>
      <c r="AU6" s="689" t="s">
        <v>642</v>
      </c>
      <c r="AV6" s="690" t="s">
        <v>991</v>
      </c>
      <c r="AW6" s="687" t="s">
        <v>985</v>
      </c>
      <c r="AX6" s="688" t="s">
        <v>642</v>
      </c>
      <c r="AY6" s="689" t="s">
        <v>642</v>
      </c>
      <c r="AZ6" s="1350"/>
      <c r="BA6" s="1346"/>
      <c r="BB6" s="687" t="s">
        <v>985</v>
      </c>
      <c r="BC6" s="688" t="s">
        <v>642</v>
      </c>
      <c r="BD6" s="689" t="s">
        <v>642</v>
      </c>
      <c r="BE6" s="1374"/>
      <c r="BF6" s="1346"/>
      <c r="BG6" s="687" t="s">
        <v>985</v>
      </c>
      <c r="BH6" s="691" t="s">
        <v>642</v>
      </c>
      <c r="BI6" s="692" t="s">
        <v>642</v>
      </c>
      <c r="BJ6" s="1005" t="s">
        <v>991</v>
      </c>
      <c r="BK6" s="687" t="s">
        <v>985</v>
      </c>
      <c r="BL6" s="688" t="s">
        <v>642</v>
      </c>
      <c r="BM6" s="689" t="s">
        <v>642</v>
      </c>
      <c r="BN6" s="1368"/>
      <c r="BO6" s="1346"/>
      <c r="BP6" s="687" t="s">
        <v>985</v>
      </c>
      <c r="BQ6" s="878" t="s">
        <v>642</v>
      </c>
      <c r="BR6" s="879" t="s">
        <v>642</v>
      </c>
      <c r="BS6" s="1408"/>
      <c r="BT6" s="1346"/>
      <c r="BU6" s="687" t="s">
        <v>985</v>
      </c>
      <c r="BV6" s="878" t="s">
        <v>642</v>
      </c>
      <c r="BW6" s="879" t="s">
        <v>642</v>
      </c>
      <c r="BX6" s="1346"/>
      <c r="BY6" s="1363"/>
      <c r="BZ6" s="1363"/>
      <c r="CA6" s="687" t="s">
        <v>1006</v>
      </c>
      <c r="CB6" s="688" t="s">
        <v>642</v>
      </c>
      <c r="CC6" s="689" t="s">
        <v>642</v>
      </c>
      <c r="CD6" s="1346"/>
      <c r="CE6" s="1363"/>
      <c r="CF6" s="1363"/>
      <c r="CG6" s="687" t="s">
        <v>1006</v>
      </c>
      <c r="CH6" s="688" t="s">
        <v>642</v>
      </c>
      <c r="CI6" s="689" t="s">
        <v>642</v>
      </c>
      <c r="CJ6" s="1006" t="s">
        <v>992</v>
      </c>
      <c r="CK6" s="687" t="s">
        <v>985</v>
      </c>
      <c r="CL6" s="688" t="s">
        <v>642</v>
      </c>
      <c r="CM6" s="689" t="s">
        <v>642</v>
      </c>
      <c r="CN6" s="1006" t="s">
        <v>992</v>
      </c>
      <c r="CO6" s="687" t="s">
        <v>985</v>
      </c>
      <c r="CP6" s="688" t="s">
        <v>642</v>
      </c>
      <c r="CQ6" s="689" t="s">
        <v>642</v>
      </c>
      <c r="CR6" s="1346"/>
      <c r="CS6" s="687" t="s">
        <v>985</v>
      </c>
      <c r="CT6" s="688" t="s">
        <v>642</v>
      </c>
      <c r="CU6" s="689" t="s">
        <v>642</v>
      </c>
      <c r="CV6" s="1346"/>
      <c r="CW6" s="687" t="s">
        <v>985</v>
      </c>
      <c r="CX6" s="688" t="s">
        <v>642</v>
      </c>
      <c r="CY6" s="689" t="s">
        <v>642</v>
      </c>
      <c r="CZ6" s="1346"/>
      <c r="DA6" s="687" t="s">
        <v>985</v>
      </c>
      <c r="DB6" s="688" t="s">
        <v>642</v>
      </c>
      <c r="DC6" s="689" t="s">
        <v>642</v>
      </c>
      <c r="DD6" s="1346"/>
      <c r="DE6" s="687" t="s">
        <v>985</v>
      </c>
      <c r="DF6" s="688" t="s">
        <v>642</v>
      </c>
      <c r="DG6" s="689" t="s">
        <v>642</v>
      </c>
      <c r="DH6" s="1346"/>
      <c r="DI6" s="687" t="s">
        <v>985</v>
      </c>
      <c r="DJ6" s="688" t="s">
        <v>642</v>
      </c>
      <c r="DK6" s="689" t="s">
        <v>642</v>
      </c>
      <c r="DL6" s="1346"/>
      <c r="DM6" s="687" t="s">
        <v>985</v>
      </c>
      <c r="DN6" s="688" t="s">
        <v>642</v>
      </c>
      <c r="DO6" s="689" t="s">
        <v>642</v>
      </c>
      <c r="DP6" s="1346"/>
      <c r="DQ6" s="687" t="s">
        <v>985</v>
      </c>
      <c r="DR6" s="688" t="s">
        <v>642</v>
      </c>
      <c r="DS6" s="689" t="s">
        <v>642</v>
      </c>
      <c r="DT6" s="1346"/>
      <c r="DU6" s="687" t="s">
        <v>985</v>
      </c>
      <c r="DV6" s="688" t="s">
        <v>642</v>
      </c>
      <c r="DW6" s="689" t="s">
        <v>642</v>
      </c>
      <c r="DX6" s="1346"/>
      <c r="DY6" s="687" t="s">
        <v>985</v>
      </c>
      <c r="DZ6" s="688" t="s">
        <v>642</v>
      </c>
      <c r="EA6" s="689" t="s">
        <v>642</v>
      </c>
      <c r="EB6" s="1346"/>
      <c r="EC6" s="687" t="s">
        <v>985</v>
      </c>
      <c r="ED6" s="688" t="s">
        <v>642</v>
      </c>
      <c r="EE6" s="689" t="s">
        <v>642</v>
      </c>
      <c r="EF6" s="1346"/>
      <c r="EG6" s="687" t="s">
        <v>985</v>
      </c>
      <c r="EH6" s="688" t="s">
        <v>642</v>
      </c>
      <c r="EI6" s="689" t="s">
        <v>642</v>
      </c>
      <c r="EJ6" s="1346"/>
      <c r="EK6" s="687" t="s">
        <v>985</v>
      </c>
      <c r="EL6" s="688" t="s">
        <v>642</v>
      </c>
      <c r="EM6" s="689" t="s">
        <v>642</v>
      </c>
      <c r="EN6" s="1346"/>
      <c r="EO6" s="687" t="s">
        <v>985</v>
      </c>
      <c r="EP6" s="688" t="s">
        <v>642</v>
      </c>
      <c r="EQ6" s="689" t="s">
        <v>642</v>
      </c>
      <c r="ER6" s="1346"/>
      <c r="ES6" s="687" t="s">
        <v>985</v>
      </c>
      <c r="ET6" s="688" t="s">
        <v>642</v>
      </c>
      <c r="EU6" s="689" t="s">
        <v>642</v>
      </c>
      <c r="EV6" s="1346"/>
      <c r="EW6" s="687" t="s">
        <v>985</v>
      </c>
      <c r="EX6" s="688" t="s">
        <v>642</v>
      </c>
      <c r="EY6" s="689" t="s">
        <v>642</v>
      </c>
      <c r="EZ6" s="1346"/>
      <c r="FA6" s="687" t="s">
        <v>985</v>
      </c>
      <c r="FB6" s="688" t="s">
        <v>642</v>
      </c>
      <c r="FC6" s="689" t="s">
        <v>642</v>
      </c>
      <c r="FD6" s="1346"/>
      <c r="FE6" s="687" t="s">
        <v>985</v>
      </c>
      <c r="FF6" s="688" t="s">
        <v>642</v>
      </c>
      <c r="FG6" s="689" t="s">
        <v>642</v>
      </c>
      <c r="FH6" s="1346"/>
      <c r="FI6" s="687" t="s">
        <v>985</v>
      </c>
      <c r="FJ6" s="688" t="s">
        <v>642</v>
      </c>
      <c r="FK6" s="689" t="s">
        <v>642</v>
      </c>
      <c r="FL6" s="1346"/>
      <c r="FM6" s="687" t="s">
        <v>985</v>
      </c>
      <c r="FN6" s="688" t="s">
        <v>642</v>
      </c>
      <c r="FO6" s="689" t="s">
        <v>642</v>
      </c>
      <c r="FP6" s="1346"/>
      <c r="FQ6" s="687" t="s">
        <v>985</v>
      </c>
      <c r="FR6" s="688" t="s">
        <v>642</v>
      </c>
      <c r="FS6" s="689" t="s">
        <v>642</v>
      </c>
      <c r="FT6" s="1346"/>
      <c r="FU6" s="687" t="s">
        <v>985</v>
      </c>
      <c r="FV6" s="688" t="s">
        <v>642</v>
      </c>
      <c r="FW6" s="689" t="s">
        <v>642</v>
      </c>
      <c r="FX6" s="1358"/>
      <c r="FY6" s="1410"/>
      <c r="FZ6" s="687" t="s">
        <v>985</v>
      </c>
      <c r="GA6" s="688" t="s">
        <v>642</v>
      </c>
      <c r="GB6" s="689" t="s">
        <v>642</v>
      </c>
      <c r="GC6" s="1338"/>
      <c r="GD6" s="1340"/>
      <c r="GE6" s="1340"/>
      <c r="GF6" s="1364"/>
      <c r="GG6" s="687" t="s">
        <v>985</v>
      </c>
      <c r="GH6" s="688" t="s">
        <v>642</v>
      </c>
      <c r="GI6" s="689" t="s">
        <v>642</v>
      </c>
      <c r="GJ6" s="1344"/>
      <c r="GK6" s="1340"/>
      <c r="GL6" s="1340"/>
      <c r="GM6" s="1364"/>
      <c r="GN6" s="687" t="s">
        <v>985</v>
      </c>
      <c r="GO6" s="688" t="s">
        <v>642</v>
      </c>
      <c r="GP6" s="689" t="s">
        <v>642</v>
      </c>
      <c r="GQ6" s="1346"/>
      <c r="GR6" s="1410"/>
      <c r="GS6" s="1346"/>
      <c r="GT6" s="687" t="s">
        <v>985</v>
      </c>
      <c r="GU6" s="688" t="s">
        <v>642</v>
      </c>
      <c r="GV6" s="689" t="s">
        <v>642</v>
      </c>
      <c r="GW6" s="1350"/>
      <c r="GX6" s="1346"/>
      <c r="GY6" s="687" t="s">
        <v>985</v>
      </c>
      <c r="GZ6" s="688" t="s">
        <v>642</v>
      </c>
      <c r="HA6" s="689" t="s">
        <v>642</v>
      </c>
      <c r="HB6" s="1346"/>
      <c r="HC6" s="687" t="s">
        <v>985</v>
      </c>
      <c r="HD6" s="688" t="s">
        <v>642</v>
      </c>
      <c r="HE6" s="689" t="s">
        <v>642</v>
      </c>
      <c r="HF6" s="1346"/>
      <c r="HG6" s="687" t="s">
        <v>985</v>
      </c>
      <c r="HH6" s="688" t="s">
        <v>642</v>
      </c>
      <c r="HI6" s="689" t="s">
        <v>642</v>
      </c>
      <c r="HJ6" s="1346"/>
      <c r="HK6" s="1401"/>
      <c r="HL6" s="687" t="s">
        <v>985</v>
      </c>
      <c r="HM6" s="688" t="s">
        <v>642</v>
      </c>
      <c r="HN6" s="689" t="s">
        <v>642</v>
      </c>
      <c r="HO6" s="1346"/>
      <c r="HP6" s="687" t="s">
        <v>985</v>
      </c>
      <c r="HQ6" s="688" t="s">
        <v>642</v>
      </c>
      <c r="HR6" s="689" t="s">
        <v>642</v>
      </c>
      <c r="HS6" s="1346"/>
      <c r="HT6" s="687" t="s">
        <v>985</v>
      </c>
      <c r="HU6" s="688" t="s">
        <v>642</v>
      </c>
      <c r="HV6" s="689" t="s">
        <v>642</v>
      </c>
      <c r="HW6" s="690" t="s">
        <v>1289</v>
      </c>
      <c r="HX6" s="687" t="s">
        <v>985</v>
      </c>
      <c r="HY6" s="688" t="s">
        <v>642</v>
      </c>
      <c r="HZ6" s="689" t="s">
        <v>642</v>
      </c>
      <c r="IA6" s="1005" t="s">
        <v>1289</v>
      </c>
      <c r="IB6" s="687" t="s">
        <v>985</v>
      </c>
      <c r="IC6" s="688" t="s">
        <v>642</v>
      </c>
      <c r="ID6" s="689" t="s">
        <v>642</v>
      </c>
      <c r="IE6" s="690" t="s">
        <v>1002</v>
      </c>
      <c r="IF6" s="687" t="s">
        <v>985</v>
      </c>
      <c r="IG6" s="688" t="s">
        <v>642</v>
      </c>
      <c r="IH6" s="689" t="s">
        <v>642</v>
      </c>
      <c r="II6" s="690" t="s">
        <v>1002</v>
      </c>
      <c r="IJ6" s="687" t="s">
        <v>985</v>
      </c>
      <c r="IK6" s="688" t="s">
        <v>642</v>
      </c>
      <c r="IL6" s="689" t="s">
        <v>642</v>
      </c>
      <c r="IM6" s="690"/>
      <c r="IN6" s="687" t="s">
        <v>985</v>
      </c>
      <c r="IO6" s="688" t="s">
        <v>642</v>
      </c>
      <c r="IP6" s="689" t="s">
        <v>642</v>
      </c>
      <c r="IQ6" s="1404"/>
      <c r="IR6" s="687" t="s">
        <v>985</v>
      </c>
      <c r="IS6" s="688" t="s">
        <v>642</v>
      </c>
      <c r="IT6" s="689" t="s">
        <v>642</v>
      </c>
      <c r="IU6" s="1402"/>
      <c r="IV6" s="687" t="s">
        <v>985</v>
      </c>
      <c r="IW6" s="688" t="s">
        <v>642</v>
      </c>
      <c r="IX6" s="689" t="s">
        <v>642</v>
      </c>
      <c r="IY6" s="1344"/>
      <c r="IZ6" s="687" t="s">
        <v>985</v>
      </c>
      <c r="JA6" s="688" t="s">
        <v>642</v>
      </c>
      <c r="JB6" s="689" t="s">
        <v>642</v>
      </c>
      <c r="JC6" s="694"/>
      <c r="JD6" s="695" t="s">
        <v>642</v>
      </c>
      <c r="JE6" s="695" t="s">
        <v>642</v>
      </c>
      <c r="JF6" s="695" t="s">
        <v>642</v>
      </c>
      <c r="JG6" s="695" t="s">
        <v>642</v>
      </c>
      <c r="JH6" s="695"/>
      <c r="JI6" s="695" t="s">
        <v>642</v>
      </c>
      <c r="JJ6" s="695" t="s">
        <v>642</v>
      </c>
      <c r="JK6" s="695"/>
      <c r="JL6" s="695"/>
      <c r="JM6" s="695"/>
      <c r="JN6" s="695" t="s">
        <v>642</v>
      </c>
      <c r="JO6" s="696"/>
      <c r="JP6" s="1007" t="s">
        <v>642</v>
      </c>
      <c r="JQ6" s="1008" t="s">
        <v>642</v>
      </c>
      <c r="JR6" s="1008"/>
      <c r="JS6" s="1009" t="s">
        <v>642</v>
      </c>
    </row>
    <row r="7" spans="1:284">
      <c r="B7" s="881"/>
      <c r="C7" s="700"/>
      <c r="D7" s="634"/>
      <c r="E7" s="701"/>
      <c r="F7" s="88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6"/>
      <c r="R7" s="705"/>
      <c r="S7" s="706"/>
      <c r="T7" s="705"/>
      <c r="U7" s="705"/>
      <c r="V7" s="705"/>
      <c r="W7" s="706"/>
      <c r="X7" s="705"/>
      <c r="Y7" s="705"/>
      <c r="Z7" s="705"/>
      <c r="AA7" s="706"/>
      <c r="AB7" s="707"/>
      <c r="AC7" s="708"/>
      <c r="AD7" s="709"/>
      <c r="AE7" s="710"/>
      <c r="AF7" s="711"/>
      <c r="AG7" s="711"/>
      <c r="AH7" s="711"/>
      <c r="AI7" s="712"/>
      <c r="AJ7" s="713"/>
      <c r="AK7" s="708"/>
      <c r="AL7" s="709"/>
      <c r="AM7" s="710"/>
      <c r="AN7" s="656"/>
      <c r="AO7" s="708"/>
      <c r="AP7" s="709"/>
      <c r="AQ7" s="710"/>
      <c r="AR7" s="711"/>
      <c r="AS7" s="711"/>
      <c r="AT7" s="711"/>
      <c r="AU7" s="711"/>
      <c r="AV7" s="656"/>
      <c r="AW7" s="713"/>
      <c r="AX7" s="714"/>
      <c r="AY7" s="710"/>
      <c r="AZ7" s="870"/>
      <c r="BA7" s="708"/>
      <c r="BB7" s="708"/>
      <c r="BC7" s="709"/>
      <c r="BD7" s="710"/>
      <c r="BE7" s="1010"/>
      <c r="BF7" s="716"/>
      <c r="BG7" s="716"/>
      <c r="BH7" s="716"/>
      <c r="BI7" s="717"/>
      <c r="BJ7" s="711"/>
      <c r="BK7" s="711"/>
      <c r="BL7" s="711"/>
      <c r="BM7" s="718"/>
      <c r="BN7" s="888"/>
      <c r="BO7" s="888"/>
      <c r="BP7" s="888"/>
      <c r="BQ7" s="888"/>
      <c r="BR7" s="889"/>
      <c r="BS7" s="890"/>
      <c r="BT7" s="888"/>
      <c r="BU7" s="888"/>
      <c r="BV7" s="888"/>
      <c r="BW7" s="889"/>
      <c r="BX7" s="713"/>
      <c r="BY7" s="713"/>
      <c r="BZ7" s="708"/>
      <c r="CA7" s="708"/>
      <c r="CB7" s="709"/>
      <c r="CC7" s="710"/>
      <c r="CD7" s="711"/>
      <c r="CE7" s="711"/>
      <c r="CF7" s="711"/>
      <c r="CG7" s="711"/>
      <c r="CH7" s="711"/>
      <c r="CI7" s="718"/>
      <c r="CJ7" s="713"/>
      <c r="CK7" s="713"/>
      <c r="CL7" s="714"/>
      <c r="CM7" s="710"/>
      <c r="CN7" s="711"/>
      <c r="CO7" s="711"/>
      <c r="CP7" s="711"/>
      <c r="CQ7" s="718"/>
      <c r="CR7" s="713"/>
      <c r="CS7" s="708"/>
      <c r="CT7" s="709"/>
      <c r="CU7" s="710"/>
      <c r="CV7" s="656"/>
      <c r="CW7" s="708"/>
      <c r="CX7" s="709"/>
      <c r="CY7" s="710"/>
      <c r="CZ7" s="656"/>
      <c r="DA7" s="708"/>
      <c r="DB7" s="709"/>
      <c r="DC7" s="710"/>
      <c r="DD7" s="656"/>
      <c r="DE7" s="708"/>
      <c r="DF7" s="709"/>
      <c r="DG7" s="710"/>
      <c r="DH7" s="711"/>
      <c r="DI7" s="711"/>
      <c r="DJ7" s="711"/>
      <c r="DK7" s="711"/>
      <c r="DL7" s="656"/>
      <c r="DM7" s="708"/>
      <c r="DN7" s="709"/>
      <c r="DO7" s="710"/>
      <c r="DP7" s="656"/>
      <c r="DQ7" s="708"/>
      <c r="DR7" s="709"/>
      <c r="DS7" s="710"/>
      <c r="DT7" s="711"/>
      <c r="DU7" s="711"/>
      <c r="DV7" s="711"/>
      <c r="DW7" s="718"/>
      <c r="DX7" s="711"/>
      <c r="DY7" s="711"/>
      <c r="DZ7" s="711"/>
      <c r="EA7" s="718"/>
      <c r="EB7" s="711"/>
      <c r="EC7" s="711"/>
      <c r="ED7" s="711"/>
      <c r="EE7" s="718"/>
      <c r="EF7" s="713"/>
      <c r="EG7" s="708"/>
      <c r="EH7" s="709"/>
      <c r="EI7" s="710"/>
      <c r="EJ7" s="711"/>
      <c r="EK7" s="711"/>
      <c r="EL7" s="711"/>
      <c r="EM7" s="718"/>
      <c r="EN7" s="711"/>
      <c r="EO7" s="711"/>
      <c r="EP7" s="711"/>
      <c r="EQ7" s="718"/>
      <c r="ER7" s="711"/>
      <c r="ES7" s="711"/>
      <c r="ET7" s="711"/>
      <c r="EU7" s="718"/>
      <c r="EV7" s="713"/>
      <c r="EW7" s="708"/>
      <c r="EX7" s="709"/>
      <c r="EY7" s="710"/>
      <c r="EZ7" s="711"/>
      <c r="FA7" s="711"/>
      <c r="FB7" s="711"/>
      <c r="FC7" s="718"/>
      <c r="FD7" s="711"/>
      <c r="FE7" s="711"/>
      <c r="FF7" s="711"/>
      <c r="FG7" s="718"/>
      <c r="FH7" s="711"/>
      <c r="FI7" s="711"/>
      <c r="FJ7" s="711"/>
      <c r="FK7" s="718"/>
      <c r="FL7" s="711"/>
      <c r="FM7" s="711"/>
      <c r="FN7" s="711"/>
      <c r="FO7" s="718"/>
      <c r="FP7" s="711"/>
      <c r="FQ7" s="711"/>
      <c r="FR7" s="711"/>
      <c r="FS7" s="718"/>
      <c r="FT7" s="711"/>
      <c r="FU7" s="711"/>
      <c r="FV7" s="711"/>
      <c r="FW7" s="718"/>
      <c r="FX7" s="711"/>
      <c r="FY7" s="711"/>
      <c r="FZ7" s="719"/>
      <c r="GA7" s="676"/>
      <c r="GB7" s="675"/>
      <c r="GC7" s="676"/>
      <c r="GD7" s="676"/>
      <c r="GE7" s="1011"/>
      <c r="GF7" s="657"/>
      <c r="GG7" s="708"/>
      <c r="GH7" s="709"/>
      <c r="GI7" s="710"/>
      <c r="GJ7" s="891"/>
      <c r="GK7" s="891"/>
      <c r="GL7" s="891"/>
      <c r="GM7" s="891"/>
      <c r="GN7" s="891"/>
      <c r="GO7" s="891"/>
      <c r="GP7" s="718"/>
      <c r="GQ7" s="711"/>
      <c r="GR7" s="711"/>
      <c r="GS7" s="711"/>
      <c r="GT7" s="708"/>
      <c r="GU7" s="709"/>
      <c r="GV7" s="710"/>
      <c r="GW7" s="722"/>
      <c r="GX7" s="711"/>
      <c r="GY7" s="711"/>
      <c r="GZ7" s="711"/>
      <c r="HA7" s="718"/>
      <c r="HB7" s="713"/>
      <c r="HC7" s="708"/>
      <c r="HD7" s="709"/>
      <c r="HE7" s="710"/>
      <c r="HF7" s="711"/>
      <c r="HG7" s="711"/>
      <c r="HH7" s="711"/>
      <c r="HI7" s="711"/>
      <c r="HJ7" s="656"/>
      <c r="HK7" s="636"/>
      <c r="HL7" s="713"/>
      <c r="HM7" s="714"/>
      <c r="HN7" s="710"/>
      <c r="HO7" s="656"/>
      <c r="HP7" s="708"/>
      <c r="HQ7" s="709"/>
      <c r="HR7" s="710"/>
      <c r="HS7" s="711"/>
      <c r="HT7" s="711"/>
      <c r="HU7" s="711"/>
      <c r="HV7" s="711"/>
      <c r="HW7" s="656"/>
      <c r="HX7" s="708"/>
      <c r="HY7" s="709"/>
      <c r="HZ7" s="710"/>
      <c r="IA7" s="711"/>
      <c r="IB7" s="711"/>
      <c r="IC7" s="711"/>
      <c r="ID7" s="711"/>
      <c r="IE7" s="655"/>
      <c r="IF7" s="720"/>
      <c r="IG7" s="639"/>
      <c r="IH7" s="721"/>
      <c r="II7" s="655"/>
      <c r="IJ7" s="720"/>
      <c r="IK7" s="639"/>
      <c r="IL7" s="721"/>
      <c r="IM7" s="655"/>
      <c r="IN7" s="720"/>
      <c r="IO7" s="639"/>
      <c r="IP7" s="721"/>
      <c r="IQ7" s="711"/>
      <c r="IR7" s="723"/>
      <c r="IS7" s="723"/>
      <c r="IT7" s="1003"/>
      <c r="IU7" s="999"/>
      <c r="IV7" s="724"/>
      <c r="IW7" s="725"/>
      <c r="IX7" s="726"/>
      <c r="IY7" s="727"/>
      <c r="IZ7" s="728"/>
      <c r="JA7" s="729"/>
      <c r="JB7" s="730"/>
      <c r="JC7" s="731"/>
      <c r="JD7" s="732"/>
      <c r="JE7" s="722"/>
      <c r="JF7" s="732"/>
      <c r="JG7" s="732"/>
      <c r="JH7" s="733"/>
      <c r="JI7" s="678"/>
      <c r="JJ7" s="732"/>
      <c r="JK7" s="678"/>
      <c r="JL7" s="678"/>
      <c r="JM7" s="678"/>
      <c r="JN7" s="678"/>
      <c r="JO7" s="1012"/>
      <c r="JP7" s="732"/>
      <c r="JQ7" s="1013"/>
      <c r="JR7" s="1013"/>
      <c r="JS7" s="738"/>
      <c r="JW7" s="739"/>
    </row>
    <row r="8" spans="1:284" ht="12.6" customHeight="1">
      <c r="A8" s="610" t="s">
        <v>686</v>
      </c>
      <c r="B8" s="597">
        <v>1</v>
      </c>
      <c r="C8" s="1056" t="s">
        <v>767</v>
      </c>
      <c r="D8" s="892">
        <v>0.23859</v>
      </c>
      <c r="E8" s="918">
        <v>0.28249999999999997</v>
      </c>
      <c r="F8" s="742">
        <f>H8+L8</f>
        <v>11.483428020962791</v>
      </c>
      <c r="G8" s="743">
        <v>65</v>
      </c>
      <c r="H8" s="598">
        <f>D8*1000/((130-70)*0.933)</f>
        <v>4.262057877813505</v>
      </c>
      <c r="I8" s="599">
        <v>40</v>
      </c>
      <c r="J8" s="598">
        <f>D8*1000/((95-70)*0.962)</f>
        <v>9.9205821205821199</v>
      </c>
      <c r="K8" s="599">
        <v>65</v>
      </c>
      <c r="L8" s="598">
        <f>E8*1000/((70-30)*0.978)</f>
        <v>7.2213701431492847</v>
      </c>
      <c r="M8" s="599">
        <v>50</v>
      </c>
      <c r="N8" s="598">
        <f>E8*1000/((55-5)*0.986)</f>
        <v>5.7302231237322516</v>
      </c>
      <c r="O8" s="599">
        <v>50</v>
      </c>
      <c r="P8" s="598">
        <f>N8*0.3</f>
        <v>1.7190669371196754</v>
      </c>
      <c r="Q8" s="599">
        <v>32</v>
      </c>
      <c r="R8" s="598">
        <f>H8/SQRT(0.5)</f>
        <v>6.0274600544229502</v>
      </c>
      <c r="S8" s="600">
        <f>L8/SQRT(0.5)</f>
        <v>10.212559595357856</v>
      </c>
      <c r="T8" s="744">
        <v>2</v>
      </c>
      <c r="U8" s="601">
        <f>J8/T8</f>
        <v>4.9602910602910599</v>
      </c>
      <c r="V8" s="601">
        <f>U8/SQRT(0.5)</f>
        <v>7.0149108907816364</v>
      </c>
      <c r="W8" s="602">
        <v>40</v>
      </c>
      <c r="X8" s="1014">
        <v>4.7</v>
      </c>
      <c r="Y8" s="601">
        <f>X8*0.3</f>
        <v>1.41</v>
      </c>
      <c r="Z8" s="992">
        <v>20</v>
      </c>
      <c r="AA8" s="1015">
        <v>14</v>
      </c>
      <c r="AB8" s="745">
        <f t="shared" ref="AB8:AB40" si="0">G8</f>
        <v>65</v>
      </c>
      <c r="AC8" s="746">
        <v>2</v>
      </c>
      <c r="AD8" s="747">
        <f>VLOOKUP(AB8,'Ціни контур мережний'!$Z$24:$AB$36,3,0)</f>
        <v>30.19184015363556</v>
      </c>
      <c r="AE8" s="748">
        <f>AD8*AC8</f>
        <v>60.383680307271121</v>
      </c>
      <c r="AF8" s="745">
        <f t="shared" ref="AF8:AF40" si="1">G8</f>
        <v>65</v>
      </c>
      <c r="AG8" s="749">
        <v>2</v>
      </c>
      <c r="AH8" s="747">
        <f>VLOOKUP(AF8,'Ціни контур мережний'!$Z$64:$AB$77,3,0)</f>
        <v>105.883234246566</v>
      </c>
      <c r="AI8" s="748">
        <f>AG8*AH8</f>
        <v>211.76646849313201</v>
      </c>
      <c r="AJ8" s="745">
        <f t="shared" ref="AJ8:AJ40" si="2">G8</f>
        <v>65</v>
      </c>
      <c r="AK8" s="746">
        <v>1</v>
      </c>
      <c r="AL8" s="747">
        <f>VLOOKUP(AJ8,'Ціни контур мережний'!$Z$5:$AB$17,3,0)</f>
        <v>39.731999999999999</v>
      </c>
      <c r="AM8" s="748">
        <f>AK8*AL8</f>
        <v>39.731999999999999</v>
      </c>
      <c r="AN8" s="750">
        <f t="shared" ref="AN8:AN40" si="3">I8</f>
        <v>40</v>
      </c>
      <c r="AO8" s="746">
        <v>3</v>
      </c>
      <c r="AP8" s="747">
        <f>VLOOKUP(AN8,'Ціни контур мережний'!$Z$43:$AB$55,3,0)</f>
        <v>18.42400964308333</v>
      </c>
      <c r="AQ8" s="768">
        <f>AO8*AP8</f>
        <v>55.272028929249991</v>
      </c>
      <c r="AR8" s="749">
        <f t="shared" ref="AR8:AR40" si="4">M8</f>
        <v>50</v>
      </c>
      <c r="AS8" s="749">
        <v>4</v>
      </c>
      <c r="AT8" s="747">
        <f>VLOOKUP(AR8,'Ціни контур мережний'!$Z$43:$AB$55,3,0)</f>
        <v>23.2782130224622</v>
      </c>
      <c r="AU8" s="1016">
        <f>AS8*AT8</f>
        <v>93.112852089848801</v>
      </c>
      <c r="AV8" s="751" t="s">
        <v>815</v>
      </c>
      <c r="AW8" s="751">
        <v>1</v>
      </c>
      <c r="AX8" s="747">
        <f>VLOOKUP(AV8,'Ціни контур мережний'!$I$53:$M$57,5,0)</f>
        <v>110.39869654932889</v>
      </c>
      <c r="AY8" s="748">
        <f>AW8*AX8</f>
        <v>110.39869654932889</v>
      </c>
      <c r="AZ8" s="752">
        <f t="array" ref="AZ8">MIN(IF('Ціни контур мережний'!$Y$83:$Y$92&gt;(R8*1.2),'Ціни контур мережний'!$Y$83:$Y$92))</f>
        <v>10</v>
      </c>
      <c r="BA8" s="746">
        <f>VLOOKUP(AZ8,'Ціни контур мережний'!$Y$83:$Z$92,2,0)</f>
        <v>25</v>
      </c>
      <c r="BB8" s="746">
        <v>1</v>
      </c>
      <c r="BC8" s="747">
        <f>VLOOKUP(AZ8,'Ціни контур мережний'!$Y$83:$AB$92,4,0)</f>
        <v>117.50505648967251</v>
      </c>
      <c r="BD8" s="748">
        <f>BB8*BC8</f>
        <v>117.50505648967251</v>
      </c>
      <c r="BE8" s="1099">
        <f t="array" ref="BE8">MIN(IF('[1]Ціни контур мережний'!$Y$104:$Y$114&gt;(R8*1.2),'[1]Ціни контур мережний'!$Y$104:$Y$114))</f>
        <v>8</v>
      </c>
      <c r="BF8" s="1101">
        <f>VLOOKUP(BE8,'[1]Ціни контур мережний'!$Y$104:$Z$114,2,0)</f>
        <v>25</v>
      </c>
      <c r="BG8" s="753">
        <v>1</v>
      </c>
      <c r="BH8" s="754">
        <f>VLOOKUP(BE8,'Ціни контур мережний'!$Y$104:$AB$114,4,0)</f>
        <v>278.09338672441618</v>
      </c>
      <c r="BI8" s="755">
        <f>BG8*BH8</f>
        <v>278.09338672441618</v>
      </c>
      <c r="BJ8" s="751" t="s">
        <v>67</v>
      </c>
      <c r="BK8" s="749">
        <v>1</v>
      </c>
      <c r="BL8" s="747">
        <f>VLOOKUP(BJ8,'Ціни контур мережний'!$I$53:$M$57,5,0)</f>
        <v>157.67238032974441</v>
      </c>
      <c r="BM8" s="748">
        <f>BK8*BL8</f>
        <v>157.67238032974441</v>
      </c>
      <c r="BN8" s="896">
        <f t="array" ref="BN8">MIN(IF('Ціни контур мережний'!$Y$83:$Y$93&gt;(S8*1.2),'Ціни контур мережний'!$Y$83:$Y$93))</f>
        <v>16</v>
      </c>
      <c r="BO8" s="896">
        <f>VLOOKUP(BN8,'Ціни контур мережний'!$Y$83:$Z$93,2,0)</f>
        <v>32</v>
      </c>
      <c r="BP8" s="895">
        <v>1</v>
      </c>
      <c r="BQ8" s="896">
        <f>VLOOKUP(BN8,'Ціни контур мережний'!$Y$83:$AB$93,4,0)</f>
        <v>130.5392363168325</v>
      </c>
      <c r="BR8" s="897">
        <f>BP8*BQ8</f>
        <v>130.5392363168325</v>
      </c>
      <c r="BS8" s="896">
        <f t="array" ref="BS8">MIN(IF('Ціни контур мережний'!$Y$104:$Y$114&gt;(S8*1.2),'Ціни контур мережний'!$Y$104:$Y$114))</f>
        <v>12.5</v>
      </c>
      <c r="BT8" s="896">
        <f>VLOOKUP(BS8,'Ціни контур мережний'!$Y$104:$Z$114,2,0)</f>
        <v>32</v>
      </c>
      <c r="BU8" s="895">
        <v>1</v>
      </c>
      <c r="BV8" s="896">
        <f>VLOOKUP(BS8,'Ціни контур мережний'!$Y$104:$AB$114,4,0)</f>
        <v>435.76049604674444</v>
      </c>
      <c r="BW8" s="897">
        <f>BU8*BV8</f>
        <v>435.76049604674444</v>
      </c>
      <c r="BX8" s="751">
        <f>VLOOKUP(BY8,'Ціни контур мережний'!$J$5:$L$12,3,0)</f>
        <v>25</v>
      </c>
      <c r="BY8" s="751">
        <f t="array" ref="BY8">MIN(IF('Ціни контур мережний'!$J$5:$J$12&gt;H8,'Ціни контур мережний'!$J$5:$J$12))</f>
        <v>6</v>
      </c>
      <c r="BZ8" s="746" t="s">
        <v>130</v>
      </c>
      <c r="CA8" s="756">
        <v>1</v>
      </c>
      <c r="CB8" s="747">
        <f>VLOOKUP(BY8,'Ціни контур мережний'!$J$5:$N$12,5,0)</f>
        <v>341.25599999999997</v>
      </c>
      <c r="CC8" s="748">
        <f>CA8*CB8</f>
        <v>341.25599999999997</v>
      </c>
      <c r="CD8" s="758">
        <f>VLOOKUP(CE8,'Ціни контур мережний'!$J$5:$L$12,3,0)</f>
        <v>40</v>
      </c>
      <c r="CE8" s="747">
        <f t="array" ref="CE8">MIN(IF('Ціни контур мережний'!$J$5:$J$12&gt;L8,'Ціни контур мережний'!$J$5:$J$12))</f>
        <v>10</v>
      </c>
      <c r="CF8" s="746" t="s">
        <v>130</v>
      </c>
      <c r="CG8" s="749">
        <v>1</v>
      </c>
      <c r="CH8" s="747">
        <f>VLOOKUP(CE8,'Ціни контур мережний'!$J$5:$N$12,5,0)</f>
        <v>375.23999999999995</v>
      </c>
      <c r="CI8" s="748">
        <f>CG8*CH8</f>
        <v>375.23999999999995</v>
      </c>
      <c r="CJ8" s="899" t="s">
        <v>1290</v>
      </c>
      <c r="CK8" s="899">
        <v>1</v>
      </c>
      <c r="CL8" s="898">
        <v>772</v>
      </c>
      <c r="CM8" s="901">
        <f>CK8*CL8</f>
        <v>772</v>
      </c>
      <c r="CN8" s="898" t="s">
        <v>1316</v>
      </c>
      <c r="CO8" s="899">
        <v>1</v>
      </c>
      <c r="CP8" s="900">
        <v>645</v>
      </c>
      <c r="CQ8" s="901">
        <f>CO8*CP8</f>
        <v>645</v>
      </c>
      <c r="CR8" s="751">
        <f t="shared" ref="CR8:CR40" si="5">K8</f>
        <v>65</v>
      </c>
      <c r="CS8" s="746">
        <v>4</v>
      </c>
      <c r="CT8" s="747">
        <f>VLOOKUP(CR8,'Ціни контур теплопостачання'!$Y$5:$AA$17,3,0)</f>
        <v>30.19184015363556</v>
      </c>
      <c r="CU8" s="748">
        <f>CS8*CT8</f>
        <v>120.76736061454224</v>
      </c>
      <c r="CV8" s="750">
        <f t="shared" ref="CV8:CV40" si="6">O8</f>
        <v>50</v>
      </c>
      <c r="CW8" s="746">
        <v>6</v>
      </c>
      <c r="CX8" s="747">
        <f>VLOOKUP(CV8,'Ціни контур теплопостачання'!$AO$20:$AQ$29,3,0)</f>
        <v>37.588411955788914</v>
      </c>
      <c r="CY8" s="748">
        <f>CW8*CX8</f>
        <v>225.53047173473348</v>
      </c>
      <c r="CZ8" s="750">
        <f t="shared" ref="CZ8:CZ40" si="7">Q8</f>
        <v>32</v>
      </c>
      <c r="DA8" s="746">
        <v>3</v>
      </c>
      <c r="DB8" s="747">
        <f>VLOOKUP(CZ8,'Ціни контур теплопостачання'!$AO$20:$AQ$29,3,0)</f>
        <v>10.381</v>
      </c>
      <c r="DC8" s="748">
        <f>DA8*DB8</f>
        <v>31.143000000000001</v>
      </c>
      <c r="DD8" s="757">
        <f t="shared" ref="DD8:DD40" si="8">W8</f>
        <v>40</v>
      </c>
      <c r="DE8" s="746">
        <f t="shared" ref="DE8:DE40" si="9">2*T8</f>
        <v>4</v>
      </c>
      <c r="DF8" s="747">
        <f>VLOOKUP(DD8,'Ціни контур теплопостачання'!$Y$5:$AA$17,3,0)</f>
        <v>18.42400964308333</v>
      </c>
      <c r="DG8" s="748">
        <f>DE8*DF8</f>
        <v>73.696038572333322</v>
      </c>
      <c r="DH8" s="745">
        <f>GS8</f>
        <v>32</v>
      </c>
      <c r="DI8" s="749">
        <f>GT8</f>
        <v>1</v>
      </c>
      <c r="DJ8" s="747">
        <f>VLOOKUP(DH8,'Ціни контур теплопостачання'!$Y$5:$AA$17,3,0)</f>
        <v>10.381</v>
      </c>
      <c r="DK8" s="765">
        <f>DI8*DJ8</f>
        <v>10.381</v>
      </c>
      <c r="DL8" s="757">
        <f t="shared" ref="DL8:DL40" si="10">Z8</f>
        <v>20</v>
      </c>
      <c r="DM8" s="746">
        <v>1</v>
      </c>
      <c r="DN8" s="747">
        <f>VLOOKUP(DL8,'Ціни контур мережний'!$Z$43:$AB$55,3,0)</f>
        <v>14.562690256808384</v>
      </c>
      <c r="DO8" s="748">
        <f>DM8*DN8</f>
        <v>14.562690256808384</v>
      </c>
      <c r="DP8" s="757">
        <f t="shared" ref="DP8:DP40" si="11">Z8</f>
        <v>20</v>
      </c>
      <c r="DQ8" s="746">
        <v>2</v>
      </c>
      <c r="DR8" s="747">
        <f>VLOOKUP(DP8,'Ціни контур теплопостачання'!$Y$5:$AA$17,3,0)</f>
        <v>3.577</v>
      </c>
      <c r="DS8" s="748">
        <f>DQ8*DR8</f>
        <v>7.1539999999999999</v>
      </c>
      <c r="DT8" s="745">
        <v>20</v>
      </c>
      <c r="DU8" s="749">
        <v>2</v>
      </c>
      <c r="DV8" s="747">
        <f>VLOOKUP(DT8,'Ціни контур теплопостачання'!$Y$5:$AA$17,3,0)</f>
        <v>3.577</v>
      </c>
      <c r="DW8" s="748">
        <f>DU8*DV8</f>
        <v>7.1539999999999999</v>
      </c>
      <c r="DX8" s="745">
        <v>15</v>
      </c>
      <c r="DY8" s="745">
        <v>10</v>
      </c>
      <c r="DZ8" s="758">
        <f>VLOOKUP(DX8,'Ціни контур теплопостачання'!$Y$5:$AA$17,3,0)</f>
        <v>2.464</v>
      </c>
      <c r="EA8" s="759">
        <f>DY8*DZ8</f>
        <v>24.64</v>
      </c>
      <c r="EB8" s="745">
        <v>15</v>
      </c>
      <c r="EC8" s="745">
        <f>36+T8</f>
        <v>38</v>
      </c>
      <c r="ED8" s="758">
        <f>VLOOKUP(EB8,'Ціни контур мережний'!$J$71:$M$71,4,0)</f>
        <v>3.3865201135922525</v>
      </c>
      <c r="EE8" s="759">
        <f>EC8*ED8</f>
        <v>128.68776431650559</v>
      </c>
      <c r="EF8" s="751">
        <f t="shared" ref="EF8:EF40" si="12">K8</f>
        <v>65</v>
      </c>
      <c r="EG8" s="746">
        <v>1</v>
      </c>
      <c r="EH8" s="747">
        <f>VLOOKUP(EF8,'Ціни контур теплопостачання'!$K$5:$M$17,3,0)</f>
        <v>39.731999999999999</v>
      </c>
      <c r="EI8" s="748">
        <f>EG8*EH8</f>
        <v>39.731999999999999</v>
      </c>
      <c r="EJ8" s="745">
        <f t="shared" ref="EJ8:EJ40" si="13">O8</f>
        <v>50</v>
      </c>
      <c r="EK8" s="749">
        <v>1</v>
      </c>
      <c r="EL8" s="747">
        <f>VLOOKUP(EJ8,'Ціни контур теплопостачання'!$K$5:$M$17,3,0)</f>
        <v>26.284999999999997</v>
      </c>
      <c r="EM8" s="748">
        <f>EK8*EL8</f>
        <v>26.284999999999997</v>
      </c>
      <c r="EN8" s="745">
        <f t="shared" ref="EN8:EN40" si="14">Q8</f>
        <v>32</v>
      </c>
      <c r="EO8" s="745">
        <v>1</v>
      </c>
      <c r="EP8" s="758">
        <f>VLOOKUP(EN8,'Ціни контур теплопостачання'!$K$5:$M$17,3,0)</f>
        <v>9.48</v>
      </c>
      <c r="EQ8" s="759">
        <f>EO8*EP8</f>
        <v>9.48</v>
      </c>
      <c r="ER8" s="745">
        <f t="shared" ref="ER8:ER40" si="15">Z8</f>
        <v>20</v>
      </c>
      <c r="ES8" s="745">
        <v>1</v>
      </c>
      <c r="ET8" s="758">
        <f>VLOOKUP(ER8,'Ціни контур теплопостачання'!$K$5:$M$17,3,0)</f>
        <v>3.48</v>
      </c>
      <c r="EU8" s="759">
        <f>ES8*ET8</f>
        <v>3.48</v>
      </c>
      <c r="EV8" s="751">
        <f t="shared" ref="EV8:EV40" si="16">K8</f>
        <v>65</v>
      </c>
      <c r="EW8" s="746">
        <v>2</v>
      </c>
      <c r="EX8" s="747">
        <f>VLOOKUP(EV8,'Ціни контур теплопостачання'!$Y$24:$AA$36,3,0)</f>
        <v>42.080999999999996</v>
      </c>
      <c r="EY8" s="748">
        <f>EX8*EW8</f>
        <v>84.161999999999992</v>
      </c>
      <c r="EZ8" s="745">
        <f t="shared" ref="EZ8:EZ40" si="17">O8</f>
        <v>50</v>
      </c>
      <c r="FA8" s="749">
        <v>1</v>
      </c>
      <c r="FB8" s="747">
        <f>VLOOKUP(EZ8,'Ціни контур теплопостачання'!$AO$38:$AQ$50,3,0)</f>
        <v>28.560999999999996</v>
      </c>
      <c r="FC8" s="748">
        <f>FA8*FB8</f>
        <v>28.560999999999996</v>
      </c>
      <c r="FD8" s="745">
        <f t="shared" ref="FD8:FD40" si="18">Q8</f>
        <v>32</v>
      </c>
      <c r="FE8" s="745">
        <v>1</v>
      </c>
      <c r="FF8" s="758">
        <f>VLOOKUP(FD8,'Ціни контур теплопостачання'!$AO$38:$AQ$50,3,0)</f>
        <v>10.773</v>
      </c>
      <c r="FG8" s="759">
        <f>FE8*FF8</f>
        <v>10.773</v>
      </c>
      <c r="FH8" s="745">
        <f t="shared" ref="FH8:FH40" si="19">Z8</f>
        <v>20</v>
      </c>
      <c r="FI8" s="745">
        <v>1</v>
      </c>
      <c r="FJ8" s="758">
        <f>VLOOKUP(FH8,'Ціни контур теплопостачання'!$Y$24:$AA$36,3,0)</f>
        <v>4.5359999999999996</v>
      </c>
      <c r="FK8" s="759">
        <f>FI8*FJ8</f>
        <v>4.5359999999999996</v>
      </c>
      <c r="FL8" s="745">
        <f t="shared" ref="FL8:FL40" si="20">W8</f>
        <v>40</v>
      </c>
      <c r="FM8" s="745">
        <f t="shared" ref="FM8:FM40" si="21">2*T8</f>
        <v>4</v>
      </c>
      <c r="FN8" s="758">
        <f>VLOOKUP(FL8,'Ціни контур теплопостачання'!$Y$76:$AA$88,3,0)</f>
        <v>16.809999999999999</v>
      </c>
      <c r="FO8" s="759">
        <f>FM8*FN8</f>
        <v>67.239999999999995</v>
      </c>
      <c r="FP8" s="745">
        <f t="shared" ref="FP8:FP40" si="22">O8</f>
        <v>50</v>
      </c>
      <c r="FQ8" s="745">
        <v>1</v>
      </c>
      <c r="FR8" s="758">
        <f>VLOOKUP(FP8,'Ціни контур теплопостачання'!$Y$76:$AA$88,3,0)</f>
        <v>20.6</v>
      </c>
      <c r="FS8" s="759">
        <f>FQ8*FR8</f>
        <v>20.6</v>
      </c>
      <c r="FT8" s="745">
        <f t="shared" ref="FT8:FT40" si="23">Q8</f>
        <v>32</v>
      </c>
      <c r="FU8" s="745">
        <v>1</v>
      </c>
      <c r="FV8" s="758">
        <f>VLOOKUP(FT8,'Ціни контур теплопостачання'!$Y$76:$AA$88,3,0)</f>
        <v>13.15</v>
      </c>
      <c r="FW8" s="759">
        <f>FU8*FV8</f>
        <v>13.15</v>
      </c>
      <c r="FX8" s="758">
        <f t="shared" ref="FX8:FX40" si="24">((3*10^-6*D8*0.86*1000000)/(FZ8*0.05))^0.5*10</f>
        <v>24.810525992005893</v>
      </c>
      <c r="FY8" s="760">
        <v>25</v>
      </c>
      <c r="FZ8" s="719">
        <v>2</v>
      </c>
      <c r="GA8" s="747">
        <f>VLOOKUP(FY8,'Ціни контур теплопостачання'!$K$74:$M$79,3,0)</f>
        <v>22.22</v>
      </c>
      <c r="GB8" s="761">
        <f>FZ8*GA8</f>
        <v>44.44</v>
      </c>
      <c r="GC8" s="762">
        <f>J8</f>
        <v>9.9205821205821199</v>
      </c>
      <c r="GD8" s="902">
        <v>14</v>
      </c>
      <c r="GE8" s="1017">
        <v>13</v>
      </c>
      <c r="GF8" s="1018" t="s">
        <v>1090</v>
      </c>
      <c r="GG8" s="713">
        <v>2</v>
      </c>
      <c r="GH8" s="709">
        <f>VLOOKUP(GF8,'Ціни контур теплопостачання'!$C$89:$M$105,11,0)</f>
        <v>648.69600000000003</v>
      </c>
      <c r="GI8" s="764">
        <f>GG8*GH8</f>
        <v>1297.3920000000001</v>
      </c>
      <c r="GJ8" s="912">
        <f>P8</f>
        <v>1.7190669371196754</v>
      </c>
      <c r="GK8" s="902">
        <v>14</v>
      </c>
      <c r="GL8" s="1017">
        <v>10</v>
      </c>
      <c r="GM8" s="1019" t="s">
        <v>1097</v>
      </c>
      <c r="GN8" s="749">
        <v>1</v>
      </c>
      <c r="GO8" s="747">
        <f>VLOOKUP(GM8,'Ціни контур теплопостачання'!$C$89:$M$105,11,0)</f>
        <v>241.2</v>
      </c>
      <c r="GP8" s="904">
        <f>GN8*GO8</f>
        <v>241.2</v>
      </c>
      <c r="GQ8" s="758">
        <f t="shared" ref="GQ8:GQ40" si="25">40*(10^-6)*X8*1000*(82.5^1.55)*(1+0.1)*1.8/(1-(AA8*3+3)/100)</f>
        <v>632.35938772397014</v>
      </c>
      <c r="GR8" s="955">
        <v>750</v>
      </c>
      <c r="GS8" s="749">
        <f>VLOOKUP(GR8,'Ціни контур теплопостачання'!$J$43:$K$55,2,0)</f>
        <v>32</v>
      </c>
      <c r="GT8" s="1020">
        <v>1</v>
      </c>
      <c r="GU8" s="747">
        <f>VLOOKUP(GR8,'Ціни контур теплопостачання'!$J$43:$M$55,4,0)</f>
        <v>376.94</v>
      </c>
      <c r="GV8" s="748">
        <f>GT8*GU8</f>
        <v>376.94</v>
      </c>
      <c r="GW8" s="758">
        <f t="array" ref="GW8">MIN(IF('Ціни контур теплопостачання'!$AN$68:$AN$77&gt;(V8*1.2),'Ціни контур теплопостачання'!$AN$68:$AN$77))</f>
        <v>11.13</v>
      </c>
      <c r="GX8" s="749">
        <f>VLOOKUP(GW8,'Ціни контур теплопостачання'!$AN$68:$AO$77,2,0)</f>
        <v>32</v>
      </c>
      <c r="GY8" s="749">
        <f t="shared" ref="GY8:GY40" si="26">T8</f>
        <v>2</v>
      </c>
      <c r="GZ8" s="747">
        <f>VLOOKUP(GX8,'Ціни контур теплопостачання'!$AO$68:$AQ$77,3,0)</f>
        <v>37.183999999999997</v>
      </c>
      <c r="HA8" s="759">
        <f>GY8*GZ8</f>
        <v>74.367999999999995</v>
      </c>
      <c r="HB8" s="751">
        <v>15</v>
      </c>
      <c r="HC8" s="746">
        <v>2</v>
      </c>
      <c r="HD8" s="747">
        <f>VLOOKUP(HB8,'Ціни контур мережний'!$J$73:$M$73,4,0)</f>
        <v>3.4649999999999999</v>
      </c>
      <c r="HE8" s="748">
        <f>HC8*HD8</f>
        <v>6.93</v>
      </c>
      <c r="HF8" s="749">
        <f t="shared" ref="HF8:HF40" si="27">Z8</f>
        <v>20</v>
      </c>
      <c r="HG8" s="749">
        <v>1</v>
      </c>
      <c r="HH8" s="747">
        <f>VLOOKUP(HF8,'Ціни контур теплопостачання'!$Y$62:$AA$69,3,0)</f>
        <v>23.753519999999998</v>
      </c>
      <c r="HI8" s="765">
        <f>HG8*HH8</f>
        <v>23.753519999999998</v>
      </c>
      <c r="HJ8" s="750">
        <f>VLOOKUP(HK8,'Ціни контур теплопостачання'!$AN$6:$AO$13,2,0)</f>
        <v>32</v>
      </c>
      <c r="HK8" s="751">
        <f t="array" ref="HK8">MIN(IF('Ціни контур теплопостачання'!$AN$6:$AN$13&gt;N8,'Ціни контур теплопостачання'!$AN$6:$AN$13))</f>
        <v>6</v>
      </c>
      <c r="HL8" s="751">
        <v>1</v>
      </c>
      <c r="HM8" s="747">
        <f>VLOOKUP(HJ8,'Ціни контур теплопостачання'!$AO$6:$AQ$13,3,0)</f>
        <v>85.682340000000011</v>
      </c>
      <c r="HN8" s="748">
        <f>HM8*HL8</f>
        <v>85.682340000000011</v>
      </c>
      <c r="HO8" s="750">
        <f t="shared" ref="HO8:HO40" si="28">O8</f>
        <v>50</v>
      </c>
      <c r="HP8" s="746">
        <v>1</v>
      </c>
      <c r="HQ8" s="747">
        <f>VLOOKUP(HO8,'Ціни контур теплопостачання'!$AO$55:$AQ$63,3,0)</f>
        <v>355.5</v>
      </c>
      <c r="HR8" s="748">
        <f>HP8*HQ8</f>
        <v>355.5</v>
      </c>
      <c r="HS8" s="745">
        <f t="shared" ref="HS8:HS40" si="29">Z8</f>
        <v>20</v>
      </c>
      <c r="HT8" s="749">
        <v>1</v>
      </c>
      <c r="HU8" s="747">
        <f>VLOOKUP(HS8,'Ціни контур теплопостачання'!$K$62:$M$67,3,0)</f>
        <v>91.13</v>
      </c>
      <c r="HV8" s="765">
        <f>HT8*HU8</f>
        <v>91.13</v>
      </c>
      <c r="HW8" s="655" t="s">
        <v>864</v>
      </c>
      <c r="HX8" s="720">
        <v>1</v>
      </c>
      <c r="HY8" s="747">
        <f>VLOOKUP(HW8,'Ціни контур мережний'!$I$79:$M$80,5,0)</f>
        <v>15.050156291498967</v>
      </c>
      <c r="HZ8" s="748">
        <f>HX8*HY8</f>
        <v>15.050156291498967</v>
      </c>
      <c r="IA8" s="758" t="s">
        <v>109</v>
      </c>
      <c r="IB8" s="749">
        <v>5</v>
      </c>
      <c r="IC8" s="747">
        <f>VLOOKUP(IA8,'Ціни контур мережний'!$I$79:$M$80,5,0)</f>
        <v>15.050156291498967</v>
      </c>
      <c r="ID8" s="765">
        <f>IB8*IC8</f>
        <v>75.250781457494838</v>
      </c>
      <c r="IE8" s="655" t="s">
        <v>108</v>
      </c>
      <c r="IF8" s="720">
        <v>5</v>
      </c>
      <c r="IG8" s="747">
        <f>VLOOKUP(IE8,'Ціни контур мережний'!$I$67:$M$69,5,0)</f>
        <v>4.4537969640631703</v>
      </c>
      <c r="IH8" s="748">
        <f>IF8*IG8</f>
        <v>22.26898482031585</v>
      </c>
      <c r="II8" s="655" t="s">
        <v>106</v>
      </c>
      <c r="IJ8" s="720">
        <f t="shared" ref="IJ8:IJ16" si="30">11+T8</f>
        <v>13</v>
      </c>
      <c r="IK8" s="747">
        <f>VLOOKUP(II8,'Ціни контур мережний'!$I$67:$M$69,5,0)</f>
        <v>4.4537969640631703</v>
      </c>
      <c r="IL8" s="748">
        <f>IJ8*IK8</f>
        <v>57.899360532821213</v>
      </c>
      <c r="IM8" s="655" t="s">
        <v>1013</v>
      </c>
      <c r="IN8" s="720">
        <v>5</v>
      </c>
      <c r="IO8" s="747">
        <f>VLOOKUP(IM8,'Ціни контур мережний'!$I$64:$M$64,5,0)</f>
        <v>29.1312</v>
      </c>
      <c r="IP8" s="748">
        <f>IN8*IO8</f>
        <v>145.65600000000001</v>
      </c>
      <c r="IQ8" s="766" t="s">
        <v>1015</v>
      </c>
      <c r="IR8" s="749">
        <v>6</v>
      </c>
      <c r="IS8" s="747">
        <f>VLOOKUP(IQ8,'Ціни контур мережний'!$I$89:$M$89,5,0)</f>
        <v>79.523165325760516</v>
      </c>
      <c r="IT8" s="759">
        <f>IR8*IS8</f>
        <v>477.1389919545631</v>
      </c>
      <c r="IU8" s="1021" t="s">
        <v>1016</v>
      </c>
      <c r="IV8" s="720">
        <v>7</v>
      </c>
      <c r="IW8" s="747">
        <f>VLOOKUP(IU8,'Ціни контур мережний'!$I$88:$M$88,5,0)</f>
        <v>13.211568975967202</v>
      </c>
      <c r="IX8" s="768">
        <f>IV8*IW8</f>
        <v>92.480982831770419</v>
      </c>
      <c r="IY8" s="767" t="s">
        <v>383</v>
      </c>
      <c r="IZ8" s="720">
        <v>1</v>
      </c>
      <c r="JA8" s="747">
        <f>VLOOKUP(IY8,'Ціни контур мережний'!$I$87:$M$87,5,0)</f>
        <v>13.483972460007763</v>
      </c>
      <c r="JB8" s="748">
        <f>IZ8*JA8</f>
        <v>13.483972460007763</v>
      </c>
      <c r="JC8" s="769">
        <f t="shared" ref="JC8:JC40" si="31">B8</f>
        <v>1</v>
      </c>
      <c r="JD8" s="770">
        <f>AE8+AI8+AM8+AQ8+AU8+AY8+BD8+BI8+BM8+BR8+BW8+CC8+CI8+CM8+CQ8+CU8+CY8+DC8+DG8+DK8+DO8+DS8+DW8+EA8+EE8+EI8+EM8+EQ8+EU8+EY8+FC8+FG8+FK8+FO8+FS8+FW8+GB8+GI8+GP8+GV8+HA8+HE8+HI8+HN8+HR8+HV8+HZ8+ID8+IH8+IL8+IP8+IT8+IX8+JB8</f>
        <v>8272.0126981196354</v>
      </c>
      <c r="JE8" s="771">
        <f>$JE$44/'Ціни контур мережний'!$G$26</f>
        <v>476.70609707098151</v>
      </c>
      <c r="JF8" s="771">
        <f>$JE$45/'Ціни контур мережний'!$G$26</f>
        <v>578.85740358619182</v>
      </c>
      <c r="JG8" s="770">
        <f>[2]Расходы!$F$289+[2]Расходы!$F$306</f>
        <v>661.80181284518619</v>
      </c>
      <c r="JH8" s="770">
        <f>([2]Расходы!$J$370+[2]Расходы!$L$368)</f>
        <v>487.81784379022207</v>
      </c>
      <c r="JI8" s="770">
        <f>$JI$43/'Ціни контур мережний'!$G$26</f>
        <v>323.47913729816605</v>
      </c>
      <c r="JJ8" s="770">
        <f>'Ціни контур теплопостачання'!M105+'Ціни контур теплопостачання'!G110</f>
        <v>66.611999999999995</v>
      </c>
      <c r="JK8" s="772">
        <v>0</v>
      </c>
      <c r="JL8" s="772">
        <f>[2]Расходы!$C$139/'Ціни контур мережний'!$G$26</f>
        <v>62.86234247089866</v>
      </c>
      <c r="JM8" s="772">
        <v>0</v>
      </c>
      <c r="JN8" s="770">
        <v>0</v>
      </c>
      <c r="JO8" s="662">
        <f t="shared" ref="JO8:JO40" si="32">SUM(JD8:JN8)*$JO$1</f>
        <v>765.11045346268963</v>
      </c>
      <c r="JP8" s="1022">
        <f t="shared" ref="JP8:JP40" si="33">SUM(JD8:JN8)*$JP$1</f>
        <v>1093.0149335181279</v>
      </c>
      <c r="JQ8" s="1023">
        <f t="shared" ref="JQ8:JQ40" si="34">ABS(SUM(JD8:JP8)*$JQ$1-SUM(JD8:JP8))</f>
        <v>188.02572255124869</v>
      </c>
      <c r="JR8" s="1023">
        <f>[2]Расходы!$C$163</f>
        <v>300.63036461094771</v>
      </c>
      <c r="JS8" s="777">
        <f>SUM(JD8:JR8)</f>
        <v>13276.930809324294</v>
      </c>
      <c r="JU8" s="616">
        <f>[3]Расчеты!AX7/1.2</f>
        <v>4130.3090565966531</v>
      </c>
      <c r="JV8" s="616">
        <f>JU8+JS8</f>
        <v>17407.239865920947</v>
      </c>
      <c r="JW8" s="616" t="e">
        <f>JV8*1.2*#REF!</f>
        <v>#REF!</v>
      </c>
      <c r="JX8" s="616"/>
    </row>
    <row r="9" spans="1:284" ht="12.6" customHeight="1">
      <c r="A9" s="610" t="s">
        <v>686</v>
      </c>
      <c r="B9" s="597">
        <v>2</v>
      </c>
      <c r="C9" s="1056" t="s">
        <v>768</v>
      </c>
      <c r="D9" s="892">
        <v>0.93527000000000005</v>
      </c>
      <c r="E9" s="918">
        <v>0.81299999999999994</v>
      </c>
      <c r="F9" s="742">
        <f t="shared" ref="F9:F40" si="35">H9+L9</f>
        <v>37.489425452122475</v>
      </c>
      <c r="G9" s="743">
        <v>100</v>
      </c>
      <c r="H9" s="598">
        <f t="shared" ref="H9:H40" si="36">D9*1000/((130-70)*0.933)</f>
        <v>16.707216863165417</v>
      </c>
      <c r="I9" s="599">
        <v>80</v>
      </c>
      <c r="J9" s="598">
        <f t="shared" ref="J9:J40" si="37">D9*1000/((95-70)*0.962)</f>
        <v>38.88856548856549</v>
      </c>
      <c r="K9" s="599">
        <v>125</v>
      </c>
      <c r="L9" s="598">
        <f t="shared" ref="L9:L40" si="38">E9*1000/((70-30)*0.978)</f>
        <v>20.782208588957058</v>
      </c>
      <c r="M9" s="599">
        <v>80</v>
      </c>
      <c r="N9" s="598">
        <f t="shared" ref="N9:N40" si="39">E9*1000/((55-5)*0.986)</f>
        <v>16.490872210953349</v>
      </c>
      <c r="O9" s="599">
        <v>80</v>
      </c>
      <c r="P9" s="598">
        <f>N9*0.3</f>
        <v>4.947261663286004</v>
      </c>
      <c r="Q9" s="599">
        <v>50</v>
      </c>
      <c r="R9" s="598">
        <f t="shared" ref="R9:R40" si="40">H9/SQRT(0.5)</f>
        <v>23.627572677397009</v>
      </c>
      <c r="S9" s="600">
        <f t="shared" ref="S9:S39" si="41">L9/SQRT(0.5)</f>
        <v>29.390481242569692</v>
      </c>
      <c r="T9" s="744">
        <v>6</v>
      </c>
      <c r="U9" s="601">
        <f t="shared" ref="U9:U40" si="42">J9/T9</f>
        <v>6.4814275814275817</v>
      </c>
      <c r="V9" s="601">
        <f t="shared" ref="V9:V40" si="43">U9/SQRT(0.5)</f>
        <v>9.166122789193933</v>
      </c>
      <c r="W9" s="602">
        <v>50</v>
      </c>
      <c r="X9" s="1014">
        <v>18.5</v>
      </c>
      <c r="Y9" s="601">
        <f t="shared" ref="Y9:Y40" si="44">X9*0.3</f>
        <v>5.55</v>
      </c>
      <c r="Z9" s="992">
        <v>25</v>
      </c>
      <c r="AA9" s="1015">
        <v>9</v>
      </c>
      <c r="AB9" s="745">
        <f t="shared" si="0"/>
        <v>100</v>
      </c>
      <c r="AC9" s="746">
        <v>2</v>
      </c>
      <c r="AD9" s="747">
        <f>VLOOKUP(AB9,'Ціни контур мережний'!$Z$24:$AB$36,3,0)</f>
        <v>61.045620773489688</v>
      </c>
      <c r="AE9" s="748">
        <f t="shared" ref="AE9:AE40" si="45">AD9*AC9</f>
        <v>122.09124154697938</v>
      </c>
      <c r="AF9" s="745">
        <f t="shared" si="1"/>
        <v>100</v>
      </c>
      <c r="AG9" s="749">
        <v>2</v>
      </c>
      <c r="AH9" s="747">
        <f>VLOOKUP(AF9,'Ціни контур мережний'!$Z$64:$AB$77,3,0)</f>
        <v>150.69360737123827</v>
      </c>
      <c r="AI9" s="748">
        <f t="shared" ref="AI9:AI40" si="46">AG9*AH9</f>
        <v>301.38721474247654</v>
      </c>
      <c r="AJ9" s="745">
        <f t="shared" si="2"/>
        <v>100</v>
      </c>
      <c r="AK9" s="746">
        <v>1</v>
      </c>
      <c r="AL9" s="747">
        <f>VLOOKUP(AJ9,'Ціни контур мережний'!$Z$5:$AB$17,3,0)</f>
        <v>70.903000000000006</v>
      </c>
      <c r="AM9" s="748">
        <f t="shared" ref="AM9:AM40" si="47">AK9*AL9</f>
        <v>70.903000000000006</v>
      </c>
      <c r="AN9" s="750">
        <f t="shared" si="3"/>
        <v>80</v>
      </c>
      <c r="AO9" s="746">
        <v>3</v>
      </c>
      <c r="AP9" s="747">
        <f>VLOOKUP(AN9,'Ціни контур мережний'!$Z$43:$AB$55,3,0)</f>
        <v>37.693832104112609</v>
      </c>
      <c r="AQ9" s="768">
        <f t="shared" ref="AQ9:AQ40" si="48">AO9*AP9</f>
        <v>113.08149631233783</v>
      </c>
      <c r="AR9" s="749">
        <f t="shared" si="4"/>
        <v>80</v>
      </c>
      <c r="AS9" s="749">
        <v>4</v>
      </c>
      <c r="AT9" s="747">
        <f>VLOOKUP(AR9,'Ціни контур мережний'!$Z$43:$AB$55,3,0)</f>
        <v>37.693832104112609</v>
      </c>
      <c r="AU9" s="1016">
        <f t="shared" ref="AU9:AU40" si="49">AS9*AT9</f>
        <v>150.77532841645044</v>
      </c>
      <c r="AV9" s="751" t="str">
        <f t="shared" ref="AV9:AV40" si="50">AV8</f>
        <v>AMV20</v>
      </c>
      <c r="AW9" s="751">
        <v>1</v>
      </c>
      <c r="AX9" s="747">
        <f>VLOOKUP(AV9,'Ціни контур мережний'!$I$53:$M$57,5,0)</f>
        <v>110.39869654932889</v>
      </c>
      <c r="AY9" s="748">
        <f t="shared" ref="AY9:AY40" si="51">AW9*AX9</f>
        <v>110.39869654932889</v>
      </c>
      <c r="AZ9" s="752">
        <f t="array" ref="AZ9">MIN(IF('Ціни контур мережний'!$Y$83:$Y$92&gt;(R9*1.2),'Ціни контур мережний'!$Y$83:$Y$92))</f>
        <v>40</v>
      </c>
      <c r="BA9" s="746">
        <f>VLOOKUP(AZ9,'Ціни контур мережний'!$Y$83:$Z$92,2,0)</f>
        <v>50</v>
      </c>
      <c r="BB9" s="746">
        <v>1</v>
      </c>
      <c r="BC9" s="747">
        <f>VLOOKUP(AZ9,'Ціни контур мережний'!$Y$83:$AB$92,4,0)</f>
        <v>191.46963041657298</v>
      </c>
      <c r="BD9" s="748">
        <f t="shared" ref="BD9:BD40" si="52">BB9*BC9</f>
        <v>191.46963041657298</v>
      </c>
      <c r="BE9" s="1099">
        <f t="array" ref="BE9">MIN(IF('[1]Ціни контур мережний'!$Y$104:$Y$114&gt;(R9*1.2),'[1]Ціни контур мережний'!$Y$104:$Y$114))</f>
        <v>32</v>
      </c>
      <c r="BF9" s="1101">
        <f>VLOOKUP(BE9,'[1]Ціни контур мережний'!$Y$104:$Z$114,2,0)</f>
        <v>50</v>
      </c>
      <c r="BG9" s="753">
        <v>1</v>
      </c>
      <c r="BH9" s="754">
        <f>VLOOKUP(BE9,'Ціни контур мережний'!$Y$104:$AB$114,4,0)</f>
        <v>1081.5876151755979</v>
      </c>
      <c r="BI9" s="755">
        <f t="shared" ref="BI9:BI40" si="53">BG9*BH9</f>
        <v>1081.5876151755979</v>
      </c>
      <c r="BJ9" s="751" t="s">
        <v>67</v>
      </c>
      <c r="BK9" s="749">
        <v>1</v>
      </c>
      <c r="BL9" s="747">
        <f>VLOOKUP(BJ9,'Ціни контур мережний'!$I$53:$M$57,5,0)</f>
        <v>157.67238032974441</v>
      </c>
      <c r="BM9" s="748">
        <f t="shared" ref="BM9:BM40" si="54">BK9*BL9</f>
        <v>157.67238032974441</v>
      </c>
      <c r="BN9" s="896">
        <f t="array" ref="BN9">MIN(IF('Ціни контур мережний'!$Y$83:$Y$93&gt;(S9*1.2),'Ціни контур мережний'!$Y$83:$Y$93))</f>
        <v>40</v>
      </c>
      <c r="BO9" s="896">
        <f>VLOOKUP(BN9,'Ціни контур мережний'!$Y$83:$Z$93,2,0)</f>
        <v>50</v>
      </c>
      <c r="BP9" s="895">
        <v>1</v>
      </c>
      <c r="BQ9" s="896">
        <f>VLOOKUP(BN9,'Ціни контур мережний'!$Y$83:$AB$93,4,0)</f>
        <v>191.46963041657298</v>
      </c>
      <c r="BR9" s="897">
        <f t="shared" ref="BR9:BR40" si="55">BP9*BQ9</f>
        <v>191.46963041657298</v>
      </c>
      <c r="BS9" s="896">
        <f t="array" ref="BS9">MIN(IF('Ціни контур мережний'!$Y$104:$Y$114&gt;(S9*1.2),'Ціни контур мережний'!$Y$104:$Y$114))</f>
        <v>50</v>
      </c>
      <c r="BT9" s="896">
        <f>VLOOKUP(BS9,'Ціни контур мережний'!$Y$104:$Z$114,2,0)</f>
        <v>65</v>
      </c>
      <c r="BU9" s="895">
        <v>1</v>
      </c>
      <c r="BV9" s="896">
        <f>VLOOKUP(BS9,'Ціни контур мережний'!$Y$104:$AB$114,4,0)</f>
        <v>1081.5876151755979</v>
      </c>
      <c r="BW9" s="897">
        <f t="shared" ref="BW9:BW40" si="56">BU9*BV9</f>
        <v>1081.5876151755979</v>
      </c>
      <c r="BX9" s="751">
        <f>VLOOKUP(BY9,'Ціни контур мережний'!$J$5:$L$12,3,0)</f>
        <v>65</v>
      </c>
      <c r="BY9" s="751">
        <f t="array" ref="BY9">MIN(IF('Ціни контур мережний'!$J$5:$J$12&gt;H9,'Ціни контур мережний'!$J$5:$J$12))</f>
        <v>25</v>
      </c>
      <c r="BZ9" s="746" t="str">
        <f>BZ8</f>
        <v>Pt500</v>
      </c>
      <c r="CA9" s="756">
        <v>1</v>
      </c>
      <c r="CB9" s="747">
        <f>VLOOKUP(BY9,'Ціни контур мережний'!$J$5:$N$12,5,0)</f>
        <v>584.80799999999999</v>
      </c>
      <c r="CC9" s="748">
        <f t="shared" ref="CC9:CC40" si="57">CA9*CB9</f>
        <v>584.80799999999999</v>
      </c>
      <c r="CD9" s="758">
        <f>VLOOKUP(CE9,'Ціни контур мережний'!$J$5:$L$12,3,0)</f>
        <v>65</v>
      </c>
      <c r="CE9" s="747">
        <f t="array" ref="CE9">MIN(IF('Ціни контур мережний'!$J$5:$J$12&gt;L9,'Ціни контур мережний'!$J$5:$J$12))</f>
        <v>25</v>
      </c>
      <c r="CF9" s="746" t="s">
        <v>130</v>
      </c>
      <c r="CG9" s="749">
        <v>1</v>
      </c>
      <c r="CH9" s="747">
        <f>VLOOKUP(CE9,'Ціни контур мережний'!$J$5:$N$12,5,0)</f>
        <v>584.80799999999999</v>
      </c>
      <c r="CI9" s="748">
        <f t="shared" ref="CI9:CI40" si="58">CG9*CH9</f>
        <v>584.80799999999999</v>
      </c>
      <c r="CJ9" s="899" t="s">
        <v>1395</v>
      </c>
      <c r="CK9" s="899">
        <v>1</v>
      </c>
      <c r="CL9" s="898">
        <v>2352</v>
      </c>
      <c r="CM9" s="901">
        <f t="shared" ref="CM9:CM40" si="59">CK9*CL9</f>
        <v>2352</v>
      </c>
      <c r="CN9" s="898" t="s">
        <v>1317</v>
      </c>
      <c r="CO9" s="899">
        <v>1</v>
      </c>
      <c r="CP9" s="900">
        <v>1185</v>
      </c>
      <c r="CQ9" s="901">
        <f t="shared" ref="CQ9:CQ40" si="60">CO9*CP9</f>
        <v>1185</v>
      </c>
      <c r="CR9" s="751">
        <f t="shared" si="5"/>
        <v>125</v>
      </c>
      <c r="CS9" s="746">
        <v>4</v>
      </c>
      <c r="CT9" s="747">
        <f>VLOOKUP(CR9,'Ціни контур теплопостачання'!$Y$5:$AA$17,3,0)</f>
        <v>89.509060820887896</v>
      </c>
      <c r="CU9" s="748">
        <f t="shared" ref="CU9:CU40" si="61">CS9*CT9</f>
        <v>358.03624328355158</v>
      </c>
      <c r="CV9" s="750">
        <f t="shared" si="6"/>
        <v>80</v>
      </c>
      <c r="CW9" s="746">
        <v>6</v>
      </c>
      <c r="CX9" s="747">
        <f>VLOOKUP(CV9,'Ціни контур теплопостачання'!$AO$20:$AQ$29,3,0)</f>
        <v>67.828467526099658</v>
      </c>
      <c r="CY9" s="748">
        <f t="shared" ref="CY9:CY40" si="62">CW9*CX9</f>
        <v>406.97080515659798</v>
      </c>
      <c r="CZ9" s="750">
        <f t="shared" si="7"/>
        <v>50</v>
      </c>
      <c r="DA9" s="746">
        <v>3</v>
      </c>
      <c r="DB9" s="747">
        <f>VLOOKUP(CZ9,'Ціни контур теплопостачання'!$AO$20:$AQ$29,3,0)</f>
        <v>37.588411955788914</v>
      </c>
      <c r="DC9" s="748">
        <f t="shared" ref="DC9:DC40" si="63">DA9*DB9</f>
        <v>112.76523586736674</v>
      </c>
      <c r="DD9" s="757">
        <f t="shared" si="8"/>
        <v>50</v>
      </c>
      <c r="DE9" s="746">
        <f t="shared" si="9"/>
        <v>12</v>
      </c>
      <c r="DF9" s="747">
        <f>VLOOKUP(DD9,'Ціни контур теплопостачання'!$Y$5:$AA$17,3,0)</f>
        <v>23.2782130224622</v>
      </c>
      <c r="DG9" s="748">
        <f t="shared" ref="DG9:DG40" si="64">DE9*DF9</f>
        <v>279.33855626954642</v>
      </c>
      <c r="DH9" s="745">
        <f t="shared" ref="DH9:DH40" si="65">GS9</f>
        <v>50</v>
      </c>
      <c r="DI9" s="749">
        <f t="shared" ref="DI9:DI40" si="66">GT9</f>
        <v>2</v>
      </c>
      <c r="DJ9" s="747">
        <f>VLOOKUP(DH9,'Ціни контур теплопостачання'!$Y$5:$AA$17,3,0)</f>
        <v>23.2782130224622</v>
      </c>
      <c r="DK9" s="765">
        <f t="shared" ref="DK9:DK40" si="67">DI9*DJ9</f>
        <v>46.5564260449244</v>
      </c>
      <c r="DL9" s="757">
        <f t="shared" si="10"/>
        <v>25</v>
      </c>
      <c r="DM9" s="746">
        <v>1</v>
      </c>
      <c r="DN9" s="747">
        <f>VLOOKUP(DL9,'Ціни контур мережний'!$Z$43:$AB$55,3,0)</f>
        <v>14.856886019572187</v>
      </c>
      <c r="DO9" s="748">
        <f t="shared" ref="DO9:DO40" si="68">DM9*DN9</f>
        <v>14.856886019572187</v>
      </c>
      <c r="DP9" s="757">
        <f t="shared" si="11"/>
        <v>25</v>
      </c>
      <c r="DQ9" s="746">
        <v>2</v>
      </c>
      <c r="DR9" s="747">
        <f>VLOOKUP(DP9,'Ціни контур теплопостачання'!$Y$5:$AA$17,3,0)</f>
        <v>6.3070000000000004</v>
      </c>
      <c r="DS9" s="748">
        <f t="shared" ref="DS9:DS40" si="69">DQ9*DR9</f>
        <v>12.614000000000001</v>
      </c>
      <c r="DT9" s="745">
        <v>20</v>
      </c>
      <c r="DU9" s="749">
        <v>2</v>
      </c>
      <c r="DV9" s="747">
        <f>VLOOKUP(DT9,'Ціни контур теплопостачання'!$Y$5:$AA$17,3,0)</f>
        <v>3.577</v>
      </c>
      <c r="DW9" s="748">
        <f t="shared" ref="DW9:DW40" si="70">DU9*DV9</f>
        <v>7.1539999999999999</v>
      </c>
      <c r="DX9" s="745">
        <v>15</v>
      </c>
      <c r="DY9" s="745">
        <v>10</v>
      </c>
      <c r="DZ9" s="758">
        <f>VLOOKUP(DX9,'Ціни контур теплопостачання'!$Y$5:$AA$17,3,0)</f>
        <v>2.464</v>
      </c>
      <c r="EA9" s="759">
        <f t="shared" ref="EA9:EA40" si="71">DY9*DZ9</f>
        <v>24.64</v>
      </c>
      <c r="EB9" s="745">
        <v>15</v>
      </c>
      <c r="EC9" s="745">
        <f>36+T9</f>
        <v>42</v>
      </c>
      <c r="ED9" s="758">
        <f>VLOOKUP(EB9,'Ціни контур мережний'!$J$71:$M$71,4,0)</f>
        <v>3.3865201135922525</v>
      </c>
      <c r="EE9" s="759">
        <f t="shared" ref="EE9:EE40" si="72">EC9*ED9</f>
        <v>142.23384477087461</v>
      </c>
      <c r="EF9" s="751">
        <f t="shared" si="12"/>
        <v>125</v>
      </c>
      <c r="EG9" s="746">
        <v>1</v>
      </c>
      <c r="EH9" s="747">
        <f>VLOOKUP(EF9,'Ціни контур теплопостачання'!$K$5:$M$17,3,0)</f>
        <v>106.351</v>
      </c>
      <c r="EI9" s="748">
        <f t="shared" ref="EI9:EI40" si="73">EG9*EH9</f>
        <v>106.351</v>
      </c>
      <c r="EJ9" s="745">
        <f t="shared" si="13"/>
        <v>80</v>
      </c>
      <c r="EK9" s="749">
        <v>1</v>
      </c>
      <c r="EL9" s="747">
        <f>VLOOKUP(EJ9,'Ціни контур теплопостачання'!$K$5:$M$17,3,0)</f>
        <v>50.12</v>
      </c>
      <c r="EM9" s="748">
        <f t="shared" ref="EM9:EM40" si="74">EK9*EL9</f>
        <v>50.12</v>
      </c>
      <c r="EN9" s="745">
        <f t="shared" si="14"/>
        <v>50</v>
      </c>
      <c r="EO9" s="745">
        <v>1</v>
      </c>
      <c r="EP9" s="758">
        <f>VLOOKUP(EN9,'Ціни контур теплопостачання'!$K$5:$M$17,3,0)</f>
        <v>26.284999999999997</v>
      </c>
      <c r="EQ9" s="759">
        <f t="shared" ref="EQ9:EQ40" si="75">EO9*EP9</f>
        <v>26.284999999999997</v>
      </c>
      <c r="ER9" s="745">
        <f t="shared" si="15"/>
        <v>25</v>
      </c>
      <c r="ES9" s="745">
        <v>1</v>
      </c>
      <c r="ET9" s="758">
        <f>VLOOKUP(ER9,'Ціни контур теплопостачання'!$K$5:$M$17,3,0)</f>
        <v>4.78</v>
      </c>
      <c r="EU9" s="759">
        <f t="shared" ref="EU9:EU40" si="76">ES9*ET9</f>
        <v>4.78</v>
      </c>
      <c r="EV9" s="751">
        <f t="shared" si="16"/>
        <v>125</v>
      </c>
      <c r="EW9" s="746">
        <v>2</v>
      </c>
      <c r="EX9" s="747">
        <f>VLOOKUP(EV9,'Ціни контур теплопостачання'!$Y$24:$AA$36,3,0)</f>
        <v>181.92850000000001</v>
      </c>
      <c r="EY9" s="748">
        <f t="shared" ref="EY9:EY40" si="77">EX9*EW9</f>
        <v>363.85700000000003</v>
      </c>
      <c r="EZ9" s="745">
        <f t="shared" si="17"/>
        <v>80</v>
      </c>
      <c r="FA9" s="749">
        <v>1</v>
      </c>
      <c r="FB9" s="747">
        <f>VLOOKUP(EZ9,'Ціни контур теплопостачання'!$AO$38:$AQ$50,3,0)</f>
        <v>60.079499999999996</v>
      </c>
      <c r="FC9" s="748">
        <f t="shared" ref="FC9:FC40" si="78">FA9*FB9</f>
        <v>60.079499999999996</v>
      </c>
      <c r="FD9" s="745">
        <f t="shared" si="18"/>
        <v>50</v>
      </c>
      <c r="FE9" s="745">
        <v>1</v>
      </c>
      <c r="FF9" s="758">
        <f>VLOOKUP(FD9,'Ціни контур теплопостачання'!$AO$38:$AQ$50,3,0)</f>
        <v>28.560999999999996</v>
      </c>
      <c r="FG9" s="759">
        <f t="shared" ref="FG9:FG40" si="79">FE9*FF9</f>
        <v>28.560999999999996</v>
      </c>
      <c r="FH9" s="745">
        <f t="shared" si="19"/>
        <v>25</v>
      </c>
      <c r="FI9" s="745">
        <v>1</v>
      </c>
      <c r="FJ9" s="758">
        <f>VLOOKUP(FH9,'Ціни контур теплопостачання'!$Y$24:$AA$36,3,0)</f>
        <v>6.9659999999999993</v>
      </c>
      <c r="FK9" s="759">
        <f t="shared" ref="FK9:FK40" si="80">FI9*FJ9</f>
        <v>6.9659999999999993</v>
      </c>
      <c r="FL9" s="745">
        <f t="shared" si="20"/>
        <v>50</v>
      </c>
      <c r="FM9" s="745">
        <f t="shared" si="21"/>
        <v>12</v>
      </c>
      <c r="FN9" s="758">
        <f>VLOOKUP(FL9,'Ціни контур теплопостачання'!$Y$76:$AA$88,3,0)</f>
        <v>20.6</v>
      </c>
      <c r="FO9" s="759">
        <f t="shared" ref="FO9:FO40" si="81">FM9*FN9</f>
        <v>247.20000000000002</v>
      </c>
      <c r="FP9" s="745">
        <f t="shared" si="22"/>
        <v>80</v>
      </c>
      <c r="FQ9" s="745">
        <v>1</v>
      </c>
      <c r="FR9" s="758">
        <f>VLOOKUP(FP9,'Ціни контур теплопостачання'!$Y$76:$AA$88,3,0)</f>
        <v>31.42</v>
      </c>
      <c r="FS9" s="759">
        <f t="shared" ref="FS9:FS40" si="82">FQ9*FR9</f>
        <v>31.42</v>
      </c>
      <c r="FT9" s="745">
        <f t="shared" si="23"/>
        <v>50</v>
      </c>
      <c r="FU9" s="745">
        <v>1</v>
      </c>
      <c r="FV9" s="758">
        <f>VLOOKUP(FT9,'Ціни контур теплопостачання'!$Y$76:$AA$88,3,0)</f>
        <v>20.6</v>
      </c>
      <c r="FW9" s="759">
        <f t="shared" ref="FW9:FW40" si="83">FU9*FV9</f>
        <v>20.6</v>
      </c>
      <c r="FX9" s="758">
        <f t="shared" si="24"/>
        <v>49.122261755745733</v>
      </c>
      <c r="FY9" s="760">
        <v>50</v>
      </c>
      <c r="FZ9" s="719">
        <v>2</v>
      </c>
      <c r="GA9" s="747">
        <f>VLOOKUP(FY9,'Ціни контур теплопостачання'!$K$74:$M$79,3,0)</f>
        <v>48.94</v>
      </c>
      <c r="GB9" s="761">
        <f t="shared" ref="GB9:GB40" si="84">FZ9*GA9</f>
        <v>97.88</v>
      </c>
      <c r="GC9" s="762">
        <f t="shared" ref="GC9:GC40" si="85">J9</f>
        <v>38.88856548856549</v>
      </c>
      <c r="GD9" s="902">
        <v>9</v>
      </c>
      <c r="GE9" s="1017">
        <v>9</v>
      </c>
      <c r="GF9" s="1018" t="s">
        <v>126</v>
      </c>
      <c r="GG9" s="713">
        <v>2</v>
      </c>
      <c r="GH9" s="709">
        <f>VLOOKUP(GF9,'Ціни контур теплопостачання'!$C$89:$M$105,11,0)</f>
        <v>682.99199999999996</v>
      </c>
      <c r="GI9" s="764">
        <f t="shared" ref="GI9:GI40" si="86">GG9*GH9</f>
        <v>1365.9839999999999</v>
      </c>
      <c r="GJ9" s="912">
        <f t="shared" ref="GJ9:GJ40" si="87">P9</f>
        <v>4.947261663286004</v>
      </c>
      <c r="GK9" s="902">
        <v>9</v>
      </c>
      <c r="GL9" s="1017">
        <v>9</v>
      </c>
      <c r="GM9" s="1019" t="s">
        <v>1097</v>
      </c>
      <c r="GN9" s="749">
        <v>1</v>
      </c>
      <c r="GO9" s="747">
        <f>VLOOKUP(GM9,'Ціни контур теплопостачання'!$C$89:$M$105,11,0)</f>
        <v>241.2</v>
      </c>
      <c r="GP9" s="904">
        <f t="shared" ref="GP9:GP40" si="88">GN9*GO9</f>
        <v>241.2</v>
      </c>
      <c r="GQ9" s="758">
        <f t="shared" si="25"/>
        <v>1955.7011459244366</v>
      </c>
      <c r="GR9" s="955">
        <v>1000</v>
      </c>
      <c r="GS9" s="749">
        <f>VLOOKUP(GR9,'Ціни контур теплопостачання'!$J$43:$K$55,2,0)</f>
        <v>50</v>
      </c>
      <c r="GT9" s="1020">
        <v>2</v>
      </c>
      <c r="GU9" s="747">
        <f>VLOOKUP(GR9,'Ціни контур теплопостачання'!$J$43:$M$55,4,0)</f>
        <v>603.23</v>
      </c>
      <c r="GV9" s="748">
        <f t="shared" ref="GV9:GV40" si="89">GT9*GU9</f>
        <v>1206.46</v>
      </c>
      <c r="GW9" s="758">
        <f t="array" ref="GW9">MIN(IF('Ціни контур теплопостачання'!$AN$68:$AN$77&gt;(V9*1.2),'Ціни контур теплопостачання'!$AN$68:$AN$77))</f>
        <v>11.13</v>
      </c>
      <c r="GX9" s="749">
        <f>VLOOKUP(GW9,'Ціни контур теплопостачання'!$AN$68:$AO$77,2,0)</f>
        <v>32</v>
      </c>
      <c r="GY9" s="749">
        <f t="shared" si="26"/>
        <v>6</v>
      </c>
      <c r="GZ9" s="747">
        <f>VLOOKUP(GX9,'Ціни контур теплопостачання'!$AO$68:$AQ$77,3,0)</f>
        <v>37.183999999999997</v>
      </c>
      <c r="HA9" s="759">
        <f t="shared" ref="HA9:HA40" si="90">GY9*GZ9</f>
        <v>223.10399999999998</v>
      </c>
      <c r="HB9" s="751">
        <v>15</v>
      </c>
      <c r="HC9" s="746">
        <v>2</v>
      </c>
      <c r="HD9" s="747">
        <f>VLOOKUP(HB9,'Ціни контур мережний'!$J$73:$M$73,4,0)</f>
        <v>3.4649999999999999</v>
      </c>
      <c r="HE9" s="748">
        <f t="shared" ref="HE9:HE40" si="91">HC9*HD9</f>
        <v>6.93</v>
      </c>
      <c r="HF9" s="749">
        <f t="shared" si="27"/>
        <v>25</v>
      </c>
      <c r="HG9" s="749">
        <v>1</v>
      </c>
      <c r="HH9" s="747">
        <f>VLOOKUP(HF9,'Ціни контур теплопостачання'!$Y$62:$AA$69,3,0)</f>
        <v>89.924040000000005</v>
      </c>
      <c r="HI9" s="765">
        <f t="shared" ref="HI9:HI40" si="92">HG9*HH9</f>
        <v>89.924040000000005</v>
      </c>
      <c r="HJ9" s="750">
        <f>VLOOKUP(HK9,'Ціни контур теплопостачання'!$AN$6:$AO$13,2,0)</f>
        <v>65</v>
      </c>
      <c r="HK9" s="751">
        <f t="array" ref="HK9">MIN(IF('Ціни контур теплопостачання'!$AN$6:$AN$13&gt;N9,'Ціни контур теплопостачання'!$AN$6:$AN$13))</f>
        <v>25</v>
      </c>
      <c r="HL9" s="751">
        <v>1</v>
      </c>
      <c r="HM9" s="747">
        <f>VLOOKUP(HJ9,'Ціни контур теплопостачання'!$AO$6:$AQ$13,3,0)</f>
        <v>156.09456</v>
      </c>
      <c r="HN9" s="748">
        <f t="shared" ref="HN9:HN40" si="93">HM9*HL9</f>
        <v>156.09456</v>
      </c>
      <c r="HO9" s="750">
        <f t="shared" si="28"/>
        <v>80</v>
      </c>
      <c r="HP9" s="746">
        <v>1</v>
      </c>
      <c r="HQ9" s="747">
        <f>VLOOKUP(HO9,'Ціни контур теплопостачання'!$AO$55:$AQ$63,3,0)</f>
        <v>782.1</v>
      </c>
      <c r="HR9" s="748">
        <f t="shared" ref="HR9:HR19" si="94">HP9*HQ9</f>
        <v>782.1</v>
      </c>
      <c r="HS9" s="745">
        <f t="shared" si="29"/>
        <v>25</v>
      </c>
      <c r="HT9" s="749">
        <v>1</v>
      </c>
      <c r="HU9" s="747">
        <f>VLOOKUP(HS9,'Ціни контур теплопостачання'!$K$62:$M$67,3,0)</f>
        <v>92.91</v>
      </c>
      <c r="HV9" s="765">
        <f t="shared" ref="HV9:HV40" si="95">HT9*HU9</f>
        <v>92.91</v>
      </c>
      <c r="HW9" s="655" t="str">
        <f>HW8</f>
        <v>0-150</v>
      </c>
      <c r="HX9" s="720">
        <v>1</v>
      </c>
      <c r="HY9" s="747">
        <f>VLOOKUP(HW9,'Ціни контур мережний'!$I$79:$M$80,5,0)</f>
        <v>15.050156291498967</v>
      </c>
      <c r="HZ9" s="748">
        <f t="shared" ref="HZ9:HZ40" si="96">HX9*HY9</f>
        <v>15.050156291498967</v>
      </c>
      <c r="IA9" s="758" t="s">
        <v>109</v>
      </c>
      <c r="IB9" s="749">
        <v>5</v>
      </c>
      <c r="IC9" s="747">
        <f>VLOOKUP(IA9,'Ціни контур мережний'!$I$79:$M$80,5,0)</f>
        <v>15.050156291498967</v>
      </c>
      <c r="ID9" s="765">
        <f t="shared" ref="ID9:ID40" si="97">IB9*IC9</f>
        <v>75.250781457494838</v>
      </c>
      <c r="IE9" s="655" t="s">
        <v>108</v>
      </c>
      <c r="IF9" s="720">
        <v>5</v>
      </c>
      <c r="IG9" s="747">
        <f>VLOOKUP(IE9,'Ціни контур мережний'!$I$67:$M$69,5,0)</f>
        <v>4.4537969640631703</v>
      </c>
      <c r="IH9" s="748">
        <f t="shared" ref="IH9:IH40" si="98">IF9*IG9</f>
        <v>22.26898482031585</v>
      </c>
      <c r="II9" s="655" t="s">
        <v>106</v>
      </c>
      <c r="IJ9" s="720">
        <f t="shared" si="30"/>
        <v>17</v>
      </c>
      <c r="IK9" s="747">
        <f>VLOOKUP(II9,'Ціни контур мережний'!$I$67:$M$69,5,0)</f>
        <v>4.4537969640631703</v>
      </c>
      <c r="IL9" s="748">
        <f t="shared" ref="IL9:IL40" si="99">IJ9*IK9</f>
        <v>75.714548389073897</v>
      </c>
      <c r="IM9" s="655" t="s">
        <v>1013</v>
      </c>
      <c r="IN9" s="720">
        <v>5</v>
      </c>
      <c r="IO9" s="747">
        <f>VLOOKUP(IM9,'Ціни контур мережний'!$I$64:$M$64,5,0)</f>
        <v>29.1312</v>
      </c>
      <c r="IP9" s="748">
        <f t="shared" ref="IP9:IP40" si="100">IN9*IO9</f>
        <v>145.65600000000001</v>
      </c>
      <c r="IQ9" s="766" t="s">
        <v>1015</v>
      </c>
      <c r="IR9" s="749">
        <v>6</v>
      </c>
      <c r="IS9" s="747">
        <f>VLOOKUP(IQ9,'Ціни контур мережний'!$I$89:$M$89,5,0)</f>
        <v>79.523165325760516</v>
      </c>
      <c r="IT9" s="759">
        <f t="shared" ref="IT9:IT40" si="101">IR9*IS9</f>
        <v>477.1389919545631</v>
      </c>
      <c r="IU9" s="1024" t="s">
        <v>1016</v>
      </c>
      <c r="IV9" s="720">
        <v>7</v>
      </c>
      <c r="IW9" s="747">
        <f>VLOOKUP(IU9,'Ціни контур мережний'!$I$88:$M$88,5,0)</f>
        <v>13.211568975967202</v>
      </c>
      <c r="IX9" s="768">
        <f t="shared" ref="IX9:IX40" si="102">IV9*IW9</f>
        <v>92.480982831770419</v>
      </c>
      <c r="IY9" s="779" t="s">
        <v>383</v>
      </c>
      <c r="IZ9" s="720">
        <v>1</v>
      </c>
      <c r="JA9" s="747">
        <f>VLOOKUP(IY9,'Ціни контур мережний'!$I$87:$M$87,5,0)</f>
        <v>13.483972460007763</v>
      </c>
      <c r="JB9" s="748">
        <f t="shared" ref="JB9:JB30" si="103">IZ9*JA9</f>
        <v>13.483972460007763</v>
      </c>
      <c r="JC9" s="769">
        <f t="shared" si="31"/>
        <v>2</v>
      </c>
      <c r="JD9" s="770">
        <f t="shared" ref="JD9:JD40" si="104">AE9+AI9+AM9+AQ9+AU9+AY9+BD9+BI9+BM9+BR9+BW9+CC9+CI9+CM9+CQ9+CU9+CY9+DC9+DG9+DK9+DO9+DS9+DW9+EA9+EE9+EI9+EM9+EQ9+EU9+EY9+FC9+FG9+FK9+FO9+FS9+FW9+GB9+GI9+GP9+GV9+HA9+HE9+HI9+HN9+HR9+HV9+HZ9+ID9+IH9+IL9+IP9+IT9+IX9+JB9</f>
        <v>15810.056364698819</v>
      </c>
      <c r="JE9" s="771">
        <f>$JE$46/'Ціни контур мережний'!$G$26</f>
        <v>681.00871010140213</v>
      </c>
      <c r="JF9" s="771">
        <f>$JE$46/'Ціни контур мережний'!$G$26</f>
        <v>681.00871010140213</v>
      </c>
      <c r="JG9" s="770">
        <f>$JG$8</f>
        <v>661.80181284518619</v>
      </c>
      <c r="JH9" s="770">
        <f>$JH$8</f>
        <v>487.81784379022207</v>
      </c>
      <c r="JI9" s="770">
        <f>$JI$43/'Ціни контур мережний'!$G$26</f>
        <v>323.47913729816605</v>
      </c>
      <c r="JJ9" s="770">
        <f t="shared" ref="JJ9:JJ40" si="105">$JJ$8</f>
        <v>66.611999999999995</v>
      </c>
      <c r="JK9" s="772">
        <v>0</v>
      </c>
      <c r="JL9" s="772">
        <f>$JL$8</f>
        <v>62.86234247089866</v>
      </c>
      <c r="JM9" s="772">
        <v>0</v>
      </c>
      <c r="JN9" s="770">
        <v>0</v>
      </c>
      <c r="JO9" s="662">
        <f t="shared" si="32"/>
        <v>1314.2252844914274</v>
      </c>
      <c r="JP9" s="1022">
        <f t="shared" si="33"/>
        <v>1877.4646921306103</v>
      </c>
      <c r="JQ9" s="1023">
        <f t="shared" si="34"/>
        <v>322.97056927306767</v>
      </c>
      <c r="JR9" s="1023">
        <f>$JR$8</f>
        <v>300.63036461094771</v>
      </c>
      <c r="JS9" s="777">
        <f t="shared" ref="JS9:JS40" si="106">SUM(JD9:JR9)</f>
        <v>22589.93783181216</v>
      </c>
      <c r="JU9" s="616">
        <f>[3]Расчеты!AX8/1.2</f>
        <v>4130.3090565966531</v>
      </c>
      <c r="JV9" s="616">
        <f t="shared" ref="JV9:JV40" si="107">JU9+JS9</f>
        <v>26720.246888408812</v>
      </c>
      <c r="JW9" s="616" t="e">
        <f>JV9*1.2*#REF!</f>
        <v>#REF!</v>
      </c>
      <c r="JX9" s="616"/>
    </row>
    <row r="10" spans="1:284" ht="12.6" customHeight="1">
      <c r="A10" s="610" t="s">
        <v>686</v>
      </c>
      <c r="B10" s="597">
        <v>3</v>
      </c>
      <c r="C10" s="1056" t="s">
        <v>1421</v>
      </c>
      <c r="D10" s="892">
        <v>0.23902000000000001</v>
      </c>
      <c r="E10" s="918">
        <v>0.224</v>
      </c>
      <c r="F10" s="742">
        <f t="shared" si="35"/>
        <v>9.995710562711924</v>
      </c>
      <c r="G10" s="743">
        <v>65</v>
      </c>
      <c r="H10" s="598">
        <f t="shared" si="36"/>
        <v>4.2697391925687747</v>
      </c>
      <c r="I10" s="599">
        <v>40</v>
      </c>
      <c r="J10" s="598">
        <f t="shared" si="37"/>
        <v>9.9384615384615387</v>
      </c>
      <c r="K10" s="599">
        <v>65</v>
      </c>
      <c r="L10" s="598">
        <f t="shared" si="38"/>
        <v>5.7259713701431494</v>
      </c>
      <c r="M10" s="599">
        <v>40</v>
      </c>
      <c r="N10" s="598">
        <f t="shared" si="39"/>
        <v>4.5436105476673427</v>
      </c>
      <c r="O10" s="599">
        <v>40</v>
      </c>
      <c r="P10" s="598">
        <f t="shared" ref="P10:P40" si="108">N10*0.3</f>
        <v>1.3630831643002028</v>
      </c>
      <c r="Q10" s="599">
        <v>25</v>
      </c>
      <c r="R10" s="598">
        <f t="shared" si="40"/>
        <v>6.0383230739267093</v>
      </c>
      <c r="S10" s="600">
        <f t="shared" si="41"/>
        <v>8.0977463694164946</v>
      </c>
      <c r="T10" s="744">
        <v>2</v>
      </c>
      <c r="U10" s="601">
        <f t="shared" si="42"/>
        <v>4.9692307692307693</v>
      </c>
      <c r="V10" s="601">
        <f t="shared" si="43"/>
        <v>7.0275535484078411</v>
      </c>
      <c r="W10" s="602">
        <v>40</v>
      </c>
      <c r="X10" s="1014">
        <v>4.66</v>
      </c>
      <c r="Y10" s="601">
        <f t="shared" si="44"/>
        <v>1.3979999999999999</v>
      </c>
      <c r="Z10" s="992">
        <v>20</v>
      </c>
      <c r="AA10" s="1015">
        <v>9</v>
      </c>
      <c r="AB10" s="745">
        <f t="shared" si="0"/>
        <v>65</v>
      </c>
      <c r="AC10" s="746">
        <v>2</v>
      </c>
      <c r="AD10" s="747">
        <f>VLOOKUP(AB10,'Ціни контур мережний'!$Z$24:$AB$36,3,0)</f>
        <v>30.19184015363556</v>
      </c>
      <c r="AE10" s="748">
        <f t="shared" si="45"/>
        <v>60.383680307271121</v>
      </c>
      <c r="AF10" s="745">
        <f t="shared" si="1"/>
        <v>65</v>
      </c>
      <c r="AG10" s="749">
        <v>2</v>
      </c>
      <c r="AH10" s="747">
        <f>VLOOKUP(AF10,'Ціни контур мережний'!$Z$64:$AB$77,3,0)</f>
        <v>105.883234246566</v>
      </c>
      <c r="AI10" s="748">
        <f t="shared" si="46"/>
        <v>211.76646849313201</v>
      </c>
      <c r="AJ10" s="745">
        <f t="shared" si="2"/>
        <v>65</v>
      </c>
      <c r="AK10" s="746">
        <v>1</v>
      </c>
      <c r="AL10" s="747">
        <f>VLOOKUP(AJ10,'Ціни контур мережний'!$Z$5:$AB$17,3,0)</f>
        <v>39.731999999999999</v>
      </c>
      <c r="AM10" s="748">
        <f t="shared" si="47"/>
        <v>39.731999999999999</v>
      </c>
      <c r="AN10" s="750">
        <f t="shared" si="3"/>
        <v>40</v>
      </c>
      <c r="AO10" s="746">
        <v>3</v>
      </c>
      <c r="AP10" s="747">
        <f>VLOOKUP(AN10,'Ціни контур мережний'!$Z$43:$AB$55,3,0)</f>
        <v>18.42400964308333</v>
      </c>
      <c r="AQ10" s="768">
        <f t="shared" si="48"/>
        <v>55.272028929249991</v>
      </c>
      <c r="AR10" s="749">
        <f t="shared" si="4"/>
        <v>40</v>
      </c>
      <c r="AS10" s="749">
        <v>4</v>
      </c>
      <c r="AT10" s="747">
        <f>VLOOKUP(AR10,'Ціни контур мережний'!$Z$43:$AB$55,3,0)</f>
        <v>18.42400964308333</v>
      </c>
      <c r="AU10" s="1016">
        <f t="shared" si="49"/>
        <v>73.696038572333322</v>
      </c>
      <c r="AV10" s="751" t="str">
        <f t="shared" si="50"/>
        <v>AMV20</v>
      </c>
      <c r="AW10" s="751">
        <v>1</v>
      </c>
      <c r="AX10" s="747">
        <f>VLOOKUP(AV10,'Ціни контур мережний'!$I$53:$M$57,5,0)</f>
        <v>110.39869654932889</v>
      </c>
      <c r="AY10" s="748">
        <f t="shared" si="51"/>
        <v>110.39869654932889</v>
      </c>
      <c r="AZ10" s="752">
        <f t="array" ref="AZ10">MIN(IF('Ціни контур мережний'!$Y$83:$Y$92&gt;(R10*1.2),'Ціни контур мережний'!$Y$83:$Y$92))</f>
        <v>10</v>
      </c>
      <c r="BA10" s="746">
        <f>VLOOKUP(AZ10,'Ціни контур мережний'!$Y$83:$Z$92,2,0)</f>
        <v>25</v>
      </c>
      <c r="BB10" s="746">
        <v>1</v>
      </c>
      <c r="BC10" s="747">
        <f>VLOOKUP(AZ10,'Ціни контур мережний'!$Y$83:$AB$92,4,0)</f>
        <v>117.50505648967251</v>
      </c>
      <c r="BD10" s="748">
        <f t="shared" si="52"/>
        <v>117.50505648967251</v>
      </c>
      <c r="BE10" s="1099">
        <f t="array" ref="BE10">MIN(IF('[1]Ціни контур мережний'!$Y$104:$Y$114&gt;(R10*1.2),'[1]Ціни контур мережний'!$Y$104:$Y$114))</f>
        <v>8</v>
      </c>
      <c r="BF10" s="1101">
        <f>VLOOKUP(BE10,'[1]Ціни контур мережний'!$Y$104:$Z$114,2,0)</f>
        <v>25</v>
      </c>
      <c r="BG10" s="753">
        <v>1</v>
      </c>
      <c r="BH10" s="754">
        <f>VLOOKUP(BE10,'Ціни контур мережний'!$Y$104:$AB$114,4,0)</f>
        <v>278.09338672441618</v>
      </c>
      <c r="BI10" s="755">
        <f t="shared" si="53"/>
        <v>278.09338672441618</v>
      </c>
      <c r="BJ10" s="751" t="s">
        <v>67</v>
      </c>
      <c r="BK10" s="749">
        <v>1</v>
      </c>
      <c r="BL10" s="747">
        <f>VLOOKUP(BJ10,'Ціни контур мережний'!$I$53:$M$57,5,0)</f>
        <v>157.67238032974441</v>
      </c>
      <c r="BM10" s="748">
        <f t="shared" si="54"/>
        <v>157.67238032974441</v>
      </c>
      <c r="BN10" s="896">
        <f t="array" ref="BN10">MIN(IF('Ціни контур мережний'!$Y$83:$Y$93&gt;(S10*1.2),'Ціни контур мережний'!$Y$83:$Y$93))</f>
        <v>10</v>
      </c>
      <c r="BO10" s="896">
        <f>VLOOKUP(BN10,'Ціни контур мережний'!$Y$83:$Z$93,2,0)</f>
        <v>25</v>
      </c>
      <c r="BP10" s="895">
        <v>1</v>
      </c>
      <c r="BQ10" s="896">
        <f>VLOOKUP(BN10,'Ціни контур мережний'!$Y$83:$AB$93,4,0)</f>
        <v>117.50505648967251</v>
      </c>
      <c r="BR10" s="897">
        <f t="shared" si="55"/>
        <v>117.50505648967251</v>
      </c>
      <c r="BS10" s="896">
        <f t="array" ref="BS10">MIN(IF('Ціни контур мережний'!$Y$104:$Y$114&gt;(S10*1.2),'Ціни контур мережний'!$Y$104:$Y$114))</f>
        <v>12.5</v>
      </c>
      <c r="BT10" s="896">
        <f>VLOOKUP(BS10,'Ціни контур мережний'!$Y$104:$Z$114,2,0)</f>
        <v>32</v>
      </c>
      <c r="BU10" s="895">
        <v>1</v>
      </c>
      <c r="BV10" s="896">
        <f>VLOOKUP(BS10,'Ціни контур мережний'!$Y$104:$AB$114,4,0)</f>
        <v>435.76049604674444</v>
      </c>
      <c r="BW10" s="897">
        <f t="shared" si="56"/>
        <v>435.76049604674444</v>
      </c>
      <c r="BX10" s="751">
        <f>VLOOKUP(BY10,'Ціни контур мережний'!$J$5:$L$12,3,0)</f>
        <v>25</v>
      </c>
      <c r="BY10" s="751">
        <f t="array" ref="BY10">MIN(IF('Ціни контур мережний'!$J$5:$J$12&gt;H10,'Ціни контур мережний'!$J$5:$J$12))</f>
        <v>6</v>
      </c>
      <c r="BZ10" s="746" t="str">
        <f t="shared" ref="BZ10:BZ13" si="109">BZ9</f>
        <v>Pt500</v>
      </c>
      <c r="CA10" s="756">
        <v>1</v>
      </c>
      <c r="CB10" s="747">
        <f>VLOOKUP(BY10,'Ціни контур мережний'!$J$5:$N$12,5,0)</f>
        <v>341.25599999999997</v>
      </c>
      <c r="CC10" s="748">
        <f t="shared" si="57"/>
        <v>341.25599999999997</v>
      </c>
      <c r="CD10" s="758">
        <f>VLOOKUP(CE10,'Ціни контур мережний'!$J$5:$L$12,3,0)</f>
        <v>25</v>
      </c>
      <c r="CE10" s="747">
        <f t="array" ref="CE10">MIN(IF('Ціни контур мережний'!$J$5:$J$12&gt;L10,'Ціни контур мережний'!$J$5:$J$12))</f>
        <v>6</v>
      </c>
      <c r="CF10" s="746" t="s">
        <v>130</v>
      </c>
      <c r="CG10" s="749">
        <v>1</v>
      </c>
      <c r="CH10" s="747">
        <f>VLOOKUP(CE10,'Ціни контур мережний'!$J$5:$N$12,5,0)</f>
        <v>341.25599999999997</v>
      </c>
      <c r="CI10" s="748">
        <f t="shared" si="58"/>
        <v>341.25599999999997</v>
      </c>
      <c r="CJ10" s="899" t="s">
        <v>1290</v>
      </c>
      <c r="CK10" s="899">
        <v>1</v>
      </c>
      <c r="CL10" s="898">
        <v>772</v>
      </c>
      <c r="CM10" s="901">
        <f t="shared" si="59"/>
        <v>772</v>
      </c>
      <c r="CN10" s="898" t="s">
        <v>1318</v>
      </c>
      <c r="CO10" s="899">
        <v>1</v>
      </c>
      <c r="CP10" s="900">
        <v>582</v>
      </c>
      <c r="CQ10" s="901">
        <f t="shared" si="60"/>
        <v>582</v>
      </c>
      <c r="CR10" s="751">
        <f t="shared" si="5"/>
        <v>65</v>
      </c>
      <c r="CS10" s="746">
        <v>4</v>
      </c>
      <c r="CT10" s="747">
        <f>VLOOKUP(CR10,'Ціни контур теплопостачання'!$Y$5:$AA$17,3,0)</f>
        <v>30.19184015363556</v>
      </c>
      <c r="CU10" s="748">
        <f t="shared" si="61"/>
        <v>120.76736061454224</v>
      </c>
      <c r="CV10" s="750">
        <f t="shared" si="6"/>
        <v>40</v>
      </c>
      <c r="CW10" s="746">
        <v>6</v>
      </c>
      <c r="CX10" s="747">
        <f>VLOOKUP(CV10,'Ціни контур теплопостачання'!$AO$20:$AQ$29,3,0)</f>
        <v>37.980000000000004</v>
      </c>
      <c r="CY10" s="748">
        <f t="shared" si="62"/>
        <v>227.88000000000002</v>
      </c>
      <c r="CZ10" s="750">
        <f t="shared" si="7"/>
        <v>25</v>
      </c>
      <c r="DA10" s="746">
        <v>3</v>
      </c>
      <c r="DB10" s="747">
        <f>VLOOKUP(CZ10,'Ціни контур теплопостачання'!$AO$20:$AQ$29,3,0)</f>
        <v>6.3070000000000004</v>
      </c>
      <c r="DC10" s="748">
        <f t="shared" si="63"/>
        <v>18.920999999999999</v>
      </c>
      <c r="DD10" s="757">
        <f t="shared" si="8"/>
        <v>40</v>
      </c>
      <c r="DE10" s="746">
        <f t="shared" si="9"/>
        <v>4</v>
      </c>
      <c r="DF10" s="747">
        <f>VLOOKUP(DD10,'Ціни контур теплопостачання'!$Y$5:$AA$17,3,0)</f>
        <v>18.42400964308333</v>
      </c>
      <c r="DG10" s="748">
        <f t="shared" si="64"/>
        <v>73.696038572333322</v>
      </c>
      <c r="DH10" s="745">
        <f t="shared" si="65"/>
        <v>32</v>
      </c>
      <c r="DI10" s="749">
        <f t="shared" si="66"/>
        <v>1</v>
      </c>
      <c r="DJ10" s="747">
        <f>VLOOKUP(DH10,'Ціни контур теплопостачання'!$Y$5:$AA$17,3,0)</f>
        <v>10.381</v>
      </c>
      <c r="DK10" s="765">
        <f t="shared" si="67"/>
        <v>10.381</v>
      </c>
      <c r="DL10" s="757">
        <f t="shared" si="10"/>
        <v>20</v>
      </c>
      <c r="DM10" s="746">
        <v>1</v>
      </c>
      <c r="DN10" s="747">
        <f>VLOOKUP(DL10,'Ціни контур мережний'!$Z$43:$AB$55,3,0)</f>
        <v>14.562690256808384</v>
      </c>
      <c r="DO10" s="748">
        <f t="shared" si="68"/>
        <v>14.562690256808384</v>
      </c>
      <c r="DP10" s="757">
        <f t="shared" si="11"/>
        <v>20</v>
      </c>
      <c r="DQ10" s="746">
        <v>2</v>
      </c>
      <c r="DR10" s="747">
        <f>VLOOKUP(DP10,'Ціни контур теплопостачання'!$Y$5:$AA$17,3,0)</f>
        <v>3.577</v>
      </c>
      <c r="DS10" s="748">
        <f t="shared" si="69"/>
        <v>7.1539999999999999</v>
      </c>
      <c r="DT10" s="745">
        <v>20</v>
      </c>
      <c r="DU10" s="749">
        <v>2</v>
      </c>
      <c r="DV10" s="747">
        <f>VLOOKUP(DT10,'Ціни контур теплопостачання'!$Y$5:$AA$17,3,0)</f>
        <v>3.577</v>
      </c>
      <c r="DW10" s="748">
        <f t="shared" si="70"/>
        <v>7.1539999999999999</v>
      </c>
      <c r="DX10" s="745">
        <v>15</v>
      </c>
      <c r="DY10" s="745">
        <v>10</v>
      </c>
      <c r="DZ10" s="758">
        <f>VLOOKUP(DX10,'Ціни контур теплопостачання'!$Y$5:$AA$17,3,0)</f>
        <v>2.464</v>
      </c>
      <c r="EA10" s="759">
        <f t="shared" si="71"/>
        <v>24.64</v>
      </c>
      <c r="EB10" s="745">
        <v>15</v>
      </c>
      <c r="EC10" s="745">
        <f t="shared" ref="EC10:EC40" si="110">36+T10</f>
        <v>38</v>
      </c>
      <c r="ED10" s="758">
        <f>VLOOKUP(EB10,'Ціни контур мережний'!$J$71:$M$71,4,0)</f>
        <v>3.3865201135922525</v>
      </c>
      <c r="EE10" s="759">
        <f t="shared" si="72"/>
        <v>128.68776431650559</v>
      </c>
      <c r="EF10" s="751">
        <f t="shared" si="12"/>
        <v>65</v>
      </c>
      <c r="EG10" s="746">
        <v>1</v>
      </c>
      <c r="EH10" s="747">
        <f>VLOOKUP(EF10,'Ціни контур теплопостачання'!$K$5:$M$17,3,0)</f>
        <v>39.731999999999999</v>
      </c>
      <c r="EI10" s="748">
        <f t="shared" si="73"/>
        <v>39.731999999999999</v>
      </c>
      <c r="EJ10" s="745">
        <f t="shared" si="13"/>
        <v>40</v>
      </c>
      <c r="EK10" s="749">
        <v>1</v>
      </c>
      <c r="EL10" s="747">
        <f>VLOOKUP(EJ10,'Ціни контур теплопостачання'!$K$5:$M$17,3,0)</f>
        <v>23.225999999999999</v>
      </c>
      <c r="EM10" s="748">
        <f t="shared" si="74"/>
        <v>23.225999999999999</v>
      </c>
      <c r="EN10" s="745">
        <f t="shared" si="14"/>
        <v>25</v>
      </c>
      <c r="EO10" s="745">
        <v>1</v>
      </c>
      <c r="EP10" s="758">
        <f>VLOOKUP(EN10,'Ціни контур теплопостачання'!$K$5:$M$17,3,0)</f>
        <v>4.78</v>
      </c>
      <c r="EQ10" s="759">
        <f t="shared" si="75"/>
        <v>4.78</v>
      </c>
      <c r="ER10" s="745">
        <f t="shared" si="15"/>
        <v>20</v>
      </c>
      <c r="ES10" s="745">
        <v>1</v>
      </c>
      <c r="ET10" s="758">
        <f>VLOOKUP(ER10,'Ціни контур теплопостачання'!$K$5:$M$17,3,0)</f>
        <v>3.48</v>
      </c>
      <c r="EU10" s="759">
        <f t="shared" si="76"/>
        <v>3.48</v>
      </c>
      <c r="EV10" s="751">
        <f t="shared" si="16"/>
        <v>65</v>
      </c>
      <c r="EW10" s="746">
        <v>2</v>
      </c>
      <c r="EX10" s="747">
        <f>VLOOKUP(EV10,'Ціни контур теплопостачання'!$Y$24:$AA$36,3,0)</f>
        <v>42.080999999999996</v>
      </c>
      <c r="EY10" s="748">
        <f t="shared" si="77"/>
        <v>84.161999999999992</v>
      </c>
      <c r="EZ10" s="745">
        <f t="shared" si="17"/>
        <v>40</v>
      </c>
      <c r="FA10" s="749">
        <v>1</v>
      </c>
      <c r="FB10" s="747">
        <f>VLOOKUP(EZ10,'Ціни контур теплопостачання'!$AO$38:$AQ$50,3,0)</f>
        <v>20.3645</v>
      </c>
      <c r="FC10" s="748">
        <f t="shared" si="78"/>
        <v>20.3645</v>
      </c>
      <c r="FD10" s="745">
        <f t="shared" si="18"/>
        <v>25</v>
      </c>
      <c r="FE10" s="745">
        <v>1</v>
      </c>
      <c r="FF10" s="758">
        <f>VLOOKUP(FD10,'Ціни контур теплопостачання'!$AO$38:$AQ$50,3,0)</f>
        <v>6.9659999999999993</v>
      </c>
      <c r="FG10" s="759">
        <f t="shared" si="79"/>
        <v>6.9659999999999993</v>
      </c>
      <c r="FH10" s="745">
        <f t="shared" si="19"/>
        <v>20</v>
      </c>
      <c r="FI10" s="745">
        <v>1</v>
      </c>
      <c r="FJ10" s="758">
        <f>VLOOKUP(FH10,'Ціни контур теплопостачання'!$Y$24:$AA$36,3,0)</f>
        <v>4.5359999999999996</v>
      </c>
      <c r="FK10" s="759">
        <f t="shared" si="80"/>
        <v>4.5359999999999996</v>
      </c>
      <c r="FL10" s="745">
        <f t="shared" si="20"/>
        <v>40</v>
      </c>
      <c r="FM10" s="745">
        <f t="shared" si="21"/>
        <v>4</v>
      </c>
      <c r="FN10" s="758">
        <f>VLOOKUP(FL10,'Ціни контур теплопостачання'!$Y$76:$AA$88,3,0)</f>
        <v>16.809999999999999</v>
      </c>
      <c r="FO10" s="759">
        <f t="shared" si="81"/>
        <v>67.239999999999995</v>
      </c>
      <c r="FP10" s="745">
        <f t="shared" si="22"/>
        <v>40</v>
      </c>
      <c r="FQ10" s="745">
        <v>1</v>
      </c>
      <c r="FR10" s="758">
        <f>VLOOKUP(FP10,'Ціни контур теплопостачання'!$Y$76:$AA$88,3,0)</f>
        <v>16.809999999999999</v>
      </c>
      <c r="FS10" s="759">
        <f t="shared" si="82"/>
        <v>16.809999999999999</v>
      </c>
      <c r="FT10" s="745">
        <f t="shared" si="23"/>
        <v>25</v>
      </c>
      <c r="FU10" s="745">
        <v>1</v>
      </c>
      <c r="FV10" s="758">
        <f>VLOOKUP(FT10,'Ціни контур теплопостачання'!$Y$76:$AA$88,3,0)</f>
        <v>11.45</v>
      </c>
      <c r="FW10" s="759">
        <f t="shared" si="83"/>
        <v>11.45</v>
      </c>
      <c r="FX10" s="758">
        <f t="shared" si="24"/>
        <v>24.832873373816412</v>
      </c>
      <c r="FY10" s="760">
        <v>25</v>
      </c>
      <c r="FZ10" s="719">
        <v>2</v>
      </c>
      <c r="GA10" s="747">
        <f>VLOOKUP(FY10,'Ціни контур теплопостачання'!$K$74:$M$79,3,0)</f>
        <v>22.22</v>
      </c>
      <c r="GB10" s="761">
        <f t="shared" si="84"/>
        <v>44.44</v>
      </c>
      <c r="GC10" s="762">
        <f t="shared" si="85"/>
        <v>9.9384615384615387</v>
      </c>
      <c r="GD10" s="902">
        <v>9</v>
      </c>
      <c r="GE10" s="1017">
        <v>9</v>
      </c>
      <c r="GF10" s="1018" t="s">
        <v>119</v>
      </c>
      <c r="GG10" s="713">
        <v>2</v>
      </c>
      <c r="GH10" s="709">
        <f>VLOOKUP(GF10,'Ціни контур теплопостачання'!$C$89:$M$105,11,0)</f>
        <v>391.06799999999998</v>
      </c>
      <c r="GI10" s="764">
        <f t="shared" si="86"/>
        <v>782.13599999999997</v>
      </c>
      <c r="GJ10" s="912">
        <f t="shared" si="87"/>
        <v>1.3630831643002028</v>
      </c>
      <c r="GK10" s="902">
        <v>9</v>
      </c>
      <c r="GL10" s="1017">
        <v>9</v>
      </c>
      <c r="GM10" s="1019" t="s">
        <v>1097</v>
      </c>
      <c r="GN10" s="749">
        <v>1</v>
      </c>
      <c r="GO10" s="747">
        <f>VLOOKUP(GM10,'Ціни контур теплопостачання'!$C$89:$M$105,11,0)</f>
        <v>241.2</v>
      </c>
      <c r="GP10" s="904">
        <f t="shared" si="88"/>
        <v>241.2</v>
      </c>
      <c r="GQ10" s="758">
        <f t="shared" si="25"/>
        <v>492.62526162204728</v>
      </c>
      <c r="GR10" s="955">
        <v>500</v>
      </c>
      <c r="GS10" s="749">
        <f>VLOOKUP(GR10,'Ціни контур теплопостачання'!$J$43:$K$55,2,0)</f>
        <v>32</v>
      </c>
      <c r="GT10" s="1020">
        <v>1</v>
      </c>
      <c r="GU10" s="747">
        <f>VLOOKUP(GR10,'Ціни контур теплопостачання'!$J$43:$M$55,4,0)</f>
        <v>249.72</v>
      </c>
      <c r="GV10" s="748">
        <f t="shared" si="89"/>
        <v>249.72</v>
      </c>
      <c r="GW10" s="758">
        <f t="array" ref="GW10">MIN(IF('Ціни контур теплопостачання'!$AN$68:$AN$77&gt;(V10*1.2),'Ціни контур теплопостачання'!$AN$68:$AN$77))</f>
        <v>11.13</v>
      </c>
      <c r="GX10" s="749">
        <f>VLOOKUP(GW10,'Ціни контур теплопостачання'!$AN$68:$AO$77,2,0)</f>
        <v>32</v>
      </c>
      <c r="GY10" s="749">
        <f t="shared" si="26"/>
        <v>2</v>
      </c>
      <c r="GZ10" s="747">
        <f>VLOOKUP(GX10,'Ціни контур теплопостачання'!$AO$68:$AQ$77,3,0)</f>
        <v>37.183999999999997</v>
      </c>
      <c r="HA10" s="759">
        <f t="shared" si="90"/>
        <v>74.367999999999995</v>
      </c>
      <c r="HB10" s="751">
        <v>15</v>
      </c>
      <c r="HC10" s="746">
        <v>2</v>
      </c>
      <c r="HD10" s="747">
        <f>VLOOKUP(HB10,'Ціни контур мережний'!$J$73:$M$73,4,0)</f>
        <v>3.4649999999999999</v>
      </c>
      <c r="HE10" s="748">
        <f t="shared" si="91"/>
        <v>6.93</v>
      </c>
      <c r="HF10" s="749">
        <f t="shared" si="27"/>
        <v>20</v>
      </c>
      <c r="HG10" s="749">
        <v>1</v>
      </c>
      <c r="HH10" s="747">
        <f>VLOOKUP(HF10,'Ціни контур теплопостачання'!$Y$62:$AA$69,3,0)</f>
        <v>23.753519999999998</v>
      </c>
      <c r="HI10" s="765">
        <f t="shared" si="92"/>
        <v>23.753519999999998</v>
      </c>
      <c r="HJ10" s="750">
        <f>VLOOKUP(HK10,'Ціни контур теплопостачання'!$AN$6:$AO$13,2,0)</f>
        <v>32</v>
      </c>
      <c r="HK10" s="751">
        <f t="array" ref="HK10">MIN(IF('Ціни контур теплопостачання'!$AN$6:$AN$13&gt;N10,'Ціни контур теплопостачання'!$AN$6:$AN$13))</f>
        <v>6</v>
      </c>
      <c r="HL10" s="751">
        <v>1</v>
      </c>
      <c r="HM10" s="747">
        <f>VLOOKUP(HJ10,'Ціни контур теплопостачання'!$AO$6:$AQ$13,3,0)</f>
        <v>85.682340000000011</v>
      </c>
      <c r="HN10" s="748">
        <f t="shared" si="93"/>
        <v>85.682340000000011</v>
      </c>
      <c r="HO10" s="750">
        <f t="shared" si="28"/>
        <v>40</v>
      </c>
      <c r="HP10" s="746">
        <v>1</v>
      </c>
      <c r="HQ10" s="747">
        <f>VLOOKUP(HO10,'Ціни контур теплопостачання'!$AO$55:$AQ$63,3,0)</f>
        <v>193.55</v>
      </c>
      <c r="HR10" s="748">
        <f t="shared" si="94"/>
        <v>193.55</v>
      </c>
      <c r="HS10" s="745">
        <f t="shared" si="29"/>
        <v>20</v>
      </c>
      <c r="HT10" s="749">
        <v>1</v>
      </c>
      <c r="HU10" s="747">
        <f>VLOOKUP(HS10,'Ціни контур теплопостачання'!$K$62:$M$67,3,0)</f>
        <v>91.13</v>
      </c>
      <c r="HV10" s="765">
        <f t="shared" si="95"/>
        <v>91.13</v>
      </c>
      <c r="HW10" s="655" t="str">
        <f t="shared" ref="HW10" si="111">HW9</f>
        <v>0-150</v>
      </c>
      <c r="HX10" s="720">
        <v>1</v>
      </c>
      <c r="HY10" s="747">
        <f>VLOOKUP(HW10,'Ціни контур мережний'!$I$79:$M$80,5,0)</f>
        <v>15.050156291498967</v>
      </c>
      <c r="HZ10" s="748">
        <f t="shared" si="96"/>
        <v>15.050156291498967</v>
      </c>
      <c r="IA10" s="758" t="s">
        <v>109</v>
      </c>
      <c r="IB10" s="749">
        <v>5</v>
      </c>
      <c r="IC10" s="747">
        <f>VLOOKUP(IA10,'Ціни контур мережний'!$I$79:$M$80,5,0)</f>
        <v>15.050156291498967</v>
      </c>
      <c r="ID10" s="765">
        <f t="shared" si="97"/>
        <v>75.250781457494838</v>
      </c>
      <c r="IE10" s="655" t="s">
        <v>108</v>
      </c>
      <c r="IF10" s="720">
        <v>5</v>
      </c>
      <c r="IG10" s="747">
        <f>VLOOKUP(IE10,'Ціни контур мережний'!$I$67:$M$69,5,0)</f>
        <v>4.4537969640631703</v>
      </c>
      <c r="IH10" s="748">
        <f t="shared" si="98"/>
        <v>22.26898482031585</v>
      </c>
      <c r="II10" s="655" t="s">
        <v>106</v>
      </c>
      <c r="IJ10" s="720">
        <f t="shared" si="30"/>
        <v>13</v>
      </c>
      <c r="IK10" s="747">
        <f>VLOOKUP(II10,'Ціни контур мережний'!$I$67:$M$69,5,0)</f>
        <v>4.4537969640631703</v>
      </c>
      <c r="IL10" s="748">
        <f t="shared" si="99"/>
        <v>57.899360532821213</v>
      </c>
      <c r="IM10" s="655" t="s">
        <v>1013</v>
      </c>
      <c r="IN10" s="720">
        <v>5</v>
      </c>
      <c r="IO10" s="747">
        <f>VLOOKUP(IM10,'Ціни контур мережний'!$I$64:$M$64,5,0)</f>
        <v>29.1312</v>
      </c>
      <c r="IP10" s="748">
        <f t="shared" si="100"/>
        <v>145.65600000000001</v>
      </c>
      <c r="IQ10" s="766" t="s">
        <v>1015</v>
      </c>
      <c r="IR10" s="749">
        <v>6</v>
      </c>
      <c r="IS10" s="747">
        <f>VLOOKUP(IQ10,'Ціни контур мережний'!$I$89:$M$89,5,0)</f>
        <v>79.523165325760516</v>
      </c>
      <c r="IT10" s="759">
        <f t="shared" si="101"/>
        <v>477.1389919545631</v>
      </c>
      <c r="IU10" s="1021" t="s">
        <v>1016</v>
      </c>
      <c r="IV10" s="720">
        <v>7</v>
      </c>
      <c r="IW10" s="747">
        <f>VLOOKUP(IU10,'Ціни контур мережний'!$I$88:$M$88,5,0)</f>
        <v>13.211568975967202</v>
      </c>
      <c r="IX10" s="768">
        <f t="shared" si="102"/>
        <v>92.480982831770419</v>
      </c>
      <c r="IY10" s="767" t="s">
        <v>383</v>
      </c>
      <c r="IZ10" s="720">
        <v>1</v>
      </c>
      <c r="JA10" s="747">
        <f>VLOOKUP(IY10,'Ціни контур мережний'!$I$87:$M$87,5,0)</f>
        <v>13.483972460007763</v>
      </c>
      <c r="JB10" s="748">
        <f t="shared" si="103"/>
        <v>13.483972460007763</v>
      </c>
      <c r="JC10" s="769">
        <f t="shared" si="31"/>
        <v>3</v>
      </c>
      <c r="JD10" s="770">
        <f t="shared" si="104"/>
        <v>7303.0267330402285</v>
      </c>
      <c r="JE10" s="771">
        <f>$JE$44/'Ціни контур мережний'!$G$26</f>
        <v>476.70609707098151</v>
      </c>
      <c r="JF10" s="771">
        <f>$JE$44/'Ціни контур мережний'!$G$26</f>
        <v>476.70609707098151</v>
      </c>
      <c r="JG10" s="770">
        <f t="shared" ref="JG10:JG40" si="112">$JG$8</f>
        <v>661.80181284518619</v>
      </c>
      <c r="JH10" s="770">
        <f t="shared" ref="JH10:JH40" si="113">$JH$8</f>
        <v>487.81784379022207</v>
      </c>
      <c r="JI10" s="770">
        <f>$JI$43/'Ціни контур мережний'!$G$26</f>
        <v>323.47913729816605</v>
      </c>
      <c r="JJ10" s="770">
        <f t="shared" si="105"/>
        <v>66.611999999999995</v>
      </c>
      <c r="JK10" s="772">
        <v>0</v>
      </c>
      <c r="JL10" s="772">
        <f t="shared" ref="JL10:JL40" si="114">$JL$8</f>
        <v>62.86234247089866</v>
      </c>
      <c r="JM10" s="772">
        <v>0</v>
      </c>
      <c r="JN10" s="770">
        <v>0</v>
      </c>
      <c r="JO10" s="662">
        <f t="shared" si="32"/>
        <v>690.13084445106642</v>
      </c>
      <c r="JP10" s="1022">
        <f t="shared" si="33"/>
        <v>985.90120635866629</v>
      </c>
      <c r="JQ10" s="1023">
        <f t="shared" si="34"/>
        <v>169.59950043231584</v>
      </c>
      <c r="JR10" s="1023">
        <f t="shared" ref="JR10:JR40" si="115">$JR$8</f>
        <v>300.63036461094771</v>
      </c>
      <c r="JS10" s="777">
        <f t="shared" si="106"/>
        <v>12005.27397943966</v>
      </c>
      <c r="JU10" s="616">
        <f>[3]Расчеты!AX9/1.2</f>
        <v>4013.0253403083561</v>
      </c>
      <c r="JV10" s="616">
        <f t="shared" si="107"/>
        <v>16018.299319748017</v>
      </c>
      <c r="JW10" s="616" t="e">
        <f>JV10*1.2*#REF!</f>
        <v>#REF!</v>
      </c>
      <c r="JX10" s="616"/>
    </row>
    <row r="11" spans="1:284" ht="12.6" customHeight="1">
      <c r="A11" s="610" t="s">
        <v>686</v>
      </c>
      <c r="B11" s="597">
        <v>4</v>
      </c>
      <c r="C11" s="1056" t="s">
        <v>1422</v>
      </c>
      <c r="D11" s="892">
        <v>0.29626000000000002</v>
      </c>
      <c r="E11" s="918">
        <v>0.22320000000000001</v>
      </c>
      <c r="F11" s="742">
        <f t="shared" si="35"/>
        <v>10.997768703546623</v>
      </c>
      <c r="G11" s="743">
        <v>65</v>
      </c>
      <c r="H11" s="598">
        <f t="shared" si="36"/>
        <v>5.2922472311539837</v>
      </c>
      <c r="I11" s="599">
        <v>40</v>
      </c>
      <c r="J11" s="598">
        <f t="shared" si="37"/>
        <v>12.31850311850312</v>
      </c>
      <c r="K11" s="599">
        <v>80</v>
      </c>
      <c r="L11" s="598">
        <f t="shared" si="38"/>
        <v>5.7055214723926388</v>
      </c>
      <c r="M11" s="599">
        <v>40</v>
      </c>
      <c r="N11" s="598">
        <f t="shared" si="39"/>
        <v>4.5273833671399597</v>
      </c>
      <c r="O11" s="599">
        <v>40</v>
      </c>
      <c r="P11" s="598">
        <f t="shared" si="108"/>
        <v>1.3582150101419879</v>
      </c>
      <c r="Q11" s="599">
        <v>25</v>
      </c>
      <c r="R11" s="598">
        <f t="shared" si="40"/>
        <v>7.4843678097294237</v>
      </c>
      <c r="S11" s="600">
        <f t="shared" si="41"/>
        <v>8.0688258466685792</v>
      </c>
      <c r="T11" s="744">
        <v>2</v>
      </c>
      <c r="U11" s="601">
        <f t="shared" si="42"/>
        <v>6.15925155925156</v>
      </c>
      <c r="V11" s="601">
        <f t="shared" si="43"/>
        <v>8.7104970891611888</v>
      </c>
      <c r="W11" s="602">
        <v>50</v>
      </c>
      <c r="X11" s="1014">
        <v>5.78</v>
      </c>
      <c r="Y11" s="601">
        <f t="shared" si="44"/>
        <v>1.734</v>
      </c>
      <c r="Z11" s="992">
        <v>25</v>
      </c>
      <c r="AA11" s="1015">
        <v>9</v>
      </c>
      <c r="AB11" s="745">
        <f t="shared" si="0"/>
        <v>65</v>
      </c>
      <c r="AC11" s="746">
        <v>2</v>
      </c>
      <c r="AD11" s="747">
        <f>VLOOKUP(AB11,'Ціни контур мережний'!$Z$24:$AB$36,3,0)</f>
        <v>30.19184015363556</v>
      </c>
      <c r="AE11" s="748">
        <f t="shared" si="45"/>
        <v>60.383680307271121</v>
      </c>
      <c r="AF11" s="745">
        <f t="shared" si="1"/>
        <v>65</v>
      </c>
      <c r="AG11" s="749">
        <v>2</v>
      </c>
      <c r="AH11" s="747">
        <f>VLOOKUP(AF11,'Ціни контур мережний'!$Z$64:$AB$77,3,0)</f>
        <v>105.883234246566</v>
      </c>
      <c r="AI11" s="748">
        <f t="shared" si="46"/>
        <v>211.76646849313201</v>
      </c>
      <c r="AJ11" s="745">
        <f t="shared" si="2"/>
        <v>65</v>
      </c>
      <c r="AK11" s="746">
        <v>1</v>
      </c>
      <c r="AL11" s="747">
        <f>VLOOKUP(AJ11,'Ціни контур мережний'!$Z$5:$AB$17,3,0)</f>
        <v>39.731999999999999</v>
      </c>
      <c r="AM11" s="748">
        <f t="shared" si="47"/>
        <v>39.731999999999999</v>
      </c>
      <c r="AN11" s="750">
        <f t="shared" si="3"/>
        <v>40</v>
      </c>
      <c r="AO11" s="746">
        <v>3</v>
      </c>
      <c r="AP11" s="747">
        <f>VLOOKUP(AN11,'Ціни контур мережний'!$Z$43:$AB$55,3,0)</f>
        <v>18.42400964308333</v>
      </c>
      <c r="AQ11" s="768">
        <f t="shared" si="48"/>
        <v>55.272028929249991</v>
      </c>
      <c r="AR11" s="749">
        <f t="shared" si="4"/>
        <v>40</v>
      </c>
      <c r="AS11" s="749">
        <v>4</v>
      </c>
      <c r="AT11" s="747">
        <f>VLOOKUP(AR11,'Ціни контур мережний'!$Z$43:$AB$55,3,0)</f>
        <v>18.42400964308333</v>
      </c>
      <c r="AU11" s="1016">
        <f t="shared" si="49"/>
        <v>73.696038572333322</v>
      </c>
      <c r="AV11" s="751" t="str">
        <f t="shared" si="50"/>
        <v>AMV20</v>
      </c>
      <c r="AW11" s="751">
        <v>1</v>
      </c>
      <c r="AX11" s="747">
        <f>VLOOKUP(AV11,'Ціни контур мережний'!$I$53:$M$57,5,0)</f>
        <v>110.39869654932889</v>
      </c>
      <c r="AY11" s="748">
        <f t="shared" si="51"/>
        <v>110.39869654932889</v>
      </c>
      <c r="AZ11" s="752">
        <f t="array" ref="AZ11">MIN(IF('Ціни контур мережний'!$Y$83:$Y$92&gt;(R11*1.2),'Ціни контур мережний'!$Y$83:$Y$92))</f>
        <v>10</v>
      </c>
      <c r="BA11" s="746">
        <f>VLOOKUP(AZ11,'Ціни контур мережний'!$Y$83:$Z$92,2,0)</f>
        <v>25</v>
      </c>
      <c r="BB11" s="746">
        <v>1</v>
      </c>
      <c r="BC11" s="747">
        <f>VLOOKUP(AZ11,'Ціни контур мережний'!$Y$83:$AB$92,4,0)</f>
        <v>117.50505648967251</v>
      </c>
      <c r="BD11" s="748">
        <f t="shared" si="52"/>
        <v>117.50505648967251</v>
      </c>
      <c r="BE11" s="1099">
        <f t="array" ref="BE11">MIN(IF('[1]Ціни контур мережний'!$Y$104:$Y$114&gt;(R11*1.2),'[1]Ціни контур мережний'!$Y$104:$Y$114))</f>
        <v>12.5</v>
      </c>
      <c r="BF11" s="1101">
        <f>VLOOKUP(BE11,'[1]Ціни контур мережний'!$Y$104:$Z$114,2,0)</f>
        <v>32</v>
      </c>
      <c r="BG11" s="753">
        <v>1</v>
      </c>
      <c r="BH11" s="754">
        <f>VLOOKUP(BE11,'Ціни контур мережний'!$Y$104:$AB$114,4,0)</f>
        <v>435.76049604674444</v>
      </c>
      <c r="BI11" s="755">
        <f t="shared" si="53"/>
        <v>435.76049604674444</v>
      </c>
      <c r="BJ11" s="751" t="s">
        <v>67</v>
      </c>
      <c r="BK11" s="749">
        <v>1</v>
      </c>
      <c r="BL11" s="747">
        <f>VLOOKUP(BJ11,'Ціни контур мережний'!$I$53:$M$57,5,0)</f>
        <v>157.67238032974441</v>
      </c>
      <c r="BM11" s="748">
        <f t="shared" si="54"/>
        <v>157.67238032974441</v>
      </c>
      <c r="BN11" s="896">
        <f t="array" ref="BN11">MIN(IF('Ціни контур мережний'!$Y$83:$Y$93&gt;(S11*1.2),'Ціни контур мережний'!$Y$83:$Y$93))</f>
        <v>10</v>
      </c>
      <c r="BO11" s="896">
        <f>VLOOKUP(BN11,'Ціни контур мережний'!$Y$83:$Z$93,2,0)</f>
        <v>25</v>
      </c>
      <c r="BP11" s="895">
        <v>1</v>
      </c>
      <c r="BQ11" s="896">
        <f>VLOOKUP(BN11,'Ціни контур мережний'!$Y$83:$AB$93,4,0)</f>
        <v>117.50505648967251</v>
      </c>
      <c r="BR11" s="897">
        <f t="shared" si="55"/>
        <v>117.50505648967251</v>
      </c>
      <c r="BS11" s="896">
        <f t="array" ref="BS11">MIN(IF('Ціни контур мережний'!$Y$104:$Y$114&gt;(S11*1.2),'Ціни контур мережний'!$Y$104:$Y$114))</f>
        <v>12.5</v>
      </c>
      <c r="BT11" s="896">
        <f>VLOOKUP(BS11,'Ціни контур мережний'!$Y$104:$Z$114,2,0)</f>
        <v>32</v>
      </c>
      <c r="BU11" s="895">
        <v>1</v>
      </c>
      <c r="BV11" s="896">
        <f>VLOOKUP(BS11,'Ціни контур мережний'!$Y$104:$AB$114,4,0)</f>
        <v>435.76049604674444</v>
      </c>
      <c r="BW11" s="897">
        <f t="shared" si="56"/>
        <v>435.76049604674444</v>
      </c>
      <c r="BX11" s="751">
        <f>VLOOKUP(BY11,'Ціни контур мережний'!$J$5:$L$12,3,0)</f>
        <v>25</v>
      </c>
      <c r="BY11" s="751">
        <f t="array" ref="BY11">MIN(IF('Ціни контур мережний'!$J$5:$J$12&gt;H11,'Ціни контур мережний'!$J$5:$J$12))</f>
        <v>6</v>
      </c>
      <c r="BZ11" s="746" t="str">
        <f t="shared" si="109"/>
        <v>Pt500</v>
      </c>
      <c r="CA11" s="756">
        <v>1</v>
      </c>
      <c r="CB11" s="747">
        <f>VLOOKUP(BY11,'Ціни контур мережний'!$J$5:$N$12,5,0)</f>
        <v>341.25599999999997</v>
      </c>
      <c r="CC11" s="748">
        <f t="shared" si="57"/>
        <v>341.25599999999997</v>
      </c>
      <c r="CD11" s="758">
        <f>VLOOKUP(CE11,'Ціни контур мережний'!$J$5:$L$12,3,0)</f>
        <v>25</v>
      </c>
      <c r="CE11" s="747">
        <f t="array" ref="CE11">MIN(IF('Ціни контур мережний'!$J$5:$J$12&gt;L11,'Ціни контур мережний'!$J$5:$J$12))</f>
        <v>6</v>
      </c>
      <c r="CF11" s="746" t="s">
        <v>130</v>
      </c>
      <c r="CG11" s="749">
        <v>1</v>
      </c>
      <c r="CH11" s="747">
        <f>VLOOKUP(CE11,'Ціни контур мережний'!$J$5:$N$12,5,0)</f>
        <v>341.25599999999997</v>
      </c>
      <c r="CI11" s="748">
        <f t="shared" si="58"/>
        <v>341.25599999999997</v>
      </c>
      <c r="CJ11" s="899" t="s">
        <v>1291</v>
      </c>
      <c r="CK11" s="899">
        <v>1</v>
      </c>
      <c r="CL11" s="898">
        <v>899</v>
      </c>
      <c r="CM11" s="901">
        <f t="shared" si="59"/>
        <v>899</v>
      </c>
      <c r="CN11" s="898" t="s">
        <v>1319</v>
      </c>
      <c r="CO11" s="899">
        <v>1</v>
      </c>
      <c r="CP11" s="900">
        <v>582</v>
      </c>
      <c r="CQ11" s="901">
        <f t="shared" si="60"/>
        <v>582</v>
      </c>
      <c r="CR11" s="751">
        <f t="shared" si="5"/>
        <v>80</v>
      </c>
      <c r="CS11" s="746">
        <v>4</v>
      </c>
      <c r="CT11" s="747">
        <f>VLOOKUP(CR11,'Ціни контур теплопостачання'!$Y$5:$AA$17,3,0)</f>
        <v>37.693832104112609</v>
      </c>
      <c r="CU11" s="748">
        <f t="shared" si="61"/>
        <v>150.77532841645044</v>
      </c>
      <c r="CV11" s="750">
        <f t="shared" si="6"/>
        <v>40</v>
      </c>
      <c r="CW11" s="746">
        <v>6</v>
      </c>
      <c r="CX11" s="747">
        <f>VLOOKUP(CV11,'Ціни контур теплопостачання'!$AO$20:$AQ$29,3,0)</f>
        <v>37.980000000000004</v>
      </c>
      <c r="CY11" s="748">
        <f t="shared" si="62"/>
        <v>227.88000000000002</v>
      </c>
      <c r="CZ11" s="750">
        <f t="shared" si="7"/>
        <v>25</v>
      </c>
      <c r="DA11" s="746">
        <v>3</v>
      </c>
      <c r="DB11" s="747">
        <f>VLOOKUP(CZ11,'Ціни контур теплопостачання'!$AO$20:$AQ$29,3,0)</f>
        <v>6.3070000000000004</v>
      </c>
      <c r="DC11" s="748">
        <f t="shared" si="63"/>
        <v>18.920999999999999</v>
      </c>
      <c r="DD11" s="757">
        <f t="shared" si="8"/>
        <v>50</v>
      </c>
      <c r="DE11" s="746">
        <f t="shared" si="9"/>
        <v>4</v>
      </c>
      <c r="DF11" s="747">
        <f>VLOOKUP(DD11,'Ціни контур теплопостачання'!$Y$5:$AA$17,3,0)</f>
        <v>23.2782130224622</v>
      </c>
      <c r="DG11" s="748">
        <f t="shared" si="64"/>
        <v>93.112852089848801</v>
      </c>
      <c r="DH11" s="745">
        <f t="shared" si="65"/>
        <v>32</v>
      </c>
      <c r="DI11" s="749">
        <f t="shared" si="66"/>
        <v>1</v>
      </c>
      <c r="DJ11" s="747">
        <f>VLOOKUP(DH11,'Ціни контур теплопостачання'!$Y$5:$AA$17,3,0)</f>
        <v>10.381</v>
      </c>
      <c r="DK11" s="765">
        <f t="shared" si="67"/>
        <v>10.381</v>
      </c>
      <c r="DL11" s="757">
        <f t="shared" si="10"/>
        <v>25</v>
      </c>
      <c r="DM11" s="746">
        <v>1</v>
      </c>
      <c r="DN11" s="747">
        <f>VLOOKUP(DL11,'Ціни контур мережний'!$Z$43:$AB$55,3,0)</f>
        <v>14.856886019572187</v>
      </c>
      <c r="DO11" s="748">
        <f t="shared" si="68"/>
        <v>14.856886019572187</v>
      </c>
      <c r="DP11" s="757">
        <f t="shared" si="11"/>
        <v>25</v>
      </c>
      <c r="DQ11" s="746">
        <v>2</v>
      </c>
      <c r="DR11" s="747">
        <f>VLOOKUP(DP11,'Ціни контур теплопостачання'!$Y$5:$AA$17,3,0)</f>
        <v>6.3070000000000004</v>
      </c>
      <c r="DS11" s="748">
        <f t="shared" si="69"/>
        <v>12.614000000000001</v>
      </c>
      <c r="DT11" s="745">
        <v>20</v>
      </c>
      <c r="DU11" s="749">
        <v>2</v>
      </c>
      <c r="DV11" s="747">
        <f>VLOOKUP(DT11,'Ціни контур теплопостачання'!$Y$5:$AA$17,3,0)</f>
        <v>3.577</v>
      </c>
      <c r="DW11" s="748">
        <f t="shared" si="70"/>
        <v>7.1539999999999999</v>
      </c>
      <c r="DX11" s="745">
        <v>15</v>
      </c>
      <c r="DY11" s="745">
        <v>10</v>
      </c>
      <c r="DZ11" s="758">
        <f>VLOOKUP(DX11,'Ціни контур теплопостачання'!$Y$5:$AA$17,3,0)</f>
        <v>2.464</v>
      </c>
      <c r="EA11" s="759">
        <f t="shared" si="71"/>
        <v>24.64</v>
      </c>
      <c r="EB11" s="745">
        <v>15</v>
      </c>
      <c r="EC11" s="745">
        <f t="shared" si="110"/>
        <v>38</v>
      </c>
      <c r="ED11" s="758">
        <f>VLOOKUP(EB11,'Ціни контур мережний'!$J$71:$M$71,4,0)</f>
        <v>3.3865201135922525</v>
      </c>
      <c r="EE11" s="759">
        <f t="shared" si="72"/>
        <v>128.68776431650559</v>
      </c>
      <c r="EF11" s="751">
        <f t="shared" si="12"/>
        <v>80</v>
      </c>
      <c r="EG11" s="746">
        <v>1</v>
      </c>
      <c r="EH11" s="747">
        <f>VLOOKUP(EF11,'Ціни контур теплопостачання'!$K$5:$M$17,3,0)</f>
        <v>50.12</v>
      </c>
      <c r="EI11" s="748">
        <f t="shared" si="73"/>
        <v>50.12</v>
      </c>
      <c r="EJ11" s="745">
        <f t="shared" si="13"/>
        <v>40</v>
      </c>
      <c r="EK11" s="749">
        <v>1</v>
      </c>
      <c r="EL11" s="747">
        <f>VLOOKUP(EJ11,'Ціни контур теплопостачання'!$K$5:$M$17,3,0)</f>
        <v>23.225999999999999</v>
      </c>
      <c r="EM11" s="748">
        <f t="shared" si="74"/>
        <v>23.225999999999999</v>
      </c>
      <c r="EN11" s="745">
        <f t="shared" si="14"/>
        <v>25</v>
      </c>
      <c r="EO11" s="745">
        <v>1</v>
      </c>
      <c r="EP11" s="758">
        <f>VLOOKUP(EN11,'Ціни контур теплопостачання'!$K$5:$M$17,3,0)</f>
        <v>4.78</v>
      </c>
      <c r="EQ11" s="759">
        <f t="shared" si="75"/>
        <v>4.78</v>
      </c>
      <c r="ER11" s="745">
        <f t="shared" si="15"/>
        <v>25</v>
      </c>
      <c r="ES11" s="745">
        <v>1</v>
      </c>
      <c r="ET11" s="758">
        <f>VLOOKUP(ER11,'Ціни контур теплопостачання'!$K$5:$M$17,3,0)</f>
        <v>4.78</v>
      </c>
      <c r="EU11" s="759">
        <f t="shared" si="76"/>
        <v>4.78</v>
      </c>
      <c r="EV11" s="751">
        <f t="shared" si="16"/>
        <v>80</v>
      </c>
      <c r="EW11" s="746">
        <v>2</v>
      </c>
      <c r="EX11" s="747">
        <f>VLOOKUP(EV11,'Ціни контур теплопостачання'!$Y$24:$AA$36,3,0)</f>
        <v>60.079499999999996</v>
      </c>
      <c r="EY11" s="748">
        <f t="shared" si="77"/>
        <v>120.15899999999999</v>
      </c>
      <c r="EZ11" s="745">
        <f t="shared" si="17"/>
        <v>40</v>
      </c>
      <c r="FA11" s="749">
        <v>1</v>
      </c>
      <c r="FB11" s="747">
        <f>VLOOKUP(EZ11,'Ціни контур теплопостачання'!$AO$38:$AQ$50,3,0)</f>
        <v>20.3645</v>
      </c>
      <c r="FC11" s="748">
        <f t="shared" si="78"/>
        <v>20.3645</v>
      </c>
      <c r="FD11" s="745">
        <f t="shared" si="18"/>
        <v>25</v>
      </c>
      <c r="FE11" s="745">
        <v>1</v>
      </c>
      <c r="FF11" s="758">
        <f>VLOOKUP(FD11,'Ціни контур теплопостачання'!$AO$38:$AQ$50,3,0)</f>
        <v>6.9659999999999993</v>
      </c>
      <c r="FG11" s="759">
        <f t="shared" si="79"/>
        <v>6.9659999999999993</v>
      </c>
      <c r="FH11" s="745">
        <f t="shared" si="19"/>
        <v>25</v>
      </c>
      <c r="FI11" s="745">
        <v>1</v>
      </c>
      <c r="FJ11" s="758">
        <f>VLOOKUP(FH11,'Ціни контур теплопостачання'!$Y$24:$AA$36,3,0)</f>
        <v>6.9659999999999993</v>
      </c>
      <c r="FK11" s="759">
        <f t="shared" si="80"/>
        <v>6.9659999999999993</v>
      </c>
      <c r="FL11" s="745">
        <f t="shared" si="20"/>
        <v>50</v>
      </c>
      <c r="FM11" s="745">
        <f t="shared" si="21"/>
        <v>4</v>
      </c>
      <c r="FN11" s="758">
        <f>VLOOKUP(FL11,'Ціни контур теплопостачання'!$Y$76:$AA$88,3,0)</f>
        <v>20.6</v>
      </c>
      <c r="FO11" s="759">
        <f t="shared" si="81"/>
        <v>82.4</v>
      </c>
      <c r="FP11" s="745">
        <f t="shared" si="22"/>
        <v>40</v>
      </c>
      <c r="FQ11" s="745">
        <v>1</v>
      </c>
      <c r="FR11" s="758">
        <f>VLOOKUP(FP11,'Ціни контур теплопостачання'!$Y$76:$AA$88,3,0)</f>
        <v>16.809999999999999</v>
      </c>
      <c r="FS11" s="759">
        <f t="shared" si="82"/>
        <v>16.809999999999999</v>
      </c>
      <c r="FT11" s="745">
        <f t="shared" si="23"/>
        <v>25</v>
      </c>
      <c r="FU11" s="745">
        <v>1</v>
      </c>
      <c r="FV11" s="758">
        <f>VLOOKUP(FT11,'Ціни контур теплопостачання'!$Y$76:$AA$88,3,0)</f>
        <v>11.45</v>
      </c>
      <c r="FW11" s="759">
        <f t="shared" si="83"/>
        <v>11.45</v>
      </c>
      <c r="FX11" s="758">
        <f t="shared" si="24"/>
        <v>27.646894943193892</v>
      </c>
      <c r="FY11" s="760">
        <v>32</v>
      </c>
      <c r="FZ11" s="719">
        <v>2</v>
      </c>
      <c r="GA11" s="747">
        <f>VLOOKUP(FY11,'Ціни контур теплопостачання'!$K$74:$M$79,3,0)</f>
        <v>33.68</v>
      </c>
      <c r="GB11" s="761">
        <f t="shared" si="84"/>
        <v>67.36</v>
      </c>
      <c r="GC11" s="762">
        <f t="shared" si="85"/>
        <v>12.31850311850312</v>
      </c>
      <c r="GD11" s="902">
        <v>9</v>
      </c>
      <c r="GE11" s="1017">
        <v>9</v>
      </c>
      <c r="GF11" s="1018" t="s">
        <v>119</v>
      </c>
      <c r="GG11" s="713">
        <v>2</v>
      </c>
      <c r="GH11" s="709">
        <f>VLOOKUP(GF11,'Ціни контур теплопостачання'!$C$89:$M$105,11,0)</f>
        <v>391.06799999999998</v>
      </c>
      <c r="GI11" s="764">
        <f t="shared" si="86"/>
        <v>782.13599999999997</v>
      </c>
      <c r="GJ11" s="912">
        <f t="shared" si="87"/>
        <v>1.3582150101419879</v>
      </c>
      <c r="GK11" s="902">
        <v>9</v>
      </c>
      <c r="GL11" s="1017">
        <v>9</v>
      </c>
      <c r="GM11" s="1019" t="s">
        <v>1097</v>
      </c>
      <c r="GN11" s="749">
        <v>1</v>
      </c>
      <c r="GO11" s="747">
        <f>VLOOKUP(GM11,'Ціни контур теплопостачання'!$C$89:$M$105,11,0)</f>
        <v>241.2</v>
      </c>
      <c r="GP11" s="904">
        <f t="shared" si="88"/>
        <v>241.2</v>
      </c>
      <c r="GQ11" s="758">
        <f t="shared" si="25"/>
        <v>611.02446613206723</v>
      </c>
      <c r="GR11" s="955">
        <v>750</v>
      </c>
      <c r="GS11" s="749">
        <f>VLOOKUP(GR11,'Ціни контур теплопостачання'!$J$43:$K$55,2,0)</f>
        <v>32</v>
      </c>
      <c r="GT11" s="1020">
        <v>1</v>
      </c>
      <c r="GU11" s="747">
        <f>VLOOKUP(GR11,'Ціни контур теплопостачання'!$J$43:$M$55,4,0)</f>
        <v>376.94</v>
      </c>
      <c r="GV11" s="748">
        <f t="shared" si="89"/>
        <v>376.94</v>
      </c>
      <c r="GW11" s="758">
        <f t="array" ref="GW11">MIN(IF('Ціни контур теплопостачання'!$AN$68:$AN$77&gt;(V11*1.2),'Ціни контур теплопостачання'!$AN$68:$AN$77))</f>
        <v>11.13</v>
      </c>
      <c r="GX11" s="749">
        <f>VLOOKUP(GW11,'Ціни контур теплопостачання'!$AN$68:$AO$77,2,0)</f>
        <v>32</v>
      </c>
      <c r="GY11" s="749">
        <f t="shared" si="26"/>
        <v>2</v>
      </c>
      <c r="GZ11" s="747">
        <f>VLOOKUP(GX11,'Ціни контур теплопостачання'!$AO$68:$AQ$77,3,0)</f>
        <v>37.183999999999997</v>
      </c>
      <c r="HA11" s="759">
        <f t="shared" si="90"/>
        <v>74.367999999999995</v>
      </c>
      <c r="HB11" s="751">
        <v>15</v>
      </c>
      <c r="HC11" s="746">
        <v>2</v>
      </c>
      <c r="HD11" s="747">
        <f>VLOOKUP(HB11,'Ціни контур мережний'!$J$73:$M$73,4,0)</f>
        <v>3.4649999999999999</v>
      </c>
      <c r="HE11" s="748">
        <f t="shared" si="91"/>
        <v>6.93</v>
      </c>
      <c r="HF11" s="749">
        <f t="shared" si="27"/>
        <v>25</v>
      </c>
      <c r="HG11" s="749">
        <v>1</v>
      </c>
      <c r="HH11" s="747">
        <f>VLOOKUP(HF11,'Ціни контур теплопостачання'!$Y$62:$AA$69,3,0)</f>
        <v>89.924040000000005</v>
      </c>
      <c r="HI11" s="765">
        <f t="shared" si="92"/>
        <v>89.924040000000005</v>
      </c>
      <c r="HJ11" s="750">
        <f>VLOOKUP(HK11,'Ціни контур теплопостачання'!$AN$6:$AO$13,2,0)</f>
        <v>32</v>
      </c>
      <c r="HK11" s="751">
        <f t="array" ref="HK11">MIN(IF('Ціни контур теплопостачання'!$AN$6:$AN$13&gt;N11,'Ціни контур теплопостачання'!$AN$6:$AN$13))</f>
        <v>6</v>
      </c>
      <c r="HL11" s="751">
        <v>1</v>
      </c>
      <c r="HM11" s="747">
        <f>VLOOKUP(HJ11,'Ціни контур теплопостачання'!$AO$6:$AQ$13,3,0)</f>
        <v>85.682340000000011</v>
      </c>
      <c r="HN11" s="748">
        <f t="shared" si="93"/>
        <v>85.682340000000011</v>
      </c>
      <c r="HO11" s="750">
        <f t="shared" si="28"/>
        <v>40</v>
      </c>
      <c r="HP11" s="746">
        <v>1</v>
      </c>
      <c r="HQ11" s="747">
        <f>VLOOKUP(HO11,'Ціни контур теплопостачання'!$AO$55:$AQ$63,3,0)</f>
        <v>193.55</v>
      </c>
      <c r="HR11" s="748">
        <f t="shared" si="94"/>
        <v>193.55</v>
      </c>
      <c r="HS11" s="745">
        <f t="shared" si="29"/>
        <v>25</v>
      </c>
      <c r="HT11" s="749">
        <v>1</v>
      </c>
      <c r="HU11" s="747">
        <f>VLOOKUP(HS11,'Ціни контур теплопостачання'!$K$62:$M$67,3,0)</f>
        <v>92.91</v>
      </c>
      <c r="HV11" s="765">
        <f t="shared" si="95"/>
        <v>92.91</v>
      </c>
      <c r="HW11" s="655" t="str">
        <f t="shared" ref="HW11" si="116">HW10</f>
        <v>0-150</v>
      </c>
      <c r="HX11" s="720">
        <v>1</v>
      </c>
      <c r="HY11" s="747">
        <f>VLOOKUP(HW11,'Ціни контур мережний'!$I$79:$M$80,5,0)</f>
        <v>15.050156291498967</v>
      </c>
      <c r="HZ11" s="748">
        <f t="shared" si="96"/>
        <v>15.050156291498967</v>
      </c>
      <c r="IA11" s="758" t="s">
        <v>109</v>
      </c>
      <c r="IB11" s="749">
        <v>5</v>
      </c>
      <c r="IC11" s="747">
        <f>VLOOKUP(IA11,'Ціни контур мережний'!$I$79:$M$80,5,0)</f>
        <v>15.050156291498967</v>
      </c>
      <c r="ID11" s="765">
        <f t="shared" si="97"/>
        <v>75.250781457494838</v>
      </c>
      <c r="IE11" s="655" t="s">
        <v>108</v>
      </c>
      <c r="IF11" s="720">
        <v>5</v>
      </c>
      <c r="IG11" s="747">
        <f>VLOOKUP(IE11,'Ціни контур мережний'!$I$67:$M$69,5,0)</f>
        <v>4.4537969640631703</v>
      </c>
      <c r="IH11" s="748">
        <f t="shared" si="98"/>
        <v>22.26898482031585</v>
      </c>
      <c r="II11" s="655" t="s">
        <v>106</v>
      </c>
      <c r="IJ11" s="720">
        <f t="shared" si="30"/>
        <v>13</v>
      </c>
      <c r="IK11" s="747">
        <f>VLOOKUP(II11,'Ціни контур мережний'!$I$67:$M$69,5,0)</f>
        <v>4.4537969640631703</v>
      </c>
      <c r="IL11" s="748">
        <f t="shared" si="99"/>
        <v>57.899360532821213</v>
      </c>
      <c r="IM11" s="655" t="s">
        <v>1013</v>
      </c>
      <c r="IN11" s="720">
        <v>5</v>
      </c>
      <c r="IO11" s="747">
        <f>VLOOKUP(IM11,'Ціни контур мережний'!$I$64:$M$64,5,0)</f>
        <v>29.1312</v>
      </c>
      <c r="IP11" s="748">
        <f t="shared" si="100"/>
        <v>145.65600000000001</v>
      </c>
      <c r="IQ11" s="766" t="s">
        <v>1015</v>
      </c>
      <c r="IR11" s="749">
        <v>6</v>
      </c>
      <c r="IS11" s="747">
        <f>VLOOKUP(IQ11,'Ціни контур мережний'!$I$89:$M$89,5,0)</f>
        <v>79.523165325760516</v>
      </c>
      <c r="IT11" s="765">
        <f t="shared" si="101"/>
        <v>477.1389919545631</v>
      </c>
      <c r="IU11" s="778" t="s">
        <v>1016</v>
      </c>
      <c r="IV11" s="720">
        <f t="shared" ref="IV11:IV40" si="117">$IV$8</f>
        <v>7</v>
      </c>
      <c r="IW11" s="747">
        <f>VLOOKUP(IU11,'Ціни контур мережний'!$I$88:$M$88,5,0)</f>
        <v>13.211568975967202</v>
      </c>
      <c r="IX11" s="768">
        <f t="shared" si="102"/>
        <v>92.480982831770419</v>
      </c>
      <c r="IY11" s="779" t="s">
        <v>383</v>
      </c>
      <c r="IZ11" s="720">
        <v>1</v>
      </c>
      <c r="JA11" s="747">
        <f>VLOOKUP(IY11,'Ціни контур мережний'!$I$87:$M$87,5,0)</f>
        <v>13.483972460007763</v>
      </c>
      <c r="JB11" s="748">
        <f t="shared" si="103"/>
        <v>13.483972460007763</v>
      </c>
      <c r="JC11" s="769">
        <f t="shared" si="31"/>
        <v>4</v>
      </c>
      <c r="JD11" s="770">
        <f t="shared" si="104"/>
        <v>7926.2383394447425</v>
      </c>
      <c r="JE11" s="771">
        <f>$JE$44/'Ціни контур мережний'!$G$26</f>
        <v>476.70609707098151</v>
      </c>
      <c r="JF11" s="771">
        <f>$JE$44/'Ціни контур мережний'!$G$26</f>
        <v>476.70609707098151</v>
      </c>
      <c r="JG11" s="770">
        <f t="shared" si="112"/>
        <v>661.80181284518619</v>
      </c>
      <c r="JH11" s="770">
        <f t="shared" si="113"/>
        <v>487.81784379022207</v>
      </c>
      <c r="JI11" s="770">
        <f>$JI$43/'Ціни контур мережний'!$G$26</f>
        <v>323.47913729816605</v>
      </c>
      <c r="JJ11" s="770">
        <f t="shared" si="105"/>
        <v>66.611999999999995</v>
      </c>
      <c r="JK11" s="772">
        <v>0</v>
      </c>
      <c r="JL11" s="772">
        <f t="shared" si="114"/>
        <v>62.86234247089866</v>
      </c>
      <c r="JM11" s="772">
        <v>0</v>
      </c>
      <c r="JN11" s="770">
        <v>0</v>
      </c>
      <c r="JO11" s="662">
        <f t="shared" si="32"/>
        <v>733.7556568993823</v>
      </c>
      <c r="JP11" s="1022">
        <f t="shared" si="33"/>
        <v>1048.2223669991176</v>
      </c>
      <c r="JQ11" s="1023">
        <f t="shared" si="34"/>
        <v>180.32028831939169</v>
      </c>
      <c r="JR11" s="1023">
        <f t="shared" si="115"/>
        <v>300.63036461094771</v>
      </c>
      <c r="JS11" s="777">
        <f t="shared" si="106"/>
        <v>12745.152346820016</v>
      </c>
      <c r="JU11" s="616">
        <f>[3]Расчеты!AX10/1.2</f>
        <v>4013.0253403083561</v>
      </c>
      <c r="JV11" s="616">
        <f t="shared" si="107"/>
        <v>16758.177687128373</v>
      </c>
      <c r="JW11" s="616" t="e">
        <f>JV11*1.2*#REF!</f>
        <v>#REF!</v>
      </c>
      <c r="JX11" s="616"/>
    </row>
    <row r="12" spans="1:284" ht="12.6" customHeight="1">
      <c r="A12" s="610" t="s">
        <v>686</v>
      </c>
      <c r="B12" s="597">
        <v>6</v>
      </c>
      <c r="C12" s="1056" t="s">
        <v>1423</v>
      </c>
      <c r="D12" s="892">
        <v>0.25747999999999999</v>
      </c>
      <c r="E12" s="918">
        <v>0.29799999999999999</v>
      </c>
      <c r="F12" s="742">
        <f t="shared" si="35"/>
        <v>12.217086733430213</v>
      </c>
      <c r="G12" s="743">
        <v>65</v>
      </c>
      <c r="H12" s="598">
        <f t="shared" si="36"/>
        <v>4.5994998213647724</v>
      </c>
      <c r="I12" s="599">
        <v>40</v>
      </c>
      <c r="J12" s="598">
        <f t="shared" si="37"/>
        <v>10.706029106029105</v>
      </c>
      <c r="K12" s="599">
        <v>65</v>
      </c>
      <c r="L12" s="598">
        <f t="shared" si="38"/>
        <v>7.6175869120654403</v>
      </c>
      <c r="M12" s="599">
        <v>50</v>
      </c>
      <c r="N12" s="598">
        <f t="shared" si="39"/>
        <v>6.0446247464503049</v>
      </c>
      <c r="O12" s="599">
        <v>50</v>
      </c>
      <c r="P12" s="598">
        <f t="shared" si="108"/>
        <v>1.8133874239350913</v>
      </c>
      <c r="Q12" s="599">
        <v>32</v>
      </c>
      <c r="R12" s="598">
        <f t="shared" si="40"/>
        <v>6.5046750275066882</v>
      </c>
      <c r="S12" s="600">
        <f t="shared" si="41"/>
        <v>10.77289472359873</v>
      </c>
      <c r="T12" s="1025">
        <v>2</v>
      </c>
      <c r="U12" s="601">
        <f t="shared" si="42"/>
        <v>5.3530145530145523</v>
      </c>
      <c r="V12" s="601">
        <f t="shared" si="43"/>
        <v>7.5703057804537304</v>
      </c>
      <c r="W12" s="602">
        <v>50</v>
      </c>
      <c r="X12" s="1014">
        <v>5.2</v>
      </c>
      <c r="Y12" s="601">
        <f t="shared" si="44"/>
        <v>1.56</v>
      </c>
      <c r="Z12" s="992">
        <v>25</v>
      </c>
      <c r="AA12" s="1015">
        <v>16</v>
      </c>
      <c r="AB12" s="745">
        <f t="shared" si="0"/>
        <v>65</v>
      </c>
      <c r="AC12" s="746">
        <v>2</v>
      </c>
      <c r="AD12" s="747">
        <f>VLOOKUP(AB12,'Ціни контур мережний'!$Z$24:$AB$36,3,0)</f>
        <v>30.19184015363556</v>
      </c>
      <c r="AE12" s="748">
        <f t="shared" si="45"/>
        <v>60.383680307271121</v>
      </c>
      <c r="AF12" s="745">
        <f t="shared" si="1"/>
        <v>65</v>
      </c>
      <c r="AG12" s="749">
        <v>2</v>
      </c>
      <c r="AH12" s="747">
        <f>VLOOKUP(AF12,'Ціни контур мережний'!$Z$64:$AB$77,3,0)</f>
        <v>105.883234246566</v>
      </c>
      <c r="AI12" s="748">
        <f t="shared" si="46"/>
        <v>211.76646849313201</v>
      </c>
      <c r="AJ12" s="745">
        <f t="shared" si="2"/>
        <v>65</v>
      </c>
      <c r="AK12" s="746">
        <v>1</v>
      </c>
      <c r="AL12" s="747">
        <f>VLOOKUP(AJ12,'Ціни контур мережний'!$Z$5:$AB$17,3,0)</f>
        <v>39.731999999999999</v>
      </c>
      <c r="AM12" s="748">
        <f t="shared" si="47"/>
        <v>39.731999999999999</v>
      </c>
      <c r="AN12" s="750">
        <f t="shared" si="3"/>
        <v>40</v>
      </c>
      <c r="AO12" s="746">
        <v>3</v>
      </c>
      <c r="AP12" s="747">
        <f>VLOOKUP(AN12,'Ціни контур мережний'!$Z$43:$AB$55,3,0)</f>
        <v>18.42400964308333</v>
      </c>
      <c r="AQ12" s="768">
        <f t="shared" si="48"/>
        <v>55.272028929249991</v>
      </c>
      <c r="AR12" s="749">
        <f t="shared" si="4"/>
        <v>50</v>
      </c>
      <c r="AS12" s="749">
        <v>4</v>
      </c>
      <c r="AT12" s="747">
        <f>VLOOKUP(AR12,'Ціни контур мережний'!$Z$43:$AB$55,3,0)</f>
        <v>23.2782130224622</v>
      </c>
      <c r="AU12" s="1016">
        <f t="shared" si="49"/>
        <v>93.112852089848801</v>
      </c>
      <c r="AV12" s="751" t="str">
        <f t="shared" si="50"/>
        <v>AMV20</v>
      </c>
      <c r="AW12" s="751">
        <v>1</v>
      </c>
      <c r="AX12" s="747">
        <f>VLOOKUP(AV12,'Ціни контур мережний'!$I$53:$M$57,5,0)</f>
        <v>110.39869654932889</v>
      </c>
      <c r="AY12" s="748">
        <f t="shared" si="51"/>
        <v>110.39869654932889</v>
      </c>
      <c r="AZ12" s="752">
        <f t="array" ref="AZ12">MIN(IF('Ціни контур мережний'!$Y$83:$Y$92&gt;(R12*1.2),'Ціни контур мережний'!$Y$83:$Y$92))</f>
        <v>10</v>
      </c>
      <c r="BA12" s="746">
        <f>VLOOKUP(AZ12,'Ціни контур мережний'!$Y$83:$Z$92,2,0)</f>
        <v>25</v>
      </c>
      <c r="BB12" s="746">
        <v>1</v>
      </c>
      <c r="BC12" s="747">
        <f>VLOOKUP(AZ12,'Ціни контур мережний'!$Y$83:$AB$92,4,0)</f>
        <v>117.50505648967251</v>
      </c>
      <c r="BD12" s="748">
        <f t="shared" si="52"/>
        <v>117.50505648967251</v>
      </c>
      <c r="BE12" s="1099">
        <f t="array" ref="BE12">MIN(IF('[1]Ціни контур мережний'!$Y$104:$Y$114&gt;(R12*1.2),'[1]Ціни контур мережний'!$Y$104:$Y$114))</f>
        <v>8</v>
      </c>
      <c r="BF12" s="1101">
        <f>VLOOKUP(BE12,'[1]Ціни контур мережний'!$Y$104:$Z$114,2,0)</f>
        <v>25</v>
      </c>
      <c r="BG12" s="753">
        <v>1</v>
      </c>
      <c r="BH12" s="754">
        <f>VLOOKUP(BE12,'Ціни контур мережний'!$Y$104:$AB$114,4,0)</f>
        <v>278.09338672441618</v>
      </c>
      <c r="BI12" s="755">
        <f t="shared" si="53"/>
        <v>278.09338672441618</v>
      </c>
      <c r="BJ12" s="751" t="s">
        <v>67</v>
      </c>
      <c r="BK12" s="749">
        <v>1</v>
      </c>
      <c r="BL12" s="747">
        <f>VLOOKUP(BJ12,'Ціни контур мережний'!$I$53:$M$57,5,0)</f>
        <v>157.67238032974441</v>
      </c>
      <c r="BM12" s="748">
        <f t="shared" si="54"/>
        <v>157.67238032974441</v>
      </c>
      <c r="BN12" s="896">
        <f t="array" ref="BN12">MIN(IF('Ціни контур мережний'!$Y$83:$Y$93&gt;(S12*1.2),'Ціни контур мережний'!$Y$83:$Y$93))</f>
        <v>16</v>
      </c>
      <c r="BO12" s="896">
        <f>VLOOKUP(BN12,'Ціни контур мережний'!$Y$83:$Z$93,2,0)</f>
        <v>32</v>
      </c>
      <c r="BP12" s="895">
        <v>1</v>
      </c>
      <c r="BQ12" s="896">
        <f>VLOOKUP(BN12,'Ціни контур мережний'!$Y$83:$AB$93,4,0)</f>
        <v>130.5392363168325</v>
      </c>
      <c r="BR12" s="897">
        <f t="shared" si="55"/>
        <v>130.5392363168325</v>
      </c>
      <c r="BS12" s="896">
        <f t="array" ref="BS12">MIN(IF('Ціни контур мережний'!$Y$104:$Y$114&gt;(S12*1.2),'Ціни контур мережний'!$Y$104:$Y$114))</f>
        <v>20</v>
      </c>
      <c r="BT12" s="896">
        <f>VLOOKUP(BS12,'Ціни контур мережний'!$Y$104:$Z$114,2,0)</f>
        <v>40</v>
      </c>
      <c r="BU12" s="895">
        <v>1</v>
      </c>
      <c r="BV12" s="896">
        <f>VLOOKUP(BS12,'Ціни контур мережний'!$Y$104:$AB$114,4,0)</f>
        <v>448.22326189551967</v>
      </c>
      <c r="BW12" s="897">
        <f t="shared" si="56"/>
        <v>448.22326189551967</v>
      </c>
      <c r="BX12" s="751">
        <f>VLOOKUP(BY12,'Ціни контур мережний'!$J$5:$L$12,3,0)</f>
        <v>25</v>
      </c>
      <c r="BY12" s="751">
        <f t="array" ref="BY12">MIN(IF('Ціни контур мережний'!$J$5:$J$12&gt;H12,'Ціни контур мережний'!$J$5:$J$12))</f>
        <v>6</v>
      </c>
      <c r="BZ12" s="746" t="str">
        <f t="shared" si="109"/>
        <v>Pt500</v>
      </c>
      <c r="CA12" s="756">
        <v>1</v>
      </c>
      <c r="CB12" s="747">
        <f>VLOOKUP(BY12,'Ціни контур мережний'!$J$5:$N$12,5,0)</f>
        <v>341.25599999999997</v>
      </c>
      <c r="CC12" s="748">
        <f t="shared" si="57"/>
        <v>341.25599999999997</v>
      </c>
      <c r="CD12" s="758">
        <f>VLOOKUP(CE12,'Ціни контур мережний'!$J$5:$L$12,3,0)</f>
        <v>40</v>
      </c>
      <c r="CE12" s="747">
        <f t="array" ref="CE12">MIN(IF('Ціни контур мережний'!$J$5:$J$12&gt;L12,'Ціни контур мережний'!$J$5:$J$12))</f>
        <v>10</v>
      </c>
      <c r="CF12" s="746" t="s">
        <v>130</v>
      </c>
      <c r="CG12" s="749">
        <v>1</v>
      </c>
      <c r="CH12" s="747">
        <f>VLOOKUP(CE12,'Ціни контур мережний'!$J$5:$N$12,5,0)</f>
        <v>375.23999999999995</v>
      </c>
      <c r="CI12" s="748">
        <f t="shared" si="58"/>
        <v>375.23999999999995</v>
      </c>
      <c r="CJ12" s="899" t="s">
        <v>1292</v>
      </c>
      <c r="CK12" s="899">
        <v>1</v>
      </c>
      <c r="CL12" s="898">
        <v>804</v>
      </c>
      <c r="CM12" s="901">
        <f t="shared" si="59"/>
        <v>804</v>
      </c>
      <c r="CN12" s="898" t="s">
        <v>1320</v>
      </c>
      <c r="CO12" s="899">
        <v>1</v>
      </c>
      <c r="CP12" s="900">
        <v>645</v>
      </c>
      <c r="CQ12" s="901">
        <f t="shared" si="60"/>
        <v>645</v>
      </c>
      <c r="CR12" s="751">
        <f t="shared" si="5"/>
        <v>65</v>
      </c>
      <c r="CS12" s="746">
        <v>4</v>
      </c>
      <c r="CT12" s="747">
        <f>VLOOKUP(CR12,'Ціни контур теплопостачання'!$Y$5:$AA$17,3,0)</f>
        <v>30.19184015363556</v>
      </c>
      <c r="CU12" s="748">
        <f t="shared" si="61"/>
        <v>120.76736061454224</v>
      </c>
      <c r="CV12" s="750">
        <f t="shared" si="6"/>
        <v>50</v>
      </c>
      <c r="CW12" s="746">
        <v>6</v>
      </c>
      <c r="CX12" s="747">
        <f>VLOOKUP(CV12,'Ціни контур теплопостачання'!$AO$20:$AQ$29,3,0)</f>
        <v>37.588411955788914</v>
      </c>
      <c r="CY12" s="748">
        <f t="shared" si="62"/>
        <v>225.53047173473348</v>
      </c>
      <c r="CZ12" s="750">
        <f t="shared" si="7"/>
        <v>32</v>
      </c>
      <c r="DA12" s="746">
        <v>3</v>
      </c>
      <c r="DB12" s="747">
        <f>VLOOKUP(CZ12,'Ціни контур теплопостачання'!$AO$20:$AQ$29,3,0)</f>
        <v>10.381</v>
      </c>
      <c r="DC12" s="748">
        <f t="shared" si="63"/>
        <v>31.143000000000001</v>
      </c>
      <c r="DD12" s="757">
        <f t="shared" si="8"/>
        <v>50</v>
      </c>
      <c r="DE12" s="746">
        <f t="shared" si="9"/>
        <v>4</v>
      </c>
      <c r="DF12" s="747">
        <f>VLOOKUP(DD12,'Ціни контур теплопостачання'!$Y$5:$AA$17,3,0)</f>
        <v>23.2782130224622</v>
      </c>
      <c r="DG12" s="748">
        <f t="shared" si="64"/>
        <v>93.112852089848801</v>
      </c>
      <c r="DH12" s="745">
        <f t="shared" si="65"/>
        <v>32</v>
      </c>
      <c r="DI12" s="749">
        <f t="shared" si="66"/>
        <v>1</v>
      </c>
      <c r="DJ12" s="747">
        <f>VLOOKUP(DH12,'Ціни контур теплопостачання'!$Y$5:$AA$17,3,0)</f>
        <v>10.381</v>
      </c>
      <c r="DK12" s="765">
        <f t="shared" si="67"/>
        <v>10.381</v>
      </c>
      <c r="DL12" s="757">
        <f t="shared" si="10"/>
        <v>25</v>
      </c>
      <c r="DM12" s="746">
        <v>1</v>
      </c>
      <c r="DN12" s="747">
        <f>VLOOKUP(DL12,'Ціни контур мережний'!$Z$43:$AB$55,3,0)</f>
        <v>14.856886019572187</v>
      </c>
      <c r="DO12" s="748">
        <f t="shared" si="68"/>
        <v>14.856886019572187</v>
      </c>
      <c r="DP12" s="757">
        <f t="shared" si="11"/>
        <v>25</v>
      </c>
      <c r="DQ12" s="746">
        <v>2</v>
      </c>
      <c r="DR12" s="747">
        <f>VLOOKUP(DP12,'Ціни контур теплопостачання'!$Y$5:$AA$17,3,0)</f>
        <v>6.3070000000000004</v>
      </c>
      <c r="DS12" s="748">
        <f t="shared" si="69"/>
        <v>12.614000000000001</v>
      </c>
      <c r="DT12" s="745">
        <v>20</v>
      </c>
      <c r="DU12" s="749">
        <v>2</v>
      </c>
      <c r="DV12" s="747">
        <f>VLOOKUP(DT12,'Ціни контур теплопостачання'!$Y$5:$AA$17,3,0)</f>
        <v>3.577</v>
      </c>
      <c r="DW12" s="748">
        <f t="shared" si="70"/>
        <v>7.1539999999999999</v>
      </c>
      <c r="DX12" s="745">
        <v>15</v>
      </c>
      <c r="DY12" s="745">
        <v>10</v>
      </c>
      <c r="DZ12" s="758">
        <f>VLOOKUP(DX12,'Ціни контур теплопостачання'!$Y$5:$AA$17,3,0)</f>
        <v>2.464</v>
      </c>
      <c r="EA12" s="759">
        <f t="shared" si="71"/>
        <v>24.64</v>
      </c>
      <c r="EB12" s="745">
        <v>15</v>
      </c>
      <c r="EC12" s="745">
        <f t="shared" si="110"/>
        <v>38</v>
      </c>
      <c r="ED12" s="758">
        <f>VLOOKUP(EB12,'Ціни контур мережний'!$J$71:$M$71,4,0)</f>
        <v>3.3865201135922525</v>
      </c>
      <c r="EE12" s="759">
        <f t="shared" si="72"/>
        <v>128.68776431650559</v>
      </c>
      <c r="EF12" s="751">
        <f t="shared" si="12"/>
        <v>65</v>
      </c>
      <c r="EG12" s="746">
        <v>1</v>
      </c>
      <c r="EH12" s="747">
        <f>VLOOKUP(EF12,'Ціни контур теплопостачання'!$K$5:$M$17,3,0)</f>
        <v>39.731999999999999</v>
      </c>
      <c r="EI12" s="748">
        <f t="shared" si="73"/>
        <v>39.731999999999999</v>
      </c>
      <c r="EJ12" s="745">
        <f t="shared" si="13"/>
        <v>50</v>
      </c>
      <c r="EK12" s="749">
        <v>1</v>
      </c>
      <c r="EL12" s="747">
        <f>VLOOKUP(EJ12,'Ціни контур теплопостачання'!$K$5:$M$17,3,0)</f>
        <v>26.284999999999997</v>
      </c>
      <c r="EM12" s="748">
        <f t="shared" si="74"/>
        <v>26.284999999999997</v>
      </c>
      <c r="EN12" s="745">
        <f t="shared" si="14"/>
        <v>32</v>
      </c>
      <c r="EO12" s="745">
        <v>1</v>
      </c>
      <c r="EP12" s="758">
        <f>VLOOKUP(EN12,'Ціни контур теплопостачання'!$K$5:$M$17,3,0)</f>
        <v>9.48</v>
      </c>
      <c r="EQ12" s="759">
        <f t="shared" si="75"/>
        <v>9.48</v>
      </c>
      <c r="ER12" s="745">
        <f t="shared" si="15"/>
        <v>25</v>
      </c>
      <c r="ES12" s="745">
        <v>1</v>
      </c>
      <c r="ET12" s="758">
        <f>VLOOKUP(ER12,'Ціни контур теплопостачання'!$K$5:$M$17,3,0)</f>
        <v>4.78</v>
      </c>
      <c r="EU12" s="759">
        <f t="shared" si="76"/>
        <v>4.78</v>
      </c>
      <c r="EV12" s="751">
        <f t="shared" si="16"/>
        <v>65</v>
      </c>
      <c r="EW12" s="746">
        <v>2</v>
      </c>
      <c r="EX12" s="747">
        <f>VLOOKUP(EV12,'Ціни контур теплопостачання'!$Y$24:$AA$36,3,0)</f>
        <v>42.080999999999996</v>
      </c>
      <c r="EY12" s="748">
        <f t="shared" si="77"/>
        <v>84.161999999999992</v>
      </c>
      <c r="EZ12" s="745">
        <f t="shared" si="17"/>
        <v>50</v>
      </c>
      <c r="FA12" s="749">
        <v>1</v>
      </c>
      <c r="FB12" s="747">
        <f>VLOOKUP(EZ12,'Ціни контур теплопостачання'!$AO$38:$AQ$50,3,0)</f>
        <v>28.560999999999996</v>
      </c>
      <c r="FC12" s="748">
        <f t="shared" si="78"/>
        <v>28.560999999999996</v>
      </c>
      <c r="FD12" s="745">
        <f t="shared" si="18"/>
        <v>32</v>
      </c>
      <c r="FE12" s="745">
        <v>1</v>
      </c>
      <c r="FF12" s="758">
        <f>VLOOKUP(FD12,'Ціни контур теплопостачання'!$AO$38:$AQ$50,3,0)</f>
        <v>10.773</v>
      </c>
      <c r="FG12" s="759">
        <f t="shared" si="79"/>
        <v>10.773</v>
      </c>
      <c r="FH12" s="745">
        <f t="shared" si="19"/>
        <v>25</v>
      </c>
      <c r="FI12" s="745">
        <v>1</v>
      </c>
      <c r="FJ12" s="758">
        <f>VLOOKUP(FH12,'Ціни контур теплопостачання'!$Y$24:$AA$36,3,0)</f>
        <v>6.9659999999999993</v>
      </c>
      <c r="FK12" s="759">
        <f t="shared" si="80"/>
        <v>6.9659999999999993</v>
      </c>
      <c r="FL12" s="745">
        <f t="shared" si="20"/>
        <v>50</v>
      </c>
      <c r="FM12" s="745">
        <f t="shared" si="21"/>
        <v>4</v>
      </c>
      <c r="FN12" s="758">
        <f>VLOOKUP(FL12,'Ціни контур теплопостачання'!$Y$76:$AA$88,3,0)</f>
        <v>20.6</v>
      </c>
      <c r="FO12" s="759">
        <f t="shared" si="81"/>
        <v>82.4</v>
      </c>
      <c r="FP12" s="745">
        <f t="shared" si="22"/>
        <v>50</v>
      </c>
      <c r="FQ12" s="745">
        <v>1</v>
      </c>
      <c r="FR12" s="758">
        <f>VLOOKUP(FP12,'Ціни контур теплопостачання'!$Y$76:$AA$88,3,0)</f>
        <v>20.6</v>
      </c>
      <c r="FS12" s="759">
        <f t="shared" si="82"/>
        <v>20.6</v>
      </c>
      <c r="FT12" s="745">
        <f t="shared" si="23"/>
        <v>32</v>
      </c>
      <c r="FU12" s="745">
        <v>1</v>
      </c>
      <c r="FV12" s="758">
        <f>VLOOKUP(FT12,'Ціни контур теплопостачання'!$Y$76:$AA$88,3,0)</f>
        <v>13.15</v>
      </c>
      <c r="FW12" s="759">
        <f t="shared" si="83"/>
        <v>13.15</v>
      </c>
      <c r="FX12" s="758">
        <f t="shared" si="24"/>
        <v>25.773986886005819</v>
      </c>
      <c r="FY12" s="760">
        <v>25</v>
      </c>
      <c r="FZ12" s="719">
        <v>2</v>
      </c>
      <c r="GA12" s="747">
        <f>VLOOKUP(FY12,'Ціни контур теплопостачання'!$K$74:$M$79,3,0)</f>
        <v>22.22</v>
      </c>
      <c r="GB12" s="761">
        <f t="shared" si="84"/>
        <v>44.44</v>
      </c>
      <c r="GC12" s="762">
        <f t="shared" si="85"/>
        <v>10.706029106029105</v>
      </c>
      <c r="GD12" s="902">
        <v>16</v>
      </c>
      <c r="GE12" s="1017">
        <v>14</v>
      </c>
      <c r="GF12" s="1018" t="s">
        <v>124</v>
      </c>
      <c r="GG12" s="713">
        <v>2</v>
      </c>
      <c r="GH12" s="709">
        <f>VLOOKUP(GF12,'Ціни контур теплопостачання'!$C$89:$M$105,11,0)</f>
        <v>678</v>
      </c>
      <c r="GI12" s="764">
        <f t="shared" si="86"/>
        <v>1356</v>
      </c>
      <c r="GJ12" s="912">
        <f t="shared" si="87"/>
        <v>1.8133874239350913</v>
      </c>
      <c r="GK12" s="902">
        <v>16</v>
      </c>
      <c r="GL12" s="1017">
        <v>10</v>
      </c>
      <c r="GM12" s="1019" t="s">
        <v>1097</v>
      </c>
      <c r="GN12" s="749">
        <v>1</v>
      </c>
      <c r="GO12" s="747">
        <f>VLOOKUP(GM12,'Ціни контур теплопостачання'!$C$89:$M$105,11,0)</f>
        <v>241.2</v>
      </c>
      <c r="GP12" s="904">
        <f t="shared" si="88"/>
        <v>241.2</v>
      </c>
      <c r="GQ12" s="758">
        <f t="shared" si="25"/>
        <v>785.30084623992821</v>
      </c>
      <c r="GR12" s="955">
        <v>750</v>
      </c>
      <c r="GS12" s="749">
        <f>VLOOKUP(GR12,'Ціни контур теплопостачання'!$J$43:$K$55,2,0)</f>
        <v>32</v>
      </c>
      <c r="GT12" s="1020">
        <v>1</v>
      </c>
      <c r="GU12" s="747">
        <f>VLOOKUP(GR12,'Ціни контур теплопостачання'!$J$43:$M$55,4,0)</f>
        <v>376.94</v>
      </c>
      <c r="GV12" s="748">
        <f t="shared" si="89"/>
        <v>376.94</v>
      </c>
      <c r="GW12" s="758">
        <f t="array" ref="GW12">MIN(IF('Ціни контур теплопостачання'!$AN$68:$AN$77&gt;(V12*1.2),'Ціни контур теплопостачання'!$AN$68:$AN$77))</f>
        <v>11.13</v>
      </c>
      <c r="GX12" s="749">
        <f>VLOOKUP(GW12,'Ціни контур теплопостачання'!$AN$68:$AO$77,2,0)</f>
        <v>32</v>
      </c>
      <c r="GY12" s="749">
        <f t="shared" si="26"/>
        <v>2</v>
      </c>
      <c r="GZ12" s="747">
        <f>VLOOKUP(GX12,'Ціни контур теплопостачання'!$AO$68:$AQ$77,3,0)</f>
        <v>37.183999999999997</v>
      </c>
      <c r="HA12" s="759">
        <f t="shared" si="90"/>
        <v>74.367999999999995</v>
      </c>
      <c r="HB12" s="751">
        <v>15</v>
      </c>
      <c r="HC12" s="746">
        <v>2</v>
      </c>
      <c r="HD12" s="747">
        <f>VLOOKUP(HB12,'Ціни контур мережний'!$J$73:$M$73,4,0)</f>
        <v>3.4649999999999999</v>
      </c>
      <c r="HE12" s="748">
        <f t="shared" si="91"/>
        <v>6.93</v>
      </c>
      <c r="HF12" s="749">
        <f t="shared" si="27"/>
        <v>25</v>
      </c>
      <c r="HG12" s="749">
        <v>1</v>
      </c>
      <c r="HH12" s="747">
        <f>VLOOKUP(HF12,'Ціни контур теплопостачання'!$Y$62:$AA$69,3,0)</f>
        <v>89.924040000000005</v>
      </c>
      <c r="HI12" s="765">
        <f t="shared" si="92"/>
        <v>89.924040000000005</v>
      </c>
      <c r="HJ12" s="750">
        <f>VLOOKUP(HK12,'Ціни контур теплопостачання'!$AN$6:$AO$13,2,0)</f>
        <v>40</v>
      </c>
      <c r="HK12" s="751">
        <f t="array" ref="HK12">MIN(IF('Ціни контур теплопостачання'!$AN$6:$AN$13&gt;N12,'Ціни контур теплопостачання'!$AN$6:$AN$13))</f>
        <v>15</v>
      </c>
      <c r="HL12" s="751">
        <v>1</v>
      </c>
      <c r="HM12" s="747">
        <f>VLOOKUP(HJ12,'Ціни контур теплопостачання'!$AO$6:$AQ$13,3,0)</f>
        <v>140.82444000000001</v>
      </c>
      <c r="HN12" s="748">
        <f t="shared" si="93"/>
        <v>140.82444000000001</v>
      </c>
      <c r="HO12" s="750">
        <f t="shared" si="28"/>
        <v>50</v>
      </c>
      <c r="HP12" s="746">
        <v>1</v>
      </c>
      <c r="HQ12" s="747">
        <f>VLOOKUP(HO12,'Ціни контур теплопостачання'!$AO$55:$AQ$63,3,0)</f>
        <v>355.5</v>
      </c>
      <c r="HR12" s="748">
        <f t="shared" si="94"/>
        <v>355.5</v>
      </c>
      <c r="HS12" s="745">
        <f t="shared" si="29"/>
        <v>25</v>
      </c>
      <c r="HT12" s="749">
        <v>1</v>
      </c>
      <c r="HU12" s="747">
        <f>VLOOKUP(HS12,'Ціни контур теплопостачання'!$K$62:$M$67,3,0)</f>
        <v>92.91</v>
      </c>
      <c r="HV12" s="765">
        <f t="shared" si="95"/>
        <v>92.91</v>
      </c>
      <c r="HW12" s="655" t="str">
        <f t="shared" ref="HW12" si="118">HW11</f>
        <v>0-150</v>
      </c>
      <c r="HX12" s="720">
        <v>1</v>
      </c>
      <c r="HY12" s="747">
        <f>VLOOKUP(HW12,'Ціни контур мережний'!$I$79:$M$80,5,0)</f>
        <v>15.050156291498967</v>
      </c>
      <c r="HZ12" s="748">
        <f t="shared" si="96"/>
        <v>15.050156291498967</v>
      </c>
      <c r="IA12" s="758" t="s">
        <v>109</v>
      </c>
      <c r="IB12" s="749">
        <v>5</v>
      </c>
      <c r="IC12" s="747">
        <f>VLOOKUP(IA12,'Ціни контур мережний'!$I$79:$M$80,5,0)</f>
        <v>15.050156291498967</v>
      </c>
      <c r="ID12" s="765">
        <f t="shared" si="97"/>
        <v>75.250781457494838</v>
      </c>
      <c r="IE12" s="655" t="s">
        <v>108</v>
      </c>
      <c r="IF12" s="720">
        <v>5</v>
      </c>
      <c r="IG12" s="747">
        <f>VLOOKUP(IE12,'Ціни контур мережний'!$I$67:$M$69,5,0)</f>
        <v>4.4537969640631703</v>
      </c>
      <c r="IH12" s="748">
        <f t="shared" si="98"/>
        <v>22.26898482031585</v>
      </c>
      <c r="II12" s="655" t="s">
        <v>106</v>
      </c>
      <c r="IJ12" s="1026">
        <f t="shared" si="30"/>
        <v>13</v>
      </c>
      <c r="IK12" s="747">
        <f>VLOOKUP(II12,'Ціни контур мережний'!$I$67:$M$69,5,0)</f>
        <v>4.4537969640631703</v>
      </c>
      <c r="IL12" s="748">
        <f t="shared" si="99"/>
        <v>57.899360532821213</v>
      </c>
      <c r="IM12" s="655" t="s">
        <v>1013</v>
      </c>
      <c r="IN12" s="720">
        <v>5</v>
      </c>
      <c r="IO12" s="747">
        <f>VLOOKUP(IM12,'Ціни контур мережний'!$I$64:$M$64,5,0)</f>
        <v>29.1312</v>
      </c>
      <c r="IP12" s="748">
        <f t="shared" si="100"/>
        <v>145.65600000000001</v>
      </c>
      <c r="IQ12" s="766" t="s">
        <v>1015</v>
      </c>
      <c r="IR12" s="749">
        <v>6</v>
      </c>
      <c r="IS12" s="747">
        <f>VLOOKUP(IQ12,'Ціни контур мережний'!$I$89:$M$89,5,0)</f>
        <v>79.523165325760516</v>
      </c>
      <c r="IT12" s="765">
        <f t="shared" si="101"/>
        <v>477.1389919545631</v>
      </c>
      <c r="IU12" s="767" t="s">
        <v>1016</v>
      </c>
      <c r="IV12" s="720">
        <f t="shared" si="117"/>
        <v>7</v>
      </c>
      <c r="IW12" s="747">
        <f>VLOOKUP(IU12,'Ціни контур мережний'!$I$88:$M$88,5,0)</f>
        <v>13.211568975967202</v>
      </c>
      <c r="IX12" s="768">
        <f t="shared" si="102"/>
        <v>92.480982831770419</v>
      </c>
      <c r="IY12" s="767" t="s">
        <v>383</v>
      </c>
      <c r="IZ12" s="720">
        <v>1</v>
      </c>
      <c r="JA12" s="747">
        <f>VLOOKUP(IY12,'Ціни контур мережний'!$I$87:$M$87,5,0)</f>
        <v>13.483972460007763</v>
      </c>
      <c r="JB12" s="748">
        <f t="shared" si="103"/>
        <v>13.483972460007763</v>
      </c>
      <c r="JC12" s="769">
        <f t="shared" si="31"/>
        <v>6</v>
      </c>
      <c r="JD12" s="770">
        <f t="shared" si="104"/>
        <v>8542.2370932486901</v>
      </c>
      <c r="JE12" s="771">
        <f>$JE$44/'Ціни контур мережний'!$G$26</f>
        <v>476.70609707098151</v>
      </c>
      <c r="JF12" s="771">
        <f>$JE$45/'Ціни контур мережний'!$G$26</f>
        <v>578.85740358619182</v>
      </c>
      <c r="JG12" s="770">
        <f t="shared" si="112"/>
        <v>661.80181284518619</v>
      </c>
      <c r="JH12" s="770">
        <f t="shared" si="113"/>
        <v>487.81784379022207</v>
      </c>
      <c r="JI12" s="770">
        <f>$JI$43/'Ціни контур мережний'!$G$26</f>
        <v>323.47913729816605</v>
      </c>
      <c r="JJ12" s="770">
        <f t="shared" si="105"/>
        <v>66.611999999999995</v>
      </c>
      <c r="JK12" s="772">
        <v>0</v>
      </c>
      <c r="JL12" s="772">
        <f t="shared" si="114"/>
        <v>62.86234247089866</v>
      </c>
      <c r="JM12" s="772">
        <v>0</v>
      </c>
      <c r="JN12" s="770">
        <v>0</v>
      </c>
      <c r="JO12" s="662">
        <f t="shared" si="32"/>
        <v>784.02616112172336</v>
      </c>
      <c r="JP12" s="1022">
        <f t="shared" si="33"/>
        <v>1120.0373730310334</v>
      </c>
      <c r="JQ12" s="1023">
        <f t="shared" si="34"/>
        <v>192.67425347127573</v>
      </c>
      <c r="JR12" s="1023">
        <f t="shared" si="115"/>
        <v>300.63036461094771</v>
      </c>
      <c r="JS12" s="777">
        <f t="shared" si="106"/>
        <v>13597.741882545313</v>
      </c>
      <c r="JU12" s="616">
        <f>[3]Расчеты!AX11/1.2</f>
        <v>4115.0288705094972</v>
      </c>
      <c r="JV12" s="616">
        <f t="shared" si="107"/>
        <v>17712.77075305481</v>
      </c>
      <c r="JW12" s="616" t="e">
        <f>JV12*1.2*#REF!</f>
        <v>#REF!</v>
      </c>
      <c r="JX12" s="616"/>
    </row>
    <row r="13" spans="1:284" ht="12.6" customHeight="1">
      <c r="A13" s="610" t="s">
        <v>686</v>
      </c>
      <c r="B13" s="597">
        <v>7</v>
      </c>
      <c r="C13" s="1056" t="s">
        <v>1424</v>
      </c>
      <c r="D13" s="892">
        <v>0.29815999999999998</v>
      </c>
      <c r="E13" s="918">
        <v>0.29799999999999999</v>
      </c>
      <c r="F13" s="742">
        <f t="shared" si="35"/>
        <v>12.943774836324103</v>
      </c>
      <c r="G13" s="743">
        <v>65</v>
      </c>
      <c r="H13" s="598">
        <f t="shared" si="36"/>
        <v>5.3261879242586625</v>
      </c>
      <c r="I13" s="599">
        <v>40</v>
      </c>
      <c r="J13" s="598">
        <f t="shared" si="37"/>
        <v>12.397505197505195</v>
      </c>
      <c r="K13" s="599">
        <v>80</v>
      </c>
      <c r="L13" s="598">
        <f t="shared" si="38"/>
        <v>7.6175869120654403</v>
      </c>
      <c r="M13" s="599">
        <v>50</v>
      </c>
      <c r="N13" s="598">
        <f t="shared" si="39"/>
        <v>6.0446247464503049</v>
      </c>
      <c r="O13" s="599">
        <v>50</v>
      </c>
      <c r="P13" s="598">
        <f t="shared" si="108"/>
        <v>1.8133874239350913</v>
      </c>
      <c r="Q13" s="599">
        <v>32</v>
      </c>
      <c r="R13" s="598">
        <f t="shared" si="40"/>
        <v>7.5323671982344029</v>
      </c>
      <c r="S13" s="600">
        <f t="shared" si="41"/>
        <v>10.77289472359873</v>
      </c>
      <c r="T13" s="1025">
        <v>2</v>
      </c>
      <c r="U13" s="601">
        <f t="shared" si="42"/>
        <v>6.1987525987525975</v>
      </c>
      <c r="V13" s="601">
        <f t="shared" si="43"/>
        <v>8.7663599949513902</v>
      </c>
      <c r="W13" s="602">
        <v>50</v>
      </c>
      <c r="X13" s="1014">
        <v>6</v>
      </c>
      <c r="Y13" s="601">
        <f t="shared" si="44"/>
        <v>1.7999999999999998</v>
      </c>
      <c r="Z13" s="992">
        <v>25</v>
      </c>
      <c r="AA13" s="1015">
        <v>16</v>
      </c>
      <c r="AB13" s="745">
        <f t="shared" si="0"/>
        <v>65</v>
      </c>
      <c r="AC13" s="746">
        <v>2</v>
      </c>
      <c r="AD13" s="747">
        <f>VLOOKUP(AB13,'Ціни контур мережний'!$Z$24:$AB$36,3,0)</f>
        <v>30.19184015363556</v>
      </c>
      <c r="AE13" s="748">
        <f t="shared" si="45"/>
        <v>60.383680307271121</v>
      </c>
      <c r="AF13" s="745">
        <f t="shared" si="1"/>
        <v>65</v>
      </c>
      <c r="AG13" s="749">
        <v>2</v>
      </c>
      <c r="AH13" s="747">
        <f>VLOOKUP(AF13,'Ціни контур мережний'!$Z$64:$AB$77,3,0)</f>
        <v>105.883234246566</v>
      </c>
      <c r="AI13" s="748">
        <f t="shared" si="46"/>
        <v>211.76646849313201</v>
      </c>
      <c r="AJ13" s="745">
        <f t="shared" si="2"/>
        <v>65</v>
      </c>
      <c r="AK13" s="746">
        <v>1</v>
      </c>
      <c r="AL13" s="747">
        <f>VLOOKUP(AJ13,'Ціни контур мережний'!$Z$5:$AB$17,3,0)</f>
        <v>39.731999999999999</v>
      </c>
      <c r="AM13" s="748">
        <f t="shared" si="47"/>
        <v>39.731999999999999</v>
      </c>
      <c r="AN13" s="750">
        <f t="shared" si="3"/>
        <v>40</v>
      </c>
      <c r="AO13" s="746">
        <v>3</v>
      </c>
      <c r="AP13" s="747">
        <f>VLOOKUP(AN13,'Ціни контур мережний'!$Z$43:$AB$55,3,0)</f>
        <v>18.42400964308333</v>
      </c>
      <c r="AQ13" s="768">
        <f t="shared" si="48"/>
        <v>55.272028929249991</v>
      </c>
      <c r="AR13" s="749">
        <f t="shared" si="4"/>
        <v>50</v>
      </c>
      <c r="AS13" s="749">
        <v>4</v>
      </c>
      <c r="AT13" s="747">
        <f>VLOOKUP(AR13,'Ціни контур мережний'!$Z$43:$AB$55,3,0)</f>
        <v>23.2782130224622</v>
      </c>
      <c r="AU13" s="1016">
        <f t="shared" si="49"/>
        <v>93.112852089848801</v>
      </c>
      <c r="AV13" s="751" t="str">
        <f t="shared" si="50"/>
        <v>AMV20</v>
      </c>
      <c r="AW13" s="751">
        <v>1</v>
      </c>
      <c r="AX13" s="747">
        <f>VLOOKUP(AV13,'Ціни контур мережний'!$I$53:$M$57,5,0)</f>
        <v>110.39869654932889</v>
      </c>
      <c r="AY13" s="748">
        <f t="shared" si="51"/>
        <v>110.39869654932889</v>
      </c>
      <c r="AZ13" s="752">
        <f t="array" ref="AZ13">MIN(IF('Ціни контур мережний'!$Y$83:$Y$92&gt;(R13*1.2),'Ціни контур мережний'!$Y$83:$Y$92))</f>
        <v>10</v>
      </c>
      <c r="BA13" s="746">
        <f>VLOOKUP(AZ13,'Ціни контур мережний'!$Y$83:$Z$92,2,0)</f>
        <v>25</v>
      </c>
      <c r="BB13" s="746">
        <v>1</v>
      </c>
      <c r="BC13" s="747">
        <f>VLOOKUP(AZ13,'Ціни контур мережний'!$Y$83:$AB$92,4,0)</f>
        <v>117.50505648967251</v>
      </c>
      <c r="BD13" s="748">
        <f t="shared" si="52"/>
        <v>117.50505648967251</v>
      </c>
      <c r="BE13" s="1099">
        <f t="array" ref="BE13">MIN(IF('[1]Ціни контур мережний'!$Y$104:$Y$114&gt;(R13*1.2),'[1]Ціни контур мережний'!$Y$104:$Y$114))</f>
        <v>12.5</v>
      </c>
      <c r="BF13" s="1101">
        <f>VLOOKUP(BE13,'[1]Ціни контур мережний'!$Y$104:$Z$114,2,0)</f>
        <v>32</v>
      </c>
      <c r="BG13" s="753">
        <v>1</v>
      </c>
      <c r="BH13" s="754">
        <f>VLOOKUP(BE13,'Ціни контур мережний'!$Y$104:$AB$114,4,0)</f>
        <v>435.76049604674444</v>
      </c>
      <c r="BI13" s="755">
        <f t="shared" si="53"/>
        <v>435.76049604674444</v>
      </c>
      <c r="BJ13" s="751" t="s">
        <v>67</v>
      </c>
      <c r="BK13" s="749">
        <v>1</v>
      </c>
      <c r="BL13" s="747">
        <f>VLOOKUP(BJ13,'Ціни контур мережний'!$I$53:$M$57,5,0)</f>
        <v>157.67238032974441</v>
      </c>
      <c r="BM13" s="748">
        <f t="shared" si="54"/>
        <v>157.67238032974441</v>
      </c>
      <c r="BN13" s="896">
        <f t="array" ref="BN13">MIN(IF('Ціни контур мережний'!$Y$83:$Y$93&gt;(S13*1.2),'Ціни контур мережний'!$Y$83:$Y$93))</f>
        <v>16</v>
      </c>
      <c r="BO13" s="896">
        <f>VLOOKUP(BN13,'Ціни контур мережний'!$Y$83:$Z$93,2,0)</f>
        <v>32</v>
      </c>
      <c r="BP13" s="895">
        <v>1</v>
      </c>
      <c r="BQ13" s="896">
        <f>VLOOKUP(BN13,'Ціни контур мережний'!$Y$83:$AB$93,4,0)</f>
        <v>130.5392363168325</v>
      </c>
      <c r="BR13" s="897">
        <f t="shared" si="55"/>
        <v>130.5392363168325</v>
      </c>
      <c r="BS13" s="896">
        <f t="array" ref="BS13">MIN(IF('Ціни контур мережний'!$Y$104:$Y$114&gt;(S13*1.2),'Ціни контур мережний'!$Y$104:$Y$114))</f>
        <v>20</v>
      </c>
      <c r="BT13" s="896">
        <f>VLOOKUP(BS13,'Ціни контур мережний'!$Y$104:$Z$114,2,0)</f>
        <v>40</v>
      </c>
      <c r="BU13" s="895">
        <v>1</v>
      </c>
      <c r="BV13" s="896">
        <f>VLOOKUP(BS13,'Ціни контур мережний'!$Y$104:$AB$114,4,0)</f>
        <v>448.22326189551967</v>
      </c>
      <c r="BW13" s="897">
        <f t="shared" si="56"/>
        <v>448.22326189551967</v>
      </c>
      <c r="BX13" s="751">
        <f>VLOOKUP(BY13,'Ціни контур мережний'!$J$5:$L$12,3,0)</f>
        <v>25</v>
      </c>
      <c r="BY13" s="751">
        <f t="array" ref="BY13">MIN(IF('Ціни контур мережний'!$J$5:$J$12&gt;H13,'Ціни контур мережний'!$J$5:$J$12))</f>
        <v>6</v>
      </c>
      <c r="BZ13" s="746" t="str">
        <f t="shared" si="109"/>
        <v>Pt500</v>
      </c>
      <c r="CA13" s="756">
        <v>1</v>
      </c>
      <c r="CB13" s="747">
        <f>VLOOKUP(BY13,'Ціни контур мережний'!$J$5:$N$12,5,0)</f>
        <v>341.25599999999997</v>
      </c>
      <c r="CC13" s="748">
        <f t="shared" si="57"/>
        <v>341.25599999999997</v>
      </c>
      <c r="CD13" s="758">
        <f>VLOOKUP(CE13,'Ціни контур мережний'!$J$5:$L$12,3,0)</f>
        <v>40</v>
      </c>
      <c r="CE13" s="747">
        <f t="array" ref="CE13">MIN(IF('Ціни контур мережний'!$J$5:$J$12&gt;L13,'Ціни контур мережний'!$J$5:$J$12))</f>
        <v>10</v>
      </c>
      <c r="CF13" s="746" t="s">
        <v>130</v>
      </c>
      <c r="CG13" s="749">
        <v>1</v>
      </c>
      <c r="CH13" s="747">
        <f>VLOOKUP(CE13,'Ціни контур мережний'!$J$5:$N$12,5,0)</f>
        <v>375.23999999999995</v>
      </c>
      <c r="CI13" s="748">
        <f t="shared" si="58"/>
        <v>375.23999999999995</v>
      </c>
      <c r="CJ13" s="899" t="s">
        <v>1293</v>
      </c>
      <c r="CK13" s="899">
        <v>1</v>
      </c>
      <c r="CL13" s="898">
        <v>899</v>
      </c>
      <c r="CM13" s="901">
        <f t="shared" si="59"/>
        <v>899</v>
      </c>
      <c r="CN13" s="898" t="s">
        <v>1320</v>
      </c>
      <c r="CO13" s="899">
        <v>1</v>
      </c>
      <c r="CP13" s="900">
        <v>645</v>
      </c>
      <c r="CQ13" s="901">
        <f t="shared" si="60"/>
        <v>645</v>
      </c>
      <c r="CR13" s="751">
        <f t="shared" si="5"/>
        <v>80</v>
      </c>
      <c r="CS13" s="746">
        <v>4</v>
      </c>
      <c r="CT13" s="747">
        <f>VLOOKUP(CR13,'Ціни контур теплопостачання'!$Y$5:$AA$17,3,0)</f>
        <v>37.693832104112609</v>
      </c>
      <c r="CU13" s="748">
        <f t="shared" si="61"/>
        <v>150.77532841645044</v>
      </c>
      <c r="CV13" s="750">
        <f t="shared" si="6"/>
        <v>50</v>
      </c>
      <c r="CW13" s="746">
        <v>6</v>
      </c>
      <c r="CX13" s="747">
        <f>VLOOKUP(CV13,'Ціни контур теплопостачання'!$AO$20:$AQ$29,3,0)</f>
        <v>37.588411955788914</v>
      </c>
      <c r="CY13" s="748">
        <f t="shared" si="62"/>
        <v>225.53047173473348</v>
      </c>
      <c r="CZ13" s="750">
        <f t="shared" si="7"/>
        <v>32</v>
      </c>
      <c r="DA13" s="746">
        <v>3</v>
      </c>
      <c r="DB13" s="747">
        <f>VLOOKUP(CZ13,'Ціни контур теплопостачання'!$AO$20:$AQ$29,3,0)</f>
        <v>10.381</v>
      </c>
      <c r="DC13" s="748">
        <f t="shared" si="63"/>
        <v>31.143000000000001</v>
      </c>
      <c r="DD13" s="757">
        <f t="shared" si="8"/>
        <v>50</v>
      </c>
      <c r="DE13" s="746">
        <f t="shared" si="9"/>
        <v>4</v>
      </c>
      <c r="DF13" s="747">
        <f>VLOOKUP(DD13,'Ціни контур теплопостачання'!$Y$5:$AA$17,3,0)</f>
        <v>23.2782130224622</v>
      </c>
      <c r="DG13" s="748">
        <f t="shared" si="64"/>
        <v>93.112852089848801</v>
      </c>
      <c r="DH13" s="745">
        <f t="shared" si="65"/>
        <v>50</v>
      </c>
      <c r="DI13" s="749">
        <f t="shared" si="66"/>
        <v>1</v>
      </c>
      <c r="DJ13" s="747">
        <f>VLOOKUP(DH13,'Ціни контур теплопостачання'!$Y$5:$AA$17,3,0)</f>
        <v>23.2782130224622</v>
      </c>
      <c r="DK13" s="765">
        <f t="shared" si="67"/>
        <v>23.2782130224622</v>
      </c>
      <c r="DL13" s="757">
        <f t="shared" si="10"/>
        <v>25</v>
      </c>
      <c r="DM13" s="746">
        <v>1</v>
      </c>
      <c r="DN13" s="747">
        <f>VLOOKUP(DL13,'Ціни контур мережний'!$Z$43:$AB$55,3,0)</f>
        <v>14.856886019572187</v>
      </c>
      <c r="DO13" s="748">
        <f t="shared" si="68"/>
        <v>14.856886019572187</v>
      </c>
      <c r="DP13" s="757">
        <f t="shared" si="11"/>
        <v>25</v>
      </c>
      <c r="DQ13" s="746">
        <v>2</v>
      </c>
      <c r="DR13" s="747">
        <f>VLOOKUP(DP13,'Ціни контур теплопостачання'!$Y$5:$AA$17,3,0)</f>
        <v>6.3070000000000004</v>
      </c>
      <c r="DS13" s="748">
        <f t="shared" si="69"/>
        <v>12.614000000000001</v>
      </c>
      <c r="DT13" s="745">
        <v>20</v>
      </c>
      <c r="DU13" s="749">
        <v>2</v>
      </c>
      <c r="DV13" s="747">
        <f>VLOOKUP(DT13,'Ціни контур теплопостачання'!$Y$5:$AA$17,3,0)</f>
        <v>3.577</v>
      </c>
      <c r="DW13" s="748">
        <f t="shared" si="70"/>
        <v>7.1539999999999999</v>
      </c>
      <c r="DX13" s="745">
        <v>15</v>
      </c>
      <c r="DY13" s="745">
        <v>10</v>
      </c>
      <c r="DZ13" s="758">
        <f>VLOOKUP(DX13,'Ціни контур теплопостачання'!$Y$5:$AA$17,3,0)</f>
        <v>2.464</v>
      </c>
      <c r="EA13" s="759">
        <f t="shared" si="71"/>
        <v>24.64</v>
      </c>
      <c r="EB13" s="745">
        <v>15</v>
      </c>
      <c r="EC13" s="745">
        <f t="shared" si="110"/>
        <v>38</v>
      </c>
      <c r="ED13" s="758">
        <f>VLOOKUP(EB13,'Ціни контур мережний'!$J$71:$M$71,4,0)</f>
        <v>3.3865201135922525</v>
      </c>
      <c r="EE13" s="759">
        <f t="shared" si="72"/>
        <v>128.68776431650559</v>
      </c>
      <c r="EF13" s="751">
        <f t="shared" si="12"/>
        <v>80</v>
      </c>
      <c r="EG13" s="746">
        <v>1</v>
      </c>
      <c r="EH13" s="747">
        <f>VLOOKUP(EF13,'Ціни контур теплопостачання'!$K$5:$M$17,3,0)</f>
        <v>50.12</v>
      </c>
      <c r="EI13" s="748">
        <f t="shared" si="73"/>
        <v>50.12</v>
      </c>
      <c r="EJ13" s="745">
        <f t="shared" si="13"/>
        <v>50</v>
      </c>
      <c r="EK13" s="749">
        <v>1</v>
      </c>
      <c r="EL13" s="747">
        <f>VLOOKUP(EJ13,'Ціни контур теплопостачання'!$K$5:$M$17,3,0)</f>
        <v>26.284999999999997</v>
      </c>
      <c r="EM13" s="748">
        <f t="shared" si="74"/>
        <v>26.284999999999997</v>
      </c>
      <c r="EN13" s="745">
        <f t="shared" si="14"/>
        <v>32</v>
      </c>
      <c r="EO13" s="745">
        <v>1</v>
      </c>
      <c r="EP13" s="758">
        <f>VLOOKUP(EN13,'Ціни контур теплопостачання'!$K$5:$M$17,3,0)</f>
        <v>9.48</v>
      </c>
      <c r="EQ13" s="759">
        <f t="shared" si="75"/>
        <v>9.48</v>
      </c>
      <c r="ER13" s="745">
        <f t="shared" si="15"/>
        <v>25</v>
      </c>
      <c r="ES13" s="745">
        <v>1</v>
      </c>
      <c r="ET13" s="758">
        <f>VLOOKUP(ER13,'Ціни контур теплопостачання'!$K$5:$M$17,3,0)</f>
        <v>4.78</v>
      </c>
      <c r="EU13" s="759">
        <f t="shared" si="76"/>
        <v>4.78</v>
      </c>
      <c r="EV13" s="751">
        <f t="shared" si="16"/>
        <v>80</v>
      </c>
      <c r="EW13" s="746">
        <v>2</v>
      </c>
      <c r="EX13" s="747">
        <f>VLOOKUP(EV13,'Ціни контур теплопостачання'!$Y$24:$AA$36,3,0)</f>
        <v>60.079499999999996</v>
      </c>
      <c r="EY13" s="748">
        <f t="shared" si="77"/>
        <v>120.15899999999999</v>
      </c>
      <c r="EZ13" s="745">
        <f t="shared" si="17"/>
        <v>50</v>
      </c>
      <c r="FA13" s="749">
        <v>1</v>
      </c>
      <c r="FB13" s="747">
        <f>VLOOKUP(EZ13,'Ціни контур теплопостачання'!$AO$38:$AQ$50,3,0)</f>
        <v>28.560999999999996</v>
      </c>
      <c r="FC13" s="748">
        <f t="shared" si="78"/>
        <v>28.560999999999996</v>
      </c>
      <c r="FD13" s="745">
        <f t="shared" si="18"/>
        <v>32</v>
      </c>
      <c r="FE13" s="745">
        <v>1</v>
      </c>
      <c r="FF13" s="758">
        <f>VLOOKUP(FD13,'Ціни контур теплопостачання'!$AO$38:$AQ$50,3,0)</f>
        <v>10.773</v>
      </c>
      <c r="FG13" s="759">
        <f t="shared" si="79"/>
        <v>10.773</v>
      </c>
      <c r="FH13" s="745">
        <f t="shared" si="19"/>
        <v>25</v>
      </c>
      <c r="FI13" s="745">
        <v>1</v>
      </c>
      <c r="FJ13" s="758">
        <f>VLOOKUP(FH13,'Ціни контур теплопостачання'!$Y$24:$AA$36,3,0)</f>
        <v>6.9659999999999993</v>
      </c>
      <c r="FK13" s="759">
        <f t="shared" si="80"/>
        <v>6.9659999999999993</v>
      </c>
      <c r="FL13" s="745">
        <f t="shared" si="20"/>
        <v>50</v>
      </c>
      <c r="FM13" s="745">
        <f t="shared" si="21"/>
        <v>4</v>
      </c>
      <c r="FN13" s="758">
        <f>VLOOKUP(FL13,'Ціни контур теплопостачання'!$Y$76:$AA$88,3,0)</f>
        <v>20.6</v>
      </c>
      <c r="FO13" s="759">
        <f t="shared" si="81"/>
        <v>82.4</v>
      </c>
      <c r="FP13" s="745">
        <f t="shared" si="22"/>
        <v>50</v>
      </c>
      <c r="FQ13" s="745">
        <v>1</v>
      </c>
      <c r="FR13" s="758">
        <f>VLOOKUP(FP13,'Ціни контур теплопостачання'!$Y$76:$AA$88,3,0)</f>
        <v>20.6</v>
      </c>
      <c r="FS13" s="759">
        <f t="shared" si="82"/>
        <v>20.6</v>
      </c>
      <c r="FT13" s="745">
        <f t="shared" si="23"/>
        <v>32</v>
      </c>
      <c r="FU13" s="745">
        <v>1</v>
      </c>
      <c r="FV13" s="758">
        <f>VLOOKUP(FT13,'Ціни контур теплопостачання'!$Y$76:$AA$88,3,0)</f>
        <v>13.15</v>
      </c>
      <c r="FW13" s="759">
        <f t="shared" si="83"/>
        <v>13.15</v>
      </c>
      <c r="FX13" s="758">
        <f t="shared" si="24"/>
        <v>27.735406973758288</v>
      </c>
      <c r="FY13" s="760">
        <v>32</v>
      </c>
      <c r="FZ13" s="719">
        <v>2</v>
      </c>
      <c r="GA13" s="747">
        <f>VLOOKUP(FY13,'Ціни контур теплопостачання'!$K$74:$M$79,3,0)</f>
        <v>33.68</v>
      </c>
      <c r="GB13" s="761">
        <f t="shared" si="84"/>
        <v>67.36</v>
      </c>
      <c r="GC13" s="762">
        <f t="shared" si="85"/>
        <v>12.397505197505195</v>
      </c>
      <c r="GD13" s="902">
        <v>16</v>
      </c>
      <c r="GE13" s="1017">
        <v>14</v>
      </c>
      <c r="GF13" s="1018" t="s">
        <v>124</v>
      </c>
      <c r="GG13" s="713">
        <v>2</v>
      </c>
      <c r="GH13" s="709">
        <f>VLOOKUP(GF13,'Ціни контур теплопостачання'!$C$89:$M$105,11,0)</f>
        <v>678</v>
      </c>
      <c r="GI13" s="764">
        <f t="shared" si="86"/>
        <v>1356</v>
      </c>
      <c r="GJ13" s="912">
        <f t="shared" si="87"/>
        <v>1.8133874239350913</v>
      </c>
      <c r="GK13" s="902">
        <v>16</v>
      </c>
      <c r="GL13" s="1017">
        <v>10</v>
      </c>
      <c r="GM13" s="1019" t="s">
        <v>1097</v>
      </c>
      <c r="GN13" s="749">
        <v>1</v>
      </c>
      <c r="GO13" s="747">
        <f>VLOOKUP(GM13,'Ціни контур теплопостачання'!$C$89:$M$105,11,0)</f>
        <v>241.2</v>
      </c>
      <c r="GP13" s="904">
        <f t="shared" si="88"/>
        <v>241.2</v>
      </c>
      <c r="GQ13" s="758">
        <f t="shared" si="25"/>
        <v>906.11636104607101</v>
      </c>
      <c r="GR13" s="955">
        <v>1000</v>
      </c>
      <c r="GS13" s="749">
        <f>VLOOKUP(GR13,'Ціни контур теплопостачання'!$J$43:$K$55,2,0)</f>
        <v>50</v>
      </c>
      <c r="GT13" s="1020">
        <v>1</v>
      </c>
      <c r="GU13" s="747">
        <f>VLOOKUP(GR13,'Ціни контур теплопостачання'!$J$43:$M$55,4,0)</f>
        <v>603.23</v>
      </c>
      <c r="GV13" s="748">
        <f t="shared" si="89"/>
        <v>603.23</v>
      </c>
      <c r="GW13" s="758">
        <f t="array" ref="GW13">MIN(IF('Ціни контур теплопостачання'!$AN$68:$AN$77&gt;(V13*1.2),'Ціни контур теплопостачання'!$AN$68:$AN$77))</f>
        <v>11.13</v>
      </c>
      <c r="GX13" s="749">
        <f>VLOOKUP(GW13,'Ціни контур теплопостачання'!$AN$68:$AO$77,2,0)</f>
        <v>32</v>
      </c>
      <c r="GY13" s="749">
        <f t="shared" si="26"/>
        <v>2</v>
      </c>
      <c r="GZ13" s="747">
        <f>VLOOKUP(GX13,'Ціни контур теплопостачання'!$AO$68:$AQ$77,3,0)</f>
        <v>37.183999999999997</v>
      </c>
      <c r="HA13" s="759">
        <f t="shared" si="90"/>
        <v>74.367999999999995</v>
      </c>
      <c r="HB13" s="751">
        <v>15</v>
      </c>
      <c r="HC13" s="746">
        <v>2</v>
      </c>
      <c r="HD13" s="747">
        <f>VLOOKUP(HB13,'Ціни контур мережний'!$J$73:$M$73,4,0)</f>
        <v>3.4649999999999999</v>
      </c>
      <c r="HE13" s="748">
        <f t="shared" si="91"/>
        <v>6.93</v>
      </c>
      <c r="HF13" s="749">
        <f t="shared" si="27"/>
        <v>25</v>
      </c>
      <c r="HG13" s="749">
        <v>1</v>
      </c>
      <c r="HH13" s="747">
        <f>VLOOKUP(HF13,'Ціни контур теплопостачання'!$Y$62:$AA$69,3,0)</f>
        <v>89.924040000000005</v>
      </c>
      <c r="HI13" s="765">
        <f t="shared" si="92"/>
        <v>89.924040000000005</v>
      </c>
      <c r="HJ13" s="750">
        <f>VLOOKUP(HK13,'Ціни контур теплопостачання'!$AN$6:$AO$13,2,0)</f>
        <v>40</v>
      </c>
      <c r="HK13" s="751">
        <f t="array" ref="HK13">MIN(IF('Ціни контур теплопостачання'!$AN$6:$AN$13&gt;N13,'Ціни контур теплопостачання'!$AN$6:$AN$13))</f>
        <v>15</v>
      </c>
      <c r="HL13" s="751">
        <v>1</v>
      </c>
      <c r="HM13" s="747">
        <f>VLOOKUP(HJ13,'Ціни контур теплопостачання'!$AO$6:$AQ$13,3,0)</f>
        <v>140.82444000000001</v>
      </c>
      <c r="HN13" s="748">
        <f t="shared" si="93"/>
        <v>140.82444000000001</v>
      </c>
      <c r="HO13" s="750">
        <f t="shared" si="28"/>
        <v>50</v>
      </c>
      <c r="HP13" s="746">
        <v>1</v>
      </c>
      <c r="HQ13" s="747">
        <f>VLOOKUP(HO13,'Ціни контур теплопостачання'!$AO$55:$AQ$63,3,0)</f>
        <v>355.5</v>
      </c>
      <c r="HR13" s="748">
        <f t="shared" si="94"/>
        <v>355.5</v>
      </c>
      <c r="HS13" s="745">
        <f t="shared" si="29"/>
        <v>25</v>
      </c>
      <c r="HT13" s="749">
        <v>1</v>
      </c>
      <c r="HU13" s="747">
        <f>VLOOKUP(HS13,'Ціни контур теплопостачання'!$K$62:$M$67,3,0)</f>
        <v>92.91</v>
      </c>
      <c r="HV13" s="765">
        <f t="shared" si="95"/>
        <v>92.91</v>
      </c>
      <c r="HW13" s="655" t="str">
        <f t="shared" ref="HW13" si="119">HW12</f>
        <v>0-150</v>
      </c>
      <c r="HX13" s="720">
        <v>1</v>
      </c>
      <c r="HY13" s="747">
        <f>VLOOKUP(HW13,'Ціни контур мережний'!$I$79:$M$80,5,0)</f>
        <v>15.050156291498967</v>
      </c>
      <c r="HZ13" s="748">
        <f t="shared" si="96"/>
        <v>15.050156291498967</v>
      </c>
      <c r="IA13" s="758" t="s">
        <v>109</v>
      </c>
      <c r="IB13" s="749">
        <v>5</v>
      </c>
      <c r="IC13" s="747">
        <f>VLOOKUP(IA13,'Ціни контур мережний'!$I$79:$M$80,5,0)</f>
        <v>15.050156291498967</v>
      </c>
      <c r="ID13" s="765">
        <f t="shared" si="97"/>
        <v>75.250781457494838</v>
      </c>
      <c r="IE13" s="655" t="s">
        <v>108</v>
      </c>
      <c r="IF13" s="720">
        <v>5</v>
      </c>
      <c r="IG13" s="747">
        <f>VLOOKUP(IE13,'Ціни контур мережний'!$I$67:$M$69,5,0)</f>
        <v>4.4537969640631703</v>
      </c>
      <c r="IH13" s="748">
        <f t="shared" si="98"/>
        <v>22.26898482031585</v>
      </c>
      <c r="II13" s="655" t="s">
        <v>106</v>
      </c>
      <c r="IJ13" s="1026">
        <f t="shared" si="30"/>
        <v>13</v>
      </c>
      <c r="IK13" s="747">
        <f>VLOOKUP(II13,'Ціни контур мережний'!$I$67:$M$69,5,0)</f>
        <v>4.4537969640631703</v>
      </c>
      <c r="IL13" s="748">
        <f t="shared" si="99"/>
        <v>57.899360532821213</v>
      </c>
      <c r="IM13" s="655" t="s">
        <v>1013</v>
      </c>
      <c r="IN13" s="720">
        <v>5</v>
      </c>
      <c r="IO13" s="747">
        <f>VLOOKUP(IM13,'Ціни контур мережний'!$I$64:$M$64,5,0)</f>
        <v>29.1312</v>
      </c>
      <c r="IP13" s="748">
        <f t="shared" si="100"/>
        <v>145.65600000000001</v>
      </c>
      <c r="IQ13" s="766" t="s">
        <v>1015</v>
      </c>
      <c r="IR13" s="749">
        <v>6</v>
      </c>
      <c r="IS13" s="747">
        <f>VLOOKUP(IQ13,'Ціни контур мережний'!$I$89:$M$89,5,0)</f>
        <v>79.523165325760516</v>
      </c>
      <c r="IT13" s="765">
        <f t="shared" si="101"/>
        <v>477.1389919545631</v>
      </c>
      <c r="IU13" s="778" t="s">
        <v>1016</v>
      </c>
      <c r="IV13" s="720">
        <f t="shared" si="117"/>
        <v>7</v>
      </c>
      <c r="IW13" s="747">
        <f>VLOOKUP(IU13,'Ціни контур мережний'!$I$88:$M$88,5,0)</f>
        <v>13.211568975967202</v>
      </c>
      <c r="IX13" s="768">
        <f t="shared" si="102"/>
        <v>92.480982831770419</v>
      </c>
      <c r="IY13" s="779" t="s">
        <v>383</v>
      </c>
      <c r="IZ13" s="720">
        <v>1</v>
      </c>
      <c r="JA13" s="747">
        <f>VLOOKUP(IY13,'Ціни контур мережний'!$I$87:$M$87,5,0)</f>
        <v>13.483972460007763</v>
      </c>
      <c r="JB13" s="748">
        <f t="shared" si="103"/>
        <v>13.483972460007763</v>
      </c>
      <c r="JC13" s="769">
        <f t="shared" si="31"/>
        <v>7</v>
      </c>
      <c r="JD13" s="770">
        <f t="shared" si="104"/>
        <v>9133.4043833953892</v>
      </c>
      <c r="JE13" s="771">
        <f>$JE$44/'Ціни контур мережний'!$G$26</f>
        <v>476.70609707098151</v>
      </c>
      <c r="JF13" s="771">
        <f>$JE$45/'Ціни контур мережний'!$G$26</f>
        <v>578.85740358619182</v>
      </c>
      <c r="JG13" s="770">
        <f t="shared" si="112"/>
        <v>661.80181284518619</v>
      </c>
      <c r="JH13" s="770">
        <f t="shared" si="113"/>
        <v>487.81784379022207</v>
      </c>
      <c r="JI13" s="770">
        <f>$JI$43/'Ціни контур мережний'!$G$26</f>
        <v>323.47913729816605</v>
      </c>
      <c r="JJ13" s="770">
        <f t="shared" si="105"/>
        <v>66.611999999999995</v>
      </c>
      <c r="JK13" s="772">
        <v>0</v>
      </c>
      <c r="JL13" s="772">
        <f t="shared" si="114"/>
        <v>62.86234247089866</v>
      </c>
      <c r="JM13" s="772">
        <v>0</v>
      </c>
      <c r="JN13" s="770">
        <v>0</v>
      </c>
      <c r="JO13" s="662">
        <f t="shared" si="32"/>
        <v>825.40787143199236</v>
      </c>
      <c r="JP13" s="1022">
        <f t="shared" si="33"/>
        <v>1179.1541020457032</v>
      </c>
      <c r="JQ13" s="1023">
        <f t="shared" si="34"/>
        <v>202.84379951038864</v>
      </c>
      <c r="JR13" s="1023">
        <f t="shared" si="115"/>
        <v>300.63036461094771</v>
      </c>
      <c r="JS13" s="777">
        <f t="shared" si="106"/>
        <v>14299.577158056065</v>
      </c>
      <c r="JU13" s="616">
        <f>[3]Расчеты!AX12/1.2</f>
        <v>4115.0288705094972</v>
      </c>
      <c r="JV13" s="616">
        <f t="shared" si="107"/>
        <v>18414.606028565562</v>
      </c>
      <c r="JW13" s="616" t="e">
        <f>JV13*1.2*#REF!</f>
        <v>#REF!</v>
      </c>
      <c r="JX13" s="616"/>
    </row>
    <row r="14" spans="1:284" ht="12.6" customHeight="1">
      <c r="A14" s="610" t="s">
        <v>686</v>
      </c>
      <c r="B14" s="597">
        <v>8</v>
      </c>
      <c r="C14" s="1056" t="s">
        <v>1414</v>
      </c>
      <c r="D14" s="906">
        <v>0.25117</v>
      </c>
      <c r="E14" s="907">
        <v>9.7199999999999995E-2</v>
      </c>
      <c r="F14" s="908">
        <f t="shared" si="35"/>
        <v>6.9714435698989785</v>
      </c>
      <c r="G14" s="909">
        <v>50</v>
      </c>
      <c r="H14" s="598">
        <f t="shared" si="36"/>
        <v>4.4867809932118616</v>
      </c>
      <c r="I14" s="599">
        <v>40</v>
      </c>
      <c r="J14" s="598">
        <f t="shared" si="37"/>
        <v>10.443659043659045</v>
      </c>
      <c r="K14" s="599">
        <v>65</v>
      </c>
      <c r="L14" s="598">
        <f t="shared" si="38"/>
        <v>2.4846625766871164</v>
      </c>
      <c r="M14" s="599">
        <v>32</v>
      </c>
      <c r="N14" s="598">
        <f t="shared" si="39"/>
        <v>1.971602434077079</v>
      </c>
      <c r="O14" s="599">
        <v>32</v>
      </c>
      <c r="P14" s="598">
        <f>N14*0.3</f>
        <v>0.59148073022312364</v>
      </c>
      <c r="Q14" s="599">
        <v>20</v>
      </c>
      <c r="R14" s="598">
        <f t="shared" si="40"/>
        <v>6.3452665319980399</v>
      </c>
      <c r="S14" s="600">
        <f t="shared" si="41"/>
        <v>3.5138435138718003</v>
      </c>
      <c r="T14" s="910">
        <v>2</v>
      </c>
      <c r="U14" s="601">
        <f t="shared" si="42"/>
        <v>5.2218295218295223</v>
      </c>
      <c r="V14" s="601">
        <f t="shared" si="43"/>
        <v>7.3847821301715237</v>
      </c>
      <c r="W14" s="602">
        <v>50</v>
      </c>
      <c r="X14" s="1027">
        <v>6.63</v>
      </c>
      <c r="Y14" s="601">
        <f t="shared" si="44"/>
        <v>1.9889999999999999</v>
      </c>
      <c r="Z14" s="992">
        <v>25</v>
      </c>
      <c r="AA14" s="1028">
        <v>9</v>
      </c>
      <c r="AB14" s="745">
        <f t="shared" si="0"/>
        <v>50</v>
      </c>
      <c r="AC14" s="746">
        <v>2</v>
      </c>
      <c r="AD14" s="747">
        <f>VLOOKUP(AB14,'Ціни контур мережний'!$Z$24:$AB$36,3,0)</f>
        <v>23.2782130224622</v>
      </c>
      <c r="AE14" s="748">
        <f t="shared" si="45"/>
        <v>46.5564260449244</v>
      </c>
      <c r="AF14" s="745">
        <f t="shared" si="1"/>
        <v>50</v>
      </c>
      <c r="AG14" s="749">
        <v>2</v>
      </c>
      <c r="AH14" s="747">
        <f>VLOOKUP(AF14,'Ціни контур мережний'!$Z$64:$AB$77,3,0)</f>
        <v>80.03214361111678</v>
      </c>
      <c r="AI14" s="748">
        <f t="shared" si="46"/>
        <v>160.06428722223356</v>
      </c>
      <c r="AJ14" s="745">
        <f t="shared" si="2"/>
        <v>50</v>
      </c>
      <c r="AK14" s="746">
        <v>0</v>
      </c>
      <c r="AL14" s="747">
        <f>VLOOKUP(AJ14,'Ціни контур мережний'!$Z$5:$AB$17,3,0)</f>
        <v>26.284999999999997</v>
      </c>
      <c r="AM14" s="748">
        <f t="shared" si="47"/>
        <v>0</v>
      </c>
      <c r="AN14" s="750">
        <f t="shared" si="3"/>
        <v>40</v>
      </c>
      <c r="AO14" s="746">
        <v>1</v>
      </c>
      <c r="AP14" s="747">
        <f>VLOOKUP(AN14,'Ціни контур мережний'!$Z$43:$AB$55,3,0)</f>
        <v>18.42400964308333</v>
      </c>
      <c r="AQ14" s="768">
        <f t="shared" si="48"/>
        <v>18.42400964308333</v>
      </c>
      <c r="AR14" s="749">
        <f t="shared" si="4"/>
        <v>32</v>
      </c>
      <c r="AS14" s="749">
        <v>4</v>
      </c>
      <c r="AT14" s="747">
        <f>VLOOKUP(AR14,'Ціни контур мережний'!$Z$43:$AB$55,3,0)</f>
        <v>16.107218011318363</v>
      </c>
      <c r="AU14" s="1016">
        <f t="shared" si="49"/>
        <v>64.428872045273451</v>
      </c>
      <c r="AV14" s="751" t="str">
        <f t="shared" si="50"/>
        <v>AMV20</v>
      </c>
      <c r="AW14" s="751">
        <v>1</v>
      </c>
      <c r="AX14" s="747">
        <f>VLOOKUP(AV14,'Ціни контур мережний'!$I$53:$M$57,5,0)</f>
        <v>110.39869654932889</v>
      </c>
      <c r="AY14" s="748">
        <f t="shared" si="51"/>
        <v>110.39869654932889</v>
      </c>
      <c r="AZ14" s="752">
        <f t="array" ref="AZ14">MIN(IF('Ціни контур мережний'!$Y$83:$Y$92&gt;(R14*1.2),'Ціни контур мережний'!$Y$83:$Y$92))</f>
        <v>10</v>
      </c>
      <c r="BA14" s="746">
        <f>VLOOKUP(AZ14,'Ціни контур мережний'!$Y$83:$Z$92,2,0)</f>
        <v>25</v>
      </c>
      <c r="BB14" s="746">
        <v>1</v>
      </c>
      <c r="BC14" s="747">
        <f>VLOOKUP(AZ14,'Ціни контур мережний'!$Y$83:$AB$92,4,0)</f>
        <v>117.50505648967251</v>
      </c>
      <c r="BD14" s="748">
        <f t="shared" si="52"/>
        <v>117.50505648967251</v>
      </c>
      <c r="BE14" s="1099">
        <f t="array" ref="BE14">MIN(IF('[1]Ціни контур мережний'!$Y$104:$Y$114&gt;(R14*1.2),'[1]Ціни контур мережний'!$Y$104:$Y$114))</f>
        <v>8</v>
      </c>
      <c r="BF14" s="1101">
        <f>VLOOKUP(BE14,'[1]Ціни контур мережний'!$Y$104:$Z$114,2,0)</f>
        <v>25</v>
      </c>
      <c r="BG14" s="753">
        <v>1</v>
      </c>
      <c r="BH14" s="754">
        <f>VLOOKUP(BE14,'Ціни контур мережний'!$Y$104:$AB$114,4,0)</f>
        <v>278.09338672441618</v>
      </c>
      <c r="BI14" s="755">
        <f t="shared" si="53"/>
        <v>278.09338672441618</v>
      </c>
      <c r="BJ14" s="751" t="s">
        <v>67</v>
      </c>
      <c r="BK14" s="749">
        <v>1</v>
      </c>
      <c r="BL14" s="747">
        <f>VLOOKUP(BJ14,'Ціни контур мережний'!$I$53:$M$57,5,0)</f>
        <v>157.67238032974441</v>
      </c>
      <c r="BM14" s="748">
        <f t="shared" si="54"/>
        <v>157.67238032974441</v>
      </c>
      <c r="BN14" s="896">
        <f t="array" ref="BN14">MIN(IF('Ціни контур мережний'!$Y$83:$Y$93&gt;(S14*1.2),'Ціни контур мережний'!$Y$83:$Y$93))</f>
        <v>6.3</v>
      </c>
      <c r="BO14" s="896">
        <f>VLOOKUP(BN14,'Ціни контур мережний'!$Y$83:$Z$93,2,0)</f>
        <v>20</v>
      </c>
      <c r="BP14" s="895">
        <v>1</v>
      </c>
      <c r="BQ14" s="896">
        <f>VLOOKUP(BN14,'Ціни контур мережний'!$Y$83:$AB$93,4,0)</f>
        <v>113.14115267534271</v>
      </c>
      <c r="BR14" s="897">
        <f t="shared" si="55"/>
        <v>113.14115267534271</v>
      </c>
      <c r="BS14" s="896">
        <f t="array" ref="BS14">MIN(IF('Ціни контур мережний'!$Y$104:$Y$114&gt;(S14*1.2),'Ціни контур мережний'!$Y$104:$Y$114))</f>
        <v>6.3</v>
      </c>
      <c r="BT14" s="896">
        <f>VLOOKUP(BS14,'Ціни контур мережний'!$Y$104:$Z$114,2,0)</f>
        <v>20</v>
      </c>
      <c r="BU14" s="895">
        <v>1</v>
      </c>
      <c r="BV14" s="896">
        <f>VLOOKUP(BS14,'Ціни контур мережний'!$Y$104:$AB$114,4,0)</f>
        <v>259.83406541769665</v>
      </c>
      <c r="BW14" s="897">
        <f t="shared" si="56"/>
        <v>259.83406541769665</v>
      </c>
      <c r="BX14" s="751" t="s">
        <v>115</v>
      </c>
      <c r="BY14" s="751" t="s">
        <v>115</v>
      </c>
      <c r="BZ14" s="746" t="s">
        <v>1025</v>
      </c>
      <c r="CA14" s="756">
        <v>0</v>
      </c>
      <c r="CB14" s="747">
        <v>0</v>
      </c>
      <c r="CC14" s="748">
        <f t="shared" si="57"/>
        <v>0</v>
      </c>
      <c r="CD14" s="758">
        <f>VLOOKUP(CE14,'Ціни контур мережний'!$J$5:$L$12,3,0)</f>
        <v>20</v>
      </c>
      <c r="CE14" s="747">
        <f t="array" ref="CE14">MIN(IF('Ціни контур мережний'!$J$5:$J$12&gt;L14,'Ціни контур мережний'!$J$5:$J$12))</f>
        <v>2.5</v>
      </c>
      <c r="CF14" s="746" t="s">
        <v>130</v>
      </c>
      <c r="CG14" s="749">
        <v>1</v>
      </c>
      <c r="CH14" s="747">
        <f>VLOOKUP(CE14,'Ціни контур мережний'!$J$5:$N$12,5,0)</f>
        <v>277.536</v>
      </c>
      <c r="CI14" s="748">
        <f t="shared" si="58"/>
        <v>277.536</v>
      </c>
      <c r="CJ14" s="899" t="s">
        <v>1294</v>
      </c>
      <c r="CK14" s="899">
        <v>1</v>
      </c>
      <c r="CL14" s="898">
        <v>804</v>
      </c>
      <c r="CM14" s="901">
        <f t="shared" si="59"/>
        <v>804</v>
      </c>
      <c r="CN14" s="898" t="s">
        <v>1321</v>
      </c>
      <c r="CO14" s="899">
        <v>1</v>
      </c>
      <c r="CP14" s="900">
        <v>385</v>
      </c>
      <c r="CQ14" s="901">
        <f t="shared" si="60"/>
        <v>385</v>
      </c>
      <c r="CR14" s="751">
        <f t="shared" si="5"/>
        <v>65</v>
      </c>
      <c r="CS14" s="746">
        <v>4</v>
      </c>
      <c r="CT14" s="747">
        <f>VLOOKUP(CR14,'Ціни контур теплопостачання'!$Y$5:$AA$17,3,0)</f>
        <v>30.19184015363556</v>
      </c>
      <c r="CU14" s="748">
        <f t="shared" si="61"/>
        <v>120.76736061454224</v>
      </c>
      <c r="CV14" s="750">
        <f t="shared" si="6"/>
        <v>32</v>
      </c>
      <c r="CW14" s="746">
        <v>6</v>
      </c>
      <c r="CX14" s="747">
        <f>VLOOKUP(CV14,'Ціни контур теплопостачання'!$AO$20:$AQ$29,3,0)</f>
        <v>10.381</v>
      </c>
      <c r="CY14" s="748">
        <f t="shared" si="62"/>
        <v>62.286000000000001</v>
      </c>
      <c r="CZ14" s="750">
        <f t="shared" si="7"/>
        <v>20</v>
      </c>
      <c r="DA14" s="746">
        <v>3</v>
      </c>
      <c r="DB14" s="747">
        <f>VLOOKUP(CZ14,'Ціни контур теплопостачання'!$AO$20:$AQ$29,3,0)</f>
        <v>3.577</v>
      </c>
      <c r="DC14" s="748">
        <f t="shared" si="63"/>
        <v>10.731</v>
      </c>
      <c r="DD14" s="757">
        <f t="shared" si="8"/>
        <v>50</v>
      </c>
      <c r="DE14" s="746">
        <f t="shared" si="9"/>
        <v>4</v>
      </c>
      <c r="DF14" s="747">
        <f>VLOOKUP(DD14,'Ціни контур теплопостачання'!$Y$5:$AA$17,3,0)</f>
        <v>23.2782130224622</v>
      </c>
      <c r="DG14" s="748">
        <f t="shared" si="64"/>
        <v>93.112852089848801</v>
      </c>
      <c r="DH14" s="745">
        <f t="shared" si="65"/>
        <v>32</v>
      </c>
      <c r="DI14" s="749">
        <f t="shared" si="66"/>
        <v>1</v>
      </c>
      <c r="DJ14" s="747">
        <f>VLOOKUP(DH14,'Ціни контур теплопостачання'!$Y$5:$AA$17,3,0)</f>
        <v>10.381</v>
      </c>
      <c r="DK14" s="765">
        <f t="shared" si="67"/>
        <v>10.381</v>
      </c>
      <c r="DL14" s="757">
        <f t="shared" si="10"/>
        <v>25</v>
      </c>
      <c r="DM14" s="746">
        <v>1</v>
      </c>
      <c r="DN14" s="747">
        <f>VLOOKUP(DL14,'Ціни контур мережний'!$Z$43:$AB$55,3,0)</f>
        <v>14.856886019572187</v>
      </c>
      <c r="DO14" s="748">
        <f t="shared" si="68"/>
        <v>14.856886019572187</v>
      </c>
      <c r="DP14" s="757">
        <f t="shared" si="11"/>
        <v>25</v>
      </c>
      <c r="DQ14" s="746">
        <v>2</v>
      </c>
      <c r="DR14" s="747">
        <f>VLOOKUP(DP14,'Ціни контур теплопостачання'!$Y$5:$AA$17,3,0)</f>
        <v>6.3070000000000004</v>
      </c>
      <c r="DS14" s="748">
        <f t="shared" si="69"/>
        <v>12.614000000000001</v>
      </c>
      <c r="DT14" s="745">
        <v>20</v>
      </c>
      <c r="DU14" s="749">
        <v>2</v>
      </c>
      <c r="DV14" s="747">
        <f>VLOOKUP(DT14,'Ціни контур теплопостачання'!$Y$5:$AA$17,3,0)</f>
        <v>3.577</v>
      </c>
      <c r="DW14" s="748">
        <f t="shared" si="70"/>
        <v>7.1539999999999999</v>
      </c>
      <c r="DX14" s="745">
        <v>15</v>
      </c>
      <c r="DY14" s="745">
        <v>10</v>
      </c>
      <c r="DZ14" s="758">
        <f>VLOOKUP(DX14,'Ціни контур теплопостачання'!$Y$5:$AA$17,3,0)</f>
        <v>2.464</v>
      </c>
      <c r="EA14" s="759">
        <f t="shared" si="71"/>
        <v>24.64</v>
      </c>
      <c r="EB14" s="745">
        <v>15</v>
      </c>
      <c r="EC14" s="745">
        <f t="shared" si="110"/>
        <v>38</v>
      </c>
      <c r="ED14" s="758">
        <f>VLOOKUP(EB14,'Ціни контур мережний'!$J$71:$M$71,4,0)</f>
        <v>3.3865201135922525</v>
      </c>
      <c r="EE14" s="759">
        <f t="shared" si="72"/>
        <v>128.68776431650559</v>
      </c>
      <c r="EF14" s="751">
        <f t="shared" si="12"/>
        <v>65</v>
      </c>
      <c r="EG14" s="746">
        <v>1</v>
      </c>
      <c r="EH14" s="747">
        <f>VLOOKUP(EF14,'Ціни контур теплопостачання'!$K$5:$M$17,3,0)</f>
        <v>39.731999999999999</v>
      </c>
      <c r="EI14" s="748">
        <f t="shared" si="73"/>
        <v>39.731999999999999</v>
      </c>
      <c r="EJ14" s="745">
        <f t="shared" si="13"/>
        <v>32</v>
      </c>
      <c r="EK14" s="749">
        <v>1</v>
      </c>
      <c r="EL14" s="747">
        <f>VLOOKUP(EJ14,'Ціни контур теплопостачання'!$K$5:$M$17,3,0)</f>
        <v>9.48</v>
      </c>
      <c r="EM14" s="748">
        <f t="shared" si="74"/>
        <v>9.48</v>
      </c>
      <c r="EN14" s="745">
        <f t="shared" si="14"/>
        <v>20</v>
      </c>
      <c r="EO14" s="745">
        <v>1</v>
      </c>
      <c r="EP14" s="758">
        <f>VLOOKUP(EN14,'Ціни контур теплопостачання'!$K$5:$M$17,3,0)</f>
        <v>3.48</v>
      </c>
      <c r="EQ14" s="759">
        <f t="shared" si="75"/>
        <v>3.48</v>
      </c>
      <c r="ER14" s="745">
        <f t="shared" si="15"/>
        <v>25</v>
      </c>
      <c r="ES14" s="745">
        <v>1</v>
      </c>
      <c r="ET14" s="758">
        <f>VLOOKUP(ER14,'Ціни контур теплопостачання'!$K$5:$M$17,3,0)</f>
        <v>4.78</v>
      </c>
      <c r="EU14" s="759">
        <f t="shared" si="76"/>
        <v>4.78</v>
      </c>
      <c r="EV14" s="751">
        <f t="shared" si="16"/>
        <v>65</v>
      </c>
      <c r="EW14" s="746">
        <v>2</v>
      </c>
      <c r="EX14" s="747">
        <f>VLOOKUP(EV14,'Ціни контур теплопостачання'!$Y$24:$AA$36,3,0)</f>
        <v>42.080999999999996</v>
      </c>
      <c r="EY14" s="748">
        <f t="shared" si="77"/>
        <v>84.161999999999992</v>
      </c>
      <c r="EZ14" s="745">
        <f t="shared" si="17"/>
        <v>32</v>
      </c>
      <c r="FA14" s="749">
        <v>1</v>
      </c>
      <c r="FB14" s="747">
        <f>VLOOKUP(EZ14,'Ціни контур теплопостачання'!$AO$38:$AQ$50,3,0)</f>
        <v>10.773</v>
      </c>
      <c r="FC14" s="748">
        <f t="shared" si="78"/>
        <v>10.773</v>
      </c>
      <c r="FD14" s="745">
        <f t="shared" si="18"/>
        <v>20</v>
      </c>
      <c r="FE14" s="745">
        <v>1</v>
      </c>
      <c r="FF14" s="758">
        <f>VLOOKUP(FD14,'Ціни контур теплопостачання'!$AO$38:$AQ$50,3,0)</f>
        <v>4.5359999999999996</v>
      </c>
      <c r="FG14" s="759">
        <f t="shared" si="79"/>
        <v>4.5359999999999996</v>
      </c>
      <c r="FH14" s="745">
        <f t="shared" si="19"/>
        <v>25</v>
      </c>
      <c r="FI14" s="745">
        <v>1</v>
      </c>
      <c r="FJ14" s="758">
        <f>VLOOKUP(FH14,'Ціни контур теплопостачання'!$Y$24:$AA$36,3,0)</f>
        <v>6.9659999999999993</v>
      </c>
      <c r="FK14" s="759">
        <f t="shared" si="80"/>
        <v>6.9659999999999993</v>
      </c>
      <c r="FL14" s="745">
        <f t="shared" si="20"/>
        <v>50</v>
      </c>
      <c r="FM14" s="745">
        <f t="shared" si="21"/>
        <v>4</v>
      </c>
      <c r="FN14" s="758">
        <f>VLOOKUP(FL14,'Ціни контур теплопостачання'!$Y$76:$AA$88,3,0)</f>
        <v>20.6</v>
      </c>
      <c r="FO14" s="759">
        <f t="shared" si="81"/>
        <v>82.4</v>
      </c>
      <c r="FP14" s="745">
        <f t="shared" si="22"/>
        <v>32</v>
      </c>
      <c r="FQ14" s="745">
        <v>1</v>
      </c>
      <c r="FR14" s="758">
        <f>VLOOKUP(FP14,'Ціни контур теплопостачання'!$Y$76:$AA$88,3,0)</f>
        <v>13.15</v>
      </c>
      <c r="FS14" s="759">
        <f t="shared" si="82"/>
        <v>13.15</v>
      </c>
      <c r="FT14" s="745">
        <f t="shared" si="23"/>
        <v>20</v>
      </c>
      <c r="FU14" s="745">
        <v>1</v>
      </c>
      <c r="FV14" s="758">
        <f>VLOOKUP(FT14,'Ціни контур теплопостачання'!$Y$76:$AA$88,3,0)</f>
        <v>11.45</v>
      </c>
      <c r="FW14" s="759">
        <f t="shared" si="83"/>
        <v>11.45</v>
      </c>
      <c r="FX14" s="758">
        <f t="shared" si="24"/>
        <v>25.456209458597719</v>
      </c>
      <c r="FY14" s="760">
        <v>25</v>
      </c>
      <c r="FZ14" s="719">
        <v>2</v>
      </c>
      <c r="GA14" s="747">
        <f>VLOOKUP(FY14,'Ціни контур теплопостачання'!$K$74:$M$79,3,0)</f>
        <v>22.22</v>
      </c>
      <c r="GB14" s="761">
        <f t="shared" si="84"/>
        <v>44.44</v>
      </c>
      <c r="GC14" s="762">
        <f t="shared" si="85"/>
        <v>10.443659043659045</v>
      </c>
      <c r="GD14" s="911">
        <v>9</v>
      </c>
      <c r="GE14" s="1017">
        <v>9</v>
      </c>
      <c r="GF14" s="1018" t="s">
        <v>119</v>
      </c>
      <c r="GG14" s="713">
        <v>2</v>
      </c>
      <c r="GH14" s="709">
        <f>VLOOKUP(GF14,'Ціни контур теплопостачання'!$C$89:$M$105,11,0)</f>
        <v>391.06799999999998</v>
      </c>
      <c r="GI14" s="764">
        <f t="shared" si="86"/>
        <v>782.13599999999997</v>
      </c>
      <c r="GJ14" s="912">
        <f t="shared" si="87"/>
        <v>0.59148073022312364</v>
      </c>
      <c r="GK14" s="911">
        <v>9</v>
      </c>
      <c r="GL14" s="1017">
        <v>9</v>
      </c>
      <c r="GM14" s="1019" t="s">
        <v>1097</v>
      </c>
      <c r="GN14" s="749">
        <v>1</v>
      </c>
      <c r="GO14" s="747">
        <f>VLOOKUP(GM14,'Ціни контур теплопостачання'!$C$89:$M$105,11,0)</f>
        <v>241.2</v>
      </c>
      <c r="GP14" s="904">
        <f t="shared" si="88"/>
        <v>241.2</v>
      </c>
      <c r="GQ14" s="758">
        <f t="shared" si="25"/>
        <v>700.88100526913593</v>
      </c>
      <c r="GR14" s="955">
        <v>750</v>
      </c>
      <c r="GS14" s="749">
        <f>VLOOKUP(GR14,'Ціни контур теплопостачання'!$J$43:$K$55,2,0)</f>
        <v>32</v>
      </c>
      <c r="GT14" s="1020">
        <v>1</v>
      </c>
      <c r="GU14" s="747">
        <f>VLOOKUP(GR14,'Ціни контур теплопостачання'!$J$43:$M$55,4,0)</f>
        <v>376.94</v>
      </c>
      <c r="GV14" s="748">
        <f t="shared" si="89"/>
        <v>376.94</v>
      </c>
      <c r="GW14" s="758">
        <f t="array" ref="GW14">MIN(IF('Ціни контур теплопостачання'!$AN$68:$AN$77&gt;(V14*1.2),'Ціни контур теплопостачання'!$AN$68:$AN$77))</f>
        <v>11.13</v>
      </c>
      <c r="GX14" s="749">
        <f>VLOOKUP(GW14,'Ціни контур теплопостачання'!$AN$68:$AO$77,2,0)</f>
        <v>32</v>
      </c>
      <c r="GY14" s="749">
        <f t="shared" si="26"/>
        <v>2</v>
      </c>
      <c r="GZ14" s="747">
        <f>VLOOKUP(GX14,'Ціни контур теплопостачання'!$AO$68:$AQ$77,3,0)</f>
        <v>37.183999999999997</v>
      </c>
      <c r="HA14" s="759">
        <f t="shared" si="90"/>
        <v>74.367999999999995</v>
      </c>
      <c r="HB14" s="751">
        <v>15</v>
      </c>
      <c r="HC14" s="746">
        <v>2</v>
      </c>
      <c r="HD14" s="747">
        <f>VLOOKUP(HB14,'Ціни контур мережний'!$J$73:$M$73,4,0)</f>
        <v>3.4649999999999999</v>
      </c>
      <c r="HE14" s="748">
        <f t="shared" si="91"/>
        <v>6.93</v>
      </c>
      <c r="HF14" s="749">
        <f t="shared" si="27"/>
        <v>25</v>
      </c>
      <c r="HG14" s="749">
        <v>1</v>
      </c>
      <c r="HH14" s="747">
        <f>VLOOKUP(HF14,'Ціни контур теплопостачання'!$Y$62:$AA$69,3,0)</f>
        <v>89.924040000000005</v>
      </c>
      <c r="HI14" s="765">
        <f t="shared" si="92"/>
        <v>89.924040000000005</v>
      </c>
      <c r="HJ14" s="750">
        <f>VLOOKUP(HK14,'Ціни контур теплопостачання'!$AN$6:$AO$13,2,0)</f>
        <v>20</v>
      </c>
      <c r="HK14" s="751">
        <f t="array" ref="HK14">MIN(IF('Ціни контур теплопостачання'!$AN$6:$AN$13&gt;N14,'Ціни контур теплопостачання'!$AN$6:$AN$13))</f>
        <v>2.5</v>
      </c>
      <c r="HL14" s="751">
        <v>1</v>
      </c>
      <c r="HM14" s="747">
        <f>VLOOKUP(HJ14,'Ціни контур теплопостачання'!$AO$6:$AQ$13,3,0)</f>
        <v>23.753519999999998</v>
      </c>
      <c r="HN14" s="748">
        <f t="shared" si="93"/>
        <v>23.753519999999998</v>
      </c>
      <c r="HO14" s="750">
        <f t="shared" si="28"/>
        <v>32</v>
      </c>
      <c r="HP14" s="746">
        <v>1</v>
      </c>
      <c r="HQ14" s="747">
        <f>VLOOKUP(HO14,'Ціни контур теплопостачання'!$AO$55:$AQ$63,3,0)</f>
        <v>150.1</v>
      </c>
      <c r="HR14" s="748">
        <f t="shared" si="94"/>
        <v>150.1</v>
      </c>
      <c r="HS14" s="745">
        <f t="shared" si="29"/>
        <v>25</v>
      </c>
      <c r="HT14" s="749">
        <v>1</v>
      </c>
      <c r="HU14" s="747">
        <f>VLOOKUP(HS14,'Ціни контур теплопостачання'!$K$62:$M$67,3,0)</f>
        <v>92.91</v>
      </c>
      <c r="HV14" s="765">
        <f t="shared" si="95"/>
        <v>92.91</v>
      </c>
      <c r="HW14" s="655" t="str">
        <f t="shared" ref="HW14" si="120">HW13</f>
        <v>0-150</v>
      </c>
      <c r="HX14" s="720">
        <v>1</v>
      </c>
      <c r="HY14" s="747">
        <f>VLOOKUP(HW14,'Ціни контур мережний'!$I$79:$M$80,5,0)</f>
        <v>15.050156291498967</v>
      </c>
      <c r="HZ14" s="748">
        <f t="shared" si="96"/>
        <v>15.050156291498967</v>
      </c>
      <c r="IA14" s="758" t="s">
        <v>109</v>
      </c>
      <c r="IB14" s="749">
        <v>1</v>
      </c>
      <c r="IC14" s="747">
        <f>VLOOKUP(IA14,'Ціни контур мережний'!$I$79:$M$80,5,0)</f>
        <v>15.050156291498967</v>
      </c>
      <c r="ID14" s="765">
        <f t="shared" si="97"/>
        <v>15.050156291498967</v>
      </c>
      <c r="IE14" s="655" t="s">
        <v>108</v>
      </c>
      <c r="IF14" s="720">
        <v>3</v>
      </c>
      <c r="IG14" s="747">
        <f>VLOOKUP(IE14,'Ціни контур мережний'!$I$67:$M$69,5,0)</f>
        <v>4.4537969640631703</v>
      </c>
      <c r="IH14" s="748">
        <f t="shared" si="98"/>
        <v>13.361390892189512</v>
      </c>
      <c r="II14" s="655" t="s">
        <v>106</v>
      </c>
      <c r="IJ14" s="720">
        <f t="shared" si="30"/>
        <v>13</v>
      </c>
      <c r="IK14" s="747">
        <f>VLOOKUP(II14,'Ціни контур мережний'!$I$67:$M$69,5,0)</f>
        <v>4.4537969640631703</v>
      </c>
      <c r="IL14" s="748">
        <f t="shared" si="99"/>
        <v>57.899360532821213</v>
      </c>
      <c r="IM14" s="655" t="s">
        <v>1013</v>
      </c>
      <c r="IN14" s="720">
        <v>5</v>
      </c>
      <c r="IO14" s="747">
        <f>VLOOKUP(IM14,'Ціни контур мережний'!$I$64:$M$64,5,0)</f>
        <v>29.1312</v>
      </c>
      <c r="IP14" s="748">
        <f t="shared" si="100"/>
        <v>145.65600000000001</v>
      </c>
      <c r="IQ14" s="766" t="s">
        <v>1015</v>
      </c>
      <c r="IR14" s="749">
        <v>6</v>
      </c>
      <c r="IS14" s="747">
        <f>VLOOKUP(IQ14,'Ціни контур мережний'!$I$89:$M$89,5,0)</f>
        <v>79.523165325760516</v>
      </c>
      <c r="IT14" s="765">
        <f t="shared" si="101"/>
        <v>477.1389919545631</v>
      </c>
      <c r="IU14" s="917" t="s">
        <v>1016</v>
      </c>
      <c r="IV14" s="720">
        <f t="shared" si="117"/>
        <v>7</v>
      </c>
      <c r="IW14" s="747">
        <f>VLOOKUP(IU14,'Ціни контур мережний'!$I$88:$M$88,5,0)</f>
        <v>13.211568975967202</v>
      </c>
      <c r="IX14" s="768">
        <f t="shared" si="102"/>
        <v>92.480982831770419</v>
      </c>
      <c r="IY14" s="917" t="s">
        <v>383</v>
      </c>
      <c r="IZ14" s="720">
        <v>1</v>
      </c>
      <c r="JA14" s="747">
        <f>VLOOKUP(IY14,'Ціни контур мережний'!$I$87:$M$87,5,0)</f>
        <v>13.483972460007763</v>
      </c>
      <c r="JB14" s="748">
        <f t="shared" si="103"/>
        <v>13.483972460007763</v>
      </c>
      <c r="JC14" s="769">
        <f t="shared" si="31"/>
        <v>8</v>
      </c>
      <c r="JD14" s="770">
        <f t="shared" si="104"/>
        <v>6261.6167674365352</v>
      </c>
      <c r="JE14" s="771">
        <f>$JE$44/'Ціни контур мережний'!$G$26</f>
        <v>476.70609707098151</v>
      </c>
      <c r="JF14" s="771">
        <f>$JE$44/'Ціни контур мережний'!$G$26</f>
        <v>476.70609707098151</v>
      </c>
      <c r="JG14" s="770">
        <f t="shared" si="112"/>
        <v>661.80181284518619</v>
      </c>
      <c r="JH14" s="770">
        <f t="shared" si="113"/>
        <v>487.81784379022207</v>
      </c>
      <c r="JI14" s="770">
        <f>$JI$43/'Ціни контур мережний'!$G$26</f>
        <v>323.47913729816605</v>
      </c>
      <c r="JJ14" s="770">
        <f t="shared" si="105"/>
        <v>66.611999999999995</v>
      </c>
      <c r="JK14" s="772">
        <v>0</v>
      </c>
      <c r="JL14" s="772">
        <f t="shared" si="114"/>
        <v>62.86234247089866</v>
      </c>
      <c r="JM14" s="772">
        <v>0</v>
      </c>
      <c r="JN14" s="770">
        <v>0</v>
      </c>
      <c r="JO14" s="1029">
        <f t="shared" si="32"/>
        <v>617.23214685880794</v>
      </c>
      <c r="JP14" s="770">
        <f t="shared" si="33"/>
        <v>881.76020979829707</v>
      </c>
      <c r="JQ14" s="1030">
        <f t="shared" si="34"/>
        <v>151.68466182856173</v>
      </c>
      <c r="JR14" s="1023">
        <f t="shared" si="115"/>
        <v>300.63036461094771</v>
      </c>
      <c r="JS14" s="777">
        <f t="shared" si="106"/>
        <v>10768.909481079585</v>
      </c>
      <c r="JU14" s="611">
        <f>[3]Расчеты!AX13/1.2</f>
        <v>4329.2980677217938</v>
      </c>
      <c r="JV14" s="611">
        <f t="shared" si="107"/>
        <v>15098.20754880138</v>
      </c>
      <c r="JW14" s="611" t="e">
        <f>JV14*1.2*#REF!</f>
        <v>#REF!</v>
      </c>
      <c r="JX14" s="611"/>
    </row>
    <row r="15" spans="1:284" ht="12.6" customHeight="1">
      <c r="A15" s="610" t="s">
        <v>686</v>
      </c>
      <c r="B15" s="597">
        <v>9</v>
      </c>
      <c r="C15" s="1056" t="s">
        <v>1415</v>
      </c>
      <c r="D15" s="906">
        <v>0.111</v>
      </c>
      <c r="E15" s="907">
        <v>7.4200000000000002E-2</v>
      </c>
      <c r="F15" s="908">
        <f t="shared" si="35"/>
        <v>3.8795790345807113</v>
      </c>
      <c r="G15" s="909">
        <v>50</v>
      </c>
      <c r="H15" s="598">
        <f t="shared" si="36"/>
        <v>1.982851018220793</v>
      </c>
      <c r="I15" s="599">
        <v>32</v>
      </c>
      <c r="J15" s="598">
        <f t="shared" si="37"/>
        <v>4.615384615384615</v>
      </c>
      <c r="K15" s="599">
        <v>50</v>
      </c>
      <c r="L15" s="598">
        <f t="shared" si="38"/>
        <v>1.8967280163599185</v>
      </c>
      <c r="M15" s="599">
        <v>32</v>
      </c>
      <c r="N15" s="598">
        <f t="shared" si="39"/>
        <v>1.5050709939148075</v>
      </c>
      <c r="O15" s="599">
        <v>32</v>
      </c>
      <c r="P15" s="598">
        <f t="shared" si="108"/>
        <v>0.4515212981744422</v>
      </c>
      <c r="Q15" s="599">
        <v>20</v>
      </c>
      <c r="R15" s="598">
        <f t="shared" si="40"/>
        <v>2.8041748021331463</v>
      </c>
      <c r="S15" s="600">
        <f t="shared" si="41"/>
        <v>2.6823784848692145</v>
      </c>
      <c r="T15" s="910">
        <v>4</v>
      </c>
      <c r="U15" s="601">
        <f t="shared" si="42"/>
        <v>1.1538461538461537</v>
      </c>
      <c r="V15" s="601">
        <f t="shared" si="43"/>
        <v>1.6317848796612633</v>
      </c>
      <c r="W15" s="602">
        <v>20</v>
      </c>
      <c r="X15" s="1027">
        <v>6.63</v>
      </c>
      <c r="Y15" s="601">
        <f t="shared" si="44"/>
        <v>1.9889999999999999</v>
      </c>
      <c r="Z15" s="992">
        <v>25</v>
      </c>
      <c r="AA15" s="1028">
        <v>9</v>
      </c>
      <c r="AB15" s="745">
        <f t="shared" si="0"/>
        <v>50</v>
      </c>
      <c r="AC15" s="746">
        <v>2</v>
      </c>
      <c r="AD15" s="747">
        <f>VLOOKUP(AB15,'Ціни контур мережний'!$Z$24:$AB$36,3,0)</f>
        <v>23.2782130224622</v>
      </c>
      <c r="AE15" s="748">
        <f t="shared" si="45"/>
        <v>46.5564260449244</v>
      </c>
      <c r="AF15" s="745">
        <f t="shared" si="1"/>
        <v>50</v>
      </c>
      <c r="AG15" s="749">
        <v>2</v>
      </c>
      <c r="AH15" s="747">
        <f>VLOOKUP(AF15,'Ціни контур мережний'!$Z$64:$AB$77,3,0)</f>
        <v>80.03214361111678</v>
      </c>
      <c r="AI15" s="748">
        <f t="shared" si="46"/>
        <v>160.06428722223356</v>
      </c>
      <c r="AJ15" s="745">
        <f t="shared" si="2"/>
        <v>50</v>
      </c>
      <c r="AK15" s="746">
        <v>0</v>
      </c>
      <c r="AL15" s="747">
        <f>VLOOKUP(AJ15,'Ціни контур мережний'!$Z$5:$AB$17,3,0)</f>
        <v>26.284999999999997</v>
      </c>
      <c r="AM15" s="748">
        <f t="shared" si="47"/>
        <v>0</v>
      </c>
      <c r="AN15" s="750">
        <f t="shared" si="3"/>
        <v>32</v>
      </c>
      <c r="AO15" s="746">
        <v>1</v>
      </c>
      <c r="AP15" s="747">
        <f>VLOOKUP(AN15,'Ціни контур мережний'!$Z$43:$AB$55,3,0)</f>
        <v>16.107218011318363</v>
      </c>
      <c r="AQ15" s="768">
        <f t="shared" si="48"/>
        <v>16.107218011318363</v>
      </c>
      <c r="AR15" s="749">
        <f t="shared" si="4"/>
        <v>32</v>
      </c>
      <c r="AS15" s="749">
        <v>4</v>
      </c>
      <c r="AT15" s="747">
        <f>VLOOKUP(AR15,'Ціни контур мережний'!$Z$43:$AB$55,3,0)</f>
        <v>16.107218011318363</v>
      </c>
      <c r="AU15" s="1016">
        <f t="shared" si="49"/>
        <v>64.428872045273451</v>
      </c>
      <c r="AV15" s="751" t="str">
        <f t="shared" si="50"/>
        <v>AMV20</v>
      </c>
      <c r="AW15" s="751">
        <v>1</v>
      </c>
      <c r="AX15" s="747">
        <f>VLOOKUP(AV15,'Ціни контур мережний'!$I$53:$M$57,5,0)</f>
        <v>110.39869654932889</v>
      </c>
      <c r="AY15" s="748">
        <f t="shared" si="51"/>
        <v>110.39869654932889</v>
      </c>
      <c r="AZ15" s="752">
        <f t="array" ref="AZ15">MIN(IF('Ціни контур мережний'!$Y$83:$Y$92&gt;(R15*1.2),'Ціни контур мережний'!$Y$83:$Y$92))</f>
        <v>4</v>
      </c>
      <c r="BA15" s="746">
        <f>VLOOKUP(AZ15,'Ціни контур мережний'!$Y$83:$Z$92,2,0)</f>
        <v>15</v>
      </c>
      <c r="BB15" s="746">
        <v>1</v>
      </c>
      <c r="BC15" s="747">
        <f>VLOOKUP(AZ15,'Ціни контур мережний'!$Y$83:$AB$92,4,0)</f>
        <v>104.44472592804462</v>
      </c>
      <c r="BD15" s="748">
        <f t="shared" si="52"/>
        <v>104.44472592804462</v>
      </c>
      <c r="BE15" s="1099">
        <f t="array" ref="BE15">MIN(IF('[1]Ціни контур мережний'!$Y$104:$Y$114&gt;(R15*1.2),'[1]Ціни контур мережний'!$Y$104:$Y$114))</f>
        <v>4</v>
      </c>
      <c r="BF15" s="1101">
        <f>VLOOKUP(BE15,'[1]Ціни контур мережний'!$Y$104:$Z$114,2,0)</f>
        <v>15</v>
      </c>
      <c r="BG15" s="753">
        <v>1</v>
      </c>
      <c r="BH15" s="754">
        <f>VLOOKUP(BE15,'Ціни контур мережний'!$Y$104:$AB$114,4,0)</f>
        <v>251.13923223078018</v>
      </c>
      <c r="BI15" s="755">
        <f t="shared" si="53"/>
        <v>251.13923223078018</v>
      </c>
      <c r="BJ15" s="751" t="s">
        <v>67</v>
      </c>
      <c r="BK15" s="749">
        <v>1</v>
      </c>
      <c r="BL15" s="747">
        <f>VLOOKUP(BJ15,'Ціни контур мережний'!$I$53:$M$57,5,0)</f>
        <v>157.67238032974441</v>
      </c>
      <c r="BM15" s="748">
        <f t="shared" si="54"/>
        <v>157.67238032974441</v>
      </c>
      <c r="BN15" s="896">
        <f t="array" ref="BN15">MIN(IF('Ціни контур мережний'!$Y$83:$Y$93&gt;(S15*1.2),'Ціни контур мережний'!$Y$83:$Y$93))</f>
        <v>4</v>
      </c>
      <c r="BO15" s="896">
        <f>VLOOKUP(BN15,'Ціни контур мережний'!$Y$83:$Z$93,2,0)</f>
        <v>15</v>
      </c>
      <c r="BP15" s="895">
        <v>1</v>
      </c>
      <c r="BQ15" s="896">
        <f>VLOOKUP(BN15,'Ціни контур мережний'!$Y$83:$AB$93,4,0)</f>
        <v>104.44472592804462</v>
      </c>
      <c r="BR15" s="897">
        <f t="shared" si="55"/>
        <v>104.44472592804462</v>
      </c>
      <c r="BS15" s="896">
        <f t="array" ref="BS15">MIN(IF('Ціни контур мережний'!$Y$104:$Y$114&gt;(S15*1.2),'Ціни контур мережний'!$Y$104:$Y$114))</f>
        <v>4</v>
      </c>
      <c r="BT15" s="896">
        <f>VLOOKUP(BS15,'Ціни контур мережний'!$Y$104:$Z$114,2,0)</f>
        <v>15</v>
      </c>
      <c r="BU15" s="895">
        <v>1</v>
      </c>
      <c r="BV15" s="896">
        <f>VLOOKUP(BS15,'Ціни контур мережний'!$Y$104:$AB$114,4,0)</f>
        <v>251.13923223078018</v>
      </c>
      <c r="BW15" s="897">
        <f t="shared" si="56"/>
        <v>251.13923223078018</v>
      </c>
      <c r="BX15" s="751" t="s">
        <v>115</v>
      </c>
      <c r="BY15" s="751" t="s">
        <v>115</v>
      </c>
      <c r="BZ15" s="746" t="s">
        <v>1025</v>
      </c>
      <c r="CA15" s="756">
        <v>0</v>
      </c>
      <c r="CB15" s="747">
        <v>0</v>
      </c>
      <c r="CC15" s="748">
        <f t="shared" si="57"/>
        <v>0</v>
      </c>
      <c r="CD15" s="758">
        <f>VLOOKUP(CE15,'Ціни контур мережний'!$J$5:$L$12,3,0)</f>
        <v>20</v>
      </c>
      <c r="CE15" s="747">
        <f t="array" ref="CE15">MIN(IF('Ціни контур мережний'!$J$5:$J$12&gt;L15,'Ціни контур мережний'!$J$5:$J$12))</f>
        <v>2.5</v>
      </c>
      <c r="CF15" s="746" t="s">
        <v>130</v>
      </c>
      <c r="CG15" s="749">
        <v>1</v>
      </c>
      <c r="CH15" s="747">
        <f>VLOOKUP(CE15,'Ціни контур мережний'!$J$5:$N$12,5,0)</f>
        <v>277.536</v>
      </c>
      <c r="CI15" s="748">
        <f t="shared" si="58"/>
        <v>277.536</v>
      </c>
      <c r="CJ15" s="899" t="s">
        <v>1295</v>
      </c>
      <c r="CK15" s="899">
        <v>1</v>
      </c>
      <c r="CL15" s="898">
        <v>582</v>
      </c>
      <c r="CM15" s="901">
        <f t="shared" si="59"/>
        <v>582</v>
      </c>
      <c r="CN15" s="898" t="s">
        <v>1322</v>
      </c>
      <c r="CO15" s="899">
        <v>1</v>
      </c>
      <c r="CP15" s="900">
        <v>338</v>
      </c>
      <c r="CQ15" s="901">
        <f t="shared" si="60"/>
        <v>338</v>
      </c>
      <c r="CR15" s="751">
        <f t="shared" si="5"/>
        <v>50</v>
      </c>
      <c r="CS15" s="746">
        <v>4</v>
      </c>
      <c r="CT15" s="747">
        <f>VLOOKUP(CR15,'Ціни контур теплопостачання'!$Y$5:$AA$17,3,0)</f>
        <v>23.2782130224622</v>
      </c>
      <c r="CU15" s="748">
        <f t="shared" si="61"/>
        <v>93.112852089848801</v>
      </c>
      <c r="CV15" s="750">
        <f t="shared" si="6"/>
        <v>32</v>
      </c>
      <c r="CW15" s="746">
        <v>6</v>
      </c>
      <c r="CX15" s="747">
        <f>VLOOKUP(CV15,'Ціни контур теплопостачання'!$AO$20:$AQ$29,3,0)</f>
        <v>10.381</v>
      </c>
      <c r="CY15" s="748">
        <f t="shared" si="62"/>
        <v>62.286000000000001</v>
      </c>
      <c r="CZ15" s="750">
        <f t="shared" si="7"/>
        <v>20</v>
      </c>
      <c r="DA15" s="746">
        <v>3</v>
      </c>
      <c r="DB15" s="747">
        <f>VLOOKUP(CZ15,'Ціни контур теплопостачання'!$AO$20:$AQ$29,3,0)</f>
        <v>3.577</v>
      </c>
      <c r="DC15" s="748">
        <f t="shared" si="63"/>
        <v>10.731</v>
      </c>
      <c r="DD15" s="757">
        <f t="shared" si="8"/>
        <v>20</v>
      </c>
      <c r="DE15" s="746">
        <f t="shared" si="9"/>
        <v>8</v>
      </c>
      <c r="DF15" s="747">
        <f>VLOOKUP(DD15,'Ціни контур теплопостачання'!$Y$5:$AA$17,3,0)</f>
        <v>3.577</v>
      </c>
      <c r="DG15" s="748">
        <f t="shared" si="64"/>
        <v>28.616</v>
      </c>
      <c r="DH15" s="745">
        <f t="shared" si="65"/>
        <v>32</v>
      </c>
      <c r="DI15" s="749">
        <f t="shared" si="66"/>
        <v>1</v>
      </c>
      <c r="DJ15" s="747">
        <f>VLOOKUP(DH15,'Ціни контур теплопостачання'!$Y$5:$AA$17,3,0)</f>
        <v>10.381</v>
      </c>
      <c r="DK15" s="765">
        <f t="shared" si="67"/>
        <v>10.381</v>
      </c>
      <c r="DL15" s="757">
        <f t="shared" si="10"/>
        <v>25</v>
      </c>
      <c r="DM15" s="746">
        <v>1</v>
      </c>
      <c r="DN15" s="747">
        <f>VLOOKUP(DL15,'Ціни контур мережний'!$Z$43:$AB$55,3,0)</f>
        <v>14.856886019572187</v>
      </c>
      <c r="DO15" s="748">
        <f t="shared" si="68"/>
        <v>14.856886019572187</v>
      </c>
      <c r="DP15" s="757">
        <f t="shared" si="11"/>
        <v>25</v>
      </c>
      <c r="DQ15" s="746">
        <v>2</v>
      </c>
      <c r="DR15" s="747">
        <f>VLOOKUP(DP15,'Ціни контур теплопостачання'!$Y$5:$AA$17,3,0)</f>
        <v>6.3070000000000004</v>
      </c>
      <c r="DS15" s="748">
        <f t="shared" si="69"/>
        <v>12.614000000000001</v>
      </c>
      <c r="DT15" s="745">
        <v>20</v>
      </c>
      <c r="DU15" s="749">
        <v>2</v>
      </c>
      <c r="DV15" s="747">
        <f>VLOOKUP(DT15,'Ціни контур теплопостачання'!$Y$5:$AA$17,3,0)</f>
        <v>3.577</v>
      </c>
      <c r="DW15" s="748">
        <f t="shared" si="70"/>
        <v>7.1539999999999999</v>
      </c>
      <c r="DX15" s="745">
        <v>15</v>
      </c>
      <c r="DY15" s="745">
        <v>10</v>
      </c>
      <c r="DZ15" s="758">
        <f>VLOOKUP(DX15,'Ціни контур теплопостачання'!$Y$5:$AA$17,3,0)</f>
        <v>2.464</v>
      </c>
      <c r="EA15" s="759">
        <f t="shared" si="71"/>
        <v>24.64</v>
      </c>
      <c r="EB15" s="745">
        <v>15</v>
      </c>
      <c r="EC15" s="745">
        <f t="shared" si="110"/>
        <v>40</v>
      </c>
      <c r="ED15" s="758">
        <f>VLOOKUP(EB15,'Ціни контур мережний'!$J$71:$M$71,4,0)</f>
        <v>3.3865201135922525</v>
      </c>
      <c r="EE15" s="759">
        <f t="shared" si="72"/>
        <v>135.4608045436901</v>
      </c>
      <c r="EF15" s="751">
        <f t="shared" si="12"/>
        <v>50</v>
      </c>
      <c r="EG15" s="746">
        <v>1</v>
      </c>
      <c r="EH15" s="747">
        <f>VLOOKUP(EF15,'Ціни контур теплопостачання'!$K$5:$M$17,3,0)</f>
        <v>26.284999999999997</v>
      </c>
      <c r="EI15" s="748">
        <f t="shared" si="73"/>
        <v>26.284999999999997</v>
      </c>
      <c r="EJ15" s="745">
        <f t="shared" si="13"/>
        <v>32</v>
      </c>
      <c r="EK15" s="749">
        <v>1</v>
      </c>
      <c r="EL15" s="747">
        <f>VLOOKUP(EJ15,'Ціни контур теплопостачання'!$K$5:$M$17,3,0)</f>
        <v>9.48</v>
      </c>
      <c r="EM15" s="748">
        <f t="shared" si="74"/>
        <v>9.48</v>
      </c>
      <c r="EN15" s="745">
        <f t="shared" si="14"/>
        <v>20</v>
      </c>
      <c r="EO15" s="745">
        <v>1</v>
      </c>
      <c r="EP15" s="758">
        <f>VLOOKUP(EN15,'Ціни контур теплопостачання'!$K$5:$M$17,3,0)</f>
        <v>3.48</v>
      </c>
      <c r="EQ15" s="759">
        <f t="shared" si="75"/>
        <v>3.48</v>
      </c>
      <c r="ER15" s="745">
        <f t="shared" si="15"/>
        <v>25</v>
      </c>
      <c r="ES15" s="745">
        <v>1</v>
      </c>
      <c r="ET15" s="758">
        <f>VLOOKUP(ER15,'Ціни контур теплопостачання'!$K$5:$M$17,3,0)</f>
        <v>4.78</v>
      </c>
      <c r="EU15" s="759">
        <f t="shared" si="76"/>
        <v>4.78</v>
      </c>
      <c r="EV15" s="751">
        <f t="shared" si="16"/>
        <v>50</v>
      </c>
      <c r="EW15" s="746">
        <v>2</v>
      </c>
      <c r="EX15" s="747">
        <f>VLOOKUP(EV15,'Ціни контур теплопостачання'!$Y$24:$AA$36,3,0)</f>
        <v>28.560999999999996</v>
      </c>
      <c r="EY15" s="748">
        <f t="shared" si="77"/>
        <v>57.121999999999993</v>
      </c>
      <c r="EZ15" s="745">
        <f t="shared" si="17"/>
        <v>32</v>
      </c>
      <c r="FA15" s="749">
        <v>1</v>
      </c>
      <c r="FB15" s="747">
        <f>VLOOKUP(EZ15,'Ціни контур теплопостачання'!$AO$38:$AQ$50,3,0)</f>
        <v>10.773</v>
      </c>
      <c r="FC15" s="748">
        <f t="shared" si="78"/>
        <v>10.773</v>
      </c>
      <c r="FD15" s="745">
        <f t="shared" si="18"/>
        <v>20</v>
      </c>
      <c r="FE15" s="745">
        <v>1</v>
      </c>
      <c r="FF15" s="758">
        <f>VLOOKUP(FD15,'Ціни контур теплопостачання'!$AO$38:$AQ$50,3,0)</f>
        <v>4.5359999999999996</v>
      </c>
      <c r="FG15" s="759">
        <f t="shared" si="79"/>
        <v>4.5359999999999996</v>
      </c>
      <c r="FH15" s="745">
        <f t="shared" si="19"/>
        <v>25</v>
      </c>
      <c r="FI15" s="745">
        <v>1</v>
      </c>
      <c r="FJ15" s="758">
        <f>VLOOKUP(FH15,'Ціни контур теплопостачання'!$Y$24:$AA$36,3,0)</f>
        <v>6.9659999999999993</v>
      </c>
      <c r="FK15" s="759">
        <f t="shared" si="80"/>
        <v>6.9659999999999993</v>
      </c>
      <c r="FL15" s="745">
        <f t="shared" si="20"/>
        <v>20</v>
      </c>
      <c r="FM15" s="745">
        <f t="shared" si="21"/>
        <v>8</v>
      </c>
      <c r="FN15" s="758">
        <f>VLOOKUP(FL15,'Ціни контур теплопостачання'!$Y$76:$AA$88,3,0)</f>
        <v>11.45</v>
      </c>
      <c r="FO15" s="759">
        <f t="shared" si="81"/>
        <v>91.6</v>
      </c>
      <c r="FP15" s="745">
        <f t="shared" si="22"/>
        <v>32</v>
      </c>
      <c r="FQ15" s="745">
        <v>1</v>
      </c>
      <c r="FR15" s="758">
        <f>VLOOKUP(FP15,'Ціни контур теплопостачання'!$Y$76:$AA$88,3,0)</f>
        <v>13.15</v>
      </c>
      <c r="FS15" s="759">
        <f t="shared" si="82"/>
        <v>13.15</v>
      </c>
      <c r="FT15" s="745">
        <f t="shared" si="23"/>
        <v>20</v>
      </c>
      <c r="FU15" s="745">
        <v>1</v>
      </c>
      <c r="FV15" s="758">
        <f>VLOOKUP(FT15,'Ціни контур теплопостачання'!$Y$76:$AA$88,3,0)</f>
        <v>11.45</v>
      </c>
      <c r="FW15" s="759">
        <f t="shared" si="83"/>
        <v>11.45</v>
      </c>
      <c r="FX15" s="758">
        <f t="shared" si="24"/>
        <v>16.922765731404546</v>
      </c>
      <c r="FY15" s="760">
        <v>20</v>
      </c>
      <c r="FZ15" s="719">
        <v>2</v>
      </c>
      <c r="GA15" s="747">
        <f>VLOOKUP(FY15,'Ціни контур теплопостачання'!$K$74:$M$79,3,0)</f>
        <v>16.440000000000001</v>
      </c>
      <c r="GB15" s="761">
        <f t="shared" si="84"/>
        <v>32.880000000000003</v>
      </c>
      <c r="GC15" s="762">
        <f t="shared" si="85"/>
        <v>4.615384615384615</v>
      </c>
      <c r="GD15" s="911">
        <v>9</v>
      </c>
      <c r="GE15" s="1017">
        <v>9</v>
      </c>
      <c r="GF15" s="1018" t="s">
        <v>122</v>
      </c>
      <c r="GG15" s="713">
        <v>2</v>
      </c>
      <c r="GH15" s="709">
        <f>VLOOKUP(GF15,'Ціни контур теплопостачання'!$C$89:$M$105,11,0)</f>
        <v>260.71199999999999</v>
      </c>
      <c r="GI15" s="764">
        <f t="shared" si="86"/>
        <v>521.42399999999998</v>
      </c>
      <c r="GJ15" s="912">
        <f t="shared" si="87"/>
        <v>0.4515212981744422</v>
      </c>
      <c r="GK15" s="911">
        <v>9</v>
      </c>
      <c r="GL15" s="1017">
        <v>9</v>
      </c>
      <c r="GM15" s="1019" t="s">
        <v>1097</v>
      </c>
      <c r="GN15" s="749">
        <v>1</v>
      </c>
      <c r="GO15" s="747">
        <f>VLOOKUP(GM15,'Ціни контур теплопостачання'!$C$89:$M$105,11,0)</f>
        <v>241.2</v>
      </c>
      <c r="GP15" s="904">
        <f t="shared" si="88"/>
        <v>241.2</v>
      </c>
      <c r="GQ15" s="758">
        <f t="shared" si="25"/>
        <v>700.88100526913593</v>
      </c>
      <c r="GR15" s="955">
        <v>750</v>
      </c>
      <c r="GS15" s="749">
        <f>VLOOKUP(GR15,'Ціни контур теплопостачання'!$J$43:$K$55,2,0)</f>
        <v>32</v>
      </c>
      <c r="GT15" s="1020">
        <v>1</v>
      </c>
      <c r="GU15" s="747">
        <f>VLOOKUP(GR15,'Ціни контур теплопостачання'!$J$43:$M$55,4,0)</f>
        <v>376.94</v>
      </c>
      <c r="GV15" s="748">
        <f t="shared" si="89"/>
        <v>376.94</v>
      </c>
      <c r="GW15" s="758">
        <f t="array" ref="GW15">MIN(IF('Ціни контур теплопостачання'!$AN$68:$AN$77&gt;(V15*1.2),'Ціни контур теплопостачання'!$AN$68:$AN$77))</f>
        <v>3.25</v>
      </c>
      <c r="GX15" s="749">
        <f>VLOOKUP(GW15,'Ціни контур теплопостачання'!$AN$68:$AO$77,2,0)</f>
        <v>20</v>
      </c>
      <c r="GY15" s="749">
        <f t="shared" si="26"/>
        <v>4</v>
      </c>
      <c r="GZ15" s="747">
        <f>VLOOKUP(GX15,'Ціни контур теплопостачання'!$AO$68:$AQ$77,3,0)</f>
        <v>25.102</v>
      </c>
      <c r="HA15" s="759">
        <f t="shared" si="90"/>
        <v>100.408</v>
      </c>
      <c r="HB15" s="751">
        <v>15</v>
      </c>
      <c r="HC15" s="746">
        <v>2</v>
      </c>
      <c r="HD15" s="747">
        <f>VLOOKUP(HB15,'Ціни контур мережний'!$J$73:$M$73,4,0)</f>
        <v>3.4649999999999999</v>
      </c>
      <c r="HE15" s="748">
        <f t="shared" si="91"/>
        <v>6.93</v>
      </c>
      <c r="HF15" s="749">
        <f t="shared" si="27"/>
        <v>25</v>
      </c>
      <c r="HG15" s="749">
        <v>1</v>
      </c>
      <c r="HH15" s="747">
        <f>VLOOKUP(HF15,'Ціни контур теплопостачання'!$Y$62:$AA$69,3,0)</f>
        <v>89.924040000000005</v>
      </c>
      <c r="HI15" s="765">
        <f t="shared" si="92"/>
        <v>89.924040000000005</v>
      </c>
      <c r="HJ15" s="750">
        <f>VLOOKUP(HK15,'Ціни контур теплопостачання'!$AN$6:$AO$13,2,0)</f>
        <v>20</v>
      </c>
      <c r="HK15" s="751">
        <f t="array" ref="HK15">MIN(IF('Ціни контур теплопостачання'!$AN$6:$AN$13&gt;N15,'Ціни контур теплопостачання'!$AN$6:$AN$13))</f>
        <v>2.5</v>
      </c>
      <c r="HL15" s="751">
        <v>1</v>
      </c>
      <c r="HM15" s="747">
        <f>VLOOKUP(HJ15,'Ціни контур теплопостачання'!$AO$6:$AQ$13,3,0)</f>
        <v>23.753519999999998</v>
      </c>
      <c r="HN15" s="748">
        <f t="shared" si="93"/>
        <v>23.753519999999998</v>
      </c>
      <c r="HO15" s="750">
        <f t="shared" si="28"/>
        <v>32</v>
      </c>
      <c r="HP15" s="746">
        <v>1</v>
      </c>
      <c r="HQ15" s="747">
        <f>VLOOKUP(HO15,'Ціни контур теплопостачання'!$AO$55:$AQ$63,3,0)</f>
        <v>150.1</v>
      </c>
      <c r="HR15" s="748">
        <f t="shared" si="94"/>
        <v>150.1</v>
      </c>
      <c r="HS15" s="745">
        <f t="shared" si="29"/>
        <v>25</v>
      </c>
      <c r="HT15" s="749">
        <v>1</v>
      </c>
      <c r="HU15" s="747">
        <f>VLOOKUP(HS15,'Ціни контур теплопостачання'!$K$62:$M$67,3,0)</f>
        <v>92.91</v>
      </c>
      <c r="HV15" s="765">
        <f t="shared" si="95"/>
        <v>92.91</v>
      </c>
      <c r="HW15" s="655" t="str">
        <f t="shared" ref="HW15" si="121">HW14</f>
        <v>0-150</v>
      </c>
      <c r="HX15" s="720">
        <v>1</v>
      </c>
      <c r="HY15" s="747">
        <f>VLOOKUP(HW15,'Ціни контур мережний'!$I$79:$M$80,5,0)</f>
        <v>15.050156291498967</v>
      </c>
      <c r="HZ15" s="748">
        <f t="shared" si="96"/>
        <v>15.050156291498967</v>
      </c>
      <c r="IA15" s="758" t="s">
        <v>109</v>
      </c>
      <c r="IB15" s="749">
        <v>1</v>
      </c>
      <c r="IC15" s="747">
        <f>VLOOKUP(IA15,'Ціни контур мережний'!$I$79:$M$80,5,0)</f>
        <v>15.050156291498967</v>
      </c>
      <c r="ID15" s="765">
        <f t="shared" si="97"/>
        <v>15.050156291498967</v>
      </c>
      <c r="IE15" s="655" t="s">
        <v>108</v>
      </c>
      <c r="IF15" s="720">
        <v>3</v>
      </c>
      <c r="IG15" s="747">
        <f>VLOOKUP(IE15,'Ціни контур мережний'!$I$67:$M$69,5,0)</f>
        <v>4.4537969640631703</v>
      </c>
      <c r="IH15" s="748">
        <f t="shared" si="98"/>
        <v>13.361390892189512</v>
      </c>
      <c r="II15" s="655" t="s">
        <v>106</v>
      </c>
      <c r="IJ15" s="720">
        <f t="shared" si="30"/>
        <v>15</v>
      </c>
      <c r="IK15" s="747">
        <f>VLOOKUP(II15,'Ціни контур мережний'!$I$67:$M$69,5,0)</f>
        <v>4.4537969640631703</v>
      </c>
      <c r="IL15" s="748">
        <f t="shared" si="99"/>
        <v>66.806954460947551</v>
      </c>
      <c r="IM15" s="655" t="s">
        <v>1013</v>
      </c>
      <c r="IN15" s="720">
        <v>5</v>
      </c>
      <c r="IO15" s="747">
        <f>VLOOKUP(IM15,'Ціни контур мережний'!$I$64:$M$64,5,0)</f>
        <v>29.1312</v>
      </c>
      <c r="IP15" s="748">
        <f t="shared" si="100"/>
        <v>145.65600000000001</v>
      </c>
      <c r="IQ15" s="766" t="s">
        <v>1015</v>
      </c>
      <c r="IR15" s="749">
        <v>6</v>
      </c>
      <c r="IS15" s="747">
        <f>VLOOKUP(IQ15,'Ціни контур мережний'!$I$89:$M$89,5,0)</f>
        <v>79.523165325760516</v>
      </c>
      <c r="IT15" s="765">
        <f t="shared" si="101"/>
        <v>477.1389919545631</v>
      </c>
      <c r="IU15" s="778" t="s">
        <v>1016</v>
      </c>
      <c r="IV15" s="720">
        <f t="shared" si="117"/>
        <v>7</v>
      </c>
      <c r="IW15" s="747">
        <f>VLOOKUP(IU15,'Ціни контур мережний'!$I$88:$M$88,5,0)</f>
        <v>13.211568975967202</v>
      </c>
      <c r="IX15" s="768">
        <f t="shared" si="102"/>
        <v>92.480982831770419</v>
      </c>
      <c r="IY15" s="757" t="s">
        <v>383</v>
      </c>
      <c r="IZ15" s="720">
        <v>1</v>
      </c>
      <c r="JA15" s="747">
        <f>VLOOKUP(IY15,'Ціни контур мережний'!$I$87:$M$87,5,0)</f>
        <v>13.483972460007763</v>
      </c>
      <c r="JB15" s="748">
        <f t="shared" si="103"/>
        <v>13.483972460007763</v>
      </c>
      <c r="JC15" s="769">
        <f t="shared" si="31"/>
        <v>9</v>
      </c>
      <c r="JD15" s="770">
        <f t="shared" si="104"/>
        <v>5578.9045043560609</v>
      </c>
      <c r="JE15" s="771">
        <f>$JE$44/'Ціни контур мережний'!$G$26</f>
        <v>476.70609707098151</v>
      </c>
      <c r="JF15" s="771">
        <f>$JE$43/'Ціни контур мережний'!$G$26</f>
        <v>340.50435505070107</v>
      </c>
      <c r="JG15" s="770">
        <f t="shared" si="112"/>
        <v>661.80181284518619</v>
      </c>
      <c r="JH15" s="770">
        <f t="shared" si="113"/>
        <v>487.81784379022207</v>
      </c>
      <c r="JI15" s="770">
        <f>$JI$43/'Ціни контур мережний'!$G$26</f>
        <v>323.47913729816605</v>
      </c>
      <c r="JJ15" s="770">
        <f t="shared" si="105"/>
        <v>66.611999999999995</v>
      </c>
      <c r="JK15" s="772">
        <v>0</v>
      </c>
      <c r="JL15" s="772">
        <f t="shared" si="114"/>
        <v>62.86234247089866</v>
      </c>
      <c r="JM15" s="772">
        <v>0</v>
      </c>
      <c r="JN15" s="770">
        <v>0</v>
      </c>
      <c r="JO15" s="1029">
        <f t="shared" si="32"/>
        <v>559.9081665017552</v>
      </c>
      <c r="JP15" s="770">
        <f t="shared" si="33"/>
        <v>799.86880928822166</v>
      </c>
      <c r="JQ15" s="1030">
        <f t="shared" si="34"/>
        <v>137.59730649657286</v>
      </c>
      <c r="JR15" s="1023">
        <f t="shared" si="115"/>
        <v>300.63036461094771</v>
      </c>
      <c r="JS15" s="777">
        <f t="shared" si="106"/>
        <v>9796.6927397797153</v>
      </c>
      <c r="JU15" s="611">
        <f>[3]Расчеты!AX14/1.2</f>
        <v>4329.2980677217938</v>
      </c>
      <c r="JV15" s="611">
        <f t="shared" si="107"/>
        <v>14125.990807501508</v>
      </c>
      <c r="JW15" s="611" t="e">
        <f>JV15*1.2*#REF!</f>
        <v>#REF!</v>
      </c>
      <c r="JX15" s="611"/>
    </row>
    <row r="16" spans="1:284" ht="12.6" customHeight="1">
      <c r="A16" s="610" t="s">
        <v>686</v>
      </c>
      <c r="B16" s="597">
        <v>10</v>
      </c>
      <c r="C16" s="1056" t="s">
        <v>1416</v>
      </c>
      <c r="D16" s="906">
        <v>0.29199999999999998</v>
      </c>
      <c r="E16" s="907">
        <v>0.15190000000000001</v>
      </c>
      <c r="F16" s="908">
        <f t="shared" si="35"/>
        <v>9.0990729598870761</v>
      </c>
      <c r="G16" s="909">
        <v>65</v>
      </c>
      <c r="H16" s="598">
        <f t="shared" si="36"/>
        <v>5.2161486245087527</v>
      </c>
      <c r="I16" s="599">
        <v>40</v>
      </c>
      <c r="J16" s="598">
        <f t="shared" si="37"/>
        <v>12.141372141372141</v>
      </c>
      <c r="K16" s="599">
        <v>80</v>
      </c>
      <c r="L16" s="598">
        <f t="shared" si="38"/>
        <v>3.8829243353783234</v>
      </c>
      <c r="M16" s="599">
        <v>40</v>
      </c>
      <c r="N16" s="598">
        <f t="shared" si="39"/>
        <v>3.0811359026369169</v>
      </c>
      <c r="O16" s="599">
        <v>32</v>
      </c>
      <c r="P16" s="598">
        <f t="shared" si="108"/>
        <v>0.92434077079107502</v>
      </c>
      <c r="Q16" s="599">
        <v>20</v>
      </c>
      <c r="R16" s="598">
        <f t="shared" si="40"/>
        <v>7.3767481281340421</v>
      </c>
      <c r="S16" s="600">
        <f t="shared" si="41"/>
        <v>5.4912842567605606</v>
      </c>
      <c r="T16" s="910">
        <v>4</v>
      </c>
      <c r="U16" s="601">
        <f t="shared" si="42"/>
        <v>3.0353430353430353</v>
      </c>
      <c r="V16" s="601">
        <f t="shared" si="43"/>
        <v>4.2926232870368368</v>
      </c>
      <c r="W16" s="602">
        <v>32</v>
      </c>
      <c r="X16" s="1027">
        <v>6.63</v>
      </c>
      <c r="Y16" s="601">
        <f t="shared" si="44"/>
        <v>1.9889999999999999</v>
      </c>
      <c r="Z16" s="992">
        <v>25</v>
      </c>
      <c r="AA16" s="1028">
        <v>9</v>
      </c>
      <c r="AB16" s="745">
        <f t="shared" si="0"/>
        <v>65</v>
      </c>
      <c r="AC16" s="746">
        <v>2</v>
      </c>
      <c r="AD16" s="747">
        <f>VLOOKUP(AB16,'Ціни контур мережний'!$Z$24:$AB$36,3,0)</f>
        <v>30.19184015363556</v>
      </c>
      <c r="AE16" s="748">
        <f t="shared" si="45"/>
        <v>60.383680307271121</v>
      </c>
      <c r="AF16" s="745">
        <f t="shared" si="1"/>
        <v>65</v>
      </c>
      <c r="AG16" s="749">
        <v>2</v>
      </c>
      <c r="AH16" s="747">
        <f>VLOOKUP(AF16,'Ціни контур мережний'!$Z$64:$AB$77,3,0)</f>
        <v>105.883234246566</v>
      </c>
      <c r="AI16" s="748">
        <f t="shared" si="46"/>
        <v>211.76646849313201</v>
      </c>
      <c r="AJ16" s="745">
        <f t="shared" si="2"/>
        <v>65</v>
      </c>
      <c r="AK16" s="746">
        <v>0</v>
      </c>
      <c r="AL16" s="747">
        <f>VLOOKUP(AJ16,'Ціни контур мережний'!$Z$5:$AB$17,3,0)</f>
        <v>39.731999999999999</v>
      </c>
      <c r="AM16" s="748">
        <f t="shared" si="47"/>
        <v>0</v>
      </c>
      <c r="AN16" s="750">
        <f t="shared" si="3"/>
        <v>40</v>
      </c>
      <c r="AO16" s="746">
        <v>1</v>
      </c>
      <c r="AP16" s="747">
        <f>VLOOKUP(AN16,'Ціни контур мережний'!$Z$43:$AB$55,3,0)</f>
        <v>18.42400964308333</v>
      </c>
      <c r="AQ16" s="768">
        <f t="shared" si="48"/>
        <v>18.42400964308333</v>
      </c>
      <c r="AR16" s="749">
        <f t="shared" si="4"/>
        <v>40</v>
      </c>
      <c r="AS16" s="749">
        <v>4</v>
      </c>
      <c r="AT16" s="747">
        <f>VLOOKUP(AR16,'Ціни контур мережний'!$Z$43:$AB$55,3,0)</f>
        <v>18.42400964308333</v>
      </c>
      <c r="AU16" s="1016">
        <f t="shared" si="49"/>
        <v>73.696038572333322</v>
      </c>
      <c r="AV16" s="751" t="str">
        <f t="shared" si="50"/>
        <v>AMV20</v>
      </c>
      <c r="AW16" s="751">
        <v>1</v>
      </c>
      <c r="AX16" s="747">
        <f>VLOOKUP(AV16,'Ціни контур мережний'!$I$53:$M$57,5,0)</f>
        <v>110.39869654932889</v>
      </c>
      <c r="AY16" s="748">
        <f t="shared" si="51"/>
        <v>110.39869654932889</v>
      </c>
      <c r="AZ16" s="752">
        <f t="array" ref="AZ16">MIN(IF('Ціни контур мережний'!$Y$83:$Y$92&gt;(R16*1.2),'Ціни контур мережний'!$Y$83:$Y$92))</f>
        <v>10</v>
      </c>
      <c r="BA16" s="746">
        <f>VLOOKUP(AZ16,'Ціни контур мережний'!$Y$83:$Z$92,2,0)</f>
        <v>25</v>
      </c>
      <c r="BB16" s="746">
        <v>1</v>
      </c>
      <c r="BC16" s="747">
        <f>VLOOKUP(AZ16,'Ціни контур мережний'!$Y$83:$AB$92,4,0)</f>
        <v>117.50505648967251</v>
      </c>
      <c r="BD16" s="748">
        <f t="shared" si="52"/>
        <v>117.50505648967251</v>
      </c>
      <c r="BE16" s="1099">
        <f t="array" ref="BE16">MIN(IF('[1]Ціни контур мережний'!$Y$104:$Y$114&gt;(R16*1.2),'[1]Ціни контур мережний'!$Y$104:$Y$114))</f>
        <v>12.5</v>
      </c>
      <c r="BF16" s="1101">
        <f>VLOOKUP(BE16,'[1]Ціни контур мережний'!$Y$104:$Z$114,2,0)</f>
        <v>32</v>
      </c>
      <c r="BG16" s="753">
        <v>1</v>
      </c>
      <c r="BH16" s="754">
        <f>VLOOKUP(BE16,'Ціни контур мережний'!$Y$104:$AB$114,4,0)</f>
        <v>435.76049604674444</v>
      </c>
      <c r="BI16" s="755">
        <f t="shared" si="53"/>
        <v>435.76049604674444</v>
      </c>
      <c r="BJ16" s="751" t="s">
        <v>67</v>
      </c>
      <c r="BK16" s="749">
        <v>1</v>
      </c>
      <c r="BL16" s="747">
        <f>VLOOKUP(BJ16,'Ціни контур мережний'!$I$53:$M$57,5,0)</f>
        <v>157.67238032974441</v>
      </c>
      <c r="BM16" s="748">
        <f t="shared" si="54"/>
        <v>157.67238032974441</v>
      </c>
      <c r="BN16" s="896">
        <f t="array" ref="BN16">MIN(IF('Ціни контур мережний'!$Y$83:$Y$93&gt;(S16*1.2),'Ціни контур мережний'!$Y$83:$Y$93))</f>
        <v>10</v>
      </c>
      <c r="BO16" s="896">
        <f>VLOOKUP(BN16,'Ціни контур мережний'!$Y$83:$Z$93,2,0)</f>
        <v>25</v>
      </c>
      <c r="BP16" s="895">
        <v>1</v>
      </c>
      <c r="BQ16" s="896">
        <f>VLOOKUP(BN16,'Ціни контур мережний'!$Y$83:$AB$93,4,0)</f>
        <v>117.50505648967251</v>
      </c>
      <c r="BR16" s="897">
        <f t="shared" si="55"/>
        <v>117.50505648967251</v>
      </c>
      <c r="BS16" s="896">
        <f t="array" ref="BS16">MIN(IF('Ціни контур мережний'!$Y$104:$Y$114&gt;(S16*1.2),'Ціни контур мережний'!$Y$104:$Y$114))</f>
        <v>8</v>
      </c>
      <c r="BT16" s="896">
        <f>VLOOKUP(BS16,'Ціни контур мережний'!$Y$104:$Z$114,2,0)</f>
        <v>25</v>
      </c>
      <c r="BU16" s="895">
        <v>1</v>
      </c>
      <c r="BV16" s="896">
        <f>VLOOKUP(BS16,'Ціни контур мережний'!$Y$104:$AB$114,4,0)</f>
        <v>278.09338672441618</v>
      </c>
      <c r="BW16" s="897">
        <f t="shared" si="56"/>
        <v>278.09338672441618</v>
      </c>
      <c r="BX16" s="751" t="s">
        <v>115</v>
      </c>
      <c r="BY16" s="751" t="s">
        <v>115</v>
      </c>
      <c r="BZ16" s="746" t="s">
        <v>1025</v>
      </c>
      <c r="CA16" s="756">
        <v>0</v>
      </c>
      <c r="CB16" s="747">
        <v>0</v>
      </c>
      <c r="CC16" s="748">
        <f t="shared" si="57"/>
        <v>0</v>
      </c>
      <c r="CD16" s="758">
        <f>VLOOKUP(CE16,'Ціни контур мережний'!$J$5:$L$12,3,0)</f>
        <v>25</v>
      </c>
      <c r="CE16" s="747">
        <f t="array" ref="CE16">MIN(IF('Ціни контур мережний'!$J$5:$J$12&gt;L16,'Ціни контур мережний'!$J$5:$J$12))</f>
        <v>6</v>
      </c>
      <c r="CF16" s="746" t="s">
        <v>130</v>
      </c>
      <c r="CG16" s="749">
        <v>1</v>
      </c>
      <c r="CH16" s="747">
        <f>VLOOKUP(CE16,'Ціни контур мережний'!$J$5:$N$12,5,0)</f>
        <v>341.25599999999997</v>
      </c>
      <c r="CI16" s="748">
        <f t="shared" si="58"/>
        <v>341.25599999999997</v>
      </c>
      <c r="CJ16" s="899" t="s">
        <v>1296</v>
      </c>
      <c r="CK16" s="899">
        <v>1</v>
      </c>
      <c r="CL16" s="898">
        <v>868</v>
      </c>
      <c r="CM16" s="901">
        <f t="shared" si="59"/>
        <v>868</v>
      </c>
      <c r="CN16" s="898" t="s">
        <v>1323</v>
      </c>
      <c r="CO16" s="899">
        <v>1</v>
      </c>
      <c r="CP16" s="900">
        <v>518</v>
      </c>
      <c r="CQ16" s="901">
        <f t="shared" si="60"/>
        <v>518</v>
      </c>
      <c r="CR16" s="751">
        <f t="shared" si="5"/>
        <v>80</v>
      </c>
      <c r="CS16" s="746">
        <v>4</v>
      </c>
      <c r="CT16" s="747">
        <f>VLOOKUP(CR16,'Ціни контур теплопостачання'!$Y$5:$AA$17,3,0)</f>
        <v>37.693832104112609</v>
      </c>
      <c r="CU16" s="748">
        <f t="shared" si="61"/>
        <v>150.77532841645044</v>
      </c>
      <c r="CV16" s="750">
        <f t="shared" si="6"/>
        <v>32</v>
      </c>
      <c r="CW16" s="746">
        <v>6</v>
      </c>
      <c r="CX16" s="747">
        <f>VLOOKUP(CV16,'Ціни контур теплопостачання'!$AO$20:$AQ$29,3,0)</f>
        <v>10.381</v>
      </c>
      <c r="CY16" s="748">
        <f t="shared" si="62"/>
        <v>62.286000000000001</v>
      </c>
      <c r="CZ16" s="750">
        <f t="shared" si="7"/>
        <v>20</v>
      </c>
      <c r="DA16" s="746">
        <v>3</v>
      </c>
      <c r="DB16" s="747">
        <f>VLOOKUP(CZ16,'Ціни контур теплопостачання'!$AO$20:$AQ$29,3,0)</f>
        <v>3.577</v>
      </c>
      <c r="DC16" s="748">
        <f t="shared" si="63"/>
        <v>10.731</v>
      </c>
      <c r="DD16" s="757">
        <f t="shared" si="8"/>
        <v>32</v>
      </c>
      <c r="DE16" s="746">
        <f t="shared" si="9"/>
        <v>8</v>
      </c>
      <c r="DF16" s="747">
        <f>VLOOKUP(DD16,'Ціни контур теплопостачання'!$Y$5:$AA$17,3,0)</f>
        <v>10.381</v>
      </c>
      <c r="DG16" s="748">
        <f t="shared" si="64"/>
        <v>83.048000000000002</v>
      </c>
      <c r="DH16" s="745">
        <f t="shared" si="65"/>
        <v>32</v>
      </c>
      <c r="DI16" s="749">
        <f t="shared" si="66"/>
        <v>1</v>
      </c>
      <c r="DJ16" s="747">
        <f>VLOOKUP(DH16,'Ціни контур теплопостачання'!$Y$5:$AA$17,3,0)</f>
        <v>10.381</v>
      </c>
      <c r="DK16" s="765">
        <f t="shared" si="67"/>
        <v>10.381</v>
      </c>
      <c r="DL16" s="757">
        <f t="shared" si="10"/>
        <v>25</v>
      </c>
      <c r="DM16" s="746">
        <v>1</v>
      </c>
      <c r="DN16" s="747">
        <f>VLOOKUP(DL16,'Ціни контур мережний'!$Z$43:$AB$55,3,0)</f>
        <v>14.856886019572187</v>
      </c>
      <c r="DO16" s="748">
        <f t="shared" si="68"/>
        <v>14.856886019572187</v>
      </c>
      <c r="DP16" s="757">
        <f t="shared" si="11"/>
        <v>25</v>
      </c>
      <c r="DQ16" s="746">
        <v>2</v>
      </c>
      <c r="DR16" s="747">
        <f>VLOOKUP(DP16,'Ціни контур теплопостачання'!$Y$5:$AA$17,3,0)</f>
        <v>6.3070000000000004</v>
      </c>
      <c r="DS16" s="748">
        <f t="shared" si="69"/>
        <v>12.614000000000001</v>
      </c>
      <c r="DT16" s="745">
        <v>20</v>
      </c>
      <c r="DU16" s="749">
        <v>2</v>
      </c>
      <c r="DV16" s="747">
        <f>VLOOKUP(DT16,'Ціни контур теплопостачання'!$Y$5:$AA$17,3,0)</f>
        <v>3.577</v>
      </c>
      <c r="DW16" s="748">
        <f t="shared" si="70"/>
        <v>7.1539999999999999</v>
      </c>
      <c r="DX16" s="745">
        <v>15</v>
      </c>
      <c r="DY16" s="745">
        <v>10</v>
      </c>
      <c r="DZ16" s="758">
        <f>VLOOKUP(DX16,'Ціни контур теплопостачання'!$Y$5:$AA$17,3,0)</f>
        <v>2.464</v>
      </c>
      <c r="EA16" s="759">
        <f t="shared" si="71"/>
        <v>24.64</v>
      </c>
      <c r="EB16" s="745">
        <v>15</v>
      </c>
      <c r="EC16" s="745">
        <f t="shared" si="110"/>
        <v>40</v>
      </c>
      <c r="ED16" s="758">
        <f>VLOOKUP(EB16,'Ціни контур мережний'!$J$71:$M$71,4,0)</f>
        <v>3.3865201135922525</v>
      </c>
      <c r="EE16" s="759">
        <f t="shared" si="72"/>
        <v>135.4608045436901</v>
      </c>
      <c r="EF16" s="751">
        <f t="shared" si="12"/>
        <v>80</v>
      </c>
      <c r="EG16" s="746">
        <v>1</v>
      </c>
      <c r="EH16" s="747">
        <f>VLOOKUP(EF16,'Ціни контур теплопостачання'!$K$5:$M$17,3,0)</f>
        <v>50.12</v>
      </c>
      <c r="EI16" s="748">
        <f t="shared" si="73"/>
        <v>50.12</v>
      </c>
      <c r="EJ16" s="745">
        <f t="shared" si="13"/>
        <v>32</v>
      </c>
      <c r="EK16" s="749">
        <v>1</v>
      </c>
      <c r="EL16" s="747">
        <f>VLOOKUP(EJ16,'Ціни контур теплопостачання'!$K$5:$M$17,3,0)</f>
        <v>9.48</v>
      </c>
      <c r="EM16" s="748">
        <f t="shared" si="74"/>
        <v>9.48</v>
      </c>
      <c r="EN16" s="745">
        <f t="shared" si="14"/>
        <v>20</v>
      </c>
      <c r="EO16" s="745">
        <v>1</v>
      </c>
      <c r="EP16" s="758">
        <f>VLOOKUP(EN16,'Ціни контур теплопостачання'!$K$5:$M$17,3,0)</f>
        <v>3.48</v>
      </c>
      <c r="EQ16" s="759">
        <f t="shared" si="75"/>
        <v>3.48</v>
      </c>
      <c r="ER16" s="745">
        <f t="shared" si="15"/>
        <v>25</v>
      </c>
      <c r="ES16" s="745">
        <v>1</v>
      </c>
      <c r="ET16" s="758">
        <f>VLOOKUP(ER16,'Ціни контур теплопостачання'!$K$5:$M$17,3,0)</f>
        <v>4.78</v>
      </c>
      <c r="EU16" s="759">
        <f t="shared" si="76"/>
        <v>4.78</v>
      </c>
      <c r="EV16" s="751">
        <f t="shared" si="16"/>
        <v>80</v>
      </c>
      <c r="EW16" s="746">
        <v>2</v>
      </c>
      <c r="EX16" s="747">
        <f>VLOOKUP(EV16,'Ціни контур теплопостачання'!$Y$24:$AA$36,3,0)</f>
        <v>60.079499999999996</v>
      </c>
      <c r="EY16" s="748">
        <f t="shared" si="77"/>
        <v>120.15899999999999</v>
      </c>
      <c r="EZ16" s="745">
        <f t="shared" si="17"/>
        <v>32</v>
      </c>
      <c r="FA16" s="749">
        <v>1</v>
      </c>
      <c r="FB16" s="747">
        <f>VLOOKUP(EZ16,'Ціни контур теплопостачання'!$AO$38:$AQ$50,3,0)</f>
        <v>10.773</v>
      </c>
      <c r="FC16" s="748">
        <f t="shared" si="78"/>
        <v>10.773</v>
      </c>
      <c r="FD16" s="745">
        <f t="shared" si="18"/>
        <v>20</v>
      </c>
      <c r="FE16" s="745">
        <v>1</v>
      </c>
      <c r="FF16" s="758">
        <f>VLOOKUP(FD16,'Ціни контур теплопостачання'!$AO$38:$AQ$50,3,0)</f>
        <v>4.5359999999999996</v>
      </c>
      <c r="FG16" s="759">
        <f t="shared" si="79"/>
        <v>4.5359999999999996</v>
      </c>
      <c r="FH16" s="745">
        <f t="shared" si="19"/>
        <v>25</v>
      </c>
      <c r="FI16" s="745">
        <v>1</v>
      </c>
      <c r="FJ16" s="758">
        <f>VLOOKUP(FH16,'Ціни контур теплопостачання'!$Y$24:$AA$36,3,0)</f>
        <v>6.9659999999999993</v>
      </c>
      <c r="FK16" s="759">
        <f t="shared" si="80"/>
        <v>6.9659999999999993</v>
      </c>
      <c r="FL16" s="745">
        <f t="shared" si="20"/>
        <v>32</v>
      </c>
      <c r="FM16" s="745">
        <f t="shared" si="21"/>
        <v>8</v>
      </c>
      <c r="FN16" s="758">
        <f>VLOOKUP(FL16,'Ціни контур теплопостачання'!$Y$76:$AA$88,3,0)</f>
        <v>13.15</v>
      </c>
      <c r="FO16" s="759">
        <f t="shared" si="81"/>
        <v>105.2</v>
      </c>
      <c r="FP16" s="745">
        <f t="shared" si="22"/>
        <v>32</v>
      </c>
      <c r="FQ16" s="745">
        <v>1</v>
      </c>
      <c r="FR16" s="758">
        <f>VLOOKUP(FP16,'Ціни контур теплопостачання'!$Y$76:$AA$88,3,0)</f>
        <v>13.15</v>
      </c>
      <c r="FS16" s="759">
        <f t="shared" si="82"/>
        <v>13.15</v>
      </c>
      <c r="FT16" s="745">
        <f t="shared" si="23"/>
        <v>20</v>
      </c>
      <c r="FU16" s="745">
        <v>1</v>
      </c>
      <c r="FV16" s="758">
        <f>VLOOKUP(FT16,'Ціни контур теплопостачання'!$Y$76:$AA$88,3,0)</f>
        <v>11.45</v>
      </c>
      <c r="FW16" s="759">
        <f t="shared" si="83"/>
        <v>11.45</v>
      </c>
      <c r="FX16" s="758">
        <f t="shared" si="24"/>
        <v>27.447404248853839</v>
      </c>
      <c r="FY16" s="760">
        <v>32</v>
      </c>
      <c r="FZ16" s="719">
        <v>2</v>
      </c>
      <c r="GA16" s="747">
        <f>VLOOKUP(FY16,'Ціни контур теплопостачання'!$K$74:$M$79,3,0)</f>
        <v>33.68</v>
      </c>
      <c r="GB16" s="761">
        <f t="shared" si="84"/>
        <v>67.36</v>
      </c>
      <c r="GC16" s="762">
        <f t="shared" si="85"/>
        <v>12.141372141372141</v>
      </c>
      <c r="GD16" s="911">
        <v>9</v>
      </c>
      <c r="GE16" s="1017">
        <v>9</v>
      </c>
      <c r="GF16" s="1018" t="s">
        <v>119</v>
      </c>
      <c r="GG16" s="713">
        <v>2</v>
      </c>
      <c r="GH16" s="709">
        <f>VLOOKUP(GF16,'Ціни контур теплопостачання'!$C$89:$M$105,11,0)</f>
        <v>391.06799999999998</v>
      </c>
      <c r="GI16" s="764">
        <f t="shared" si="86"/>
        <v>782.13599999999997</v>
      </c>
      <c r="GJ16" s="912">
        <f t="shared" si="87"/>
        <v>0.92434077079107502</v>
      </c>
      <c r="GK16" s="911">
        <v>9</v>
      </c>
      <c r="GL16" s="1017">
        <v>9</v>
      </c>
      <c r="GM16" s="1019" t="s">
        <v>1097</v>
      </c>
      <c r="GN16" s="749">
        <v>1</v>
      </c>
      <c r="GO16" s="747">
        <f>VLOOKUP(GM16,'Ціни контур теплопостачання'!$C$89:$M$105,11,0)</f>
        <v>241.2</v>
      </c>
      <c r="GP16" s="904">
        <f t="shared" si="88"/>
        <v>241.2</v>
      </c>
      <c r="GQ16" s="758">
        <f t="shared" si="25"/>
        <v>700.88100526913593</v>
      </c>
      <c r="GR16" s="955">
        <v>750</v>
      </c>
      <c r="GS16" s="749">
        <f>VLOOKUP(GR16,'Ціни контур теплопостачання'!$J$43:$K$55,2,0)</f>
        <v>32</v>
      </c>
      <c r="GT16" s="1020">
        <v>1</v>
      </c>
      <c r="GU16" s="747">
        <f>VLOOKUP(GR16,'Ціни контур теплопостачання'!$J$43:$M$55,4,0)</f>
        <v>376.94</v>
      </c>
      <c r="GV16" s="748">
        <f t="shared" si="89"/>
        <v>376.94</v>
      </c>
      <c r="GW16" s="758">
        <f t="array" ref="GW16">MIN(IF('Ціни контур теплопостачання'!$AN$68:$AN$77&gt;(V16*1.2),'Ціни контур теплопостачання'!$AN$68:$AN$77))</f>
        <v>5.83</v>
      </c>
      <c r="GX16" s="749">
        <f>VLOOKUP(GW16,'Ціни контур теплопостачання'!$AN$68:$AO$77,2,0)</f>
        <v>25</v>
      </c>
      <c r="GY16" s="749">
        <f t="shared" si="26"/>
        <v>4</v>
      </c>
      <c r="GZ16" s="747">
        <f>VLOOKUP(GX16,'Ціни контур теплопостачання'!$AO$68:$AQ$77,3,0)</f>
        <v>26.495000000000001</v>
      </c>
      <c r="HA16" s="759">
        <f t="shared" si="90"/>
        <v>105.98</v>
      </c>
      <c r="HB16" s="751">
        <v>15</v>
      </c>
      <c r="HC16" s="746">
        <v>2</v>
      </c>
      <c r="HD16" s="747">
        <f>VLOOKUP(HB16,'Ціни контур мережний'!$J$73:$M$73,4,0)</f>
        <v>3.4649999999999999</v>
      </c>
      <c r="HE16" s="748">
        <f t="shared" si="91"/>
        <v>6.93</v>
      </c>
      <c r="HF16" s="749">
        <f t="shared" si="27"/>
        <v>25</v>
      </c>
      <c r="HG16" s="749">
        <v>1</v>
      </c>
      <c r="HH16" s="747">
        <f>VLOOKUP(HF16,'Ціни контур теплопостачання'!$Y$62:$AA$69,3,0)</f>
        <v>89.924040000000005</v>
      </c>
      <c r="HI16" s="765">
        <f t="shared" si="92"/>
        <v>89.924040000000005</v>
      </c>
      <c r="HJ16" s="750">
        <f>VLOOKUP(HK16,'Ціни контур теплопостачання'!$AN$6:$AO$13,2,0)</f>
        <v>25</v>
      </c>
      <c r="HK16" s="751">
        <f t="array" ref="HK16">MIN(IF('Ціни контур теплопостачання'!$AN$6:$AN$13&gt;N16,'Ціни контур теплопостачання'!$AN$6:$AN$13))</f>
        <v>3.5</v>
      </c>
      <c r="HL16" s="751">
        <v>1</v>
      </c>
      <c r="HM16" s="747">
        <f>VLOOKUP(HJ16,'Ціни контур теплопостачання'!$AO$6:$AQ$13,3,0)</f>
        <v>76.3506</v>
      </c>
      <c r="HN16" s="748">
        <f t="shared" si="93"/>
        <v>76.3506</v>
      </c>
      <c r="HO16" s="750">
        <f t="shared" si="28"/>
        <v>32</v>
      </c>
      <c r="HP16" s="746">
        <v>1</v>
      </c>
      <c r="HQ16" s="747">
        <f>VLOOKUP(HO16,'Ціни контур теплопостачання'!$AO$55:$AQ$63,3,0)</f>
        <v>150.1</v>
      </c>
      <c r="HR16" s="748">
        <f t="shared" si="94"/>
        <v>150.1</v>
      </c>
      <c r="HS16" s="745">
        <f t="shared" si="29"/>
        <v>25</v>
      </c>
      <c r="HT16" s="749">
        <v>1</v>
      </c>
      <c r="HU16" s="747">
        <f>VLOOKUP(HS16,'Ціни контур теплопостачання'!$K$62:$M$67,3,0)</f>
        <v>92.91</v>
      </c>
      <c r="HV16" s="765">
        <f t="shared" si="95"/>
        <v>92.91</v>
      </c>
      <c r="HW16" s="655" t="str">
        <f t="shared" ref="HW16" si="122">HW15</f>
        <v>0-150</v>
      </c>
      <c r="HX16" s="720">
        <v>1</v>
      </c>
      <c r="HY16" s="747">
        <f>VLOOKUP(HW16,'Ціни контур мережний'!$I$79:$M$80,5,0)</f>
        <v>15.050156291498967</v>
      </c>
      <c r="HZ16" s="748">
        <f t="shared" si="96"/>
        <v>15.050156291498967</v>
      </c>
      <c r="IA16" s="758" t="s">
        <v>109</v>
      </c>
      <c r="IB16" s="749">
        <v>1</v>
      </c>
      <c r="IC16" s="747">
        <f>VLOOKUP(IA16,'Ціни контур мережний'!$I$79:$M$80,5,0)</f>
        <v>15.050156291498967</v>
      </c>
      <c r="ID16" s="765">
        <f t="shared" si="97"/>
        <v>15.050156291498967</v>
      </c>
      <c r="IE16" s="655" t="s">
        <v>108</v>
      </c>
      <c r="IF16" s="720">
        <v>3</v>
      </c>
      <c r="IG16" s="747">
        <f>VLOOKUP(IE16,'Ціни контур мережний'!$I$67:$M$69,5,0)</f>
        <v>4.4537969640631703</v>
      </c>
      <c r="IH16" s="748">
        <f t="shared" si="98"/>
        <v>13.361390892189512</v>
      </c>
      <c r="II16" s="655" t="s">
        <v>106</v>
      </c>
      <c r="IJ16" s="720">
        <f t="shared" si="30"/>
        <v>15</v>
      </c>
      <c r="IK16" s="747">
        <f>VLOOKUP(II16,'Ціни контур мережний'!$I$67:$M$69,5,0)</f>
        <v>4.4537969640631703</v>
      </c>
      <c r="IL16" s="748">
        <f t="shared" si="99"/>
        <v>66.806954460947551</v>
      </c>
      <c r="IM16" s="655" t="s">
        <v>1013</v>
      </c>
      <c r="IN16" s="720">
        <v>5</v>
      </c>
      <c r="IO16" s="747">
        <f>VLOOKUP(IM16,'Ціни контур мережний'!$I$64:$M$64,5,0)</f>
        <v>29.1312</v>
      </c>
      <c r="IP16" s="748">
        <f t="shared" si="100"/>
        <v>145.65600000000001</v>
      </c>
      <c r="IQ16" s="766" t="s">
        <v>1015</v>
      </c>
      <c r="IR16" s="749">
        <v>6</v>
      </c>
      <c r="IS16" s="747">
        <f>VLOOKUP(IQ16,'Ціни контур мережний'!$I$89:$M$89,5,0)</f>
        <v>79.523165325760516</v>
      </c>
      <c r="IT16" s="765">
        <f t="shared" si="101"/>
        <v>477.1389919545631</v>
      </c>
      <c r="IU16" s="917" t="s">
        <v>1016</v>
      </c>
      <c r="IV16" s="720">
        <f t="shared" si="117"/>
        <v>7</v>
      </c>
      <c r="IW16" s="747">
        <f>VLOOKUP(IU16,'Ціни контур мережний'!$I$88:$M$88,5,0)</f>
        <v>13.211568975967202</v>
      </c>
      <c r="IX16" s="768">
        <f t="shared" si="102"/>
        <v>92.480982831770419</v>
      </c>
      <c r="IY16" s="917" t="s">
        <v>383</v>
      </c>
      <c r="IZ16" s="720">
        <v>1</v>
      </c>
      <c r="JA16" s="747">
        <f>VLOOKUP(IY16,'Ціни контур мережний'!$I$87:$M$87,5,0)</f>
        <v>13.483972460007763</v>
      </c>
      <c r="JB16" s="748">
        <f t="shared" si="103"/>
        <v>13.483972460007763</v>
      </c>
      <c r="JC16" s="769">
        <f t="shared" si="31"/>
        <v>10</v>
      </c>
      <c r="JD16" s="770">
        <f t="shared" si="104"/>
        <v>6989.3615338075861</v>
      </c>
      <c r="JE16" s="771">
        <f>$JE$44/'Ціни контур мережний'!$G$26</f>
        <v>476.70609707098151</v>
      </c>
      <c r="JF16" s="771">
        <f>$JE$44/'Ціни контур мережний'!$G$26</f>
        <v>476.70609707098151</v>
      </c>
      <c r="JG16" s="770">
        <f t="shared" si="112"/>
        <v>661.80181284518619</v>
      </c>
      <c r="JH16" s="770">
        <f t="shared" si="113"/>
        <v>487.81784379022207</v>
      </c>
      <c r="JI16" s="770">
        <f>$JI$43/'Ціни контур мережний'!$G$26</f>
        <v>323.47913729816605</v>
      </c>
      <c r="JJ16" s="770">
        <f t="shared" si="105"/>
        <v>66.611999999999995</v>
      </c>
      <c r="JK16" s="772">
        <v>0</v>
      </c>
      <c r="JL16" s="772">
        <f t="shared" si="114"/>
        <v>62.86234247089866</v>
      </c>
      <c r="JM16" s="772">
        <v>0</v>
      </c>
      <c r="JN16" s="770">
        <v>0</v>
      </c>
      <c r="JO16" s="1029">
        <f t="shared" si="32"/>
        <v>668.17428050478156</v>
      </c>
      <c r="JP16" s="770">
        <f t="shared" si="33"/>
        <v>954.53468643540225</v>
      </c>
      <c r="JQ16" s="1030">
        <f t="shared" si="34"/>
        <v>164.20367976085799</v>
      </c>
      <c r="JR16" s="1023">
        <f t="shared" si="115"/>
        <v>300.63036461094771</v>
      </c>
      <c r="JS16" s="777">
        <f t="shared" si="106"/>
        <v>11632.889875666011</v>
      </c>
      <c r="JU16" s="611">
        <f>[3]Расчеты!AX15/1.2</f>
        <v>4190.9023783485809</v>
      </c>
      <c r="JV16" s="611">
        <f t="shared" si="107"/>
        <v>15823.792254014592</v>
      </c>
      <c r="JW16" s="611" t="e">
        <f>JV16*1.2*#REF!</f>
        <v>#REF!</v>
      </c>
      <c r="JX16" s="611"/>
    </row>
    <row r="17" spans="1:286" ht="12.6" customHeight="1">
      <c r="A17" s="610" t="s">
        <v>686</v>
      </c>
      <c r="B17" s="597">
        <v>11</v>
      </c>
      <c r="C17" s="1056" t="s">
        <v>1417</v>
      </c>
      <c r="D17" s="906">
        <v>0.41042000000000001</v>
      </c>
      <c r="E17" s="907">
        <v>0.25</v>
      </c>
      <c r="F17" s="908">
        <f t="shared" si="35"/>
        <v>13.722140028099432</v>
      </c>
      <c r="G17" s="909">
        <v>80</v>
      </c>
      <c r="H17" s="598">
        <f t="shared" si="36"/>
        <v>7.3315469810646654</v>
      </c>
      <c r="I17" s="599">
        <v>50</v>
      </c>
      <c r="J17" s="598">
        <f t="shared" si="37"/>
        <v>17.065280665280664</v>
      </c>
      <c r="K17" s="599">
        <v>80</v>
      </c>
      <c r="L17" s="598">
        <f t="shared" si="38"/>
        <v>6.3905930470347654</v>
      </c>
      <c r="M17" s="599">
        <v>50</v>
      </c>
      <c r="N17" s="598">
        <f t="shared" si="39"/>
        <v>5.0709939148073024</v>
      </c>
      <c r="O17" s="599">
        <v>40</v>
      </c>
      <c r="P17" s="598">
        <f t="shared" si="108"/>
        <v>1.5212981744421907</v>
      </c>
      <c r="Q17" s="599">
        <v>25</v>
      </c>
      <c r="R17" s="598">
        <f t="shared" si="40"/>
        <v>10.36837317379717</v>
      </c>
      <c r="S17" s="600">
        <f t="shared" si="41"/>
        <v>9.0376633587237674</v>
      </c>
      <c r="T17" s="910">
        <v>1</v>
      </c>
      <c r="U17" s="601">
        <f t="shared" si="42"/>
        <v>17.065280665280664</v>
      </c>
      <c r="V17" s="601">
        <f t="shared" si="43"/>
        <v>24.133951362543268</v>
      </c>
      <c r="W17" s="602">
        <v>80</v>
      </c>
      <c r="X17" s="1027">
        <v>8.1</v>
      </c>
      <c r="Y17" s="601">
        <f t="shared" si="44"/>
        <v>2.4299999999999997</v>
      </c>
      <c r="Z17" s="992">
        <v>25</v>
      </c>
      <c r="AA17" s="1028">
        <v>16</v>
      </c>
      <c r="AB17" s="745">
        <f t="shared" si="0"/>
        <v>80</v>
      </c>
      <c r="AC17" s="746">
        <v>2</v>
      </c>
      <c r="AD17" s="747">
        <f>VLOOKUP(AB17,'Ціни контур мережний'!$Z$24:$AB$36,3,0)</f>
        <v>37.693832104112609</v>
      </c>
      <c r="AE17" s="748">
        <f t="shared" si="45"/>
        <v>75.387664208225218</v>
      </c>
      <c r="AF17" s="745">
        <f t="shared" si="1"/>
        <v>80</v>
      </c>
      <c r="AG17" s="749">
        <v>2</v>
      </c>
      <c r="AH17" s="747">
        <f>VLOOKUP(AF17,'Ціни контур мережний'!$Z$64:$AB$77,3,0)</f>
        <v>111.00441974652855</v>
      </c>
      <c r="AI17" s="748">
        <f t="shared" si="46"/>
        <v>222.00883949305711</v>
      </c>
      <c r="AJ17" s="745">
        <f t="shared" si="2"/>
        <v>80</v>
      </c>
      <c r="AK17" s="746">
        <v>1</v>
      </c>
      <c r="AL17" s="747">
        <f>VLOOKUP(AJ17,'Ціни контур мережний'!$Z$5:$AB$17,3,0)</f>
        <v>50.12</v>
      </c>
      <c r="AM17" s="748">
        <f t="shared" si="47"/>
        <v>50.12</v>
      </c>
      <c r="AN17" s="750">
        <f t="shared" si="3"/>
        <v>50</v>
      </c>
      <c r="AO17" s="746">
        <v>3</v>
      </c>
      <c r="AP17" s="747">
        <f>VLOOKUP(AN17,'Ціни контур мережний'!$Z$43:$AB$55,3,0)</f>
        <v>23.2782130224622</v>
      </c>
      <c r="AQ17" s="768">
        <f t="shared" si="48"/>
        <v>69.834639067386604</v>
      </c>
      <c r="AR17" s="749">
        <f t="shared" si="4"/>
        <v>50</v>
      </c>
      <c r="AS17" s="749">
        <v>4</v>
      </c>
      <c r="AT17" s="747">
        <f>VLOOKUP(AR17,'Ціни контур мережний'!$Z$43:$AB$55,3,0)</f>
        <v>23.2782130224622</v>
      </c>
      <c r="AU17" s="1016">
        <f t="shared" si="49"/>
        <v>93.112852089848801</v>
      </c>
      <c r="AV17" s="751" t="str">
        <f t="shared" si="50"/>
        <v>AMV20</v>
      </c>
      <c r="AW17" s="751">
        <v>1</v>
      </c>
      <c r="AX17" s="747">
        <f>VLOOKUP(AV17,'Ціни контур мережний'!$I$53:$M$57,5,0)</f>
        <v>110.39869654932889</v>
      </c>
      <c r="AY17" s="748">
        <f t="shared" si="51"/>
        <v>110.39869654932889</v>
      </c>
      <c r="AZ17" s="752">
        <f t="array" ref="AZ17">MIN(IF('Ціни контур мережний'!$Y$83:$Y$92&gt;(R17*1.2),'Ціни контур мережний'!$Y$83:$Y$92))</f>
        <v>16</v>
      </c>
      <c r="BA17" s="746">
        <f>VLOOKUP(AZ17,'Ціни контур мережний'!$Y$83:$Z$92,2,0)</f>
        <v>32</v>
      </c>
      <c r="BB17" s="746">
        <v>1</v>
      </c>
      <c r="BC17" s="747">
        <f>VLOOKUP(AZ17,'Ціни контур мережний'!$Y$83:$AB$92,4,0)</f>
        <v>130.5392363168325</v>
      </c>
      <c r="BD17" s="748">
        <f t="shared" si="52"/>
        <v>130.5392363168325</v>
      </c>
      <c r="BE17" s="1099">
        <f t="array" ref="BE17">MIN(IF('[1]Ціни контур мережний'!$Y$104:$Y$114&gt;(R17*1.2),'[1]Ціни контур мережний'!$Y$104:$Y$114))</f>
        <v>12.5</v>
      </c>
      <c r="BF17" s="1101">
        <f>VLOOKUP(BE17,'[1]Ціни контур мережний'!$Y$104:$Z$114,2,0)</f>
        <v>32</v>
      </c>
      <c r="BG17" s="753">
        <v>1</v>
      </c>
      <c r="BH17" s="754">
        <f>VLOOKUP(BE17,'Ціни контур мережний'!$Y$104:$AB$114,4,0)</f>
        <v>435.76049604674444</v>
      </c>
      <c r="BI17" s="755">
        <f t="shared" si="53"/>
        <v>435.76049604674444</v>
      </c>
      <c r="BJ17" s="751" t="s">
        <v>67</v>
      </c>
      <c r="BK17" s="749">
        <v>1</v>
      </c>
      <c r="BL17" s="747">
        <f>VLOOKUP(BJ17,'Ціни контур мережний'!$I$53:$M$57,5,0)</f>
        <v>157.67238032974441</v>
      </c>
      <c r="BM17" s="748">
        <f t="shared" si="54"/>
        <v>157.67238032974441</v>
      </c>
      <c r="BN17" s="896">
        <f t="array" ref="BN17">MIN(IF('Ціни контур мережний'!$Y$83:$Y$93&gt;(S17*1.2),'Ціни контур мережний'!$Y$83:$Y$93))</f>
        <v>16</v>
      </c>
      <c r="BO17" s="896">
        <f>VLOOKUP(BN17,'Ціни контур мережний'!$Y$83:$Z$93,2,0)</f>
        <v>32</v>
      </c>
      <c r="BP17" s="895">
        <v>1</v>
      </c>
      <c r="BQ17" s="896">
        <f>VLOOKUP(BN17,'Ціни контур мережний'!$Y$83:$AB$93,4,0)</f>
        <v>130.5392363168325</v>
      </c>
      <c r="BR17" s="897">
        <f t="shared" si="55"/>
        <v>130.5392363168325</v>
      </c>
      <c r="BS17" s="896">
        <f t="array" ref="BS17">MIN(IF('Ціни контур мережний'!$Y$104:$Y$114&gt;(S17*1.2),'Ціни контур мережний'!$Y$104:$Y$114))</f>
        <v>12.5</v>
      </c>
      <c r="BT17" s="896">
        <f>VLOOKUP(BS17,'Ціни контур мережний'!$Y$104:$Z$114,2,0)</f>
        <v>32</v>
      </c>
      <c r="BU17" s="895">
        <v>1</v>
      </c>
      <c r="BV17" s="896">
        <f>VLOOKUP(BS17,'Ціни контур мережний'!$Y$104:$AB$114,4,0)</f>
        <v>435.76049604674444</v>
      </c>
      <c r="BW17" s="897">
        <f t="shared" si="56"/>
        <v>435.76049604674444</v>
      </c>
      <c r="BX17" s="751" t="s">
        <v>115</v>
      </c>
      <c r="BY17" s="751" t="s">
        <v>115</v>
      </c>
      <c r="BZ17" s="746" t="s">
        <v>1025</v>
      </c>
      <c r="CA17" s="756">
        <v>0</v>
      </c>
      <c r="CB17" s="747">
        <v>0</v>
      </c>
      <c r="CC17" s="748">
        <f t="shared" si="57"/>
        <v>0</v>
      </c>
      <c r="CD17" s="758">
        <f>VLOOKUP(CE17,'Ціни контур мережний'!$J$5:$L$12,3,0)</f>
        <v>40</v>
      </c>
      <c r="CE17" s="747">
        <f t="array" ref="CE17">MIN(IF('Ціни контур мережний'!$J$5:$J$12&gt;L17,'Ціни контур мережний'!$J$5:$J$12))</f>
        <v>10</v>
      </c>
      <c r="CF17" s="746" t="s">
        <v>130</v>
      </c>
      <c r="CG17" s="749">
        <v>1</v>
      </c>
      <c r="CH17" s="747">
        <f>VLOOKUP(CE17,'Ціни контур мережний'!$J$5:$N$12,5,0)</f>
        <v>375.23999999999995</v>
      </c>
      <c r="CI17" s="748">
        <f t="shared" si="58"/>
        <v>375.23999999999995</v>
      </c>
      <c r="CJ17" s="899" t="s">
        <v>1297</v>
      </c>
      <c r="CK17" s="899">
        <v>1</v>
      </c>
      <c r="CL17" s="898">
        <v>1122</v>
      </c>
      <c r="CM17" s="901">
        <f t="shared" si="59"/>
        <v>1122</v>
      </c>
      <c r="CN17" s="898" t="s">
        <v>1324</v>
      </c>
      <c r="CO17" s="899">
        <v>1</v>
      </c>
      <c r="CP17" s="900">
        <v>613</v>
      </c>
      <c r="CQ17" s="901">
        <f t="shared" si="60"/>
        <v>613</v>
      </c>
      <c r="CR17" s="751">
        <f t="shared" si="5"/>
        <v>80</v>
      </c>
      <c r="CS17" s="746">
        <v>4</v>
      </c>
      <c r="CT17" s="747">
        <f>VLOOKUP(CR17,'Ціни контур теплопостачання'!$Y$5:$AA$17,3,0)</f>
        <v>37.693832104112609</v>
      </c>
      <c r="CU17" s="748">
        <f t="shared" si="61"/>
        <v>150.77532841645044</v>
      </c>
      <c r="CV17" s="750">
        <f t="shared" si="6"/>
        <v>40</v>
      </c>
      <c r="CW17" s="746">
        <v>6</v>
      </c>
      <c r="CX17" s="747">
        <f>VLOOKUP(CV17,'Ціни контур теплопостачання'!$AO$20:$AQ$29,3,0)</f>
        <v>37.980000000000004</v>
      </c>
      <c r="CY17" s="748">
        <f t="shared" si="62"/>
        <v>227.88000000000002</v>
      </c>
      <c r="CZ17" s="750">
        <f t="shared" si="7"/>
        <v>25</v>
      </c>
      <c r="DA17" s="746">
        <v>3</v>
      </c>
      <c r="DB17" s="747">
        <f>VLOOKUP(CZ17,'Ціни контур теплопостачання'!$AO$20:$AQ$29,3,0)</f>
        <v>6.3070000000000004</v>
      </c>
      <c r="DC17" s="748">
        <f t="shared" si="63"/>
        <v>18.920999999999999</v>
      </c>
      <c r="DD17" s="757">
        <f t="shared" si="8"/>
        <v>80</v>
      </c>
      <c r="DE17" s="746">
        <f t="shared" si="9"/>
        <v>2</v>
      </c>
      <c r="DF17" s="747">
        <f>VLOOKUP(DD17,'Ціни контур теплопостачання'!$Y$5:$AA$17,3,0)</f>
        <v>37.693832104112609</v>
      </c>
      <c r="DG17" s="748">
        <f t="shared" si="64"/>
        <v>75.387664208225218</v>
      </c>
      <c r="DH17" s="745">
        <f t="shared" si="65"/>
        <v>32</v>
      </c>
      <c r="DI17" s="749">
        <f t="shared" si="66"/>
        <v>2</v>
      </c>
      <c r="DJ17" s="747">
        <f>VLOOKUP(DH17,'Ціни контур теплопостачання'!$Y$5:$AA$17,3,0)</f>
        <v>10.381</v>
      </c>
      <c r="DK17" s="765">
        <f t="shared" si="67"/>
        <v>20.762</v>
      </c>
      <c r="DL17" s="757">
        <f t="shared" si="10"/>
        <v>25</v>
      </c>
      <c r="DM17" s="746">
        <v>1</v>
      </c>
      <c r="DN17" s="747">
        <f>VLOOKUP(DL17,'Ціни контур мережний'!$Z$43:$AB$55,3,0)</f>
        <v>14.856886019572187</v>
      </c>
      <c r="DO17" s="748">
        <f t="shared" si="68"/>
        <v>14.856886019572187</v>
      </c>
      <c r="DP17" s="757">
        <f t="shared" si="11"/>
        <v>25</v>
      </c>
      <c r="DQ17" s="746">
        <v>2</v>
      </c>
      <c r="DR17" s="747">
        <f>VLOOKUP(DP17,'Ціни контур теплопостачання'!$Y$5:$AA$17,3,0)</f>
        <v>6.3070000000000004</v>
      </c>
      <c r="DS17" s="748">
        <f t="shared" si="69"/>
        <v>12.614000000000001</v>
      </c>
      <c r="DT17" s="745">
        <v>20</v>
      </c>
      <c r="DU17" s="749">
        <v>2</v>
      </c>
      <c r="DV17" s="747">
        <f>VLOOKUP(DT17,'Ціни контур теплопостачання'!$Y$5:$AA$17,3,0)</f>
        <v>3.577</v>
      </c>
      <c r="DW17" s="748">
        <f t="shared" si="70"/>
        <v>7.1539999999999999</v>
      </c>
      <c r="DX17" s="745">
        <v>15</v>
      </c>
      <c r="DY17" s="745">
        <v>10</v>
      </c>
      <c r="DZ17" s="758">
        <f>VLOOKUP(DX17,'Ціни контур теплопостачання'!$Y$5:$AA$17,3,0)</f>
        <v>2.464</v>
      </c>
      <c r="EA17" s="759">
        <f t="shared" si="71"/>
        <v>24.64</v>
      </c>
      <c r="EB17" s="745">
        <v>15</v>
      </c>
      <c r="EC17" s="745">
        <f>36</f>
        <v>36</v>
      </c>
      <c r="ED17" s="758">
        <f>VLOOKUP(EB17,'Ціни контур мережний'!$J$71:$M$71,4,0)</f>
        <v>3.3865201135922525</v>
      </c>
      <c r="EE17" s="759">
        <f t="shared" si="72"/>
        <v>121.91472408932108</v>
      </c>
      <c r="EF17" s="751">
        <f t="shared" si="12"/>
        <v>80</v>
      </c>
      <c r="EG17" s="746">
        <v>1</v>
      </c>
      <c r="EH17" s="747">
        <f>VLOOKUP(EF17,'Ціни контур теплопостачання'!$K$5:$M$17,3,0)</f>
        <v>50.12</v>
      </c>
      <c r="EI17" s="748">
        <f t="shared" si="73"/>
        <v>50.12</v>
      </c>
      <c r="EJ17" s="745">
        <f t="shared" si="13"/>
        <v>40</v>
      </c>
      <c r="EK17" s="749">
        <v>1</v>
      </c>
      <c r="EL17" s="747">
        <f>VLOOKUP(EJ17,'Ціни контур теплопостачання'!$K$5:$M$17,3,0)</f>
        <v>23.225999999999999</v>
      </c>
      <c r="EM17" s="748">
        <f t="shared" si="74"/>
        <v>23.225999999999999</v>
      </c>
      <c r="EN17" s="745">
        <f t="shared" si="14"/>
        <v>25</v>
      </c>
      <c r="EO17" s="745">
        <v>1</v>
      </c>
      <c r="EP17" s="758">
        <f>VLOOKUP(EN17,'Ціни контур теплопостачання'!$K$5:$M$17,3,0)</f>
        <v>4.78</v>
      </c>
      <c r="EQ17" s="759">
        <f t="shared" si="75"/>
        <v>4.78</v>
      </c>
      <c r="ER17" s="745">
        <f t="shared" si="15"/>
        <v>25</v>
      </c>
      <c r="ES17" s="745">
        <v>1</v>
      </c>
      <c r="ET17" s="758">
        <f>VLOOKUP(ER17,'Ціни контур теплопостачання'!$K$5:$M$17,3,0)</f>
        <v>4.78</v>
      </c>
      <c r="EU17" s="759">
        <f t="shared" si="76"/>
        <v>4.78</v>
      </c>
      <c r="EV17" s="751">
        <f t="shared" si="16"/>
        <v>80</v>
      </c>
      <c r="EW17" s="746">
        <v>2</v>
      </c>
      <c r="EX17" s="747">
        <f>VLOOKUP(EV17,'Ціни контур теплопостачання'!$Y$24:$AA$36,3,0)</f>
        <v>60.079499999999996</v>
      </c>
      <c r="EY17" s="748">
        <f t="shared" si="77"/>
        <v>120.15899999999999</v>
      </c>
      <c r="EZ17" s="745">
        <f t="shared" si="17"/>
        <v>40</v>
      </c>
      <c r="FA17" s="749">
        <v>1</v>
      </c>
      <c r="FB17" s="747">
        <f>VLOOKUP(EZ17,'Ціни контур теплопостачання'!$AO$38:$AQ$50,3,0)</f>
        <v>20.3645</v>
      </c>
      <c r="FC17" s="748">
        <f t="shared" si="78"/>
        <v>20.3645</v>
      </c>
      <c r="FD17" s="745">
        <f t="shared" si="18"/>
        <v>25</v>
      </c>
      <c r="FE17" s="745">
        <v>1</v>
      </c>
      <c r="FF17" s="758">
        <f>VLOOKUP(FD17,'Ціни контур теплопостачання'!$AO$38:$AQ$50,3,0)</f>
        <v>6.9659999999999993</v>
      </c>
      <c r="FG17" s="759">
        <f t="shared" si="79"/>
        <v>6.9659999999999993</v>
      </c>
      <c r="FH17" s="745">
        <f t="shared" si="19"/>
        <v>25</v>
      </c>
      <c r="FI17" s="745">
        <v>1</v>
      </c>
      <c r="FJ17" s="758">
        <f>VLOOKUP(FH17,'Ціни контур теплопостачання'!$Y$24:$AA$36,3,0)</f>
        <v>6.9659999999999993</v>
      </c>
      <c r="FK17" s="759">
        <f t="shared" si="80"/>
        <v>6.9659999999999993</v>
      </c>
      <c r="FL17" s="745">
        <f t="shared" si="20"/>
        <v>80</v>
      </c>
      <c r="FM17" s="745">
        <f t="shared" si="21"/>
        <v>2</v>
      </c>
      <c r="FN17" s="758">
        <f>VLOOKUP(FL17,'Ціни контур теплопостачання'!$Y$76:$AA$88,3,0)</f>
        <v>31.42</v>
      </c>
      <c r="FO17" s="759">
        <f t="shared" si="81"/>
        <v>62.84</v>
      </c>
      <c r="FP17" s="745">
        <f t="shared" si="22"/>
        <v>40</v>
      </c>
      <c r="FQ17" s="745">
        <v>1</v>
      </c>
      <c r="FR17" s="758">
        <f>VLOOKUP(FP17,'Ціни контур теплопостачання'!$Y$76:$AA$88,3,0)</f>
        <v>16.809999999999999</v>
      </c>
      <c r="FS17" s="759">
        <f t="shared" si="82"/>
        <v>16.809999999999999</v>
      </c>
      <c r="FT17" s="745">
        <f t="shared" si="23"/>
        <v>25</v>
      </c>
      <c r="FU17" s="745">
        <v>1</v>
      </c>
      <c r="FV17" s="758">
        <f>VLOOKUP(FT17,'Ціни контур теплопостачання'!$Y$76:$AA$88,3,0)</f>
        <v>11.45</v>
      </c>
      <c r="FW17" s="759">
        <f t="shared" si="83"/>
        <v>11.45</v>
      </c>
      <c r="FX17" s="758">
        <f t="shared" si="24"/>
        <v>32.540491698805042</v>
      </c>
      <c r="FY17" s="760">
        <v>32</v>
      </c>
      <c r="FZ17" s="719">
        <v>2</v>
      </c>
      <c r="GA17" s="747">
        <f>VLOOKUP(FY17,'Ціни контур теплопостачання'!$K$74:$M$79,3,0)</f>
        <v>33.68</v>
      </c>
      <c r="GB17" s="761">
        <f t="shared" si="84"/>
        <v>67.36</v>
      </c>
      <c r="GC17" s="762">
        <f t="shared" si="85"/>
        <v>17.065280665280664</v>
      </c>
      <c r="GD17" s="911">
        <v>16</v>
      </c>
      <c r="GE17" s="1017">
        <v>14</v>
      </c>
      <c r="GF17" s="1018" t="s">
        <v>124</v>
      </c>
      <c r="GG17" s="713">
        <v>2</v>
      </c>
      <c r="GH17" s="709">
        <f>VLOOKUP(GF17,'Ціни контур теплопостачання'!$C$89:$M$105,11,0)</f>
        <v>678</v>
      </c>
      <c r="GI17" s="764">
        <f t="shared" si="86"/>
        <v>1356</v>
      </c>
      <c r="GJ17" s="912">
        <f t="shared" si="87"/>
        <v>1.5212981744421907</v>
      </c>
      <c r="GK17" s="911">
        <v>16</v>
      </c>
      <c r="GL17" s="1017">
        <v>10</v>
      </c>
      <c r="GM17" s="1019" t="s">
        <v>1097</v>
      </c>
      <c r="GN17" s="749">
        <v>1</v>
      </c>
      <c r="GO17" s="747">
        <f>VLOOKUP(GM17,'Ціни контур теплопостачання'!$C$89:$M$105,11,0)</f>
        <v>241.2</v>
      </c>
      <c r="GP17" s="904">
        <f t="shared" si="88"/>
        <v>241.2</v>
      </c>
      <c r="GQ17" s="758">
        <f t="shared" si="25"/>
        <v>1223.2570874121957</v>
      </c>
      <c r="GR17" s="955">
        <v>750</v>
      </c>
      <c r="GS17" s="749">
        <f>VLOOKUP(GR17,'Ціни контур теплопостачання'!$J$43:$K$55,2,0)</f>
        <v>32</v>
      </c>
      <c r="GT17" s="1020">
        <v>2</v>
      </c>
      <c r="GU17" s="747">
        <f>VLOOKUP(GR17,'Ціни контур теплопостачання'!$J$43:$M$55,4,0)</f>
        <v>376.94</v>
      </c>
      <c r="GV17" s="748">
        <f t="shared" si="89"/>
        <v>753.88</v>
      </c>
      <c r="GW17" s="758">
        <f t="array" ref="GW17">MIN(IF('Ціни контур теплопостачання'!$AN$68:$AN$77&gt;(V17*1.2),'Ціни контур теплопостачання'!$AN$68:$AN$77))</f>
        <v>32.15</v>
      </c>
      <c r="GX17" s="749">
        <f>VLOOKUP(GW17,'Ціни контур теплопостачання'!$AN$68:$AO$77,2,0)</f>
        <v>50</v>
      </c>
      <c r="GY17" s="749">
        <v>0</v>
      </c>
      <c r="GZ17" s="747">
        <f>VLOOKUP(GX17,'Ціни контур теплопостачання'!$AO$68:$AQ$77,3,0)</f>
        <v>0</v>
      </c>
      <c r="HA17" s="759">
        <f t="shared" si="90"/>
        <v>0</v>
      </c>
      <c r="HB17" s="751">
        <v>15</v>
      </c>
      <c r="HC17" s="746">
        <v>2</v>
      </c>
      <c r="HD17" s="747">
        <f>VLOOKUP(HB17,'Ціни контур мережний'!$J$73:$M$73,4,0)</f>
        <v>3.4649999999999999</v>
      </c>
      <c r="HE17" s="748">
        <f t="shared" si="91"/>
        <v>6.93</v>
      </c>
      <c r="HF17" s="749">
        <f t="shared" si="27"/>
        <v>25</v>
      </c>
      <c r="HG17" s="749">
        <v>1</v>
      </c>
      <c r="HH17" s="747">
        <f>VLOOKUP(HF17,'Ціни контур теплопостачання'!$Y$62:$AA$69,3,0)</f>
        <v>89.924040000000005</v>
      </c>
      <c r="HI17" s="765">
        <f t="shared" si="92"/>
        <v>89.924040000000005</v>
      </c>
      <c r="HJ17" s="750">
        <f>VLOOKUP(HK17,'Ціни контур теплопостачання'!$AN$6:$AO$13,2,0)</f>
        <v>32</v>
      </c>
      <c r="HK17" s="751">
        <f t="array" ref="HK17">MIN(IF('Ціни контур теплопостачання'!$AN$6:$AN$13&gt;N17,'Ціни контур теплопостачання'!$AN$6:$AN$13))</f>
        <v>6</v>
      </c>
      <c r="HL17" s="751">
        <v>1</v>
      </c>
      <c r="HM17" s="747">
        <f>VLOOKUP(HJ17,'Ціни контур теплопостачання'!$AO$6:$AQ$13,3,0)</f>
        <v>85.682340000000011</v>
      </c>
      <c r="HN17" s="748">
        <f t="shared" si="93"/>
        <v>85.682340000000011</v>
      </c>
      <c r="HO17" s="750">
        <f t="shared" si="28"/>
        <v>40</v>
      </c>
      <c r="HP17" s="746">
        <v>1</v>
      </c>
      <c r="HQ17" s="747">
        <f>VLOOKUP(HO17,'Ціни контур теплопостачання'!$AO$55:$AQ$63,3,0)</f>
        <v>193.55</v>
      </c>
      <c r="HR17" s="748">
        <f t="shared" si="94"/>
        <v>193.55</v>
      </c>
      <c r="HS17" s="745">
        <f t="shared" si="29"/>
        <v>25</v>
      </c>
      <c r="HT17" s="749">
        <v>1</v>
      </c>
      <c r="HU17" s="747">
        <f>VLOOKUP(HS17,'Ціни контур теплопостачання'!$K$62:$M$67,3,0)</f>
        <v>92.91</v>
      </c>
      <c r="HV17" s="765">
        <f t="shared" si="95"/>
        <v>92.91</v>
      </c>
      <c r="HW17" s="655" t="str">
        <f t="shared" ref="HW17" si="123">HW16</f>
        <v>0-150</v>
      </c>
      <c r="HX17" s="720">
        <v>1</v>
      </c>
      <c r="HY17" s="747">
        <f>VLOOKUP(HW17,'Ціни контур мережний'!$I$79:$M$80,5,0)</f>
        <v>15.050156291498967</v>
      </c>
      <c r="HZ17" s="748">
        <f t="shared" si="96"/>
        <v>15.050156291498967</v>
      </c>
      <c r="IA17" s="758" t="s">
        <v>109</v>
      </c>
      <c r="IB17" s="749">
        <v>5</v>
      </c>
      <c r="IC17" s="747">
        <f>VLOOKUP(IA17,'Ціни контур мережний'!$I$79:$M$80,5,0)</f>
        <v>15.050156291498967</v>
      </c>
      <c r="ID17" s="765">
        <f t="shared" si="97"/>
        <v>75.250781457494838</v>
      </c>
      <c r="IE17" s="655" t="s">
        <v>108</v>
      </c>
      <c r="IF17" s="720">
        <v>5</v>
      </c>
      <c r="IG17" s="747">
        <f>VLOOKUP(IE17,'Ціни контур мережний'!$I$67:$M$69,5,0)</f>
        <v>4.4537969640631703</v>
      </c>
      <c r="IH17" s="748">
        <f t="shared" si="98"/>
        <v>22.26898482031585</v>
      </c>
      <c r="II17" s="655" t="s">
        <v>106</v>
      </c>
      <c r="IJ17" s="720">
        <f>11</f>
        <v>11</v>
      </c>
      <c r="IK17" s="747">
        <f>VLOOKUP(II17,'Ціни контур мережний'!$I$67:$M$69,5,0)</f>
        <v>4.4537969640631703</v>
      </c>
      <c r="IL17" s="748">
        <f t="shared" si="99"/>
        <v>48.991766604694874</v>
      </c>
      <c r="IM17" s="655" t="s">
        <v>1013</v>
      </c>
      <c r="IN17" s="720">
        <v>5</v>
      </c>
      <c r="IO17" s="747">
        <f>VLOOKUP(IM17,'Ціни контур мережний'!$I$64:$M$64,5,0)</f>
        <v>29.1312</v>
      </c>
      <c r="IP17" s="748">
        <f t="shared" si="100"/>
        <v>145.65600000000001</v>
      </c>
      <c r="IQ17" s="766" t="s">
        <v>1015</v>
      </c>
      <c r="IR17" s="749">
        <v>6</v>
      </c>
      <c r="IS17" s="747">
        <f>VLOOKUP(IQ17,'Ціни контур мережний'!$I$89:$M$89,5,0)</f>
        <v>79.523165325760516</v>
      </c>
      <c r="IT17" s="765">
        <f t="shared" si="101"/>
        <v>477.1389919545631</v>
      </c>
      <c r="IU17" s="778" t="s">
        <v>1016</v>
      </c>
      <c r="IV17" s="720">
        <f t="shared" si="117"/>
        <v>7</v>
      </c>
      <c r="IW17" s="747">
        <f>VLOOKUP(IU17,'Ціни контур мережний'!$I$88:$M$88,5,0)</f>
        <v>13.211568975967202</v>
      </c>
      <c r="IX17" s="768">
        <f t="shared" si="102"/>
        <v>92.480982831770419</v>
      </c>
      <c r="IY17" s="757" t="s">
        <v>383</v>
      </c>
      <c r="IZ17" s="720">
        <v>1</v>
      </c>
      <c r="JA17" s="747">
        <f>VLOOKUP(IY17,'Ціни контур мережний'!$I$87:$M$87,5,0)</f>
        <v>13.483972460007763</v>
      </c>
      <c r="JB17" s="748">
        <f t="shared" si="103"/>
        <v>13.483972460007763</v>
      </c>
      <c r="JC17" s="769">
        <f t="shared" si="31"/>
        <v>11</v>
      </c>
      <c r="JD17" s="770">
        <f t="shared" si="104"/>
        <v>8802.4996556186597</v>
      </c>
      <c r="JE17" s="771">
        <f>$JE$44/'Ціни контур мережний'!$G$26</f>
        <v>476.70609707098151</v>
      </c>
      <c r="JF17" s="771">
        <f>$JE$44/'Ціни контур мережний'!$G$26</f>
        <v>476.70609707098151</v>
      </c>
      <c r="JG17" s="770">
        <f t="shared" si="112"/>
        <v>661.80181284518619</v>
      </c>
      <c r="JH17" s="770">
        <f t="shared" si="113"/>
        <v>487.81784379022207</v>
      </c>
      <c r="JI17" s="770">
        <f>$JI$43/'Ціни контур мережний'!$G$26</f>
        <v>323.47913729816605</v>
      </c>
      <c r="JJ17" s="770">
        <f t="shared" si="105"/>
        <v>66.611999999999995</v>
      </c>
      <c r="JK17" s="772">
        <v>0</v>
      </c>
      <c r="JL17" s="772">
        <f t="shared" si="114"/>
        <v>62.86234247089866</v>
      </c>
      <c r="JM17" s="772">
        <v>0</v>
      </c>
      <c r="JN17" s="770">
        <v>0</v>
      </c>
      <c r="JO17" s="1029">
        <f t="shared" si="32"/>
        <v>795.09394903155658</v>
      </c>
      <c r="JP17" s="770">
        <f t="shared" si="33"/>
        <v>1135.8484986165092</v>
      </c>
      <c r="JQ17" s="1030">
        <f t="shared" si="34"/>
        <v>195.39415987089706</v>
      </c>
      <c r="JR17" s="1023">
        <f t="shared" si="115"/>
        <v>300.63036461094771</v>
      </c>
      <c r="JS17" s="777">
        <f t="shared" si="106"/>
        <v>13785.451958295003</v>
      </c>
      <c r="JU17" s="611">
        <f>[3]Расчеты!AX16/1.2</f>
        <v>4190.9023783485809</v>
      </c>
      <c r="JV17" s="611">
        <f t="shared" si="107"/>
        <v>17976.354336643584</v>
      </c>
      <c r="JW17" s="611" t="e">
        <f>JV17*1.2*#REF!</f>
        <v>#REF!</v>
      </c>
      <c r="JX17" s="611"/>
    </row>
    <row r="18" spans="1:286" ht="12.6" customHeight="1">
      <c r="A18" s="610" t="s">
        <v>686</v>
      </c>
      <c r="B18" s="597">
        <v>12</v>
      </c>
      <c r="C18" s="1056" t="s">
        <v>1418</v>
      </c>
      <c r="D18" s="892">
        <v>0.41042000000000001</v>
      </c>
      <c r="E18" s="918">
        <v>0.25</v>
      </c>
      <c r="F18" s="742">
        <f t="shared" si="35"/>
        <v>13.722140028099432</v>
      </c>
      <c r="G18" s="743">
        <v>80</v>
      </c>
      <c r="H18" s="598">
        <f t="shared" si="36"/>
        <v>7.3315469810646654</v>
      </c>
      <c r="I18" s="599">
        <v>50</v>
      </c>
      <c r="J18" s="598">
        <f t="shared" si="37"/>
        <v>17.065280665280664</v>
      </c>
      <c r="K18" s="599">
        <v>80</v>
      </c>
      <c r="L18" s="598">
        <f t="shared" si="38"/>
        <v>6.3905930470347654</v>
      </c>
      <c r="M18" s="599">
        <v>50</v>
      </c>
      <c r="N18" s="598">
        <f t="shared" si="39"/>
        <v>5.0709939148073024</v>
      </c>
      <c r="O18" s="599">
        <v>40</v>
      </c>
      <c r="P18" s="598">
        <f t="shared" si="108"/>
        <v>1.5212981744421907</v>
      </c>
      <c r="Q18" s="599">
        <v>25</v>
      </c>
      <c r="R18" s="598">
        <f t="shared" si="40"/>
        <v>10.36837317379717</v>
      </c>
      <c r="S18" s="600">
        <f t="shared" si="41"/>
        <v>9.0376633587237674</v>
      </c>
      <c r="T18" s="744">
        <v>2</v>
      </c>
      <c r="U18" s="601">
        <f t="shared" si="42"/>
        <v>8.5326403326403319</v>
      </c>
      <c r="V18" s="601">
        <f t="shared" si="43"/>
        <v>12.066975681271634</v>
      </c>
      <c r="W18" s="602">
        <v>50</v>
      </c>
      <c r="X18" s="1014">
        <v>8.1</v>
      </c>
      <c r="Y18" s="601">
        <f t="shared" si="44"/>
        <v>2.4299999999999997</v>
      </c>
      <c r="Z18" s="992">
        <v>25</v>
      </c>
      <c r="AA18" s="1015">
        <v>16</v>
      </c>
      <c r="AB18" s="745">
        <f t="shared" si="0"/>
        <v>80</v>
      </c>
      <c r="AC18" s="746">
        <v>2</v>
      </c>
      <c r="AD18" s="747">
        <f>VLOOKUP(AB18,'Ціни контур мережний'!$Z$24:$AB$36,3,0)</f>
        <v>37.693832104112609</v>
      </c>
      <c r="AE18" s="748">
        <f t="shared" si="45"/>
        <v>75.387664208225218</v>
      </c>
      <c r="AF18" s="745">
        <f t="shared" si="1"/>
        <v>80</v>
      </c>
      <c r="AG18" s="749">
        <v>2</v>
      </c>
      <c r="AH18" s="747">
        <f>VLOOKUP(AF18,'Ціни контур мережний'!$Z$64:$AB$77,3,0)</f>
        <v>111.00441974652855</v>
      </c>
      <c r="AI18" s="748">
        <f t="shared" si="46"/>
        <v>222.00883949305711</v>
      </c>
      <c r="AJ18" s="745">
        <f t="shared" si="2"/>
        <v>80</v>
      </c>
      <c r="AK18" s="746">
        <v>1</v>
      </c>
      <c r="AL18" s="747">
        <f>VLOOKUP(AJ18,'Ціни контур мережний'!$Z$5:$AB$17,3,0)</f>
        <v>50.12</v>
      </c>
      <c r="AM18" s="748">
        <f t="shared" si="47"/>
        <v>50.12</v>
      </c>
      <c r="AN18" s="750">
        <f t="shared" si="3"/>
        <v>50</v>
      </c>
      <c r="AO18" s="746">
        <v>3</v>
      </c>
      <c r="AP18" s="747">
        <f>VLOOKUP(AN18,'Ціни контур мережний'!$Z$43:$AB$55,3,0)</f>
        <v>23.2782130224622</v>
      </c>
      <c r="AQ18" s="768">
        <f t="shared" si="48"/>
        <v>69.834639067386604</v>
      </c>
      <c r="AR18" s="749">
        <f t="shared" si="4"/>
        <v>50</v>
      </c>
      <c r="AS18" s="749">
        <v>4</v>
      </c>
      <c r="AT18" s="747">
        <f>VLOOKUP(AR18,'Ціни контур мережний'!$Z$43:$AB$55,3,0)</f>
        <v>23.2782130224622</v>
      </c>
      <c r="AU18" s="1016">
        <f t="shared" si="49"/>
        <v>93.112852089848801</v>
      </c>
      <c r="AV18" s="751" t="str">
        <f t="shared" si="50"/>
        <v>AMV20</v>
      </c>
      <c r="AW18" s="751">
        <v>1</v>
      </c>
      <c r="AX18" s="747">
        <f>VLOOKUP(AV18,'Ціни контур мережний'!$I$53:$M$57,5,0)</f>
        <v>110.39869654932889</v>
      </c>
      <c r="AY18" s="748">
        <f t="shared" si="51"/>
        <v>110.39869654932889</v>
      </c>
      <c r="AZ18" s="752">
        <f t="array" ref="AZ18">MIN(IF('Ціни контур мережний'!$Y$83:$Y$92&gt;(R18*1.2),'Ціни контур мережний'!$Y$83:$Y$92))</f>
        <v>16</v>
      </c>
      <c r="BA18" s="746">
        <f>VLOOKUP(AZ18,'Ціни контур мережний'!$Y$83:$Z$92,2,0)</f>
        <v>32</v>
      </c>
      <c r="BB18" s="746">
        <v>1</v>
      </c>
      <c r="BC18" s="747">
        <f>VLOOKUP(AZ18,'Ціни контур мережний'!$Y$83:$AB$92,4,0)</f>
        <v>130.5392363168325</v>
      </c>
      <c r="BD18" s="748">
        <f t="shared" si="52"/>
        <v>130.5392363168325</v>
      </c>
      <c r="BE18" s="1099">
        <f t="array" ref="BE18">MIN(IF('[1]Ціни контур мережний'!$Y$104:$Y$114&gt;(R18*1.2),'[1]Ціни контур мережний'!$Y$104:$Y$114))</f>
        <v>12.5</v>
      </c>
      <c r="BF18" s="1101">
        <f>VLOOKUP(BE18,'[1]Ціни контур мережний'!$Y$104:$Z$114,2,0)</f>
        <v>32</v>
      </c>
      <c r="BG18" s="753">
        <v>1</v>
      </c>
      <c r="BH18" s="754">
        <f>VLOOKUP(BE18,'Ціни контур мережний'!$Y$104:$AB$114,4,0)</f>
        <v>435.76049604674444</v>
      </c>
      <c r="BI18" s="755">
        <f t="shared" si="53"/>
        <v>435.76049604674444</v>
      </c>
      <c r="BJ18" s="751" t="s">
        <v>67</v>
      </c>
      <c r="BK18" s="749">
        <v>1</v>
      </c>
      <c r="BL18" s="747">
        <f>VLOOKUP(BJ18,'Ціни контур мережний'!$I$53:$M$57,5,0)</f>
        <v>157.67238032974441</v>
      </c>
      <c r="BM18" s="748">
        <f t="shared" si="54"/>
        <v>157.67238032974441</v>
      </c>
      <c r="BN18" s="896">
        <f t="array" ref="BN18">MIN(IF('Ціни контур мережний'!$Y$83:$Y$93&gt;(S18*1.2),'Ціни контур мережний'!$Y$83:$Y$93))</f>
        <v>16</v>
      </c>
      <c r="BO18" s="896">
        <f>VLOOKUP(BN18,'Ціни контур мережний'!$Y$83:$Z$93,2,0)</f>
        <v>32</v>
      </c>
      <c r="BP18" s="895">
        <v>1</v>
      </c>
      <c r="BQ18" s="896">
        <f>VLOOKUP(BN18,'Ціни контур мережний'!$Y$83:$AB$93,4,0)</f>
        <v>130.5392363168325</v>
      </c>
      <c r="BR18" s="897">
        <f t="shared" si="55"/>
        <v>130.5392363168325</v>
      </c>
      <c r="BS18" s="896">
        <f t="array" ref="BS18">MIN(IF('Ціни контур мережний'!$Y$104:$Y$114&gt;(S18*1.2),'Ціни контур мережний'!$Y$104:$Y$114))</f>
        <v>12.5</v>
      </c>
      <c r="BT18" s="896">
        <f>VLOOKUP(BS18,'Ціни контур мережний'!$Y$104:$Z$114,2,0)</f>
        <v>32</v>
      </c>
      <c r="BU18" s="895">
        <v>1</v>
      </c>
      <c r="BV18" s="896">
        <f>VLOOKUP(BS18,'Ціни контур мережний'!$Y$104:$AB$114,4,0)</f>
        <v>435.76049604674444</v>
      </c>
      <c r="BW18" s="897">
        <f t="shared" si="56"/>
        <v>435.76049604674444</v>
      </c>
      <c r="BX18" s="751">
        <f>VLOOKUP(BY18,'Ціни контур мережний'!$J$5:$L$12,3,0)</f>
        <v>40</v>
      </c>
      <c r="BY18" s="751">
        <f t="array" ref="BY18">MIN(IF('Ціни контур мережний'!$J$5:$J$12&gt;H18,'Ціни контур мережний'!$J$5:$J$12))</f>
        <v>10</v>
      </c>
      <c r="BZ18" s="746" t="str">
        <f>BZ8</f>
        <v>Pt500</v>
      </c>
      <c r="CA18" s="756">
        <v>1</v>
      </c>
      <c r="CB18" s="747">
        <f>VLOOKUP(BY18,'Ціни контур мережний'!$J$5:$N$12,5,0)</f>
        <v>375.23999999999995</v>
      </c>
      <c r="CC18" s="748">
        <f t="shared" si="57"/>
        <v>375.23999999999995</v>
      </c>
      <c r="CD18" s="758">
        <f>VLOOKUP(CE18,'Ціни контур мережний'!$J$5:$L$12,3,0)</f>
        <v>40</v>
      </c>
      <c r="CE18" s="747">
        <f t="array" ref="CE18">MIN(IF('Ціни контур мережний'!$J$5:$J$12&gt;L18,'Ціни контур мережний'!$J$5:$J$12))</f>
        <v>10</v>
      </c>
      <c r="CF18" s="746" t="s">
        <v>130</v>
      </c>
      <c r="CG18" s="749">
        <v>1</v>
      </c>
      <c r="CH18" s="747">
        <f>VLOOKUP(CE18,'Ціни контур мережний'!$J$5:$N$12,5,0)</f>
        <v>375.23999999999995</v>
      </c>
      <c r="CI18" s="748">
        <f t="shared" si="58"/>
        <v>375.23999999999995</v>
      </c>
      <c r="CJ18" s="899" t="s">
        <v>1297</v>
      </c>
      <c r="CK18" s="899">
        <v>1</v>
      </c>
      <c r="CL18" s="898">
        <v>1122</v>
      </c>
      <c r="CM18" s="901">
        <f t="shared" si="59"/>
        <v>1122</v>
      </c>
      <c r="CN18" s="898" t="s">
        <v>1324</v>
      </c>
      <c r="CO18" s="899">
        <v>1</v>
      </c>
      <c r="CP18" s="900">
        <v>613</v>
      </c>
      <c r="CQ18" s="901">
        <f t="shared" si="60"/>
        <v>613</v>
      </c>
      <c r="CR18" s="751">
        <f t="shared" si="5"/>
        <v>80</v>
      </c>
      <c r="CS18" s="746">
        <v>4</v>
      </c>
      <c r="CT18" s="747">
        <f>VLOOKUP(CR18,'Ціни контур теплопостачання'!$Y$5:$AA$17,3,0)</f>
        <v>37.693832104112609</v>
      </c>
      <c r="CU18" s="748">
        <f t="shared" si="61"/>
        <v>150.77532841645044</v>
      </c>
      <c r="CV18" s="750">
        <f t="shared" si="6"/>
        <v>40</v>
      </c>
      <c r="CW18" s="746">
        <v>6</v>
      </c>
      <c r="CX18" s="747">
        <f>VLOOKUP(CV18,'Ціни контур теплопостачання'!$AO$20:$AQ$29,3,0)</f>
        <v>37.980000000000004</v>
      </c>
      <c r="CY18" s="748">
        <f t="shared" si="62"/>
        <v>227.88000000000002</v>
      </c>
      <c r="CZ18" s="750">
        <f t="shared" si="7"/>
        <v>25</v>
      </c>
      <c r="DA18" s="746">
        <v>3</v>
      </c>
      <c r="DB18" s="747">
        <f>VLOOKUP(CZ18,'Ціни контур теплопостачання'!$AO$20:$AQ$29,3,0)</f>
        <v>6.3070000000000004</v>
      </c>
      <c r="DC18" s="748">
        <f t="shared" si="63"/>
        <v>18.920999999999999</v>
      </c>
      <c r="DD18" s="757">
        <f t="shared" si="8"/>
        <v>50</v>
      </c>
      <c r="DE18" s="746">
        <f t="shared" si="9"/>
        <v>4</v>
      </c>
      <c r="DF18" s="747">
        <f>VLOOKUP(DD18,'Ціни контур теплопостачання'!$Y$5:$AA$17,3,0)</f>
        <v>23.2782130224622</v>
      </c>
      <c r="DG18" s="748">
        <f t="shared" si="64"/>
        <v>93.112852089848801</v>
      </c>
      <c r="DH18" s="745">
        <f t="shared" si="65"/>
        <v>32</v>
      </c>
      <c r="DI18" s="749">
        <f t="shared" si="66"/>
        <v>2</v>
      </c>
      <c r="DJ18" s="747">
        <f>VLOOKUP(DH18,'Ціни контур теплопостачання'!$Y$5:$AA$17,3,0)</f>
        <v>10.381</v>
      </c>
      <c r="DK18" s="765">
        <f t="shared" si="67"/>
        <v>20.762</v>
      </c>
      <c r="DL18" s="757">
        <f t="shared" si="10"/>
        <v>25</v>
      </c>
      <c r="DM18" s="746">
        <v>1</v>
      </c>
      <c r="DN18" s="747">
        <f>VLOOKUP(DL18,'Ціни контур мережний'!$Z$43:$AB$55,3,0)</f>
        <v>14.856886019572187</v>
      </c>
      <c r="DO18" s="748">
        <f t="shared" si="68"/>
        <v>14.856886019572187</v>
      </c>
      <c r="DP18" s="757">
        <f t="shared" si="11"/>
        <v>25</v>
      </c>
      <c r="DQ18" s="746">
        <v>2</v>
      </c>
      <c r="DR18" s="747">
        <f>VLOOKUP(DP18,'Ціни контур теплопостачання'!$Y$5:$AA$17,3,0)</f>
        <v>6.3070000000000004</v>
      </c>
      <c r="DS18" s="748">
        <f t="shared" si="69"/>
        <v>12.614000000000001</v>
      </c>
      <c r="DT18" s="745">
        <v>20</v>
      </c>
      <c r="DU18" s="749">
        <v>2</v>
      </c>
      <c r="DV18" s="747">
        <f>VLOOKUP(DT18,'Ціни контур теплопостачання'!$Y$5:$AA$17,3,0)</f>
        <v>3.577</v>
      </c>
      <c r="DW18" s="748">
        <f t="shared" si="70"/>
        <v>7.1539999999999999</v>
      </c>
      <c r="DX18" s="745">
        <v>15</v>
      </c>
      <c r="DY18" s="745">
        <v>10</v>
      </c>
      <c r="DZ18" s="758">
        <f>VLOOKUP(DX18,'Ціни контур теплопостачання'!$Y$5:$AA$17,3,0)</f>
        <v>2.464</v>
      </c>
      <c r="EA18" s="759">
        <f t="shared" si="71"/>
        <v>24.64</v>
      </c>
      <c r="EB18" s="745">
        <v>15</v>
      </c>
      <c r="EC18" s="745">
        <f t="shared" si="110"/>
        <v>38</v>
      </c>
      <c r="ED18" s="758">
        <f>VLOOKUP(EB18,'Ціни контур мережний'!$J$71:$M$71,4,0)</f>
        <v>3.3865201135922525</v>
      </c>
      <c r="EE18" s="759">
        <f t="shared" si="72"/>
        <v>128.68776431650559</v>
      </c>
      <c r="EF18" s="751">
        <f t="shared" si="12"/>
        <v>80</v>
      </c>
      <c r="EG18" s="746">
        <v>1</v>
      </c>
      <c r="EH18" s="747">
        <f>VLOOKUP(EF18,'Ціни контур теплопостачання'!$K$5:$M$17,3,0)</f>
        <v>50.12</v>
      </c>
      <c r="EI18" s="748">
        <f t="shared" si="73"/>
        <v>50.12</v>
      </c>
      <c r="EJ18" s="745">
        <f t="shared" si="13"/>
        <v>40</v>
      </c>
      <c r="EK18" s="749">
        <v>1</v>
      </c>
      <c r="EL18" s="747">
        <f>VLOOKUP(EJ18,'Ціни контур теплопостачання'!$K$5:$M$17,3,0)</f>
        <v>23.225999999999999</v>
      </c>
      <c r="EM18" s="748">
        <f t="shared" si="74"/>
        <v>23.225999999999999</v>
      </c>
      <c r="EN18" s="745">
        <f t="shared" si="14"/>
        <v>25</v>
      </c>
      <c r="EO18" s="745">
        <v>1</v>
      </c>
      <c r="EP18" s="758">
        <f>VLOOKUP(EN18,'Ціни контур теплопостачання'!$K$5:$M$17,3,0)</f>
        <v>4.78</v>
      </c>
      <c r="EQ18" s="759">
        <f t="shared" si="75"/>
        <v>4.78</v>
      </c>
      <c r="ER18" s="745">
        <f t="shared" si="15"/>
        <v>25</v>
      </c>
      <c r="ES18" s="745">
        <v>1</v>
      </c>
      <c r="ET18" s="758">
        <f>VLOOKUP(ER18,'Ціни контур теплопостачання'!$K$5:$M$17,3,0)</f>
        <v>4.78</v>
      </c>
      <c r="EU18" s="759">
        <f t="shared" si="76"/>
        <v>4.78</v>
      </c>
      <c r="EV18" s="751">
        <f t="shared" si="16"/>
        <v>80</v>
      </c>
      <c r="EW18" s="746">
        <v>2</v>
      </c>
      <c r="EX18" s="747">
        <f>VLOOKUP(EV18,'Ціни контур теплопостачання'!$Y$24:$AA$36,3,0)</f>
        <v>60.079499999999996</v>
      </c>
      <c r="EY18" s="748">
        <f t="shared" si="77"/>
        <v>120.15899999999999</v>
      </c>
      <c r="EZ18" s="745">
        <f t="shared" si="17"/>
        <v>40</v>
      </c>
      <c r="FA18" s="749">
        <v>1</v>
      </c>
      <c r="FB18" s="747">
        <f>VLOOKUP(EZ18,'Ціни контур теплопостачання'!$AO$38:$AQ$50,3,0)</f>
        <v>20.3645</v>
      </c>
      <c r="FC18" s="748">
        <f t="shared" si="78"/>
        <v>20.3645</v>
      </c>
      <c r="FD18" s="745">
        <f t="shared" si="18"/>
        <v>25</v>
      </c>
      <c r="FE18" s="745">
        <v>1</v>
      </c>
      <c r="FF18" s="758">
        <f>VLOOKUP(FD18,'Ціни контур теплопостачання'!$AO$38:$AQ$50,3,0)</f>
        <v>6.9659999999999993</v>
      </c>
      <c r="FG18" s="759">
        <f t="shared" si="79"/>
        <v>6.9659999999999993</v>
      </c>
      <c r="FH18" s="745">
        <f t="shared" si="19"/>
        <v>25</v>
      </c>
      <c r="FI18" s="745">
        <v>1</v>
      </c>
      <c r="FJ18" s="758">
        <f>VLOOKUP(FH18,'Ціни контур теплопостачання'!$Y$24:$AA$36,3,0)</f>
        <v>6.9659999999999993</v>
      </c>
      <c r="FK18" s="759">
        <f t="shared" si="80"/>
        <v>6.9659999999999993</v>
      </c>
      <c r="FL18" s="745">
        <f t="shared" si="20"/>
        <v>50</v>
      </c>
      <c r="FM18" s="745">
        <f t="shared" si="21"/>
        <v>4</v>
      </c>
      <c r="FN18" s="758">
        <f>VLOOKUP(FL18,'Ціни контур теплопостачання'!$Y$76:$AA$88,3,0)</f>
        <v>20.6</v>
      </c>
      <c r="FO18" s="759">
        <f t="shared" si="81"/>
        <v>82.4</v>
      </c>
      <c r="FP18" s="745">
        <f t="shared" si="22"/>
        <v>40</v>
      </c>
      <c r="FQ18" s="745">
        <v>1</v>
      </c>
      <c r="FR18" s="758">
        <f>VLOOKUP(FP18,'Ціни контур теплопостачання'!$Y$76:$AA$88,3,0)</f>
        <v>16.809999999999999</v>
      </c>
      <c r="FS18" s="759">
        <f t="shared" si="82"/>
        <v>16.809999999999999</v>
      </c>
      <c r="FT18" s="745">
        <f t="shared" si="23"/>
        <v>25</v>
      </c>
      <c r="FU18" s="745">
        <v>1</v>
      </c>
      <c r="FV18" s="758">
        <f>VLOOKUP(FT18,'Ціни контур теплопостачання'!$Y$76:$AA$88,3,0)</f>
        <v>11.45</v>
      </c>
      <c r="FW18" s="759">
        <f t="shared" si="83"/>
        <v>11.45</v>
      </c>
      <c r="FX18" s="758">
        <f t="shared" si="24"/>
        <v>32.540491698805042</v>
      </c>
      <c r="FY18" s="760">
        <v>32</v>
      </c>
      <c r="FZ18" s="719">
        <v>2</v>
      </c>
      <c r="GA18" s="747">
        <f>VLOOKUP(FY18,'Ціни контур теплопостачання'!$K$74:$M$79,3,0)</f>
        <v>33.68</v>
      </c>
      <c r="GB18" s="761">
        <f t="shared" si="84"/>
        <v>67.36</v>
      </c>
      <c r="GC18" s="762">
        <f t="shared" si="85"/>
        <v>17.065280665280664</v>
      </c>
      <c r="GD18" s="902">
        <v>16</v>
      </c>
      <c r="GE18" s="1017">
        <v>14</v>
      </c>
      <c r="GF18" s="1018" t="s">
        <v>124</v>
      </c>
      <c r="GG18" s="713">
        <v>2</v>
      </c>
      <c r="GH18" s="709">
        <f>VLOOKUP(GF18,'Ціни контур теплопостачання'!$C$89:$M$105,11,0)</f>
        <v>678</v>
      </c>
      <c r="GI18" s="764">
        <f t="shared" si="86"/>
        <v>1356</v>
      </c>
      <c r="GJ18" s="912">
        <f t="shared" si="87"/>
        <v>1.5212981744421907</v>
      </c>
      <c r="GK18" s="902">
        <v>16</v>
      </c>
      <c r="GL18" s="1017">
        <v>10</v>
      </c>
      <c r="GM18" s="1019" t="s">
        <v>1097</v>
      </c>
      <c r="GN18" s="749">
        <v>1</v>
      </c>
      <c r="GO18" s="747">
        <f>VLOOKUP(GM18,'Ціни контур теплопостачання'!$C$89:$M$105,11,0)</f>
        <v>241.2</v>
      </c>
      <c r="GP18" s="904">
        <f t="shared" si="88"/>
        <v>241.2</v>
      </c>
      <c r="GQ18" s="758">
        <f t="shared" si="25"/>
        <v>1223.2570874121957</v>
      </c>
      <c r="GR18" s="955">
        <v>750</v>
      </c>
      <c r="GS18" s="749">
        <f>VLOOKUP(GR18,'Ціни контур теплопостачання'!$J$43:$K$55,2,0)</f>
        <v>32</v>
      </c>
      <c r="GT18" s="1020">
        <v>2</v>
      </c>
      <c r="GU18" s="747">
        <f>VLOOKUP(GR18,'Ціни контур теплопостачання'!$J$43:$M$55,4,0)</f>
        <v>376.94</v>
      </c>
      <c r="GV18" s="748">
        <f t="shared" si="89"/>
        <v>753.88</v>
      </c>
      <c r="GW18" s="758">
        <f t="array" ref="GW18">MIN(IF('Ціни контур теплопостачання'!$AN$68:$AN$77&gt;(V18*1.2),'Ціни контур теплопостачання'!$AN$68:$AN$77))</f>
        <v>22.36</v>
      </c>
      <c r="GX18" s="749">
        <f>VLOOKUP(GW18,'Ціни контур теплопостачання'!$AN$68:$AO$77,2,0)</f>
        <v>40</v>
      </c>
      <c r="GY18" s="749">
        <f t="shared" si="26"/>
        <v>2</v>
      </c>
      <c r="GZ18" s="747">
        <f>VLOOKUP(GX18,'Ціни контур теплопостачання'!$AO$68:$AQ$77,3,0)</f>
        <v>43.225000000000001</v>
      </c>
      <c r="HA18" s="759">
        <f t="shared" si="90"/>
        <v>86.45</v>
      </c>
      <c r="HB18" s="751">
        <v>15</v>
      </c>
      <c r="HC18" s="746">
        <v>2</v>
      </c>
      <c r="HD18" s="747">
        <f>VLOOKUP(HB18,'Ціни контур мережний'!$J$73:$M$73,4,0)</f>
        <v>3.4649999999999999</v>
      </c>
      <c r="HE18" s="748">
        <f t="shared" si="91"/>
        <v>6.93</v>
      </c>
      <c r="HF18" s="749">
        <f t="shared" si="27"/>
        <v>25</v>
      </c>
      <c r="HG18" s="749">
        <v>1</v>
      </c>
      <c r="HH18" s="747">
        <f>VLOOKUP(HF18,'Ціни контур теплопостачання'!$Y$62:$AA$69,3,0)</f>
        <v>89.924040000000005</v>
      </c>
      <c r="HI18" s="765">
        <f t="shared" si="92"/>
        <v>89.924040000000005</v>
      </c>
      <c r="HJ18" s="750">
        <f>VLOOKUP(HK18,'Ціни контур теплопостачання'!$AN$6:$AO$13,2,0)</f>
        <v>32</v>
      </c>
      <c r="HK18" s="751">
        <f t="array" ref="HK18">MIN(IF('Ціни контур теплопостачання'!$AN$6:$AN$13&gt;N18,'Ціни контур теплопостачання'!$AN$6:$AN$13))</f>
        <v>6</v>
      </c>
      <c r="HL18" s="751">
        <v>1</v>
      </c>
      <c r="HM18" s="747">
        <f>VLOOKUP(HJ18,'Ціни контур теплопостачання'!$AO$6:$AQ$13,3,0)</f>
        <v>85.682340000000011</v>
      </c>
      <c r="HN18" s="748">
        <f t="shared" si="93"/>
        <v>85.682340000000011</v>
      </c>
      <c r="HO18" s="750">
        <f t="shared" si="28"/>
        <v>40</v>
      </c>
      <c r="HP18" s="746">
        <v>1</v>
      </c>
      <c r="HQ18" s="747">
        <f>VLOOKUP(HO18,'Ціни контур теплопостачання'!$AO$55:$AQ$63,3,0)</f>
        <v>193.55</v>
      </c>
      <c r="HR18" s="748">
        <f t="shared" si="94"/>
        <v>193.55</v>
      </c>
      <c r="HS18" s="745">
        <f t="shared" si="29"/>
        <v>25</v>
      </c>
      <c r="HT18" s="749">
        <v>1</v>
      </c>
      <c r="HU18" s="747">
        <f>VLOOKUP(HS18,'Ціни контур теплопостачання'!$K$62:$M$67,3,0)</f>
        <v>92.91</v>
      </c>
      <c r="HV18" s="765">
        <f t="shared" si="95"/>
        <v>92.91</v>
      </c>
      <c r="HW18" s="655" t="str">
        <f t="shared" ref="HW18" si="124">HW17</f>
        <v>0-150</v>
      </c>
      <c r="HX18" s="720">
        <v>1</v>
      </c>
      <c r="HY18" s="747">
        <f>VLOOKUP(HW18,'Ціни контур мережний'!$I$79:$M$80,5,0)</f>
        <v>15.050156291498967</v>
      </c>
      <c r="HZ18" s="748">
        <f t="shared" si="96"/>
        <v>15.050156291498967</v>
      </c>
      <c r="IA18" s="758" t="s">
        <v>109</v>
      </c>
      <c r="IB18" s="749">
        <v>5</v>
      </c>
      <c r="IC18" s="747">
        <f>VLOOKUP(IA18,'Ціни контур мережний'!$I$79:$M$80,5,0)</f>
        <v>15.050156291498967</v>
      </c>
      <c r="ID18" s="765">
        <f t="shared" si="97"/>
        <v>75.250781457494838</v>
      </c>
      <c r="IE18" s="655" t="s">
        <v>108</v>
      </c>
      <c r="IF18" s="720">
        <v>5</v>
      </c>
      <c r="IG18" s="747">
        <f>VLOOKUP(IE18,'Ціни контур мережний'!$I$67:$M$69,5,0)</f>
        <v>4.4537969640631703</v>
      </c>
      <c r="IH18" s="748">
        <f t="shared" si="98"/>
        <v>22.26898482031585</v>
      </c>
      <c r="II18" s="655" t="s">
        <v>106</v>
      </c>
      <c r="IJ18" s="720">
        <f>11+T18</f>
        <v>13</v>
      </c>
      <c r="IK18" s="747">
        <f>VLOOKUP(II18,'Ціни контур мережний'!$I$67:$M$69,5,0)</f>
        <v>4.4537969640631703</v>
      </c>
      <c r="IL18" s="748">
        <f t="shared" si="99"/>
        <v>57.899360532821213</v>
      </c>
      <c r="IM18" s="655" t="s">
        <v>1013</v>
      </c>
      <c r="IN18" s="720">
        <v>5</v>
      </c>
      <c r="IO18" s="747">
        <f>VLOOKUP(IM18,'Ціни контур мережний'!$I$64:$M$64,5,0)</f>
        <v>29.1312</v>
      </c>
      <c r="IP18" s="748">
        <f t="shared" si="100"/>
        <v>145.65600000000001</v>
      </c>
      <c r="IQ18" s="766" t="s">
        <v>1015</v>
      </c>
      <c r="IR18" s="749">
        <v>6</v>
      </c>
      <c r="IS18" s="747">
        <f>VLOOKUP(IQ18,'Ціни контур мережний'!$I$89:$M$89,5,0)</f>
        <v>79.523165325760516</v>
      </c>
      <c r="IT18" s="765">
        <f t="shared" si="101"/>
        <v>477.1389919545631</v>
      </c>
      <c r="IU18" s="767" t="s">
        <v>1016</v>
      </c>
      <c r="IV18" s="720">
        <f t="shared" si="117"/>
        <v>7</v>
      </c>
      <c r="IW18" s="747">
        <f>VLOOKUP(IU18,'Ціни контур мережний'!$I$88:$M$88,5,0)</f>
        <v>13.211568975967202</v>
      </c>
      <c r="IX18" s="768">
        <f t="shared" si="102"/>
        <v>92.480982831770419</v>
      </c>
      <c r="IY18" s="767" t="s">
        <v>383</v>
      </c>
      <c r="IZ18" s="720">
        <v>1</v>
      </c>
      <c r="JA18" s="747">
        <f>VLOOKUP(IY18,'Ціни контур мережний'!$I$87:$M$87,5,0)</f>
        <v>13.483972460007763</v>
      </c>
      <c r="JB18" s="748">
        <f t="shared" si="103"/>
        <v>13.483972460007763</v>
      </c>
      <c r="JC18" s="769">
        <f t="shared" si="31"/>
        <v>12</v>
      </c>
      <c r="JD18" s="770">
        <f t="shared" si="104"/>
        <v>9317.1554776555931</v>
      </c>
      <c r="JE18" s="771">
        <f>$JE$44/'Ціни контур мережний'!$G$26</f>
        <v>476.70609707098151</v>
      </c>
      <c r="JF18" s="771">
        <f>$JE$44/'Ціни контур мережний'!$G$26</f>
        <v>476.70609707098151</v>
      </c>
      <c r="JG18" s="770">
        <f t="shared" si="112"/>
        <v>661.80181284518619</v>
      </c>
      <c r="JH18" s="770">
        <f t="shared" si="113"/>
        <v>487.81784379022207</v>
      </c>
      <c r="JI18" s="770">
        <f>$JI$43/'Ціни контур мережний'!$G$26</f>
        <v>323.47913729816605</v>
      </c>
      <c r="JJ18" s="770">
        <f t="shared" si="105"/>
        <v>66.611999999999995</v>
      </c>
      <c r="JK18" s="772">
        <v>0</v>
      </c>
      <c r="JL18" s="772">
        <f t="shared" si="114"/>
        <v>62.86234247089866</v>
      </c>
      <c r="JM18" s="772">
        <v>0</v>
      </c>
      <c r="JN18" s="770">
        <v>0</v>
      </c>
      <c r="JO18" s="662">
        <f t="shared" si="32"/>
        <v>831.11985657414186</v>
      </c>
      <c r="JP18" s="1022">
        <f t="shared" si="33"/>
        <v>1187.3140808202027</v>
      </c>
      <c r="JQ18" s="1023">
        <f t="shared" si="34"/>
        <v>204.24751857956835</v>
      </c>
      <c r="JR18" s="1023">
        <f t="shared" si="115"/>
        <v>300.63036461094771</v>
      </c>
      <c r="JS18" s="777">
        <f t="shared" si="106"/>
        <v>14396.452628786887</v>
      </c>
      <c r="JU18" s="616">
        <f>[3]Расчеты!AX17/1.2</f>
        <v>4190.9023783485809</v>
      </c>
      <c r="JV18" s="616">
        <f t="shared" si="107"/>
        <v>18587.355007135469</v>
      </c>
      <c r="JW18" s="616" t="e">
        <f>JV18*1.2*#REF!</f>
        <v>#REF!</v>
      </c>
      <c r="JX18" s="616"/>
    </row>
    <row r="19" spans="1:286" ht="12.6" customHeight="1">
      <c r="A19" s="610" t="s">
        <v>686</v>
      </c>
      <c r="B19" s="597">
        <v>23</v>
      </c>
      <c r="C19" s="1056" t="s">
        <v>778</v>
      </c>
      <c r="D19" s="906">
        <v>0.23533999999999999</v>
      </c>
      <c r="E19" s="907">
        <v>0.24199999999999999</v>
      </c>
      <c r="F19" s="908">
        <f t="shared" si="35"/>
        <v>10.390095498611467</v>
      </c>
      <c r="G19" s="909">
        <v>65</v>
      </c>
      <c r="H19" s="598">
        <f t="shared" si="36"/>
        <v>4.2040014290818144</v>
      </c>
      <c r="I19" s="599">
        <v>40</v>
      </c>
      <c r="J19" s="598">
        <f t="shared" si="37"/>
        <v>9.7854469854469848</v>
      </c>
      <c r="K19" s="599">
        <v>65</v>
      </c>
      <c r="L19" s="598">
        <f t="shared" si="38"/>
        <v>6.1860940695296529</v>
      </c>
      <c r="M19" s="599">
        <v>40</v>
      </c>
      <c r="N19" s="598">
        <f t="shared" si="39"/>
        <v>4.9087221095334685</v>
      </c>
      <c r="O19" s="599">
        <v>40</v>
      </c>
      <c r="P19" s="598">
        <f t="shared" si="108"/>
        <v>1.4726166328600405</v>
      </c>
      <c r="Q19" s="599">
        <v>25</v>
      </c>
      <c r="R19" s="598">
        <f t="shared" si="40"/>
        <v>5.9453558372433752</v>
      </c>
      <c r="S19" s="600">
        <f t="shared" si="41"/>
        <v>8.7484581312446057</v>
      </c>
      <c r="T19" s="910">
        <v>2</v>
      </c>
      <c r="U19" s="601">
        <f t="shared" si="42"/>
        <v>4.8927234927234924</v>
      </c>
      <c r="V19" s="601">
        <f t="shared" si="43"/>
        <v>6.9193559203510215</v>
      </c>
      <c r="W19" s="602">
        <v>40</v>
      </c>
      <c r="X19" s="1027">
        <v>4.5999999999999996</v>
      </c>
      <c r="Y19" s="601">
        <f t="shared" si="44"/>
        <v>1.38</v>
      </c>
      <c r="Z19" s="992">
        <v>20</v>
      </c>
      <c r="AA19" s="1028">
        <v>9</v>
      </c>
      <c r="AB19" s="745">
        <f t="shared" si="0"/>
        <v>65</v>
      </c>
      <c r="AC19" s="746">
        <v>2</v>
      </c>
      <c r="AD19" s="747">
        <f>VLOOKUP(AB19,'Ціни контур мережний'!$Z$24:$AB$36,3,0)</f>
        <v>30.19184015363556</v>
      </c>
      <c r="AE19" s="748">
        <f t="shared" si="45"/>
        <v>60.383680307271121</v>
      </c>
      <c r="AF19" s="745">
        <f t="shared" si="1"/>
        <v>65</v>
      </c>
      <c r="AG19" s="749">
        <v>2</v>
      </c>
      <c r="AH19" s="747">
        <f>VLOOKUP(AF19,'Ціни контур мережний'!$Z$64:$AB$77,3,0)</f>
        <v>105.883234246566</v>
      </c>
      <c r="AI19" s="748">
        <f t="shared" si="46"/>
        <v>211.76646849313201</v>
      </c>
      <c r="AJ19" s="745">
        <f t="shared" si="2"/>
        <v>65</v>
      </c>
      <c r="AK19" s="746">
        <v>0</v>
      </c>
      <c r="AL19" s="747">
        <f>VLOOKUP(AJ19,'Ціни контур мережний'!$Z$5:$AB$17,3,0)</f>
        <v>39.731999999999999</v>
      </c>
      <c r="AM19" s="748">
        <f t="shared" si="47"/>
        <v>0</v>
      </c>
      <c r="AN19" s="750">
        <f t="shared" si="3"/>
        <v>40</v>
      </c>
      <c r="AO19" s="746">
        <v>1</v>
      </c>
      <c r="AP19" s="747">
        <f>VLOOKUP(AN19,'Ціни контур мережний'!$Z$43:$AB$55,3,0)</f>
        <v>18.42400964308333</v>
      </c>
      <c r="AQ19" s="768">
        <f t="shared" si="48"/>
        <v>18.42400964308333</v>
      </c>
      <c r="AR19" s="749">
        <f t="shared" si="4"/>
        <v>40</v>
      </c>
      <c r="AS19" s="749">
        <v>4</v>
      </c>
      <c r="AT19" s="747">
        <f>VLOOKUP(AR19,'Ціни контур мережний'!$Z$43:$AB$55,3,0)</f>
        <v>18.42400964308333</v>
      </c>
      <c r="AU19" s="1016">
        <f t="shared" si="49"/>
        <v>73.696038572333322</v>
      </c>
      <c r="AV19" s="751" t="str">
        <f t="shared" si="50"/>
        <v>AMV20</v>
      </c>
      <c r="AW19" s="751">
        <v>1</v>
      </c>
      <c r="AX19" s="747">
        <f>VLOOKUP(AV19,'Ціни контур мережний'!$I$53:$M$57,5,0)</f>
        <v>110.39869654932889</v>
      </c>
      <c r="AY19" s="748">
        <f t="shared" si="51"/>
        <v>110.39869654932889</v>
      </c>
      <c r="AZ19" s="752">
        <f t="array" ref="AZ19">MIN(IF('Ціни контур мережний'!$Y$83:$Y$92&gt;(R19*1.2),'Ціни контур мережний'!$Y$83:$Y$92))</f>
        <v>10</v>
      </c>
      <c r="BA19" s="746">
        <f>VLOOKUP(AZ19,'Ціни контур мережний'!$Y$83:$Z$92,2,0)</f>
        <v>25</v>
      </c>
      <c r="BB19" s="746">
        <v>1</v>
      </c>
      <c r="BC19" s="747">
        <f>VLOOKUP(AZ19,'Ціни контур мережний'!$Y$83:$AB$92,4,0)</f>
        <v>117.50505648967251</v>
      </c>
      <c r="BD19" s="748">
        <f t="shared" si="52"/>
        <v>117.50505648967251</v>
      </c>
      <c r="BE19" s="1099">
        <f t="array" ref="BE19">MIN(IF('[1]Ціни контур мережний'!$Y$104:$Y$114&gt;(R19*1.2),'[1]Ціни контур мережний'!$Y$104:$Y$114))</f>
        <v>8</v>
      </c>
      <c r="BF19" s="1101">
        <f>VLOOKUP(BE19,'[1]Ціни контур мережний'!$Y$104:$Z$114,2,0)</f>
        <v>25</v>
      </c>
      <c r="BG19" s="753">
        <v>1</v>
      </c>
      <c r="BH19" s="754">
        <f>VLOOKUP(BE19,'Ціни контур мережний'!$Y$104:$AB$114,4,0)</f>
        <v>278.09338672441618</v>
      </c>
      <c r="BI19" s="755">
        <f t="shared" si="53"/>
        <v>278.09338672441618</v>
      </c>
      <c r="BJ19" s="751" t="s">
        <v>67</v>
      </c>
      <c r="BK19" s="749">
        <v>1</v>
      </c>
      <c r="BL19" s="747">
        <f>VLOOKUP(BJ19,'Ціни контур мережний'!$I$53:$M$57,5,0)</f>
        <v>157.67238032974441</v>
      </c>
      <c r="BM19" s="748">
        <f t="shared" si="54"/>
        <v>157.67238032974441</v>
      </c>
      <c r="BN19" s="896">
        <f t="array" ref="BN19">MIN(IF('Ціни контур мережний'!$Y$83:$Y$93&gt;(S19*1.2),'Ціни контур мережний'!$Y$83:$Y$93))</f>
        <v>16</v>
      </c>
      <c r="BO19" s="896">
        <f>VLOOKUP(BN19,'Ціни контур мережний'!$Y$83:$Z$93,2,0)</f>
        <v>32</v>
      </c>
      <c r="BP19" s="895">
        <v>1</v>
      </c>
      <c r="BQ19" s="896">
        <f>VLOOKUP(BN19,'Ціни контур мережний'!$Y$83:$AB$93,4,0)</f>
        <v>130.5392363168325</v>
      </c>
      <c r="BR19" s="897">
        <f t="shared" si="55"/>
        <v>130.5392363168325</v>
      </c>
      <c r="BS19" s="896">
        <f t="array" ref="BS19">MIN(IF('Ціни контур мережний'!$Y$104:$Y$114&gt;(S19*1.2),'Ціни контур мережний'!$Y$104:$Y$114))</f>
        <v>12.5</v>
      </c>
      <c r="BT19" s="896">
        <f>VLOOKUP(BS19,'Ціни контур мережний'!$Y$104:$Z$114,2,0)</f>
        <v>32</v>
      </c>
      <c r="BU19" s="895">
        <v>1</v>
      </c>
      <c r="BV19" s="896">
        <f>VLOOKUP(BS19,'Ціни контур мережний'!$Y$104:$AB$114,4,0)</f>
        <v>435.76049604674444</v>
      </c>
      <c r="BW19" s="897">
        <f t="shared" si="56"/>
        <v>435.76049604674444</v>
      </c>
      <c r="BX19" s="751" t="s">
        <v>115</v>
      </c>
      <c r="BY19" s="751" t="s">
        <v>115</v>
      </c>
      <c r="BZ19" s="746" t="s">
        <v>1025</v>
      </c>
      <c r="CA19" s="756">
        <v>0</v>
      </c>
      <c r="CB19" s="747">
        <v>0</v>
      </c>
      <c r="CC19" s="748">
        <f t="shared" si="57"/>
        <v>0</v>
      </c>
      <c r="CD19" s="758">
        <f>VLOOKUP(CE19,'Ціни контур мережний'!$J$5:$L$12,3,0)</f>
        <v>40</v>
      </c>
      <c r="CE19" s="747">
        <f t="array" ref="CE19">MIN(IF('Ціни контур мережний'!$J$5:$J$12&gt;L19,'Ціни контур мережний'!$J$5:$J$12))</f>
        <v>10</v>
      </c>
      <c r="CF19" s="746" t="s">
        <v>130</v>
      </c>
      <c r="CG19" s="749">
        <v>1</v>
      </c>
      <c r="CH19" s="747">
        <f>VLOOKUP(CE19,'Ціни контур мережний'!$J$5:$N$12,5,0)</f>
        <v>375.23999999999995</v>
      </c>
      <c r="CI19" s="748">
        <f t="shared" si="58"/>
        <v>375.23999999999995</v>
      </c>
      <c r="CJ19" s="899" t="s">
        <v>1298</v>
      </c>
      <c r="CK19" s="899">
        <v>1</v>
      </c>
      <c r="CL19" s="898">
        <v>772</v>
      </c>
      <c r="CM19" s="901">
        <f t="shared" si="59"/>
        <v>772</v>
      </c>
      <c r="CN19" s="898" t="s">
        <v>1325</v>
      </c>
      <c r="CO19" s="899">
        <v>1</v>
      </c>
      <c r="CP19" s="900">
        <v>613</v>
      </c>
      <c r="CQ19" s="901">
        <f t="shared" si="60"/>
        <v>613</v>
      </c>
      <c r="CR19" s="751">
        <f t="shared" si="5"/>
        <v>65</v>
      </c>
      <c r="CS19" s="746">
        <v>4</v>
      </c>
      <c r="CT19" s="747">
        <f>VLOOKUP(CR19,'Ціни контур теплопостачання'!$Y$5:$AA$17,3,0)</f>
        <v>30.19184015363556</v>
      </c>
      <c r="CU19" s="748">
        <f t="shared" si="61"/>
        <v>120.76736061454224</v>
      </c>
      <c r="CV19" s="750">
        <f t="shared" si="6"/>
        <v>40</v>
      </c>
      <c r="CW19" s="746">
        <v>6</v>
      </c>
      <c r="CX19" s="747">
        <f>VLOOKUP(CV19,'Ціни контур теплопостачання'!$AO$20:$AQ$29,3,0)</f>
        <v>37.980000000000004</v>
      </c>
      <c r="CY19" s="748">
        <f t="shared" si="62"/>
        <v>227.88000000000002</v>
      </c>
      <c r="CZ19" s="750">
        <f t="shared" si="7"/>
        <v>25</v>
      </c>
      <c r="DA19" s="746">
        <v>3</v>
      </c>
      <c r="DB19" s="747">
        <f>VLOOKUP(CZ19,'Ціни контур теплопостачання'!$AO$20:$AQ$29,3,0)</f>
        <v>6.3070000000000004</v>
      </c>
      <c r="DC19" s="748">
        <f t="shared" si="63"/>
        <v>18.920999999999999</v>
      </c>
      <c r="DD19" s="757">
        <f t="shared" si="8"/>
        <v>40</v>
      </c>
      <c r="DE19" s="746">
        <f t="shared" si="9"/>
        <v>4</v>
      </c>
      <c r="DF19" s="747">
        <f>VLOOKUP(DD19,'Ціни контур теплопостачання'!$Y$5:$AA$17,3,0)</f>
        <v>18.42400964308333</v>
      </c>
      <c r="DG19" s="748">
        <f t="shared" si="64"/>
        <v>73.696038572333322</v>
      </c>
      <c r="DH19" s="745">
        <f t="shared" si="65"/>
        <v>32</v>
      </c>
      <c r="DI19" s="749">
        <f t="shared" si="66"/>
        <v>1</v>
      </c>
      <c r="DJ19" s="747">
        <f>VLOOKUP(DH19,'Ціни контур теплопостачання'!$Y$5:$AA$17,3,0)</f>
        <v>10.381</v>
      </c>
      <c r="DK19" s="765">
        <f t="shared" si="67"/>
        <v>10.381</v>
      </c>
      <c r="DL19" s="757">
        <f t="shared" si="10"/>
        <v>20</v>
      </c>
      <c r="DM19" s="746">
        <v>1</v>
      </c>
      <c r="DN19" s="747">
        <f>VLOOKUP(DL19,'Ціни контур мережний'!$Z$43:$AB$55,3,0)</f>
        <v>14.562690256808384</v>
      </c>
      <c r="DO19" s="748">
        <f t="shared" si="68"/>
        <v>14.562690256808384</v>
      </c>
      <c r="DP19" s="757">
        <f t="shared" si="11"/>
        <v>20</v>
      </c>
      <c r="DQ19" s="746">
        <v>2</v>
      </c>
      <c r="DR19" s="747">
        <f>VLOOKUP(DP19,'Ціни контур теплопостачання'!$Y$5:$AA$17,3,0)</f>
        <v>3.577</v>
      </c>
      <c r="DS19" s="748">
        <f t="shared" si="69"/>
        <v>7.1539999999999999</v>
      </c>
      <c r="DT19" s="745">
        <v>20</v>
      </c>
      <c r="DU19" s="749">
        <v>2</v>
      </c>
      <c r="DV19" s="747">
        <f>VLOOKUP(DT19,'Ціни контур теплопостачання'!$Y$5:$AA$17,3,0)</f>
        <v>3.577</v>
      </c>
      <c r="DW19" s="748">
        <f t="shared" si="70"/>
        <v>7.1539999999999999</v>
      </c>
      <c r="DX19" s="745">
        <v>15</v>
      </c>
      <c r="DY19" s="745">
        <v>10</v>
      </c>
      <c r="DZ19" s="758">
        <f>VLOOKUP(DX19,'Ціни контур теплопостачання'!$Y$5:$AA$17,3,0)</f>
        <v>2.464</v>
      </c>
      <c r="EA19" s="759">
        <f t="shared" si="71"/>
        <v>24.64</v>
      </c>
      <c r="EB19" s="745">
        <v>15</v>
      </c>
      <c r="EC19" s="745">
        <f t="shared" si="110"/>
        <v>38</v>
      </c>
      <c r="ED19" s="758">
        <f>VLOOKUP(EB19,'Ціни контур мережний'!$J$71:$M$71,4,0)</f>
        <v>3.3865201135922525</v>
      </c>
      <c r="EE19" s="759">
        <f t="shared" si="72"/>
        <v>128.68776431650559</v>
      </c>
      <c r="EF19" s="751">
        <f t="shared" si="12"/>
        <v>65</v>
      </c>
      <c r="EG19" s="746">
        <v>1</v>
      </c>
      <c r="EH19" s="747">
        <f>VLOOKUP(EF19,'Ціни контур теплопостачання'!$K$5:$M$17,3,0)</f>
        <v>39.731999999999999</v>
      </c>
      <c r="EI19" s="748">
        <f t="shared" si="73"/>
        <v>39.731999999999999</v>
      </c>
      <c r="EJ19" s="745">
        <f t="shared" si="13"/>
        <v>40</v>
      </c>
      <c r="EK19" s="749">
        <v>1</v>
      </c>
      <c r="EL19" s="747">
        <f>VLOOKUP(EJ19,'Ціни контур теплопостачання'!$K$5:$M$17,3,0)</f>
        <v>23.225999999999999</v>
      </c>
      <c r="EM19" s="748">
        <f t="shared" si="74"/>
        <v>23.225999999999999</v>
      </c>
      <c r="EN19" s="745">
        <f t="shared" si="14"/>
        <v>25</v>
      </c>
      <c r="EO19" s="745">
        <v>1</v>
      </c>
      <c r="EP19" s="758">
        <f>VLOOKUP(EN19,'Ціни контур теплопостачання'!$K$5:$M$17,3,0)</f>
        <v>4.78</v>
      </c>
      <c r="EQ19" s="759">
        <f t="shared" si="75"/>
        <v>4.78</v>
      </c>
      <c r="ER19" s="745">
        <f t="shared" si="15"/>
        <v>20</v>
      </c>
      <c r="ES19" s="745">
        <v>1</v>
      </c>
      <c r="ET19" s="758">
        <f>VLOOKUP(ER19,'Ціни контур теплопостачання'!$K$5:$M$17,3,0)</f>
        <v>3.48</v>
      </c>
      <c r="EU19" s="759">
        <f t="shared" si="76"/>
        <v>3.48</v>
      </c>
      <c r="EV19" s="751">
        <f t="shared" si="16"/>
        <v>65</v>
      </c>
      <c r="EW19" s="746">
        <v>2</v>
      </c>
      <c r="EX19" s="747">
        <f>VLOOKUP(EV19,'Ціни контур теплопостачання'!$Y$24:$AA$36,3,0)</f>
        <v>42.080999999999996</v>
      </c>
      <c r="EY19" s="748">
        <f t="shared" si="77"/>
        <v>84.161999999999992</v>
      </c>
      <c r="EZ19" s="745">
        <f t="shared" si="17"/>
        <v>40</v>
      </c>
      <c r="FA19" s="749">
        <v>1</v>
      </c>
      <c r="FB19" s="747">
        <f>VLOOKUP(EZ19,'Ціни контур теплопостачання'!$AO$38:$AQ$50,3,0)</f>
        <v>20.3645</v>
      </c>
      <c r="FC19" s="748">
        <f t="shared" si="78"/>
        <v>20.3645</v>
      </c>
      <c r="FD19" s="745">
        <f t="shared" si="18"/>
        <v>25</v>
      </c>
      <c r="FE19" s="745">
        <v>1</v>
      </c>
      <c r="FF19" s="758">
        <f>VLOOKUP(FD19,'Ціни контур теплопостачання'!$AO$38:$AQ$50,3,0)</f>
        <v>6.9659999999999993</v>
      </c>
      <c r="FG19" s="759">
        <f t="shared" si="79"/>
        <v>6.9659999999999993</v>
      </c>
      <c r="FH19" s="745">
        <f t="shared" si="19"/>
        <v>20</v>
      </c>
      <c r="FI19" s="745">
        <v>1</v>
      </c>
      <c r="FJ19" s="758">
        <f>VLOOKUP(FH19,'Ціни контур теплопостачання'!$Y$24:$AA$36,3,0)</f>
        <v>4.5359999999999996</v>
      </c>
      <c r="FK19" s="759">
        <f t="shared" si="80"/>
        <v>4.5359999999999996</v>
      </c>
      <c r="FL19" s="745">
        <f t="shared" si="20"/>
        <v>40</v>
      </c>
      <c r="FM19" s="745">
        <f t="shared" si="21"/>
        <v>4</v>
      </c>
      <c r="FN19" s="758">
        <f>VLOOKUP(FL19,'Ціни контур теплопостачання'!$Y$76:$AA$88,3,0)</f>
        <v>16.809999999999999</v>
      </c>
      <c r="FO19" s="759">
        <f t="shared" si="81"/>
        <v>67.239999999999995</v>
      </c>
      <c r="FP19" s="745">
        <f t="shared" si="22"/>
        <v>40</v>
      </c>
      <c r="FQ19" s="745">
        <v>1</v>
      </c>
      <c r="FR19" s="758">
        <f>VLOOKUP(FP19,'Ціни контур теплопостачання'!$Y$76:$AA$88,3,0)</f>
        <v>16.809999999999999</v>
      </c>
      <c r="FS19" s="759">
        <f t="shared" si="82"/>
        <v>16.809999999999999</v>
      </c>
      <c r="FT19" s="745">
        <f t="shared" si="23"/>
        <v>25</v>
      </c>
      <c r="FU19" s="745">
        <v>1</v>
      </c>
      <c r="FV19" s="758">
        <f>VLOOKUP(FT19,'Ціни контур теплопостачання'!$Y$76:$AA$88,3,0)</f>
        <v>11.45</v>
      </c>
      <c r="FW19" s="759">
        <f t="shared" si="83"/>
        <v>11.45</v>
      </c>
      <c r="FX19" s="758">
        <f t="shared" si="24"/>
        <v>24.640965890159418</v>
      </c>
      <c r="FY19" s="760">
        <v>25</v>
      </c>
      <c r="FZ19" s="719">
        <v>2</v>
      </c>
      <c r="GA19" s="747">
        <f>VLOOKUP(FY19,'Ціни контур теплопостачання'!$K$74:$M$79,3,0)</f>
        <v>22.22</v>
      </c>
      <c r="GB19" s="761">
        <f t="shared" si="84"/>
        <v>44.44</v>
      </c>
      <c r="GC19" s="762">
        <f t="shared" si="85"/>
        <v>9.7854469854469848</v>
      </c>
      <c r="GD19" s="911">
        <v>9</v>
      </c>
      <c r="GE19" s="1017">
        <v>9</v>
      </c>
      <c r="GF19" s="1018" t="s">
        <v>119</v>
      </c>
      <c r="GG19" s="713">
        <v>2</v>
      </c>
      <c r="GH19" s="709">
        <f>VLOOKUP(GF19,'Ціни контур теплопостачання'!$C$89:$M$105,11,0)</f>
        <v>391.06799999999998</v>
      </c>
      <c r="GI19" s="764">
        <f t="shared" si="86"/>
        <v>782.13599999999997</v>
      </c>
      <c r="GJ19" s="912">
        <f t="shared" si="87"/>
        <v>1.4726166328600405</v>
      </c>
      <c r="GK19" s="911">
        <v>9</v>
      </c>
      <c r="GL19" s="1017">
        <v>9</v>
      </c>
      <c r="GM19" s="1019" t="s">
        <v>1097</v>
      </c>
      <c r="GN19" s="749">
        <v>1</v>
      </c>
      <c r="GO19" s="747">
        <f>VLOOKUP(GM19,'Ціни контур теплопостачання'!$C$89:$M$105,11,0)</f>
        <v>241.2</v>
      </c>
      <c r="GP19" s="904">
        <f t="shared" si="88"/>
        <v>241.2</v>
      </c>
      <c r="GQ19" s="758">
        <f t="shared" si="25"/>
        <v>486.28244709472472</v>
      </c>
      <c r="GR19" s="955">
        <v>500</v>
      </c>
      <c r="GS19" s="749">
        <f>VLOOKUP(GR19,'Ціни контур теплопостачання'!$J$43:$K$55,2,0)</f>
        <v>32</v>
      </c>
      <c r="GT19" s="1020">
        <v>1</v>
      </c>
      <c r="GU19" s="747">
        <f>VLOOKUP(GR19,'Ціни контур теплопостачання'!$J$43:$M$55,4,0)</f>
        <v>249.72</v>
      </c>
      <c r="GV19" s="748">
        <f t="shared" si="89"/>
        <v>249.72</v>
      </c>
      <c r="GW19" s="758">
        <f t="array" ref="GW19">MIN(IF('Ціни контур теплопостачання'!$AN$68:$AN$77&gt;(V19*1.2),'Ціни контур теплопостачання'!$AN$68:$AN$77))</f>
        <v>11.13</v>
      </c>
      <c r="GX19" s="749">
        <f>VLOOKUP(GW19,'Ціни контур теплопостачання'!$AN$68:$AO$77,2,0)</f>
        <v>32</v>
      </c>
      <c r="GY19" s="749">
        <f t="shared" si="26"/>
        <v>2</v>
      </c>
      <c r="GZ19" s="747">
        <f>VLOOKUP(GX19,'Ціни контур теплопостачання'!$AO$68:$AQ$77,3,0)</f>
        <v>37.183999999999997</v>
      </c>
      <c r="HA19" s="759">
        <f t="shared" si="90"/>
        <v>74.367999999999995</v>
      </c>
      <c r="HB19" s="751">
        <v>15</v>
      </c>
      <c r="HC19" s="746">
        <v>2</v>
      </c>
      <c r="HD19" s="747">
        <f>VLOOKUP(HB19,'Ціни контур мережний'!$J$73:$M$73,4,0)</f>
        <v>3.4649999999999999</v>
      </c>
      <c r="HE19" s="748">
        <f t="shared" si="91"/>
        <v>6.93</v>
      </c>
      <c r="HF19" s="749">
        <f t="shared" si="27"/>
        <v>20</v>
      </c>
      <c r="HG19" s="749">
        <v>1</v>
      </c>
      <c r="HH19" s="747">
        <f>VLOOKUP(HF19,'Ціни контур теплопостачання'!$Y$62:$AA$69,3,0)</f>
        <v>23.753519999999998</v>
      </c>
      <c r="HI19" s="765">
        <f t="shared" si="92"/>
        <v>23.753519999999998</v>
      </c>
      <c r="HJ19" s="750">
        <f>VLOOKUP(HK19,'Ціни контур теплопостачання'!$AN$6:$AO$13,2,0)</f>
        <v>32</v>
      </c>
      <c r="HK19" s="751">
        <f t="array" ref="HK19">MIN(IF('Ціни контур теплопостачання'!$AN$6:$AN$13&gt;N19,'Ціни контур теплопостачання'!$AN$6:$AN$13))</f>
        <v>6</v>
      </c>
      <c r="HL19" s="751">
        <v>1</v>
      </c>
      <c r="HM19" s="747">
        <f>VLOOKUP(HJ19,'Ціни контур теплопостачання'!$AO$6:$AQ$13,3,0)</f>
        <v>85.682340000000011</v>
      </c>
      <c r="HN19" s="748">
        <f t="shared" si="93"/>
        <v>85.682340000000011</v>
      </c>
      <c r="HO19" s="750">
        <f t="shared" si="28"/>
        <v>40</v>
      </c>
      <c r="HP19" s="746">
        <v>1</v>
      </c>
      <c r="HQ19" s="747">
        <f>VLOOKUP(HO19,'Ціни контур теплопостачання'!$AO$55:$AQ$63,3,0)</f>
        <v>193.55</v>
      </c>
      <c r="HR19" s="748">
        <f t="shared" si="94"/>
        <v>193.55</v>
      </c>
      <c r="HS19" s="745">
        <f t="shared" si="29"/>
        <v>20</v>
      </c>
      <c r="HT19" s="749">
        <v>1</v>
      </c>
      <c r="HU19" s="747">
        <f>VLOOKUP(HS19,'Ціни контур теплопостачання'!$K$62:$M$67,3,0)</f>
        <v>91.13</v>
      </c>
      <c r="HV19" s="765">
        <f t="shared" si="95"/>
        <v>91.13</v>
      </c>
      <c r="HW19" s="655" t="str">
        <f t="shared" ref="HW19" si="125">HW18</f>
        <v>0-150</v>
      </c>
      <c r="HX19" s="720">
        <v>1</v>
      </c>
      <c r="HY19" s="747">
        <f>VLOOKUP(HW19,'Ціни контур мережний'!$I$79:$M$80,5,0)</f>
        <v>15.050156291498967</v>
      </c>
      <c r="HZ19" s="748">
        <f t="shared" si="96"/>
        <v>15.050156291498967</v>
      </c>
      <c r="IA19" s="758" t="s">
        <v>109</v>
      </c>
      <c r="IB19" s="749">
        <v>1</v>
      </c>
      <c r="IC19" s="747">
        <f>VLOOKUP(IA19,'Ціни контур мережний'!$I$79:$M$80,5,0)</f>
        <v>15.050156291498967</v>
      </c>
      <c r="ID19" s="765">
        <f t="shared" si="97"/>
        <v>15.050156291498967</v>
      </c>
      <c r="IE19" s="655" t="s">
        <v>108</v>
      </c>
      <c r="IF19" s="720">
        <v>3</v>
      </c>
      <c r="IG19" s="747">
        <f>VLOOKUP(IE19,'Ціни контур мережний'!$I$67:$M$69,5,0)</f>
        <v>4.4537969640631703</v>
      </c>
      <c r="IH19" s="748">
        <f t="shared" si="98"/>
        <v>13.361390892189512</v>
      </c>
      <c r="II19" s="655" t="s">
        <v>106</v>
      </c>
      <c r="IJ19" s="720">
        <f>11+T19</f>
        <v>13</v>
      </c>
      <c r="IK19" s="747">
        <f>VLOOKUP(II19,'Ціни контур мережний'!$I$67:$M$69,5,0)</f>
        <v>4.4537969640631703</v>
      </c>
      <c r="IL19" s="748">
        <f t="shared" si="99"/>
        <v>57.899360532821213</v>
      </c>
      <c r="IM19" s="655" t="s">
        <v>1013</v>
      </c>
      <c r="IN19" s="720">
        <v>5</v>
      </c>
      <c r="IO19" s="747">
        <f>VLOOKUP(IM19,'Ціни контур мережний'!$I$64:$M$64,5,0)</f>
        <v>29.1312</v>
      </c>
      <c r="IP19" s="748">
        <f t="shared" si="100"/>
        <v>145.65600000000001</v>
      </c>
      <c r="IQ19" s="766" t="s">
        <v>1015</v>
      </c>
      <c r="IR19" s="749">
        <v>6</v>
      </c>
      <c r="IS19" s="747">
        <f>VLOOKUP(IQ19,'Ціни контур мережний'!$I$89:$M$89,5,0)</f>
        <v>79.523165325760516</v>
      </c>
      <c r="IT19" s="765">
        <f t="shared" si="101"/>
        <v>477.1389919545631</v>
      </c>
      <c r="IU19" s="778" t="s">
        <v>1016</v>
      </c>
      <c r="IV19" s="720">
        <f t="shared" si="117"/>
        <v>7</v>
      </c>
      <c r="IW19" s="747">
        <f>VLOOKUP(IU19,'Ціни контур мережний'!$I$88:$M$88,5,0)</f>
        <v>13.211568975967202</v>
      </c>
      <c r="IX19" s="768">
        <f t="shared" si="102"/>
        <v>92.480982831770419</v>
      </c>
      <c r="IY19" s="757" t="s">
        <v>383</v>
      </c>
      <c r="IZ19" s="720">
        <v>1</v>
      </c>
      <c r="JA19" s="747">
        <f>VLOOKUP(IY19,'Ціни контур мережний'!$I$87:$M$87,5,0)</f>
        <v>13.483972460007763</v>
      </c>
      <c r="JB19" s="748">
        <f t="shared" si="103"/>
        <v>13.483972460007763</v>
      </c>
      <c r="JC19" s="769">
        <f t="shared" si="31"/>
        <v>23</v>
      </c>
      <c r="JD19" s="770">
        <f t="shared" si="104"/>
        <v>6894.1006744870992</v>
      </c>
      <c r="JE19" s="771">
        <f>$JE$44/'Ціни контур мережний'!$G$26</f>
        <v>476.70609707098151</v>
      </c>
      <c r="JF19" s="771">
        <f>$JE$44/'Ціни контур мережний'!$G$26</f>
        <v>476.70609707098151</v>
      </c>
      <c r="JG19" s="770">
        <f t="shared" si="112"/>
        <v>661.80181284518619</v>
      </c>
      <c r="JH19" s="770">
        <f t="shared" si="113"/>
        <v>487.81784379022207</v>
      </c>
      <c r="JI19" s="770">
        <f>$JI$43/'Ціни контур мережний'!$G$26</f>
        <v>323.47913729816605</v>
      </c>
      <c r="JJ19" s="770">
        <f t="shared" si="105"/>
        <v>66.611999999999995</v>
      </c>
      <c r="JK19" s="772">
        <v>0</v>
      </c>
      <c r="JL19" s="772">
        <f t="shared" si="114"/>
        <v>62.86234247089866</v>
      </c>
      <c r="JM19" s="772">
        <v>0</v>
      </c>
      <c r="JN19" s="770">
        <v>0</v>
      </c>
      <c r="JO19" s="1029">
        <f t="shared" si="32"/>
        <v>661.50602035234749</v>
      </c>
      <c r="JP19" s="770">
        <f t="shared" si="33"/>
        <v>945.00860050335348</v>
      </c>
      <c r="JQ19" s="1030">
        <f t="shared" si="34"/>
        <v>162.56495632210863</v>
      </c>
      <c r="JR19" s="1023">
        <f t="shared" si="115"/>
        <v>300.63036461094771</v>
      </c>
      <c r="JS19" s="777">
        <f t="shared" si="106"/>
        <v>11519.795946822293</v>
      </c>
      <c r="JU19" s="1031">
        <f>[3]Расчеты!AX18/1.2</f>
        <v>4852.2601761721444</v>
      </c>
      <c r="JV19" s="1031">
        <f t="shared" si="107"/>
        <v>16372.056122994436</v>
      </c>
      <c r="JW19" s="611" t="e">
        <f>JV19*1.2*#REF!</f>
        <v>#REF!</v>
      </c>
      <c r="JX19" s="1031"/>
      <c r="JZ19" s="610" t="s">
        <v>686</v>
      </c>
    </row>
    <row r="20" spans="1:286" ht="12.6" customHeight="1">
      <c r="A20" s="610" t="s">
        <v>686</v>
      </c>
      <c r="B20" s="597">
        <v>24</v>
      </c>
      <c r="C20" s="1056" t="s">
        <v>779</v>
      </c>
      <c r="D20" s="906">
        <v>0.25864999999999999</v>
      </c>
      <c r="E20" s="907">
        <v>0.24199999999999999</v>
      </c>
      <c r="F20" s="908">
        <f t="shared" si="35"/>
        <v>10.806494212437833</v>
      </c>
      <c r="G20" s="909">
        <v>65</v>
      </c>
      <c r="H20" s="598">
        <f t="shared" si="36"/>
        <v>4.6204001429081805</v>
      </c>
      <c r="I20" s="599">
        <v>40</v>
      </c>
      <c r="J20" s="598">
        <f t="shared" si="37"/>
        <v>10.754677754677754</v>
      </c>
      <c r="K20" s="599">
        <v>65</v>
      </c>
      <c r="L20" s="598">
        <f t="shared" si="38"/>
        <v>6.1860940695296529</v>
      </c>
      <c r="M20" s="599">
        <v>40</v>
      </c>
      <c r="N20" s="598">
        <f t="shared" si="39"/>
        <v>4.9087221095334685</v>
      </c>
      <c r="O20" s="599">
        <v>40</v>
      </c>
      <c r="P20" s="598">
        <f t="shared" si="108"/>
        <v>1.4726166328600405</v>
      </c>
      <c r="Q20" s="599">
        <v>25</v>
      </c>
      <c r="R20" s="598">
        <f t="shared" si="40"/>
        <v>6.534232545691335</v>
      </c>
      <c r="S20" s="600">
        <f t="shared" si="41"/>
        <v>8.7484581312446057</v>
      </c>
      <c r="T20" s="910">
        <v>2</v>
      </c>
      <c r="U20" s="601">
        <f t="shared" si="42"/>
        <v>5.3773388773388771</v>
      </c>
      <c r="V20" s="601">
        <f t="shared" si="43"/>
        <v>7.6047055698087522</v>
      </c>
      <c r="W20" s="602">
        <v>50</v>
      </c>
      <c r="X20" s="1027">
        <v>5.0999999999999996</v>
      </c>
      <c r="Y20" s="601">
        <f t="shared" si="44"/>
        <v>1.5299999999999998</v>
      </c>
      <c r="Z20" s="992">
        <v>25</v>
      </c>
      <c r="AA20" s="1028">
        <v>9</v>
      </c>
      <c r="AB20" s="745">
        <f t="shared" si="0"/>
        <v>65</v>
      </c>
      <c r="AC20" s="746">
        <v>2</v>
      </c>
      <c r="AD20" s="747">
        <f>VLOOKUP(AB20,'Ціни контур мережний'!$Z$24:$AB$36,3,0)</f>
        <v>30.19184015363556</v>
      </c>
      <c r="AE20" s="748">
        <f t="shared" si="45"/>
        <v>60.383680307271121</v>
      </c>
      <c r="AF20" s="745">
        <f t="shared" si="1"/>
        <v>65</v>
      </c>
      <c r="AG20" s="749">
        <v>2</v>
      </c>
      <c r="AH20" s="747">
        <f>VLOOKUP(AF20,'Ціни контур мережний'!$Z$64:$AB$77,3,0)</f>
        <v>105.883234246566</v>
      </c>
      <c r="AI20" s="748">
        <f t="shared" si="46"/>
        <v>211.76646849313201</v>
      </c>
      <c r="AJ20" s="745">
        <f t="shared" si="2"/>
        <v>65</v>
      </c>
      <c r="AK20" s="746">
        <v>1</v>
      </c>
      <c r="AL20" s="747">
        <f>VLOOKUP(AJ20,'Ціни контур мережний'!$Z$5:$AB$17,3,0)</f>
        <v>39.731999999999999</v>
      </c>
      <c r="AM20" s="748">
        <f t="shared" si="47"/>
        <v>39.731999999999999</v>
      </c>
      <c r="AN20" s="750">
        <f t="shared" si="3"/>
        <v>40</v>
      </c>
      <c r="AO20" s="746">
        <v>3</v>
      </c>
      <c r="AP20" s="747">
        <f>VLOOKUP(AN20,'Ціни контур мережний'!$Z$43:$AB$55,3,0)</f>
        <v>18.42400964308333</v>
      </c>
      <c r="AQ20" s="768">
        <f t="shared" si="48"/>
        <v>55.272028929249991</v>
      </c>
      <c r="AR20" s="749">
        <f t="shared" si="4"/>
        <v>40</v>
      </c>
      <c r="AS20" s="749">
        <v>4</v>
      </c>
      <c r="AT20" s="747">
        <f>VLOOKUP(AR20,'Ціни контур мережний'!$Z$43:$AB$55,3,0)</f>
        <v>18.42400964308333</v>
      </c>
      <c r="AU20" s="1016">
        <f t="shared" si="49"/>
        <v>73.696038572333322</v>
      </c>
      <c r="AV20" s="751" t="str">
        <f t="shared" si="50"/>
        <v>AMV20</v>
      </c>
      <c r="AW20" s="751">
        <v>1</v>
      </c>
      <c r="AX20" s="747">
        <f>VLOOKUP(AV20,'Ціни контур мережний'!$I$53:$M$57,5,0)</f>
        <v>110.39869654932889</v>
      </c>
      <c r="AY20" s="748">
        <f t="shared" si="51"/>
        <v>110.39869654932889</v>
      </c>
      <c r="AZ20" s="752">
        <f t="array" ref="AZ20">MIN(IF('Ціни контур мережний'!$Y$83:$Y$92&gt;(R20*1.2),'Ціни контур мережний'!$Y$83:$Y$92))</f>
        <v>10</v>
      </c>
      <c r="BA20" s="746">
        <f>VLOOKUP(AZ20,'Ціни контур мережний'!$Y$83:$Z$92,2,0)</f>
        <v>25</v>
      </c>
      <c r="BB20" s="746">
        <v>1</v>
      </c>
      <c r="BC20" s="747">
        <f>VLOOKUP(AZ20,'Ціни контур мережний'!$Y$83:$AB$92,4,0)</f>
        <v>117.50505648967251</v>
      </c>
      <c r="BD20" s="748">
        <f t="shared" si="52"/>
        <v>117.50505648967251</v>
      </c>
      <c r="BE20" s="1099">
        <f t="array" ref="BE20">MIN(IF('[1]Ціни контур мережний'!$Y$104:$Y$114&gt;(R20*1.2),'[1]Ціни контур мережний'!$Y$104:$Y$114))</f>
        <v>8</v>
      </c>
      <c r="BF20" s="1101">
        <f>VLOOKUP(BE20,'[1]Ціни контур мережний'!$Y$104:$Z$114,2,0)</f>
        <v>25</v>
      </c>
      <c r="BG20" s="753">
        <v>1</v>
      </c>
      <c r="BH20" s="754">
        <f>VLOOKUP(BE20,'Ціни контур мережний'!$Y$104:$AB$114,4,0)</f>
        <v>278.09338672441618</v>
      </c>
      <c r="BI20" s="755">
        <f t="shared" si="53"/>
        <v>278.09338672441618</v>
      </c>
      <c r="BJ20" s="751" t="s">
        <v>67</v>
      </c>
      <c r="BK20" s="749">
        <v>1</v>
      </c>
      <c r="BL20" s="747">
        <f>VLOOKUP(BJ20,'Ціни контур мережний'!$I$53:$M$57,5,0)</f>
        <v>157.67238032974441</v>
      </c>
      <c r="BM20" s="748">
        <f t="shared" si="54"/>
        <v>157.67238032974441</v>
      </c>
      <c r="BN20" s="896">
        <f t="array" ref="BN20">MIN(IF('Ціни контур мережний'!$Y$83:$Y$93&gt;(S20*1.2),'Ціни контур мережний'!$Y$83:$Y$93))</f>
        <v>16</v>
      </c>
      <c r="BO20" s="896">
        <f>VLOOKUP(BN20,'Ціни контур мережний'!$Y$83:$Z$93,2,0)</f>
        <v>32</v>
      </c>
      <c r="BP20" s="895">
        <v>1</v>
      </c>
      <c r="BQ20" s="896">
        <f>VLOOKUP(BN20,'Ціни контур мережний'!$Y$83:$AB$93,4,0)</f>
        <v>130.5392363168325</v>
      </c>
      <c r="BR20" s="897">
        <f t="shared" si="55"/>
        <v>130.5392363168325</v>
      </c>
      <c r="BS20" s="896">
        <f t="array" ref="BS20">MIN(IF('Ціни контур мережний'!$Y$104:$Y$114&gt;(S20*1.2),'Ціни контур мережний'!$Y$104:$Y$114))</f>
        <v>12.5</v>
      </c>
      <c r="BT20" s="896">
        <f>VLOOKUP(BS20,'Ціни контур мережний'!$Y$104:$Z$114,2,0)</f>
        <v>32</v>
      </c>
      <c r="BU20" s="895">
        <v>1</v>
      </c>
      <c r="BV20" s="896">
        <f>VLOOKUP(BS20,'Ціни контур мережний'!$Y$104:$AB$114,4,0)</f>
        <v>435.76049604674444</v>
      </c>
      <c r="BW20" s="897">
        <f t="shared" si="56"/>
        <v>435.76049604674444</v>
      </c>
      <c r="BX20" s="751" t="s">
        <v>115</v>
      </c>
      <c r="BY20" s="751" t="s">
        <v>115</v>
      </c>
      <c r="BZ20" s="746" t="s">
        <v>1025</v>
      </c>
      <c r="CA20" s="756">
        <v>0</v>
      </c>
      <c r="CB20" s="747">
        <v>0</v>
      </c>
      <c r="CC20" s="748">
        <f t="shared" si="57"/>
        <v>0</v>
      </c>
      <c r="CD20" s="758">
        <f>VLOOKUP(CE20,'Ціни контур мережний'!$J$5:$L$12,3,0)</f>
        <v>40</v>
      </c>
      <c r="CE20" s="747">
        <f t="array" ref="CE20">MIN(IF('Ціни контур мережний'!$J$5:$J$12&gt;L20,'Ціни контур мережний'!$J$5:$J$12))</f>
        <v>10</v>
      </c>
      <c r="CF20" s="746" t="s">
        <v>130</v>
      </c>
      <c r="CG20" s="749">
        <v>1</v>
      </c>
      <c r="CH20" s="747">
        <f>VLOOKUP(CE20,'Ціни контур мережний'!$J$5:$N$12,5,0)</f>
        <v>375.23999999999995</v>
      </c>
      <c r="CI20" s="748">
        <f t="shared" si="58"/>
        <v>375.23999999999995</v>
      </c>
      <c r="CJ20" s="899" t="s">
        <v>1299</v>
      </c>
      <c r="CK20" s="899">
        <v>1</v>
      </c>
      <c r="CL20" s="898">
        <v>804</v>
      </c>
      <c r="CM20" s="901">
        <f t="shared" si="59"/>
        <v>804</v>
      </c>
      <c r="CN20" s="898" t="s">
        <v>1325</v>
      </c>
      <c r="CO20" s="899">
        <v>1</v>
      </c>
      <c r="CP20" s="900">
        <v>613</v>
      </c>
      <c r="CQ20" s="901">
        <f t="shared" si="60"/>
        <v>613</v>
      </c>
      <c r="CR20" s="751">
        <f t="shared" si="5"/>
        <v>65</v>
      </c>
      <c r="CS20" s="746">
        <v>4</v>
      </c>
      <c r="CT20" s="747">
        <f>VLOOKUP(CR20,'Ціни контур теплопостачання'!$Y$5:$AA$17,3,0)</f>
        <v>30.19184015363556</v>
      </c>
      <c r="CU20" s="748">
        <f t="shared" si="61"/>
        <v>120.76736061454224</v>
      </c>
      <c r="CV20" s="750">
        <f t="shared" si="6"/>
        <v>40</v>
      </c>
      <c r="CW20" s="746">
        <v>6</v>
      </c>
      <c r="CX20" s="747">
        <f>VLOOKUP(CV20,'Ціни контур теплопостачання'!$AO$20:$AQ$29,3,0)</f>
        <v>37.980000000000004</v>
      </c>
      <c r="CY20" s="748">
        <f t="shared" si="62"/>
        <v>227.88000000000002</v>
      </c>
      <c r="CZ20" s="750">
        <f t="shared" si="7"/>
        <v>25</v>
      </c>
      <c r="DA20" s="746">
        <v>3</v>
      </c>
      <c r="DB20" s="747">
        <f>VLOOKUP(CZ20,'Ціни контур теплопостачання'!$AO$20:$AQ$29,3,0)</f>
        <v>6.3070000000000004</v>
      </c>
      <c r="DC20" s="748">
        <f t="shared" si="63"/>
        <v>18.920999999999999</v>
      </c>
      <c r="DD20" s="757">
        <f t="shared" si="8"/>
        <v>50</v>
      </c>
      <c r="DE20" s="746">
        <f t="shared" si="9"/>
        <v>4</v>
      </c>
      <c r="DF20" s="747">
        <f>VLOOKUP(DD20,'Ціни контур теплопостачання'!$Y$5:$AA$17,3,0)</f>
        <v>23.2782130224622</v>
      </c>
      <c r="DG20" s="748">
        <f t="shared" si="64"/>
        <v>93.112852089848801</v>
      </c>
      <c r="DH20" s="745">
        <f t="shared" si="65"/>
        <v>32</v>
      </c>
      <c r="DI20" s="749">
        <f t="shared" si="66"/>
        <v>1</v>
      </c>
      <c r="DJ20" s="747">
        <f>VLOOKUP(DH20,'Ціни контур теплопостачання'!$Y$5:$AA$17,3,0)</f>
        <v>10.381</v>
      </c>
      <c r="DK20" s="765">
        <f t="shared" si="67"/>
        <v>10.381</v>
      </c>
      <c r="DL20" s="757">
        <f t="shared" si="10"/>
        <v>25</v>
      </c>
      <c r="DM20" s="746">
        <v>1</v>
      </c>
      <c r="DN20" s="747">
        <f>VLOOKUP(DL20,'Ціни контур мережний'!$Z$43:$AB$55,3,0)</f>
        <v>14.856886019572187</v>
      </c>
      <c r="DO20" s="748">
        <f t="shared" si="68"/>
        <v>14.856886019572187</v>
      </c>
      <c r="DP20" s="757">
        <f t="shared" si="11"/>
        <v>25</v>
      </c>
      <c r="DQ20" s="746">
        <v>2</v>
      </c>
      <c r="DR20" s="747">
        <f>VLOOKUP(DP20,'Ціни контур теплопостачання'!$Y$5:$AA$17,3,0)</f>
        <v>6.3070000000000004</v>
      </c>
      <c r="DS20" s="748">
        <f t="shared" si="69"/>
        <v>12.614000000000001</v>
      </c>
      <c r="DT20" s="745">
        <v>20</v>
      </c>
      <c r="DU20" s="749">
        <v>2</v>
      </c>
      <c r="DV20" s="747">
        <f>VLOOKUP(DT20,'Ціни контур теплопостачання'!$Y$5:$AA$17,3,0)</f>
        <v>3.577</v>
      </c>
      <c r="DW20" s="748">
        <f t="shared" si="70"/>
        <v>7.1539999999999999</v>
      </c>
      <c r="DX20" s="745">
        <v>15</v>
      </c>
      <c r="DY20" s="745">
        <v>10</v>
      </c>
      <c r="DZ20" s="758">
        <f>VLOOKUP(DX20,'Ціни контур теплопостачання'!$Y$5:$AA$17,3,0)</f>
        <v>2.464</v>
      </c>
      <c r="EA20" s="759">
        <f t="shared" si="71"/>
        <v>24.64</v>
      </c>
      <c r="EB20" s="745">
        <v>15</v>
      </c>
      <c r="EC20" s="745">
        <f t="shared" si="110"/>
        <v>38</v>
      </c>
      <c r="ED20" s="758">
        <f>VLOOKUP(EB20,'Ціни контур мережний'!$J$71:$M$71,4,0)</f>
        <v>3.3865201135922525</v>
      </c>
      <c r="EE20" s="759">
        <f t="shared" si="72"/>
        <v>128.68776431650559</v>
      </c>
      <c r="EF20" s="751">
        <f t="shared" si="12"/>
        <v>65</v>
      </c>
      <c r="EG20" s="746">
        <v>1</v>
      </c>
      <c r="EH20" s="747">
        <f>VLOOKUP(EF20,'Ціни контур теплопостачання'!$K$5:$M$17,3,0)</f>
        <v>39.731999999999999</v>
      </c>
      <c r="EI20" s="748">
        <f t="shared" si="73"/>
        <v>39.731999999999999</v>
      </c>
      <c r="EJ20" s="745">
        <f t="shared" si="13"/>
        <v>40</v>
      </c>
      <c r="EK20" s="749">
        <v>1</v>
      </c>
      <c r="EL20" s="747">
        <f>VLOOKUP(EJ20,'Ціни контур теплопостачання'!$K$5:$M$17,3,0)</f>
        <v>23.225999999999999</v>
      </c>
      <c r="EM20" s="748">
        <f t="shared" si="74"/>
        <v>23.225999999999999</v>
      </c>
      <c r="EN20" s="745">
        <f t="shared" si="14"/>
        <v>25</v>
      </c>
      <c r="EO20" s="745">
        <v>1</v>
      </c>
      <c r="EP20" s="758">
        <f>VLOOKUP(EN20,'Ціни контур теплопостачання'!$K$5:$M$17,3,0)</f>
        <v>4.78</v>
      </c>
      <c r="EQ20" s="759">
        <f t="shared" si="75"/>
        <v>4.78</v>
      </c>
      <c r="ER20" s="745">
        <f t="shared" si="15"/>
        <v>25</v>
      </c>
      <c r="ES20" s="745">
        <v>1</v>
      </c>
      <c r="ET20" s="758">
        <f>VLOOKUP(ER20,'Ціни контур теплопостачання'!$K$5:$M$17,3,0)</f>
        <v>4.78</v>
      </c>
      <c r="EU20" s="759">
        <f t="shared" si="76"/>
        <v>4.78</v>
      </c>
      <c r="EV20" s="751">
        <f t="shared" si="16"/>
        <v>65</v>
      </c>
      <c r="EW20" s="746">
        <v>2</v>
      </c>
      <c r="EX20" s="747">
        <f>VLOOKUP(EV20,'Ціни контур теплопостачання'!$Y$24:$AA$36,3,0)</f>
        <v>42.080999999999996</v>
      </c>
      <c r="EY20" s="748">
        <f t="shared" si="77"/>
        <v>84.161999999999992</v>
      </c>
      <c r="EZ20" s="745">
        <f t="shared" si="17"/>
        <v>40</v>
      </c>
      <c r="FA20" s="749">
        <v>1</v>
      </c>
      <c r="FB20" s="747">
        <f>VLOOKUP(EZ20,'Ціни контур теплопостачання'!$AO$38:$AQ$50,3,0)</f>
        <v>20.3645</v>
      </c>
      <c r="FC20" s="748">
        <f t="shared" si="78"/>
        <v>20.3645</v>
      </c>
      <c r="FD20" s="745">
        <f t="shared" si="18"/>
        <v>25</v>
      </c>
      <c r="FE20" s="745">
        <v>1</v>
      </c>
      <c r="FF20" s="758">
        <f>VLOOKUP(FD20,'Ціни контур теплопостачання'!$AO$38:$AQ$50,3,0)</f>
        <v>6.9659999999999993</v>
      </c>
      <c r="FG20" s="759">
        <f t="shared" si="79"/>
        <v>6.9659999999999993</v>
      </c>
      <c r="FH20" s="745">
        <f t="shared" si="19"/>
        <v>25</v>
      </c>
      <c r="FI20" s="745">
        <v>1</v>
      </c>
      <c r="FJ20" s="758">
        <f>VLOOKUP(FH20,'Ціни контур теплопостачання'!$Y$24:$AA$36,3,0)</f>
        <v>6.9659999999999993</v>
      </c>
      <c r="FK20" s="759">
        <f t="shared" si="80"/>
        <v>6.9659999999999993</v>
      </c>
      <c r="FL20" s="745">
        <f t="shared" si="20"/>
        <v>50</v>
      </c>
      <c r="FM20" s="745">
        <f t="shared" si="21"/>
        <v>4</v>
      </c>
      <c r="FN20" s="758">
        <f>VLOOKUP(FL20,'Ціни контур теплопостачання'!$Y$76:$AA$88,3,0)</f>
        <v>20.6</v>
      </c>
      <c r="FO20" s="759">
        <f t="shared" si="81"/>
        <v>82.4</v>
      </c>
      <c r="FP20" s="745">
        <f t="shared" si="22"/>
        <v>40</v>
      </c>
      <c r="FQ20" s="745">
        <v>1</v>
      </c>
      <c r="FR20" s="758">
        <f>VLOOKUP(FP20,'Ціни контур теплопостачання'!$Y$76:$AA$88,3,0)</f>
        <v>16.809999999999999</v>
      </c>
      <c r="FS20" s="759">
        <f t="shared" si="82"/>
        <v>16.809999999999999</v>
      </c>
      <c r="FT20" s="745">
        <f t="shared" si="23"/>
        <v>25</v>
      </c>
      <c r="FU20" s="745">
        <v>1</v>
      </c>
      <c r="FV20" s="758">
        <f>VLOOKUP(FT20,'Ціни контур теплопостачання'!$Y$76:$AA$88,3,0)</f>
        <v>11.45</v>
      </c>
      <c r="FW20" s="759">
        <f t="shared" si="83"/>
        <v>11.45</v>
      </c>
      <c r="FX20" s="758">
        <f t="shared" si="24"/>
        <v>25.832479555784033</v>
      </c>
      <c r="FY20" s="760">
        <v>25</v>
      </c>
      <c r="FZ20" s="719">
        <v>2</v>
      </c>
      <c r="GA20" s="747">
        <f>VLOOKUP(FY20,'Ціни контур теплопостачання'!$K$74:$M$79,3,0)</f>
        <v>22.22</v>
      </c>
      <c r="GB20" s="761">
        <f t="shared" si="84"/>
        <v>44.44</v>
      </c>
      <c r="GC20" s="762">
        <f t="shared" si="85"/>
        <v>10.754677754677754</v>
      </c>
      <c r="GD20" s="911">
        <v>9</v>
      </c>
      <c r="GE20" s="1017">
        <v>9</v>
      </c>
      <c r="GF20" s="1018" t="s">
        <v>119</v>
      </c>
      <c r="GG20" s="713">
        <v>2</v>
      </c>
      <c r="GH20" s="709">
        <f>VLOOKUP(GF20,'Ціни контур теплопостачання'!$C$89:$M$105,11,0)</f>
        <v>391.06799999999998</v>
      </c>
      <c r="GI20" s="764">
        <f t="shared" si="86"/>
        <v>782.13599999999997</v>
      </c>
      <c r="GJ20" s="912">
        <f t="shared" si="87"/>
        <v>1.4726166328600405</v>
      </c>
      <c r="GK20" s="911">
        <v>9</v>
      </c>
      <c r="GL20" s="1017">
        <v>9</v>
      </c>
      <c r="GM20" s="1019" t="s">
        <v>1097</v>
      </c>
      <c r="GN20" s="749">
        <v>1</v>
      </c>
      <c r="GO20" s="747">
        <f>VLOOKUP(GM20,'Ціни контур теплопостачання'!$C$89:$M$105,11,0)</f>
        <v>241.2</v>
      </c>
      <c r="GP20" s="904">
        <f t="shared" si="88"/>
        <v>241.2</v>
      </c>
      <c r="GQ20" s="758">
        <f t="shared" si="25"/>
        <v>539.13923482241216</v>
      </c>
      <c r="GR20" s="955">
        <v>500</v>
      </c>
      <c r="GS20" s="749">
        <f>VLOOKUP(GR20,'Ціни контур теплопостачання'!$J$43:$K$55,2,0)</f>
        <v>32</v>
      </c>
      <c r="GT20" s="1020">
        <v>1</v>
      </c>
      <c r="GU20" s="747">
        <f>VLOOKUP(GR20,'Ціни контур теплопостачання'!$J$43:$M$55,4,0)</f>
        <v>249.72</v>
      </c>
      <c r="GV20" s="748">
        <f t="shared" si="89"/>
        <v>249.72</v>
      </c>
      <c r="GW20" s="758">
        <f t="array" ref="GW20">MIN(IF('Ціни контур теплопостачання'!$AN$68:$AN$77&gt;(V20*1.2),'Ціни контур теплопостачання'!$AN$68:$AN$77))</f>
        <v>11.13</v>
      </c>
      <c r="GX20" s="749">
        <f>VLOOKUP(GW20,'Ціни контур теплопостачання'!$AN$68:$AO$77,2,0)</f>
        <v>32</v>
      </c>
      <c r="GY20" s="749">
        <f t="shared" si="26"/>
        <v>2</v>
      </c>
      <c r="GZ20" s="747">
        <f>VLOOKUP(GX20,'Ціни контур теплопостачання'!$AO$68:$AQ$77,3,0)</f>
        <v>37.183999999999997</v>
      </c>
      <c r="HA20" s="759">
        <f t="shared" si="90"/>
        <v>74.367999999999995</v>
      </c>
      <c r="HB20" s="751">
        <v>15</v>
      </c>
      <c r="HC20" s="746">
        <v>2</v>
      </c>
      <c r="HD20" s="747">
        <f>VLOOKUP(HB20,'Ціни контур мережний'!$J$73:$M$73,4,0)</f>
        <v>3.4649999999999999</v>
      </c>
      <c r="HE20" s="748">
        <f t="shared" si="91"/>
        <v>6.93</v>
      </c>
      <c r="HF20" s="749">
        <f t="shared" si="27"/>
        <v>25</v>
      </c>
      <c r="HG20" s="749">
        <v>1</v>
      </c>
      <c r="HH20" s="747">
        <f>VLOOKUP(HF20,'Ціни контур теплопостачання'!$Y$62:$AA$69,3,0)</f>
        <v>89.924040000000005</v>
      </c>
      <c r="HI20" s="765">
        <f t="shared" si="92"/>
        <v>89.924040000000005</v>
      </c>
      <c r="HJ20" s="750">
        <f>VLOOKUP(HK20,'Ціни контур теплопостачання'!$AN$6:$AO$13,2,0)</f>
        <v>32</v>
      </c>
      <c r="HK20" s="751">
        <f t="array" ref="HK20">MIN(IF('Ціни контур теплопостачання'!$AN$6:$AN$13&gt;N20,'Ціни контур теплопостачання'!$AN$6:$AN$13))</f>
        <v>6</v>
      </c>
      <c r="HL20" s="751">
        <v>1</v>
      </c>
      <c r="HM20" s="747">
        <f>VLOOKUP(HJ20,'Ціни контур теплопостачання'!$AO$6:$AQ$13,3,0)</f>
        <v>85.682340000000011</v>
      </c>
      <c r="HN20" s="748">
        <f t="shared" si="93"/>
        <v>85.682340000000011</v>
      </c>
      <c r="HO20" s="750">
        <f t="shared" si="28"/>
        <v>40</v>
      </c>
      <c r="HP20" s="746">
        <v>1</v>
      </c>
      <c r="HQ20" s="747">
        <f>VLOOKUP(HO20,'Ціни контур теплопостачання'!$AO$55:$AQ$63,3,0)</f>
        <v>193.55</v>
      </c>
      <c r="HR20" s="748">
        <f t="shared" ref="HR20:HR40" si="126">HP20*HQ20</f>
        <v>193.55</v>
      </c>
      <c r="HS20" s="745">
        <f t="shared" si="29"/>
        <v>25</v>
      </c>
      <c r="HT20" s="749">
        <v>1</v>
      </c>
      <c r="HU20" s="747">
        <f>VLOOKUP(HS20,'Ціни контур теплопостачання'!$K$62:$M$67,3,0)</f>
        <v>92.91</v>
      </c>
      <c r="HV20" s="765">
        <f t="shared" si="95"/>
        <v>92.91</v>
      </c>
      <c r="HW20" s="655" t="str">
        <f t="shared" ref="HW20" si="127">HW19</f>
        <v>0-150</v>
      </c>
      <c r="HX20" s="720">
        <v>1</v>
      </c>
      <c r="HY20" s="747">
        <f>VLOOKUP(HW20,'Ціни контур мережний'!$I$79:$M$80,5,0)</f>
        <v>15.050156291498967</v>
      </c>
      <c r="HZ20" s="748">
        <f t="shared" si="96"/>
        <v>15.050156291498967</v>
      </c>
      <c r="IA20" s="758" t="s">
        <v>109</v>
      </c>
      <c r="IB20" s="749">
        <v>5</v>
      </c>
      <c r="IC20" s="747">
        <f>VLOOKUP(IA20,'Ціни контур мережний'!$I$79:$M$80,5,0)</f>
        <v>15.050156291498967</v>
      </c>
      <c r="ID20" s="765">
        <f t="shared" si="97"/>
        <v>75.250781457494838</v>
      </c>
      <c r="IE20" s="655" t="s">
        <v>108</v>
      </c>
      <c r="IF20" s="720">
        <v>5</v>
      </c>
      <c r="IG20" s="747">
        <f>VLOOKUP(IE20,'Ціни контур мережний'!$I$67:$M$69,5,0)</f>
        <v>4.4537969640631703</v>
      </c>
      <c r="IH20" s="748">
        <f t="shared" si="98"/>
        <v>22.26898482031585</v>
      </c>
      <c r="II20" s="655" t="s">
        <v>106</v>
      </c>
      <c r="IJ20" s="720">
        <f>11+T20</f>
        <v>13</v>
      </c>
      <c r="IK20" s="747">
        <f>VLOOKUP(II20,'Ціни контур мережний'!$I$67:$M$69,5,0)</f>
        <v>4.4537969640631703</v>
      </c>
      <c r="IL20" s="748">
        <f t="shared" si="99"/>
        <v>57.899360532821213</v>
      </c>
      <c r="IM20" s="655" t="s">
        <v>1013</v>
      </c>
      <c r="IN20" s="720">
        <v>5</v>
      </c>
      <c r="IO20" s="747">
        <f>VLOOKUP(IM20,'Ціни контур мережний'!$I$64:$M$64,5,0)</f>
        <v>29.1312</v>
      </c>
      <c r="IP20" s="748">
        <f t="shared" si="100"/>
        <v>145.65600000000001</v>
      </c>
      <c r="IQ20" s="766" t="s">
        <v>1015</v>
      </c>
      <c r="IR20" s="749">
        <v>6</v>
      </c>
      <c r="IS20" s="747">
        <f>VLOOKUP(IQ20,'Ціни контур мережний'!$I$89:$M$89,5,0)</f>
        <v>79.523165325760516</v>
      </c>
      <c r="IT20" s="765">
        <f t="shared" si="101"/>
        <v>477.1389919545631</v>
      </c>
      <c r="IU20" s="917" t="s">
        <v>1016</v>
      </c>
      <c r="IV20" s="720">
        <f t="shared" si="117"/>
        <v>7</v>
      </c>
      <c r="IW20" s="747">
        <f>VLOOKUP(IU20,'Ціни контур мережний'!$I$88:$M$88,5,0)</f>
        <v>13.211568975967202</v>
      </c>
      <c r="IX20" s="768">
        <f t="shared" si="102"/>
        <v>92.480982831770419</v>
      </c>
      <c r="IY20" s="917" t="s">
        <v>383</v>
      </c>
      <c r="IZ20" s="720">
        <v>1</v>
      </c>
      <c r="JA20" s="747">
        <f>VLOOKUP(IY20,'Ціни контур мережний'!$I$87:$M$87,5,0)</f>
        <v>13.483972460007763</v>
      </c>
      <c r="JB20" s="748">
        <f t="shared" si="103"/>
        <v>13.483972460007763</v>
      </c>
      <c r="JC20" s="769">
        <f t="shared" si="31"/>
        <v>24</v>
      </c>
      <c r="JD20" s="770">
        <f>AE20+AI20+AM20+AQ20+AU20+AY20+BD20+BI20+BM20+BR20+BW20+CC20+CI20+CM20+CQ20+CU20+CY20+DC20+DG20+DK20+DO20+DS20+DW20+EA20+EE20+EI20+EM20+EQ20+EU20+EY20+FC20+FG20+FK20+FO20+FS20+FW20+GB20+GI20+GP20+GV20+HA20+HE20+HI20+HN20+HR20+HV20+HZ20+ID20+IH20+IL20+IP20+IT20+IX20+JB20</f>
        <v>7183.8004421476653</v>
      </c>
      <c r="JE20" s="771">
        <f>$JE$44/'Ціни контур мережний'!$G$26</f>
        <v>476.70609707098151</v>
      </c>
      <c r="JF20" s="771">
        <f>$JE$44/'Ціни контур мережний'!$G$26</f>
        <v>476.70609707098151</v>
      </c>
      <c r="JG20" s="770">
        <f t="shared" si="112"/>
        <v>661.80181284518619</v>
      </c>
      <c r="JH20" s="770">
        <f t="shared" si="113"/>
        <v>487.81784379022207</v>
      </c>
      <c r="JI20" s="770">
        <f>$JI$43/'Ціни контур мережний'!$G$26</f>
        <v>323.47913729816605</v>
      </c>
      <c r="JJ20" s="770">
        <f t="shared" si="105"/>
        <v>66.611999999999995</v>
      </c>
      <c r="JK20" s="772">
        <v>0</v>
      </c>
      <c r="JL20" s="772">
        <f t="shared" si="114"/>
        <v>62.86234247089866</v>
      </c>
      <c r="JM20" s="772">
        <v>0</v>
      </c>
      <c r="JN20" s="770">
        <v>0</v>
      </c>
      <c r="JO20" s="1029">
        <f t="shared" si="32"/>
        <v>681.78500408858713</v>
      </c>
      <c r="JP20" s="770">
        <f t="shared" si="33"/>
        <v>973.97857726941004</v>
      </c>
      <c r="JQ20" s="1030">
        <f t="shared" si="34"/>
        <v>167.54851203273211</v>
      </c>
      <c r="JR20" s="1023">
        <f t="shared" si="115"/>
        <v>300.63036461094771</v>
      </c>
      <c r="JS20" s="777">
        <f t="shared" si="106"/>
        <v>11863.728230695779</v>
      </c>
      <c r="JU20" s="611">
        <f>[3]Расчеты!AX19/1.2</f>
        <v>4852.2601761721444</v>
      </c>
      <c r="JV20" s="611">
        <f t="shared" si="107"/>
        <v>16715.988406867924</v>
      </c>
      <c r="JW20" s="611" t="e">
        <f>JV20*1.2*#REF!</f>
        <v>#REF!</v>
      </c>
      <c r="JX20" s="611"/>
    </row>
    <row r="21" spans="1:286" ht="12.6" customHeight="1">
      <c r="A21" s="610" t="s">
        <v>686</v>
      </c>
      <c r="B21" s="597">
        <v>25</v>
      </c>
      <c r="C21" s="1056" t="s">
        <v>780</v>
      </c>
      <c r="D21" s="906">
        <v>0.24038000000000001</v>
      </c>
      <c r="E21" s="907">
        <v>0.24199999999999999</v>
      </c>
      <c r="F21" s="908">
        <f t="shared" si="35"/>
        <v>10.480127652952305</v>
      </c>
      <c r="G21" s="909">
        <v>65</v>
      </c>
      <c r="H21" s="598">
        <f t="shared" si="36"/>
        <v>4.2940335834226513</v>
      </c>
      <c r="I21" s="599">
        <v>40</v>
      </c>
      <c r="J21" s="598">
        <f t="shared" si="37"/>
        <v>9.9950103950103966</v>
      </c>
      <c r="K21" s="599">
        <v>65</v>
      </c>
      <c r="L21" s="598">
        <f t="shared" si="38"/>
        <v>6.1860940695296529</v>
      </c>
      <c r="M21" s="599">
        <v>40</v>
      </c>
      <c r="N21" s="598">
        <f t="shared" si="39"/>
        <v>4.9087221095334685</v>
      </c>
      <c r="O21" s="599">
        <v>40</v>
      </c>
      <c r="P21" s="598">
        <f t="shared" si="108"/>
        <v>1.4726166328600405</v>
      </c>
      <c r="Q21" s="599">
        <v>25</v>
      </c>
      <c r="R21" s="598">
        <f t="shared" si="40"/>
        <v>6.0726805309618541</v>
      </c>
      <c r="S21" s="600">
        <f t="shared" si="41"/>
        <v>8.7484581312446057</v>
      </c>
      <c r="T21" s="910">
        <v>2</v>
      </c>
      <c r="U21" s="601">
        <f t="shared" si="42"/>
        <v>4.9975051975051983</v>
      </c>
      <c r="V21" s="601">
        <f t="shared" si="43"/>
        <v>7.0675396283418843</v>
      </c>
      <c r="W21" s="602">
        <v>40</v>
      </c>
      <c r="X21" s="1027">
        <v>4.7</v>
      </c>
      <c r="Y21" s="601">
        <f t="shared" si="44"/>
        <v>1.41</v>
      </c>
      <c r="Z21" s="992">
        <v>20</v>
      </c>
      <c r="AA21" s="1028">
        <v>9</v>
      </c>
      <c r="AB21" s="745">
        <f t="shared" si="0"/>
        <v>65</v>
      </c>
      <c r="AC21" s="746">
        <v>2</v>
      </c>
      <c r="AD21" s="747">
        <f>VLOOKUP(AB21,'Ціни контур мережний'!$Z$24:$AB$36,3,0)</f>
        <v>30.19184015363556</v>
      </c>
      <c r="AE21" s="748">
        <f t="shared" si="45"/>
        <v>60.383680307271121</v>
      </c>
      <c r="AF21" s="745">
        <f t="shared" si="1"/>
        <v>65</v>
      </c>
      <c r="AG21" s="749">
        <v>2</v>
      </c>
      <c r="AH21" s="747">
        <f>VLOOKUP(AF21,'Ціни контур мережний'!$Z$64:$AB$77,3,0)</f>
        <v>105.883234246566</v>
      </c>
      <c r="AI21" s="748">
        <f t="shared" si="46"/>
        <v>211.76646849313201</v>
      </c>
      <c r="AJ21" s="745">
        <f t="shared" si="2"/>
        <v>65</v>
      </c>
      <c r="AK21" s="746">
        <v>0</v>
      </c>
      <c r="AL21" s="747">
        <f>VLOOKUP(AJ21,'Ціни контур мережний'!$Z$5:$AB$17,3,0)</f>
        <v>39.731999999999999</v>
      </c>
      <c r="AM21" s="748">
        <f t="shared" si="47"/>
        <v>0</v>
      </c>
      <c r="AN21" s="750">
        <f t="shared" si="3"/>
        <v>40</v>
      </c>
      <c r="AO21" s="746">
        <v>1</v>
      </c>
      <c r="AP21" s="747">
        <f>VLOOKUP(AN21,'Ціни контур мережний'!$Z$43:$AB$55,3,0)</f>
        <v>18.42400964308333</v>
      </c>
      <c r="AQ21" s="768">
        <f t="shared" si="48"/>
        <v>18.42400964308333</v>
      </c>
      <c r="AR21" s="749">
        <f t="shared" si="4"/>
        <v>40</v>
      </c>
      <c r="AS21" s="749">
        <v>4</v>
      </c>
      <c r="AT21" s="747">
        <f>VLOOKUP(AR21,'Ціни контур мережний'!$Z$43:$AB$55,3,0)</f>
        <v>18.42400964308333</v>
      </c>
      <c r="AU21" s="1016">
        <f t="shared" si="49"/>
        <v>73.696038572333322</v>
      </c>
      <c r="AV21" s="751" t="str">
        <f t="shared" si="50"/>
        <v>AMV20</v>
      </c>
      <c r="AW21" s="751">
        <v>1</v>
      </c>
      <c r="AX21" s="747">
        <f>VLOOKUP(AV21,'Ціни контур мережний'!$I$53:$M$57,5,0)</f>
        <v>110.39869654932889</v>
      </c>
      <c r="AY21" s="748">
        <f t="shared" si="51"/>
        <v>110.39869654932889</v>
      </c>
      <c r="AZ21" s="752">
        <f t="array" ref="AZ21">MIN(IF('Ціни контур мережний'!$Y$83:$Y$92&gt;(R21*1.2),'Ціни контур мережний'!$Y$83:$Y$92))</f>
        <v>10</v>
      </c>
      <c r="BA21" s="746">
        <f>VLOOKUP(AZ21,'Ціни контур мережний'!$Y$83:$Z$92,2,0)</f>
        <v>25</v>
      </c>
      <c r="BB21" s="746">
        <v>1</v>
      </c>
      <c r="BC21" s="747">
        <f>VLOOKUP(AZ21,'Ціни контур мережний'!$Y$83:$AB$92,4,0)</f>
        <v>117.50505648967251</v>
      </c>
      <c r="BD21" s="748">
        <f t="shared" si="52"/>
        <v>117.50505648967251</v>
      </c>
      <c r="BE21" s="1099">
        <f t="array" ref="BE21">MIN(IF('[1]Ціни контур мережний'!$Y$104:$Y$114&gt;(R21*1.2),'[1]Ціни контур мережний'!$Y$104:$Y$114))</f>
        <v>8</v>
      </c>
      <c r="BF21" s="1101">
        <f>VLOOKUP(BE21,'[1]Ціни контур мережний'!$Y$104:$Z$114,2,0)</f>
        <v>25</v>
      </c>
      <c r="BG21" s="753">
        <v>1</v>
      </c>
      <c r="BH21" s="754">
        <f>VLOOKUP(BE21,'Ціни контур мережний'!$Y$104:$AB$114,4,0)</f>
        <v>278.09338672441618</v>
      </c>
      <c r="BI21" s="755">
        <f t="shared" si="53"/>
        <v>278.09338672441618</v>
      </c>
      <c r="BJ21" s="751" t="s">
        <v>67</v>
      </c>
      <c r="BK21" s="749">
        <v>1</v>
      </c>
      <c r="BL21" s="747">
        <f>VLOOKUP(BJ21,'Ціни контур мережний'!$I$53:$M$57,5,0)</f>
        <v>157.67238032974441</v>
      </c>
      <c r="BM21" s="748">
        <f t="shared" si="54"/>
        <v>157.67238032974441</v>
      </c>
      <c r="BN21" s="896">
        <f t="array" ref="BN21">MIN(IF('Ціни контур мережний'!$Y$83:$Y$93&gt;(S21*1.2),'Ціни контур мережний'!$Y$83:$Y$93))</f>
        <v>16</v>
      </c>
      <c r="BO21" s="896">
        <f>VLOOKUP(BN21,'Ціни контур мережний'!$Y$83:$Z$93,2,0)</f>
        <v>32</v>
      </c>
      <c r="BP21" s="895">
        <v>1</v>
      </c>
      <c r="BQ21" s="896">
        <f>VLOOKUP(BN21,'Ціни контур мережний'!$Y$83:$AB$93,4,0)</f>
        <v>130.5392363168325</v>
      </c>
      <c r="BR21" s="897">
        <f t="shared" si="55"/>
        <v>130.5392363168325</v>
      </c>
      <c r="BS21" s="896">
        <f t="array" ref="BS21">MIN(IF('Ціни контур мережний'!$Y$104:$Y$114&gt;(S21*1.2),'Ціни контур мережний'!$Y$104:$Y$114))</f>
        <v>12.5</v>
      </c>
      <c r="BT21" s="896">
        <f>VLOOKUP(BS21,'Ціни контур мережний'!$Y$104:$Z$114,2,0)</f>
        <v>32</v>
      </c>
      <c r="BU21" s="895">
        <v>1</v>
      </c>
      <c r="BV21" s="896">
        <f>VLOOKUP(BS21,'Ціни контур мережний'!$Y$104:$AB$114,4,0)</f>
        <v>435.76049604674444</v>
      </c>
      <c r="BW21" s="897">
        <f t="shared" si="56"/>
        <v>435.76049604674444</v>
      </c>
      <c r="BX21" s="751" t="s">
        <v>115</v>
      </c>
      <c r="BY21" s="751" t="s">
        <v>115</v>
      </c>
      <c r="BZ21" s="746" t="s">
        <v>1025</v>
      </c>
      <c r="CA21" s="756">
        <v>0</v>
      </c>
      <c r="CB21" s="747">
        <v>0</v>
      </c>
      <c r="CC21" s="748">
        <f t="shared" si="57"/>
        <v>0</v>
      </c>
      <c r="CD21" s="758">
        <f>VLOOKUP(CE21,'Ціни контур мережний'!$J$5:$L$12,3,0)</f>
        <v>40</v>
      </c>
      <c r="CE21" s="747">
        <f t="array" ref="CE21">MIN(IF('Ціни контур мережний'!$J$5:$J$12&gt;L21,'Ціни контур мережний'!$J$5:$J$12))</f>
        <v>10</v>
      </c>
      <c r="CF21" s="746" t="s">
        <v>130</v>
      </c>
      <c r="CG21" s="749">
        <v>1</v>
      </c>
      <c r="CH21" s="747">
        <f>VLOOKUP(CE21,'Ціни контур мережний'!$J$5:$N$12,5,0)</f>
        <v>375.23999999999995</v>
      </c>
      <c r="CI21" s="748">
        <f t="shared" si="58"/>
        <v>375.23999999999995</v>
      </c>
      <c r="CJ21" s="899" t="s">
        <v>1300</v>
      </c>
      <c r="CK21" s="899">
        <v>1</v>
      </c>
      <c r="CL21" s="898">
        <v>772</v>
      </c>
      <c r="CM21" s="901">
        <f t="shared" si="59"/>
        <v>772</v>
      </c>
      <c r="CN21" s="898" t="s">
        <v>1325</v>
      </c>
      <c r="CO21" s="899">
        <v>1</v>
      </c>
      <c r="CP21" s="900">
        <v>613</v>
      </c>
      <c r="CQ21" s="901">
        <f t="shared" si="60"/>
        <v>613</v>
      </c>
      <c r="CR21" s="751">
        <f t="shared" si="5"/>
        <v>65</v>
      </c>
      <c r="CS21" s="746">
        <v>4</v>
      </c>
      <c r="CT21" s="747">
        <f>VLOOKUP(CR21,'Ціни контур теплопостачання'!$Y$5:$AA$17,3,0)</f>
        <v>30.19184015363556</v>
      </c>
      <c r="CU21" s="748">
        <f t="shared" si="61"/>
        <v>120.76736061454224</v>
      </c>
      <c r="CV21" s="750">
        <f t="shared" si="6"/>
        <v>40</v>
      </c>
      <c r="CW21" s="746">
        <v>6</v>
      </c>
      <c r="CX21" s="747">
        <f>VLOOKUP(CV21,'Ціни контур теплопостачання'!$AO$20:$AQ$29,3,0)</f>
        <v>37.980000000000004</v>
      </c>
      <c r="CY21" s="748">
        <f t="shared" si="62"/>
        <v>227.88000000000002</v>
      </c>
      <c r="CZ21" s="750">
        <f t="shared" si="7"/>
        <v>25</v>
      </c>
      <c r="DA21" s="746">
        <v>3</v>
      </c>
      <c r="DB21" s="747">
        <f>VLOOKUP(CZ21,'Ціни контур теплопостачання'!$AO$20:$AQ$29,3,0)</f>
        <v>6.3070000000000004</v>
      </c>
      <c r="DC21" s="748">
        <f t="shared" si="63"/>
        <v>18.920999999999999</v>
      </c>
      <c r="DD21" s="757">
        <f t="shared" si="8"/>
        <v>40</v>
      </c>
      <c r="DE21" s="746">
        <f t="shared" si="9"/>
        <v>4</v>
      </c>
      <c r="DF21" s="747">
        <f>VLOOKUP(DD21,'Ціни контур теплопостачання'!$Y$5:$AA$17,3,0)</f>
        <v>18.42400964308333</v>
      </c>
      <c r="DG21" s="748">
        <f t="shared" si="64"/>
        <v>73.696038572333322</v>
      </c>
      <c r="DH21" s="745">
        <f t="shared" si="65"/>
        <v>32</v>
      </c>
      <c r="DI21" s="749">
        <f t="shared" si="66"/>
        <v>1</v>
      </c>
      <c r="DJ21" s="747">
        <f>VLOOKUP(DH21,'Ціни контур теплопостачання'!$Y$5:$AA$17,3,0)</f>
        <v>10.381</v>
      </c>
      <c r="DK21" s="765">
        <f t="shared" si="67"/>
        <v>10.381</v>
      </c>
      <c r="DL21" s="757">
        <f t="shared" si="10"/>
        <v>20</v>
      </c>
      <c r="DM21" s="746">
        <v>1</v>
      </c>
      <c r="DN21" s="747">
        <f>VLOOKUP(DL21,'Ціни контур мережний'!$Z$43:$AB$55,3,0)</f>
        <v>14.562690256808384</v>
      </c>
      <c r="DO21" s="748">
        <f t="shared" si="68"/>
        <v>14.562690256808384</v>
      </c>
      <c r="DP21" s="757">
        <f t="shared" si="11"/>
        <v>20</v>
      </c>
      <c r="DQ21" s="746">
        <v>2</v>
      </c>
      <c r="DR21" s="747">
        <f>VLOOKUP(DP21,'Ціни контур теплопостачання'!$Y$5:$AA$17,3,0)</f>
        <v>3.577</v>
      </c>
      <c r="DS21" s="748">
        <f t="shared" si="69"/>
        <v>7.1539999999999999</v>
      </c>
      <c r="DT21" s="745">
        <v>20</v>
      </c>
      <c r="DU21" s="749">
        <v>2</v>
      </c>
      <c r="DV21" s="747">
        <f>VLOOKUP(DT21,'Ціни контур теплопостачання'!$Y$5:$AA$17,3,0)</f>
        <v>3.577</v>
      </c>
      <c r="DW21" s="748">
        <f t="shared" si="70"/>
        <v>7.1539999999999999</v>
      </c>
      <c r="DX21" s="745">
        <v>15</v>
      </c>
      <c r="DY21" s="745">
        <v>10</v>
      </c>
      <c r="DZ21" s="758">
        <f>VLOOKUP(DX21,'Ціни контур теплопостачання'!$Y$5:$AA$17,3,0)</f>
        <v>2.464</v>
      </c>
      <c r="EA21" s="759">
        <f t="shared" si="71"/>
        <v>24.64</v>
      </c>
      <c r="EB21" s="745">
        <v>15</v>
      </c>
      <c r="EC21" s="745">
        <f t="shared" si="110"/>
        <v>38</v>
      </c>
      <c r="ED21" s="758">
        <f>VLOOKUP(EB21,'Ціни контур мережний'!$J$71:$M$71,4,0)</f>
        <v>3.3865201135922525</v>
      </c>
      <c r="EE21" s="759">
        <f t="shared" si="72"/>
        <v>128.68776431650559</v>
      </c>
      <c r="EF21" s="751">
        <f t="shared" si="12"/>
        <v>65</v>
      </c>
      <c r="EG21" s="746">
        <v>1</v>
      </c>
      <c r="EH21" s="747">
        <f>VLOOKUP(EF21,'Ціни контур теплопостачання'!$K$5:$M$17,3,0)</f>
        <v>39.731999999999999</v>
      </c>
      <c r="EI21" s="748">
        <f t="shared" si="73"/>
        <v>39.731999999999999</v>
      </c>
      <c r="EJ21" s="745">
        <f t="shared" si="13"/>
        <v>40</v>
      </c>
      <c r="EK21" s="749">
        <v>1</v>
      </c>
      <c r="EL21" s="747">
        <f>VLOOKUP(EJ21,'Ціни контур теплопостачання'!$K$5:$M$17,3,0)</f>
        <v>23.225999999999999</v>
      </c>
      <c r="EM21" s="748">
        <f t="shared" si="74"/>
        <v>23.225999999999999</v>
      </c>
      <c r="EN21" s="745">
        <f t="shared" si="14"/>
        <v>25</v>
      </c>
      <c r="EO21" s="745">
        <v>1</v>
      </c>
      <c r="EP21" s="758">
        <f>VLOOKUP(EN21,'Ціни контур теплопостачання'!$K$5:$M$17,3,0)</f>
        <v>4.78</v>
      </c>
      <c r="EQ21" s="759">
        <f t="shared" si="75"/>
        <v>4.78</v>
      </c>
      <c r="ER21" s="745">
        <f t="shared" si="15"/>
        <v>20</v>
      </c>
      <c r="ES21" s="745">
        <v>1</v>
      </c>
      <c r="ET21" s="758">
        <f>VLOOKUP(ER21,'Ціни контур теплопостачання'!$K$5:$M$17,3,0)</f>
        <v>3.48</v>
      </c>
      <c r="EU21" s="759">
        <f t="shared" si="76"/>
        <v>3.48</v>
      </c>
      <c r="EV21" s="751">
        <f t="shared" si="16"/>
        <v>65</v>
      </c>
      <c r="EW21" s="746">
        <v>2</v>
      </c>
      <c r="EX21" s="747">
        <f>VLOOKUP(EV21,'Ціни контур теплопостачання'!$Y$24:$AA$36,3,0)</f>
        <v>42.080999999999996</v>
      </c>
      <c r="EY21" s="748">
        <f t="shared" si="77"/>
        <v>84.161999999999992</v>
      </c>
      <c r="EZ21" s="745">
        <f t="shared" si="17"/>
        <v>40</v>
      </c>
      <c r="FA21" s="749">
        <v>1</v>
      </c>
      <c r="FB21" s="747">
        <f>VLOOKUP(EZ21,'Ціни контур теплопостачання'!$AO$38:$AQ$50,3,0)</f>
        <v>20.3645</v>
      </c>
      <c r="FC21" s="748">
        <f t="shared" si="78"/>
        <v>20.3645</v>
      </c>
      <c r="FD21" s="745">
        <f t="shared" si="18"/>
        <v>25</v>
      </c>
      <c r="FE21" s="745">
        <v>1</v>
      </c>
      <c r="FF21" s="758">
        <f>VLOOKUP(FD21,'Ціни контур теплопостачання'!$AO$38:$AQ$50,3,0)</f>
        <v>6.9659999999999993</v>
      </c>
      <c r="FG21" s="759">
        <f t="shared" si="79"/>
        <v>6.9659999999999993</v>
      </c>
      <c r="FH21" s="745">
        <f t="shared" si="19"/>
        <v>20</v>
      </c>
      <c r="FI21" s="745">
        <v>1</v>
      </c>
      <c r="FJ21" s="758">
        <f>VLOOKUP(FH21,'Ціни контур теплопостачання'!$Y$24:$AA$36,3,0)</f>
        <v>4.5359999999999996</v>
      </c>
      <c r="FK21" s="759">
        <f t="shared" si="80"/>
        <v>4.5359999999999996</v>
      </c>
      <c r="FL21" s="745">
        <f t="shared" si="20"/>
        <v>40</v>
      </c>
      <c r="FM21" s="745">
        <f t="shared" si="21"/>
        <v>4</v>
      </c>
      <c r="FN21" s="758">
        <f>VLOOKUP(FL21,'Ціни контур теплопостачання'!$Y$76:$AA$88,3,0)</f>
        <v>16.809999999999999</v>
      </c>
      <c r="FO21" s="759">
        <f t="shared" si="81"/>
        <v>67.239999999999995</v>
      </c>
      <c r="FP21" s="745">
        <f t="shared" si="22"/>
        <v>40</v>
      </c>
      <c r="FQ21" s="745">
        <v>1</v>
      </c>
      <c r="FR21" s="758">
        <f>VLOOKUP(FP21,'Ціни контур теплопостачання'!$Y$76:$AA$88,3,0)</f>
        <v>16.809999999999999</v>
      </c>
      <c r="FS21" s="759">
        <f t="shared" si="82"/>
        <v>16.809999999999999</v>
      </c>
      <c r="FT21" s="745">
        <f t="shared" si="23"/>
        <v>25</v>
      </c>
      <c r="FU21" s="745">
        <v>1</v>
      </c>
      <c r="FV21" s="758">
        <f>VLOOKUP(FT21,'Ціни контур теплопостачання'!$Y$76:$AA$88,3,0)</f>
        <v>11.45</v>
      </c>
      <c r="FW21" s="759">
        <f t="shared" si="83"/>
        <v>11.45</v>
      </c>
      <c r="FX21" s="758">
        <f t="shared" si="24"/>
        <v>24.903421451680089</v>
      </c>
      <c r="FY21" s="760">
        <v>25</v>
      </c>
      <c r="FZ21" s="719">
        <v>2</v>
      </c>
      <c r="GA21" s="747">
        <f>VLOOKUP(FY21,'Ціни контур теплопостачання'!$K$74:$M$79,3,0)</f>
        <v>22.22</v>
      </c>
      <c r="GB21" s="761">
        <f t="shared" si="84"/>
        <v>44.44</v>
      </c>
      <c r="GC21" s="762">
        <f t="shared" si="85"/>
        <v>9.9950103950103966</v>
      </c>
      <c r="GD21" s="911">
        <v>9</v>
      </c>
      <c r="GE21" s="1017">
        <v>9</v>
      </c>
      <c r="GF21" s="1018" t="s">
        <v>119</v>
      </c>
      <c r="GG21" s="713">
        <v>2</v>
      </c>
      <c r="GH21" s="709">
        <f>VLOOKUP(GF21,'Ціни контур теплопостачання'!$C$89:$M$105,11,0)</f>
        <v>391.06799999999998</v>
      </c>
      <c r="GI21" s="764">
        <f t="shared" si="86"/>
        <v>782.13599999999997</v>
      </c>
      <c r="GJ21" s="912">
        <f t="shared" si="87"/>
        <v>1.4726166328600405</v>
      </c>
      <c r="GK21" s="911">
        <v>9</v>
      </c>
      <c r="GL21" s="1017">
        <v>9</v>
      </c>
      <c r="GM21" s="1019" t="s">
        <v>1097</v>
      </c>
      <c r="GN21" s="749">
        <v>1</v>
      </c>
      <c r="GO21" s="747">
        <f>VLOOKUP(GM21,'Ціни контур теплопостачання'!$C$89:$M$105,11,0)</f>
        <v>241.2</v>
      </c>
      <c r="GP21" s="904">
        <f t="shared" si="88"/>
        <v>241.2</v>
      </c>
      <c r="GQ21" s="758">
        <f t="shared" si="25"/>
        <v>496.8538046402623</v>
      </c>
      <c r="GR21" s="955">
        <v>500</v>
      </c>
      <c r="GS21" s="749">
        <f>VLOOKUP(GR21,'Ціни контур теплопостачання'!$J$43:$K$55,2,0)</f>
        <v>32</v>
      </c>
      <c r="GT21" s="1020">
        <v>1</v>
      </c>
      <c r="GU21" s="747">
        <f>VLOOKUP(GR21,'Ціни контур теплопостачання'!$J$43:$M$55,4,0)</f>
        <v>249.72</v>
      </c>
      <c r="GV21" s="748">
        <f t="shared" si="89"/>
        <v>249.72</v>
      </c>
      <c r="GW21" s="758">
        <f t="array" ref="GW21">MIN(IF('Ціни контур теплопостачання'!$AN$68:$AN$77&gt;(V21*1.2),'Ціни контур теплопостачання'!$AN$68:$AN$77))</f>
        <v>11.13</v>
      </c>
      <c r="GX21" s="749">
        <f>VLOOKUP(GW21,'Ціни контур теплопостачання'!$AN$68:$AO$77,2,0)</f>
        <v>32</v>
      </c>
      <c r="GY21" s="749">
        <f t="shared" si="26"/>
        <v>2</v>
      </c>
      <c r="GZ21" s="747">
        <f>VLOOKUP(GX21,'Ціни контур теплопостачання'!$AO$68:$AQ$77,3,0)</f>
        <v>37.183999999999997</v>
      </c>
      <c r="HA21" s="759">
        <f t="shared" si="90"/>
        <v>74.367999999999995</v>
      </c>
      <c r="HB21" s="751">
        <v>15</v>
      </c>
      <c r="HC21" s="746">
        <v>2</v>
      </c>
      <c r="HD21" s="747">
        <f>VLOOKUP(HB21,'Ціни контур мережний'!$J$73:$M$73,4,0)</f>
        <v>3.4649999999999999</v>
      </c>
      <c r="HE21" s="748">
        <f t="shared" si="91"/>
        <v>6.93</v>
      </c>
      <c r="HF21" s="749">
        <f t="shared" si="27"/>
        <v>20</v>
      </c>
      <c r="HG21" s="749">
        <v>1</v>
      </c>
      <c r="HH21" s="747">
        <f>VLOOKUP(HF21,'Ціни контур теплопостачання'!$Y$62:$AA$69,3,0)</f>
        <v>23.753519999999998</v>
      </c>
      <c r="HI21" s="765">
        <f t="shared" si="92"/>
        <v>23.753519999999998</v>
      </c>
      <c r="HJ21" s="750">
        <f>VLOOKUP(HK21,'Ціни контур теплопостачання'!$AN$6:$AO$13,2,0)</f>
        <v>32</v>
      </c>
      <c r="HK21" s="751">
        <f t="array" ref="HK21">MIN(IF('Ціни контур теплопостачання'!$AN$6:$AN$13&gt;N21,'Ціни контур теплопостачання'!$AN$6:$AN$13))</f>
        <v>6</v>
      </c>
      <c r="HL21" s="751">
        <v>1</v>
      </c>
      <c r="HM21" s="747">
        <f>VLOOKUP(HJ21,'Ціни контур теплопостачання'!$AO$6:$AQ$13,3,0)</f>
        <v>85.682340000000011</v>
      </c>
      <c r="HN21" s="748">
        <f t="shared" si="93"/>
        <v>85.682340000000011</v>
      </c>
      <c r="HO21" s="750">
        <f t="shared" si="28"/>
        <v>40</v>
      </c>
      <c r="HP21" s="746">
        <v>1</v>
      </c>
      <c r="HQ21" s="747">
        <f>VLOOKUP(HO21,'Ціни контур теплопостачання'!$AO$55:$AQ$63,3,0)</f>
        <v>193.55</v>
      </c>
      <c r="HR21" s="748">
        <f t="shared" si="126"/>
        <v>193.55</v>
      </c>
      <c r="HS21" s="745">
        <f t="shared" si="29"/>
        <v>20</v>
      </c>
      <c r="HT21" s="749">
        <v>1</v>
      </c>
      <c r="HU21" s="747">
        <f>VLOOKUP(HS21,'Ціни контур теплопостачання'!$K$62:$M$67,3,0)</f>
        <v>91.13</v>
      </c>
      <c r="HV21" s="765">
        <f t="shared" si="95"/>
        <v>91.13</v>
      </c>
      <c r="HW21" s="655" t="str">
        <f t="shared" ref="HW21" si="128">HW20</f>
        <v>0-150</v>
      </c>
      <c r="HX21" s="720">
        <v>1</v>
      </c>
      <c r="HY21" s="747">
        <f>VLOOKUP(HW21,'Ціни контур мережний'!$I$79:$M$80,5,0)</f>
        <v>15.050156291498967</v>
      </c>
      <c r="HZ21" s="748">
        <f t="shared" si="96"/>
        <v>15.050156291498967</v>
      </c>
      <c r="IA21" s="758" t="s">
        <v>109</v>
      </c>
      <c r="IB21" s="749">
        <v>1</v>
      </c>
      <c r="IC21" s="747">
        <f>VLOOKUP(IA21,'Ціни контур мережний'!$I$79:$M$80,5,0)</f>
        <v>15.050156291498967</v>
      </c>
      <c r="ID21" s="765">
        <f t="shared" si="97"/>
        <v>15.050156291498967</v>
      </c>
      <c r="IE21" s="655" t="s">
        <v>108</v>
      </c>
      <c r="IF21" s="720">
        <v>3</v>
      </c>
      <c r="IG21" s="747">
        <f>VLOOKUP(IE21,'Ціни контур мережний'!$I$67:$M$69,5,0)</f>
        <v>4.4537969640631703</v>
      </c>
      <c r="IH21" s="748">
        <f t="shared" si="98"/>
        <v>13.361390892189512</v>
      </c>
      <c r="II21" s="655" t="s">
        <v>106</v>
      </c>
      <c r="IJ21" s="720">
        <f>11+T21</f>
        <v>13</v>
      </c>
      <c r="IK21" s="747">
        <f>VLOOKUP(II21,'Ціни контур мережний'!$I$67:$M$69,5,0)</f>
        <v>4.4537969640631703</v>
      </c>
      <c r="IL21" s="748">
        <f t="shared" si="99"/>
        <v>57.899360532821213</v>
      </c>
      <c r="IM21" s="655" t="s">
        <v>1013</v>
      </c>
      <c r="IN21" s="720">
        <v>5</v>
      </c>
      <c r="IO21" s="747">
        <f>VLOOKUP(IM21,'Ціни контур мережний'!$I$64:$M$64,5,0)</f>
        <v>29.1312</v>
      </c>
      <c r="IP21" s="748">
        <f t="shared" si="100"/>
        <v>145.65600000000001</v>
      </c>
      <c r="IQ21" s="766" t="s">
        <v>1015</v>
      </c>
      <c r="IR21" s="749">
        <v>6</v>
      </c>
      <c r="IS21" s="747">
        <f>VLOOKUP(IQ21,'Ціни контур мережний'!$I$89:$M$89,5,0)</f>
        <v>79.523165325760516</v>
      </c>
      <c r="IT21" s="765">
        <f t="shared" si="101"/>
        <v>477.1389919545631</v>
      </c>
      <c r="IU21" s="778" t="s">
        <v>1016</v>
      </c>
      <c r="IV21" s="720">
        <f t="shared" si="117"/>
        <v>7</v>
      </c>
      <c r="IW21" s="747">
        <f>VLOOKUP(IU21,'Ціни контур мережний'!$I$88:$M$88,5,0)</f>
        <v>13.211568975967202</v>
      </c>
      <c r="IX21" s="768">
        <f t="shared" si="102"/>
        <v>92.480982831770419</v>
      </c>
      <c r="IY21" s="757" t="s">
        <v>383</v>
      </c>
      <c r="IZ21" s="720">
        <v>1</v>
      </c>
      <c r="JA21" s="747">
        <f>VLOOKUP(IY21,'Ціни контур мережний'!$I$87:$M$87,5,0)</f>
        <v>13.483972460007763</v>
      </c>
      <c r="JB21" s="748">
        <f t="shared" si="103"/>
        <v>13.483972460007763</v>
      </c>
      <c r="JC21" s="769">
        <f t="shared" si="31"/>
        <v>25</v>
      </c>
      <c r="JD21" s="770">
        <f t="shared" si="104"/>
        <v>6894.1006744870992</v>
      </c>
      <c r="JE21" s="771">
        <f>$JE$44/'Ціни контур мережний'!$G$26</f>
        <v>476.70609707098151</v>
      </c>
      <c r="JF21" s="771">
        <f>$JE$44/'Ціни контур мережний'!$G$26</f>
        <v>476.70609707098151</v>
      </c>
      <c r="JG21" s="770">
        <f t="shared" si="112"/>
        <v>661.80181284518619</v>
      </c>
      <c r="JH21" s="770">
        <f t="shared" si="113"/>
        <v>487.81784379022207</v>
      </c>
      <c r="JI21" s="770">
        <f>$JI$43/'Ціни контур мережний'!$G$26</f>
        <v>323.47913729816605</v>
      </c>
      <c r="JJ21" s="770">
        <f t="shared" si="105"/>
        <v>66.611999999999995</v>
      </c>
      <c r="JK21" s="772">
        <v>0</v>
      </c>
      <c r="JL21" s="772">
        <f t="shared" si="114"/>
        <v>62.86234247089866</v>
      </c>
      <c r="JM21" s="772">
        <v>0</v>
      </c>
      <c r="JN21" s="770">
        <v>0</v>
      </c>
      <c r="JO21" s="1029">
        <f t="shared" si="32"/>
        <v>661.50602035234749</v>
      </c>
      <c r="JP21" s="770">
        <f t="shared" si="33"/>
        <v>945.00860050335348</v>
      </c>
      <c r="JQ21" s="1030">
        <f t="shared" si="34"/>
        <v>162.56495632210863</v>
      </c>
      <c r="JR21" s="1023">
        <f t="shared" si="115"/>
        <v>300.63036461094771</v>
      </c>
      <c r="JS21" s="777">
        <f t="shared" si="106"/>
        <v>11519.795946822293</v>
      </c>
      <c r="JU21" s="611">
        <f>[3]Расчеты!AX20/1.2</f>
        <v>4126.6472368538725</v>
      </c>
      <c r="JV21" s="611">
        <f t="shared" si="107"/>
        <v>15646.443183676165</v>
      </c>
      <c r="JW21" s="611" t="e">
        <f>JV21*1.2*#REF!</f>
        <v>#REF!</v>
      </c>
      <c r="JX21" s="611"/>
    </row>
    <row r="22" spans="1:286" ht="12.6" customHeight="1">
      <c r="A22" s="610" t="s">
        <v>686</v>
      </c>
      <c r="B22" s="597">
        <v>26</v>
      </c>
      <c r="C22" s="1056" t="s">
        <v>781</v>
      </c>
      <c r="D22" s="906">
        <v>0.29770000000000002</v>
      </c>
      <c r="E22" s="907">
        <v>0.22</v>
      </c>
      <c r="F22" s="908">
        <f t="shared" si="35"/>
        <v>10.941692585213389</v>
      </c>
      <c r="G22" s="909">
        <v>65</v>
      </c>
      <c r="H22" s="598">
        <f t="shared" si="36"/>
        <v>5.3179707038227946</v>
      </c>
      <c r="I22" s="599">
        <v>40</v>
      </c>
      <c r="J22" s="598">
        <f t="shared" si="37"/>
        <v>12.378378378378381</v>
      </c>
      <c r="K22" s="599">
        <v>80</v>
      </c>
      <c r="L22" s="598">
        <f t="shared" si="38"/>
        <v>5.6237218813905931</v>
      </c>
      <c r="M22" s="599">
        <v>40</v>
      </c>
      <c r="N22" s="598">
        <f t="shared" si="39"/>
        <v>4.4624746450304258</v>
      </c>
      <c r="O22" s="599">
        <v>40</v>
      </c>
      <c r="P22" s="598">
        <f t="shared" si="108"/>
        <v>1.3387423935091276</v>
      </c>
      <c r="Q22" s="599">
        <v>25</v>
      </c>
      <c r="R22" s="598">
        <f t="shared" si="40"/>
        <v>7.5207462936489895</v>
      </c>
      <c r="S22" s="600">
        <f t="shared" si="41"/>
        <v>7.9531437556769147</v>
      </c>
      <c r="T22" s="910">
        <v>1</v>
      </c>
      <c r="U22" s="601">
        <f t="shared" si="42"/>
        <v>12.378378378378381</v>
      </c>
      <c r="V22" s="601">
        <f t="shared" si="43"/>
        <v>17.505670582888584</v>
      </c>
      <c r="W22" s="602">
        <v>80</v>
      </c>
      <c r="X22" s="1027">
        <v>5.8</v>
      </c>
      <c r="Y22" s="601">
        <f t="shared" si="44"/>
        <v>1.74</v>
      </c>
      <c r="Z22" s="992">
        <v>25</v>
      </c>
      <c r="AA22" s="1028">
        <v>9</v>
      </c>
      <c r="AB22" s="745">
        <f t="shared" si="0"/>
        <v>65</v>
      </c>
      <c r="AC22" s="746">
        <v>2</v>
      </c>
      <c r="AD22" s="747">
        <f>VLOOKUP(AB22,'Ціни контур мережний'!$Z$24:$AB$36,3,0)</f>
        <v>30.19184015363556</v>
      </c>
      <c r="AE22" s="748">
        <f t="shared" si="45"/>
        <v>60.383680307271121</v>
      </c>
      <c r="AF22" s="745">
        <f t="shared" si="1"/>
        <v>65</v>
      </c>
      <c r="AG22" s="749">
        <v>2</v>
      </c>
      <c r="AH22" s="747">
        <f>VLOOKUP(AF22,'Ціни контур мережний'!$Z$64:$AB$77,3,0)</f>
        <v>105.883234246566</v>
      </c>
      <c r="AI22" s="748">
        <f t="shared" si="46"/>
        <v>211.76646849313201</v>
      </c>
      <c r="AJ22" s="745">
        <f t="shared" si="2"/>
        <v>65</v>
      </c>
      <c r="AK22" s="746">
        <v>0</v>
      </c>
      <c r="AL22" s="747">
        <f>VLOOKUP(AJ22,'Ціни контур мережний'!$Z$5:$AB$17,3,0)</f>
        <v>39.731999999999999</v>
      </c>
      <c r="AM22" s="748">
        <f t="shared" si="47"/>
        <v>0</v>
      </c>
      <c r="AN22" s="750">
        <f t="shared" si="3"/>
        <v>40</v>
      </c>
      <c r="AO22" s="746">
        <v>1</v>
      </c>
      <c r="AP22" s="747">
        <f>VLOOKUP(AN22,'Ціни контур мережний'!$Z$43:$AB$55,3,0)</f>
        <v>18.42400964308333</v>
      </c>
      <c r="AQ22" s="768">
        <f t="shared" si="48"/>
        <v>18.42400964308333</v>
      </c>
      <c r="AR22" s="749">
        <f t="shared" si="4"/>
        <v>40</v>
      </c>
      <c r="AS22" s="749">
        <v>4</v>
      </c>
      <c r="AT22" s="747">
        <f>VLOOKUP(AR22,'Ціни контур мережний'!$Z$43:$AB$55,3,0)</f>
        <v>18.42400964308333</v>
      </c>
      <c r="AU22" s="1016">
        <f t="shared" si="49"/>
        <v>73.696038572333322</v>
      </c>
      <c r="AV22" s="751" t="str">
        <f t="shared" si="50"/>
        <v>AMV20</v>
      </c>
      <c r="AW22" s="751">
        <v>1</v>
      </c>
      <c r="AX22" s="747">
        <f>VLOOKUP(AV22,'Ціни контур мережний'!$I$53:$M$57,5,0)</f>
        <v>110.39869654932889</v>
      </c>
      <c r="AY22" s="748">
        <f t="shared" si="51"/>
        <v>110.39869654932889</v>
      </c>
      <c r="AZ22" s="752">
        <f t="array" ref="AZ22">MIN(IF('Ціни контур мережний'!$Y$83:$Y$92&gt;(R22*1.2),'Ціни контур мережний'!$Y$83:$Y$92))</f>
        <v>10</v>
      </c>
      <c r="BA22" s="746">
        <f>VLOOKUP(AZ22,'Ціни контур мережний'!$Y$83:$Z$92,2,0)</f>
        <v>25</v>
      </c>
      <c r="BB22" s="746">
        <v>1</v>
      </c>
      <c r="BC22" s="747">
        <f>VLOOKUP(AZ22,'Ціни контур мережний'!$Y$83:$AB$92,4,0)</f>
        <v>117.50505648967251</v>
      </c>
      <c r="BD22" s="748">
        <f t="shared" si="52"/>
        <v>117.50505648967251</v>
      </c>
      <c r="BE22" s="1099">
        <f t="array" ref="BE22">MIN(IF('[1]Ціни контур мережний'!$Y$104:$Y$114&gt;(R22*1.2),'[1]Ціни контур мережний'!$Y$104:$Y$114))</f>
        <v>12.5</v>
      </c>
      <c r="BF22" s="1101">
        <f>VLOOKUP(BE22,'[1]Ціни контур мережний'!$Y$104:$Z$114,2,0)</f>
        <v>32</v>
      </c>
      <c r="BG22" s="753">
        <v>1</v>
      </c>
      <c r="BH22" s="754">
        <f>VLOOKUP(BE22,'Ціни контур мережний'!$Y$104:$AB$114,4,0)</f>
        <v>435.76049604674444</v>
      </c>
      <c r="BI22" s="755">
        <f t="shared" si="53"/>
        <v>435.76049604674444</v>
      </c>
      <c r="BJ22" s="751" t="s">
        <v>67</v>
      </c>
      <c r="BK22" s="749">
        <v>1</v>
      </c>
      <c r="BL22" s="747">
        <f>VLOOKUP(BJ22,'Ціни контур мережний'!$I$53:$M$57,5,0)</f>
        <v>157.67238032974441</v>
      </c>
      <c r="BM22" s="748">
        <f t="shared" si="54"/>
        <v>157.67238032974441</v>
      </c>
      <c r="BN22" s="896">
        <f t="array" ref="BN22">MIN(IF('Ціни контур мережний'!$Y$83:$Y$93&gt;(S22*1.2),'Ціни контур мережний'!$Y$83:$Y$93))</f>
        <v>10</v>
      </c>
      <c r="BO22" s="896">
        <f>VLOOKUP(BN22,'Ціни контур мережний'!$Y$83:$Z$93,2,0)</f>
        <v>25</v>
      </c>
      <c r="BP22" s="895">
        <v>1</v>
      </c>
      <c r="BQ22" s="896">
        <f>VLOOKUP(BN22,'Ціни контур мережний'!$Y$83:$AB$93,4,0)</f>
        <v>117.50505648967251</v>
      </c>
      <c r="BR22" s="897">
        <f t="shared" si="55"/>
        <v>117.50505648967251</v>
      </c>
      <c r="BS22" s="896">
        <f t="array" ref="BS22">MIN(IF('Ціни контур мережний'!$Y$104:$Y$114&gt;(S22*1.2),'Ціни контур мережний'!$Y$104:$Y$114))</f>
        <v>12.5</v>
      </c>
      <c r="BT22" s="896">
        <f>VLOOKUP(BS22,'Ціни контур мережний'!$Y$104:$Z$114,2,0)</f>
        <v>32</v>
      </c>
      <c r="BU22" s="895">
        <v>1</v>
      </c>
      <c r="BV22" s="896">
        <f>VLOOKUP(BS22,'Ціни контур мережний'!$Y$104:$AB$114,4,0)</f>
        <v>435.76049604674444</v>
      </c>
      <c r="BW22" s="897">
        <f t="shared" si="56"/>
        <v>435.76049604674444</v>
      </c>
      <c r="BX22" s="751" t="s">
        <v>115</v>
      </c>
      <c r="BY22" s="751" t="s">
        <v>115</v>
      </c>
      <c r="BZ22" s="746" t="s">
        <v>1025</v>
      </c>
      <c r="CA22" s="756">
        <v>0</v>
      </c>
      <c r="CB22" s="747">
        <v>0</v>
      </c>
      <c r="CC22" s="748">
        <f t="shared" si="57"/>
        <v>0</v>
      </c>
      <c r="CD22" s="758">
        <f>VLOOKUP(CE22,'Ціни контур мережний'!$J$5:$L$12,3,0)</f>
        <v>25</v>
      </c>
      <c r="CE22" s="747">
        <f t="array" ref="CE22">MIN(IF('Ціни контур мережний'!$J$5:$J$12&gt;L22,'Ціни контур мережний'!$J$5:$J$12))</f>
        <v>6</v>
      </c>
      <c r="CF22" s="746" t="s">
        <v>130</v>
      </c>
      <c r="CG22" s="749">
        <v>1</v>
      </c>
      <c r="CH22" s="747">
        <f>VLOOKUP(CE22,'Ціни контур мережний'!$J$5:$N$12,5,0)</f>
        <v>341.25599999999997</v>
      </c>
      <c r="CI22" s="748">
        <f t="shared" si="58"/>
        <v>341.25599999999997</v>
      </c>
      <c r="CJ22" s="899" t="s">
        <v>1301</v>
      </c>
      <c r="CK22" s="899">
        <v>1</v>
      </c>
      <c r="CL22" s="898">
        <v>899</v>
      </c>
      <c r="CM22" s="901">
        <f t="shared" si="59"/>
        <v>899</v>
      </c>
      <c r="CN22" s="898" t="s">
        <v>1326</v>
      </c>
      <c r="CO22" s="899">
        <v>1</v>
      </c>
      <c r="CP22" s="900">
        <v>582</v>
      </c>
      <c r="CQ22" s="901">
        <f t="shared" si="60"/>
        <v>582</v>
      </c>
      <c r="CR22" s="751">
        <f t="shared" si="5"/>
        <v>80</v>
      </c>
      <c r="CS22" s="746">
        <v>4</v>
      </c>
      <c r="CT22" s="747">
        <f>VLOOKUP(CR22,'Ціни контур теплопостачання'!$Y$5:$AA$17,3,0)</f>
        <v>37.693832104112609</v>
      </c>
      <c r="CU22" s="748">
        <f t="shared" si="61"/>
        <v>150.77532841645044</v>
      </c>
      <c r="CV22" s="750">
        <f t="shared" si="6"/>
        <v>40</v>
      </c>
      <c r="CW22" s="746">
        <v>6</v>
      </c>
      <c r="CX22" s="747">
        <f>VLOOKUP(CV22,'Ціни контур теплопостачання'!$AO$20:$AQ$29,3,0)</f>
        <v>37.980000000000004</v>
      </c>
      <c r="CY22" s="748">
        <f t="shared" si="62"/>
        <v>227.88000000000002</v>
      </c>
      <c r="CZ22" s="750">
        <f t="shared" si="7"/>
        <v>25</v>
      </c>
      <c r="DA22" s="746">
        <v>3</v>
      </c>
      <c r="DB22" s="747">
        <f>VLOOKUP(CZ22,'Ціни контур теплопостачання'!$AO$20:$AQ$29,3,0)</f>
        <v>6.3070000000000004</v>
      </c>
      <c r="DC22" s="748">
        <f t="shared" si="63"/>
        <v>18.920999999999999</v>
      </c>
      <c r="DD22" s="757">
        <f t="shared" si="8"/>
        <v>80</v>
      </c>
      <c r="DE22" s="746">
        <f t="shared" si="9"/>
        <v>2</v>
      </c>
      <c r="DF22" s="747">
        <f>VLOOKUP(DD22,'Ціни контур теплопостачання'!$Y$5:$AA$17,3,0)</f>
        <v>37.693832104112609</v>
      </c>
      <c r="DG22" s="748">
        <f t="shared" si="64"/>
        <v>75.387664208225218</v>
      </c>
      <c r="DH22" s="745">
        <f t="shared" si="65"/>
        <v>32</v>
      </c>
      <c r="DI22" s="749">
        <f t="shared" si="66"/>
        <v>1</v>
      </c>
      <c r="DJ22" s="747">
        <f>VLOOKUP(DH22,'Ціни контур теплопостачання'!$Y$5:$AA$17,3,0)</f>
        <v>10.381</v>
      </c>
      <c r="DK22" s="765">
        <f t="shared" si="67"/>
        <v>10.381</v>
      </c>
      <c r="DL22" s="757">
        <f t="shared" si="10"/>
        <v>25</v>
      </c>
      <c r="DM22" s="746">
        <v>1</v>
      </c>
      <c r="DN22" s="747">
        <f>VLOOKUP(DL22,'Ціни контур мережний'!$Z$43:$AB$55,3,0)</f>
        <v>14.856886019572187</v>
      </c>
      <c r="DO22" s="748">
        <f t="shared" si="68"/>
        <v>14.856886019572187</v>
      </c>
      <c r="DP22" s="757">
        <f t="shared" si="11"/>
        <v>25</v>
      </c>
      <c r="DQ22" s="746">
        <v>2</v>
      </c>
      <c r="DR22" s="747">
        <f>VLOOKUP(DP22,'Ціни контур теплопостачання'!$Y$5:$AA$17,3,0)</f>
        <v>6.3070000000000004</v>
      </c>
      <c r="DS22" s="748">
        <f t="shared" si="69"/>
        <v>12.614000000000001</v>
      </c>
      <c r="DT22" s="745">
        <v>20</v>
      </c>
      <c r="DU22" s="749">
        <v>2</v>
      </c>
      <c r="DV22" s="747">
        <f>VLOOKUP(DT22,'Ціни контур теплопостачання'!$Y$5:$AA$17,3,0)</f>
        <v>3.577</v>
      </c>
      <c r="DW22" s="748">
        <f t="shared" si="70"/>
        <v>7.1539999999999999</v>
      </c>
      <c r="DX22" s="745">
        <v>15</v>
      </c>
      <c r="DY22" s="745">
        <v>10</v>
      </c>
      <c r="DZ22" s="758">
        <f>VLOOKUP(DX22,'Ціни контур теплопостачання'!$Y$5:$AA$17,3,0)</f>
        <v>2.464</v>
      </c>
      <c r="EA22" s="759">
        <f t="shared" si="71"/>
        <v>24.64</v>
      </c>
      <c r="EB22" s="745">
        <v>15</v>
      </c>
      <c r="EC22" s="745">
        <f>36</f>
        <v>36</v>
      </c>
      <c r="ED22" s="758">
        <f>VLOOKUP(EB22,'Ціни контур мережний'!$J$71:$M$71,4,0)</f>
        <v>3.3865201135922525</v>
      </c>
      <c r="EE22" s="759">
        <f t="shared" si="72"/>
        <v>121.91472408932108</v>
      </c>
      <c r="EF22" s="751">
        <f t="shared" si="12"/>
        <v>80</v>
      </c>
      <c r="EG22" s="746">
        <v>1</v>
      </c>
      <c r="EH22" s="747">
        <f>VLOOKUP(EF22,'Ціни контур теплопостачання'!$K$5:$M$17,3,0)</f>
        <v>50.12</v>
      </c>
      <c r="EI22" s="748">
        <f t="shared" si="73"/>
        <v>50.12</v>
      </c>
      <c r="EJ22" s="745">
        <f t="shared" si="13"/>
        <v>40</v>
      </c>
      <c r="EK22" s="749">
        <v>1</v>
      </c>
      <c r="EL22" s="747">
        <f>VLOOKUP(EJ22,'Ціни контур теплопостачання'!$K$5:$M$17,3,0)</f>
        <v>23.225999999999999</v>
      </c>
      <c r="EM22" s="748">
        <f t="shared" si="74"/>
        <v>23.225999999999999</v>
      </c>
      <c r="EN22" s="745">
        <f t="shared" si="14"/>
        <v>25</v>
      </c>
      <c r="EO22" s="745">
        <v>1</v>
      </c>
      <c r="EP22" s="758">
        <f>VLOOKUP(EN22,'Ціни контур теплопостачання'!$K$5:$M$17,3,0)</f>
        <v>4.78</v>
      </c>
      <c r="EQ22" s="759">
        <f t="shared" si="75"/>
        <v>4.78</v>
      </c>
      <c r="ER22" s="745">
        <f t="shared" si="15"/>
        <v>25</v>
      </c>
      <c r="ES22" s="745">
        <v>1</v>
      </c>
      <c r="ET22" s="758">
        <f>VLOOKUP(ER22,'Ціни контур теплопостачання'!$K$5:$M$17,3,0)</f>
        <v>4.78</v>
      </c>
      <c r="EU22" s="759">
        <f t="shared" si="76"/>
        <v>4.78</v>
      </c>
      <c r="EV22" s="751">
        <f t="shared" si="16"/>
        <v>80</v>
      </c>
      <c r="EW22" s="746">
        <v>2</v>
      </c>
      <c r="EX22" s="747">
        <f>VLOOKUP(EV22,'Ціни контур теплопостачання'!$Y$24:$AA$36,3,0)</f>
        <v>60.079499999999996</v>
      </c>
      <c r="EY22" s="748">
        <f t="shared" si="77"/>
        <v>120.15899999999999</v>
      </c>
      <c r="EZ22" s="745">
        <f t="shared" si="17"/>
        <v>40</v>
      </c>
      <c r="FA22" s="749">
        <v>1</v>
      </c>
      <c r="FB22" s="747">
        <f>VLOOKUP(EZ22,'Ціни контур теплопостачання'!$AO$38:$AQ$50,3,0)</f>
        <v>20.3645</v>
      </c>
      <c r="FC22" s="748">
        <f t="shared" si="78"/>
        <v>20.3645</v>
      </c>
      <c r="FD22" s="745">
        <f t="shared" si="18"/>
        <v>25</v>
      </c>
      <c r="FE22" s="745">
        <v>1</v>
      </c>
      <c r="FF22" s="758">
        <f>VLOOKUP(FD22,'Ціни контур теплопостачання'!$AO$38:$AQ$50,3,0)</f>
        <v>6.9659999999999993</v>
      </c>
      <c r="FG22" s="759">
        <f t="shared" si="79"/>
        <v>6.9659999999999993</v>
      </c>
      <c r="FH22" s="745">
        <f t="shared" si="19"/>
        <v>25</v>
      </c>
      <c r="FI22" s="745">
        <v>1</v>
      </c>
      <c r="FJ22" s="758">
        <f>VLOOKUP(FH22,'Ціни контур теплопостачання'!$Y$24:$AA$36,3,0)</f>
        <v>6.9659999999999993</v>
      </c>
      <c r="FK22" s="759">
        <f t="shared" si="80"/>
        <v>6.9659999999999993</v>
      </c>
      <c r="FL22" s="745">
        <f t="shared" si="20"/>
        <v>80</v>
      </c>
      <c r="FM22" s="745">
        <f t="shared" si="21"/>
        <v>2</v>
      </c>
      <c r="FN22" s="758">
        <f>VLOOKUP(FL22,'Ціни контур теплопостачання'!$Y$76:$AA$88,3,0)</f>
        <v>31.42</v>
      </c>
      <c r="FO22" s="759">
        <f t="shared" si="81"/>
        <v>62.84</v>
      </c>
      <c r="FP22" s="745">
        <f t="shared" si="22"/>
        <v>40</v>
      </c>
      <c r="FQ22" s="745">
        <v>1</v>
      </c>
      <c r="FR22" s="758">
        <f>VLOOKUP(FP22,'Ціни контур теплопостачання'!$Y$76:$AA$88,3,0)</f>
        <v>16.809999999999999</v>
      </c>
      <c r="FS22" s="759">
        <f t="shared" si="82"/>
        <v>16.809999999999999</v>
      </c>
      <c r="FT22" s="745">
        <f t="shared" si="23"/>
        <v>25</v>
      </c>
      <c r="FU22" s="745">
        <v>1</v>
      </c>
      <c r="FV22" s="758">
        <f>VLOOKUP(FT22,'Ціни контур теплопостачання'!$Y$76:$AA$88,3,0)</f>
        <v>11.45</v>
      </c>
      <c r="FW22" s="759">
        <f t="shared" si="83"/>
        <v>11.45</v>
      </c>
      <c r="FX22" s="758">
        <f t="shared" si="24"/>
        <v>27.71400368045007</v>
      </c>
      <c r="FY22" s="760">
        <v>32</v>
      </c>
      <c r="FZ22" s="719">
        <v>2</v>
      </c>
      <c r="GA22" s="747">
        <f>VLOOKUP(FY22,'Ціни контур теплопостачання'!$K$74:$M$79,3,0)</f>
        <v>33.68</v>
      </c>
      <c r="GB22" s="761">
        <f t="shared" si="84"/>
        <v>67.36</v>
      </c>
      <c r="GC22" s="762">
        <f t="shared" si="85"/>
        <v>12.378378378378381</v>
      </c>
      <c r="GD22" s="911">
        <v>9</v>
      </c>
      <c r="GE22" s="1017">
        <v>9</v>
      </c>
      <c r="GF22" s="1018" t="s">
        <v>119</v>
      </c>
      <c r="GG22" s="713">
        <v>2</v>
      </c>
      <c r="GH22" s="709">
        <f>VLOOKUP(GF22,'Ціни контур теплопостачання'!$C$89:$M$105,11,0)</f>
        <v>391.06799999999998</v>
      </c>
      <c r="GI22" s="764">
        <f t="shared" si="86"/>
        <v>782.13599999999997</v>
      </c>
      <c r="GJ22" s="912">
        <f t="shared" si="87"/>
        <v>1.3387423935091276</v>
      </c>
      <c r="GK22" s="911">
        <v>9</v>
      </c>
      <c r="GL22" s="1017">
        <v>9</v>
      </c>
      <c r="GM22" s="1019" t="s">
        <v>1097</v>
      </c>
      <c r="GN22" s="749">
        <v>1</v>
      </c>
      <c r="GO22" s="747">
        <f>VLOOKUP(GM22,'Ціни контур теплопостачання'!$C$89:$M$105,11,0)</f>
        <v>241.2</v>
      </c>
      <c r="GP22" s="904">
        <f t="shared" si="88"/>
        <v>241.2</v>
      </c>
      <c r="GQ22" s="758">
        <f t="shared" si="25"/>
        <v>613.13873764117466</v>
      </c>
      <c r="GR22" s="955">
        <v>750</v>
      </c>
      <c r="GS22" s="749">
        <f>VLOOKUP(GR22,'Ціни контур теплопостачання'!$J$43:$K$55,2,0)</f>
        <v>32</v>
      </c>
      <c r="GT22" s="1020">
        <v>1</v>
      </c>
      <c r="GU22" s="747">
        <f>VLOOKUP(GR22,'Ціни контур теплопостачання'!$J$43:$M$55,4,0)</f>
        <v>376.94</v>
      </c>
      <c r="GV22" s="748">
        <f t="shared" si="89"/>
        <v>376.94</v>
      </c>
      <c r="GW22" s="758">
        <f t="array" ref="GW22">MIN(IF('Ціни контур теплопостачання'!$AN$68:$AN$77&gt;(V22*1.2),'Ціни контур теплопостачання'!$AN$68:$AN$77))</f>
        <v>22.36</v>
      </c>
      <c r="GX22" s="749">
        <f>VLOOKUP(GW22,'Ціни контур теплопостачання'!$AN$68:$AO$77,2,0)</f>
        <v>40</v>
      </c>
      <c r="GY22" s="749">
        <v>0</v>
      </c>
      <c r="GZ22" s="747">
        <f>VLOOKUP(GX22,'Ціни контур теплопостачання'!$AO$68:$AQ$77,3,0)</f>
        <v>43.225000000000001</v>
      </c>
      <c r="HA22" s="759">
        <f t="shared" si="90"/>
        <v>0</v>
      </c>
      <c r="HB22" s="751">
        <v>15</v>
      </c>
      <c r="HC22" s="746">
        <v>2</v>
      </c>
      <c r="HD22" s="747">
        <f>VLOOKUP(HB22,'Ціни контур мережний'!$J$73:$M$73,4,0)</f>
        <v>3.4649999999999999</v>
      </c>
      <c r="HE22" s="748">
        <f t="shared" si="91"/>
        <v>6.93</v>
      </c>
      <c r="HF22" s="749">
        <f t="shared" si="27"/>
        <v>25</v>
      </c>
      <c r="HG22" s="749">
        <v>1</v>
      </c>
      <c r="HH22" s="747">
        <f>VLOOKUP(HF22,'Ціни контур теплопостачання'!$Y$62:$AA$69,3,0)</f>
        <v>89.924040000000005</v>
      </c>
      <c r="HI22" s="765">
        <f t="shared" si="92"/>
        <v>89.924040000000005</v>
      </c>
      <c r="HJ22" s="750">
        <f>VLOOKUP(HK22,'Ціни контур теплопостачання'!$AN$6:$AO$13,2,0)</f>
        <v>32</v>
      </c>
      <c r="HK22" s="751">
        <f t="array" ref="HK22">MIN(IF('Ціни контур теплопостачання'!$AN$6:$AN$13&gt;N22,'Ціни контур теплопостачання'!$AN$6:$AN$13))</f>
        <v>6</v>
      </c>
      <c r="HL22" s="751">
        <v>1</v>
      </c>
      <c r="HM22" s="747">
        <f>VLOOKUP(HJ22,'Ціни контур теплопостачання'!$AO$6:$AQ$13,3,0)</f>
        <v>85.682340000000011</v>
      </c>
      <c r="HN22" s="748">
        <f t="shared" si="93"/>
        <v>85.682340000000011</v>
      </c>
      <c r="HO22" s="750">
        <f t="shared" si="28"/>
        <v>40</v>
      </c>
      <c r="HP22" s="746">
        <v>1</v>
      </c>
      <c r="HQ22" s="747">
        <f>VLOOKUP(HO22,'Ціни контур теплопостачання'!$AO$55:$AQ$63,3,0)</f>
        <v>193.55</v>
      </c>
      <c r="HR22" s="748">
        <f t="shared" si="126"/>
        <v>193.55</v>
      </c>
      <c r="HS22" s="745">
        <f t="shared" si="29"/>
        <v>25</v>
      </c>
      <c r="HT22" s="749">
        <v>1</v>
      </c>
      <c r="HU22" s="747">
        <f>VLOOKUP(HS22,'Ціни контур теплопостачання'!$K$62:$M$67,3,0)</f>
        <v>92.91</v>
      </c>
      <c r="HV22" s="765">
        <f t="shared" si="95"/>
        <v>92.91</v>
      </c>
      <c r="HW22" s="655" t="str">
        <f t="shared" ref="HW22" si="129">HW21</f>
        <v>0-150</v>
      </c>
      <c r="HX22" s="720">
        <v>1</v>
      </c>
      <c r="HY22" s="747">
        <f>VLOOKUP(HW22,'Ціни контур мережний'!$I$79:$M$80,5,0)</f>
        <v>15.050156291498967</v>
      </c>
      <c r="HZ22" s="748">
        <f t="shared" si="96"/>
        <v>15.050156291498967</v>
      </c>
      <c r="IA22" s="758" t="s">
        <v>109</v>
      </c>
      <c r="IB22" s="749">
        <v>1</v>
      </c>
      <c r="IC22" s="747">
        <f>VLOOKUP(IA22,'Ціни контур мережний'!$I$79:$M$80,5,0)</f>
        <v>15.050156291498967</v>
      </c>
      <c r="ID22" s="765">
        <f t="shared" si="97"/>
        <v>15.050156291498967</v>
      </c>
      <c r="IE22" s="655" t="s">
        <v>108</v>
      </c>
      <c r="IF22" s="720">
        <v>3</v>
      </c>
      <c r="IG22" s="747">
        <f>VLOOKUP(IE22,'Ціни контур мережний'!$I$67:$M$69,5,0)</f>
        <v>4.4537969640631703</v>
      </c>
      <c r="IH22" s="748">
        <f t="shared" si="98"/>
        <v>13.361390892189512</v>
      </c>
      <c r="II22" s="655" t="s">
        <v>106</v>
      </c>
      <c r="IJ22" s="720">
        <f>11</f>
        <v>11</v>
      </c>
      <c r="IK22" s="747">
        <f>VLOOKUP(II22,'Ціни контур мережний'!$I$67:$M$69,5,0)</f>
        <v>4.4537969640631703</v>
      </c>
      <c r="IL22" s="748">
        <f t="shared" si="99"/>
        <v>48.991766604694874</v>
      </c>
      <c r="IM22" s="655" t="s">
        <v>1013</v>
      </c>
      <c r="IN22" s="720">
        <v>5</v>
      </c>
      <c r="IO22" s="747">
        <f>VLOOKUP(IM22,'Ціни контур мережний'!$I$64:$M$64,5,0)</f>
        <v>29.1312</v>
      </c>
      <c r="IP22" s="748">
        <f t="shared" si="100"/>
        <v>145.65600000000001</v>
      </c>
      <c r="IQ22" s="766" t="s">
        <v>1015</v>
      </c>
      <c r="IR22" s="749">
        <v>6</v>
      </c>
      <c r="IS22" s="747">
        <f>VLOOKUP(IQ22,'Ціни контур мережний'!$I$89:$M$89,5,0)</f>
        <v>79.523165325760516</v>
      </c>
      <c r="IT22" s="765">
        <f t="shared" si="101"/>
        <v>477.1389919545631</v>
      </c>
      <c r="IU22" s="917" t="s">
        <v>1016</v>
      </c>
      <c r="IV22" s="720">
        <f t="shared" si="117"/>
        <v>7</v>
      </c>
      <c r="IW22" s="747">
        <f>VLOOKUP(IU22,'Ціни контур мережний'!$I$88:$M$88,5,0)</f>
        <v>13.211568975967202</v>
      </c>
      <c r="IX22" s="768">
        <f t="shared" si="102"/>
        <v>92.480982831770419</v>
      </c>
      <c r="IY22" s="917" t="s">
        <v>383</v>
      </c>
      <c r="IZ22" s="720">
        <v>1</v>
      </c>
      <c r="JA22" s="747">
        <f>VLOOKUP(IY22,'Ціни контур мережний'!$I$87:$M$87,5,0)</f>
        <v>13.483972460007763</v>
      </c>
      <c r="JB22" s="748">
        <f t="shared" si="103"/>
        <v>13.483972460007763</v>
      </c>
      <c r="JC22" s="769">
        <f t="shared" si="31"/>
        <v>26</v>
      </c>
      <c r="JD22" s="770">
        <f t="shared" si="104"/>
        <v>7311.9602790275176</v>
      </c>
      <c r="JE22" s="771">
        <f>$JE$44/'Ціни контур мережний'!$G$26</f>
        <v>476.70609707098151</v>
      </c>
      <c r="JF22" s="771">
        <f>$JE$44/'Ціни контур мережний'!$G$26</f>
        <v>476.70609707098151</v>
      </c>
      <c r="JG22" s="770">
        <f t="shared" si="112"/>
        <v>661.80181284518619</v>
      </c>
      <c r="JH22" s="770">
        <f t="shared" si="113"/>
        <v>487.81784379022207</v>
      </c>
      <c r="JI22" s="770">
        <f>$JI$43/'Ціни контур мережний'!$G$26</f>
        <v>323.47913729816605</v>
      </c>
      <c r="JJ22" s="770">
        <f t="shared" si="105"/>
        <v>66.611999999999995</v>
      </c>
      <c r="JK22" s="772">
        <v>0</v>
      </c>
      <c r="JL22" s="772">
        <f t="shared" si="114"/>
        <v>62.86234247089866</v>
      </c>
      <c r="JM22" s="772">
        <v>0</v>
      </c>
      <c r="JN22" s="770">
        <v>0</v>
      </c>
      <c r="JO22" s="1029">
        <f t="shared" si="32"/>
        <v>690.75619267017669</v>
      </c>
      <c r="JP22" s="770">
        <f t="shared" si="33"/>
        <v>986.79456095739522</v>
      </c>
      <c r="JQ22" s="1030">
        <f t="shared" si="34"/>
        <v>169.75317961708242</v>
      </c>
      <c r="JR22" s="1023">
        <f t="shared" si="115"/>
        <v>300.63036461094771</v>
      </c>
      <c r="JS22" s="777">
        <f t="shared" si="106"/>
        <v>12015.879907429553</v>
      </c>
      <c r="JU22" s="611">
        <f>[3]Расчеты!AX21/1.2</f>
        <v>4304.2680982042739</v>
      </c>
      <c r="JV22" s="611">
        <f t="shared" si="107"/>
        <v>16320.148005633826</v>
      </c>
      <c r="JW22" s="611" t="e">
        <f>JV22*1.2*#REF!</f>
        <v>#REF!</v>
      </c>
      <c r="JX22" s="611"/>
    </row>
    <row r="23" spans="1:286" ht="12.6" customHeight="1">
      <c r="A23" s="610" t="s">
        <v>686</v>
      </c>
      <c r="B23" s="597">
        <v>27</v>
      </c>
      <c r="C23" s="1056" t="s">
        <v>782</v>
      </c>
      <c r="D23" s="906">
        <v>0.42</v>
      </c>
      <c r="E23" s="907">
        <v>0.39</v>
      </c>
      <c r="F23" s="908">
        <f t="shared" si="35"/>
        <v>17.472004681777236</v>
      </c>
      <c r="G23" s="909">
        <v>80</v>
      </c>
      <c r="H23" s="598">
        <f t="shared" si="36"/>
        <v>7.5026795284030001</v>
      </c>
      <c r="I23" s="599">
        <v>50</v>
      </c>
      <c r="J23" s="598">
        <f t="shared" si="37"/>
        <v>17.463617463617464</v>
      </c>
      <c r="K23" s="599">
        <v>80</v>
      </c>
      <c r="L23" s="598">
        <f t="shared" si="38"/>
        <v>9.9693251533742338</v>
      </c>
      <c r="M23" s="599">
        <v>65</v>
      </c>
      <c r="N23" s="598">
        <f t="shared" si="39"/>
        <v>7.910750507099392</v>
      </c>
      <c r="O23" s="599">
        <v>50</v>
      </c>
      <c r="P23" s="598">
        <f t="shared" si="108"/>
        <v>2.3732251521298173</v>
      </c>
      <c r="Q23" s="599">
        <v>32</v>
      </c>
      <c r="R23" s="598">
        <f t="shared" si="40"/>
        <v>10.610391143206499</v>
      </c>
      <c r="S23" s="600">
        <f t="shared" si="41"/>
        <v>14.098754839609077</v>
      </c>
      <c r="T23" s="910">
        <v>3</v>
      </c>
      <c r="U23" s="601">
        <f t="shared" si="42"/>
        <v>5.8212058212058215</v>
      </c>
      <c r="V23" s="601">
        <f t="shared" si="43"/>
        <v>8.232428221714482</v>
      </c>
      <c r="W23" s="602">
        <v>50</v>
      </c>
      <c r="X23" s="1027">
        <v>8.19</v>
      </c>
      <c r="Y23" s="601">
        <f t="shared" si="44"/>
        <v>2.4569999999999999</v>
      </c>
      <c r="Z23" s="992">
        <v>25</v>
      </c>
      <c r="AA23" s="1028">
        <v>9</v>
      </c>
      <c r="AB23" s="745">
        <f t="shared" si="0"/>
        <v>80</v>
      </c>
      <c r="AC23" s="746">
        <v>2</v>
      </c>
      <c r="AD23" s="747">
        <f>VLOOKUP(AB23,'Ціни контур мережний'!$Z$24:$AB$36,3,0)</f>
        <v>37.693832104112609</v>
      </c>
      <c r="AE23" s="748">
        <f t="shared" si="45"/>
        <v>75.387664208225218</v>
      </c>
      <c r="AF23" s="745">
        <f t="shared" si="1"/>
        <v>80</v>
      </c>
      <c r="AG23" s="749">
        <v>2</v>
      </c>
      <c r="AH23" s="747">
        <f>VLOOKUP(AF23,'Ціни контур мережний'!$Z$64:$AB$77,3,0)</f>
        <v>111.00441974652855</v>
      </c>
      <c r="AI23" s="748">
        <f t="shared" si="46"/>
        <v>222.00883949305711</v>
      </c>
      <c r="AJ23" s="745">
        <f t="shared" si="2"/>
        <v>80</v>
      </c>
      <c r="AK23" s="746">
        <v>0</v>
      </c>
      <c r="AL23" s="747">
        <f>VLOOKUP(AJ23,'Ціни контур мережний'!$Z$5:$AB$17,3,0)</f>
        <v>50.12</v>
      </c>
      <c r="AM23" s="748">
        <f t="shared" si="47"/>
        <v>0</v>
      </c>
      <c r="AN23" s="750">
        <f t="shared" si="3"/>
        <v>50</v>
      </c>
      <c r="AO23" s="746">
        <v>1</v>
      </c>
      <c r="AP23" s="747">
        <f>VLOOKUP(AN23,'Ціни контур мережний'!$Z$43:$AB$55,3,0)</f>
        <v>23.2782130224622</v>
      </c>
      <c r="AQ23" s="768">
        <f t="shared" si="48"/>
        <v>23.2782130224622</v>
      </c>
      <c r="AR23" s="749">
        <f t="shared" si="4"/>
        <v>65</v>
      </c>
      <c r="AS23" s="749">
        <v>4</v>
      </c>
      <c r="AT23" s="747">
        <f>VLOOKUP(AR23,'Ціни контур мережний'!$Z$43:$AB$55,3,0)</f>
        <v>30.19184015363556</v>
      </c>
      <c r="AU23" s="1016">
        <f t="shared" si="49"/>
        <v>120.76736061454224</v>
      </c>
      <c r="AV23" s="751" t="str">
        <f t="shared" si="50"/>
        <v>AMV20</v>
      </c>
      <c r="AW23" s="751">
        <v>1</v>
      </c>
      <c r="AX23" s="747">
        <f>VLOOKUP(AV23,'Ціни контур мережний'!$I$53:$M$57,5,0)</f>
        <v>110.39869654932889</v>
      </c>
      <c r="AY23" s="748">
        <f t="shared" si="51"/>
        <v>110.39869654932889</v>
      </c>
      <c r="AZ23" s="752">
        <f t="array" ref="AZ23">MIN(IF('Ціни контур мережний'!$Y$83:$Y$92&gt;(R23*1.2),'Ціни контур мережний'!$Y$83:$Y$92))</f>
        <v>16</v>
      </c>
      <c r="BA23" s="746">
        <f>VLOOKUP(AZ23,'Ціни контур мережний'!$Y$83:$Z$92,2,0)</f>
        <v>32</v>
      </c>
      <c r="BB23" s="746">
        <v>1</v>
      </c>
      <c r="BC23" s="747">
        <f>VLOOKUP(AZ23,'Ціни контур мережний'!$Y$83:$AB$92,4,0)</f>
        <v>130.5392363168325</v>
      </c>
      <c r="BD23" s="748">
        <f t="shared" si="52"/>
        <v>130.5392363168325</v>
      </c>
      <c r="BE23" s="1099">
        <v>20</v>
      </c>
      <c r="BF23" s="1101">
        <f>VLOOKUP(BE23,'[1]Ціни контур мережний'!$Y$104:$Z$114,2,0)</f>
        <v>50</v>
      </c>
      <c r="BG23" s="753">
        <v>1</v>
      </c>
      <c r="BH23" s="754">
        <f>VLOOKUP(BE23,'Ціни контур мережний'!$Y$104:$AB$114,4,0)</f>
        <v>448.22326189551967</v>
      </c>
      <c r="BI23" s="755">
        <f t="shared" si="53"/>
        <v>448.22326189551967</v>
      </c>
      <c r="BJ23" s="751" t="s">
        <v>67</v>
      </c>
      <c r="BK23" s="749">
        <v>1</v>
      </c>
      <c r="BL23" s="747">
        <f>VLOOKUP(BJ23,'Ціни контур мережний'!$I$53:$M$57,5,0)</f>
        <v>157.67238032974441</v>
      </c>
      <c r="BM23" s="748">
        <f t="shared" si="54"/>
        <v>157.67238032974441</v>
      </c>
      <c r="BN23" s="896">
        <f t="array" ref="BN23">MIN(IF('Ціни контур мережний'!$Y$83:$Y$93&gt;(S23*1.2),'Ціни контур мережний'!$Y$83:$Y$93))</f>
        <v>25</v>
      </c>
      <c r="BO23" s="896">
        <f>VLOOKUP(BN23,'Ціни контур мережний'!$Y$83:$Z$93,2,0)</f>
        <v>40</v>
      </c>
      <c r="BP23" s="895">
        <v>1</v>
      </c>
      <c r="BQ23" s="896">
        <f>VLOOKUP(BN23,'Ціни контур мережний'!$Y$83:$AB$93,4,0)</f>
        <v>156.6569554824606</v>
      </c>
      <c r="BR23" s="897">
        <f t="shared" si="55"/>
        <v>156.6569554824606</v>
      </c>
      <c r="BS23" s="896">
        <f t="array" ref="BS23">MIN(IF('Ціни контур мережний'!$Y$104:$Y$114&gt;(S23*1.2),'Ціни контур мережний'!$Y$104:$Y$114))</f>
        <v>20</v>
      </c>
      <c r="BT23" s="896">
        <f>VLOOKUP(BS23,'Ціни контур мережний'!$Y$104:$Z$114,2,0)</f>
        <v>40</v>
      </c>
      <c r="BU23" s="895">
        <v>1</v>
      </c>
      <c r="BV23" s="896">
        <f>VLOOKUP(BS23,'Ціни контур мережний'!$Y$104:$AB$114,4,0)</f>
        <v>448.22326189551967</v>
      </c>
      <c r="BW23" s="897">
        <f t="shared" si="56"/>
        <v>448.22326189551967</v>
      </c>
      <c r="BX23" s="751" t="s">
        <v>115</v>
      </c>
      <c r="BY23" s="751" t="s">
        <v>115</v>
      </c>
      <c r="BZ23" s="746" t="s">
        <v>1025</v>
      </c>
      <c r="CA23" s="756">
        <v>0</v>
      </c>
      <c r="CB23" s="747">
        <v>0</v>
      </c>
      <c r="CC23" s="748">
        <f t="shared" si="57"/>
        <v>0</v>
      </c>
      <c r="CD23" s="758">
        <f>VLOOKUP(CE23,'Ціни контур мережний'!$J$5:$L$12,3,0)</f>
        <v>40</v>
      </c>
      <c r="CE23" s="747">
        <f t="array" ref="CE23">MIN(IF('Ціни контур мережний'!$J$5:$J$12&gt;L23,'Ціни контур мережний'!$J$5:$J$12))</f>
        <v>10</v>
      </c>
      <c r="CF23" s="746" t="s">
        <v>130</v>
      </c>
      <c r="CG23" s="749">
        <v>1</v>
      </c>
      <c r="CH23" s="747">
        <f>VLOOKUP(CE23,'Ціни контур мережний'!$J$5:$N$12,5,0)</f>
        <v>375.23999999999995</v>
      </c>
      <c r="CI23" s="748">
        <f t="shared" si="58"/>
        <v>375.23999999999995</v>
      </c>
      <c r="CJ23" s="899" t="s">
        <v>1302</v>
      </c>
      <c r="CK23" s="899">
        <v>1</v>
      </c>
      <c r="CL23" s="898">
        <v>1122</v>
      </c>
      <c r="CM23" s="901">
        <f t="shared" si="59"/>
        <v>1122</v>
      </c>
      <c r="CN23" s="898" t="s">
        <v>1327</v>
      </c>
      <c r="CO23" s="899">
        <v>1</v>
      </c>
      <c r="CP23" s="900">
        <v>740</v>
      </c>
      <c r="CQ23" s="901">
        <f t="shared" si="60"/>
        <v>740</v>
      </c>
      <c r="CR23" s="751">
        <f t="shared" si="5"/>
        <v>80</v>
      </c>
      <c r="CS23" s="746">
        <v>4</v>
      </c>
      <c r="CT23" s="747">
        <f>VLOOKUP(CR23,'Ціни контур теплопостачання'!$Y$5:$AA$17,3,0)</f>
        <v>37.693832104112609</v>
      </c>
      <c r="CU23" s="748">
        <f t="shared" si="61"/>
        <v>150.77532841645044</v>
      </c>
      <c r="CV23" s="750">
        <f t="shared" si="6"/>
        <v>50</v>
      </c>
      <c r="CW23" s="746">
        <v>6</v>
      </c>
      <c r="CX23" s="747">
        <f>VLOOKUP(CV23,'Ціни контур теплопостачання'!$AO$20:$AQ$29,3,0)</f>
        <v>37.588411955788914</v>
      </c>
      <c r="CY23" s="748">
        <f t="shared" si="62"/>
        <v>225.53047173473348</v>
      </c>
      <c r="CZ23" s="750">
        <f t="shared" si="7"/>
        <v>32</v>
      </c>
      <c r="DA23" s="746">
        <v>3</v>
      </c>
      <c r="DB23" s="747">
        <f>VLOOKUP(CZ23,'Ціни контур теплопостачання'!$AO$20:$AQ$29,3,0)</f>
        <v>10.381</v>
      </c>
      <c r="DC23" s="748">
        <f t="shared" si="63"/>
        <v>31.143000000000001</v>
      </c>
      <c r="DD23" s="757">
        <f t="shared" si="8"/>
        <v>50</v>
      </c>
      <c r="DE23" s="746">
        <f t="shared" si="9"/>
        <v>6</v>
      </c>
      <c r="DF23" s="747">
        <f>VLOOKUP(DD23,'Ціни контур теплопостачання'!$Y$5:$AA$17,3,0)</f>
        <v>23.2782130224622</v>
      </c>
      <c r="DG23" s="748">
        <f t="shared" si="64"/>
        <v>139.66927813477321</v>
      </c>
      <c r="DH23" s="745">
        <f t="shared" si="65"/>
        <v>50</v>
      </c>
      <c r="DI23" s="749">
        <f t="shared" si="66"/>
        <v>1</v>
      </c>
      <c r="DJ23" s="747">
        <f>VLOOKUP(DH23,'Ціни контур теплопостачання'!$Y$5:$AA$17,3,0)</f>
        <v>23.2782130224622</v>
      </c>
      <c r="DK23" s="765">
        <f t="shared" si="67"/>
        <v>23.2782130224622</v>
      </c>
      <c r="DL23" s="757">
        <f t="shared" si="10"/>
        <v>25</v>
      </c>
      <c r="DM23" s="746">
        <v>1</v>
      </c>
      <c r="DN23" s="747">
        <f>VLOOKUP(DL23,'Ціни контур мережний'!$Z$43:$AB$55,3,0)</f>
        <v>14.856886019572187</v>
      </c>
      <c r="DO23" s="748">
        <f t="shared" si="68"/>
        <v>14.856886019572187</v>
      </c>
      <c r="DP23" s="757">
        <f t="shared" si="11"/>
        <v>25</v>
      </c>
      <c r="DQ23" s="746">
        <v>2</v>
      </c>
      <c r="DR23" s="747">
        <f>VLOOKUP(DP23,'Ціни контур теплопостачання'!$Y$5:$AA$17,3,0)</f>
        <v>6.3070000000000004</v>
      </c>
      <c r="DS23" s="748">
        <f t="shared" si="69"/>
        <v>12.614000000000001</v>
      </c>
      <c r="DT23" s="745">
        <v>20</v>
      </c>
      <c r="DU23" s="749">
        <v>2</v>
      </c>
      <c r="DV23" s="747">
        <f>VLOOKUP(DT23,'Ціни контур теплопостачання'!$Y$5:$AA$17,3,0)</f>
        <v>3.577</v>
      </c>
      <c r="DW23" s="748">
        <f t="shared" si="70"/>
        <v>7.1539999999999999</v>
      </c>
      <c r="DX23" s="745">
        <v>15</v>
      </c>
      <c r="DY23" s="745">
        <v>10</v>
      </c>
      <c r="DZ23" s="758">
        <f>VLOOKUP(DX23,'Ціни контур теплопостачання'!$Y$5:$AA$17,3,0)</f>
        <v>2.464</v>
      </c>
      <c r="EA23" s="759">
        <f t="shared" si="71"/>
        <v>24.64</v>
      </c>
      <c r="EB23" s="745">
        <v>15</v>
      </c>
      <c r="EC23" s="745">
        <f t="shared" si="110"/>
        <v>39</v>
      </c>
      <c r="ED23" s="758">
        <f>VLOOKUP(EB23,'Ціни контур мережний'!$J$71:$M$71,4,0)</f>
        <v>3.3865201135922525</v>
      </c>
      <c r="EE23" s="759">
        <f t="shared" si="72"/>
        <v>132.07428443009783</v>
      </c>
      <c r="EF23" s="751">
        <f t="shared" si="12"/>
        <v>80</v>
      </c>
      <c r="EG23" s="746">
        <v>1</v>
      </c>
      <c r="EH23" s="747">
        <f>VLOOKUP(EF23,'Ціни контур теплопостачання'!$K$5:$M$17,3,0)</f>
        <v>50.12</v>
      </c>
      <c r="EI23" s="748">
        <f t="shared" si="73"/>
        <v>50.12</v>
      </c>
      <c r="EJ23" s="745">
        <f t="shared" si="13"/>
        <v>50</v>
      </c>
      <c r="EK23" s="749">
        <v>1</v>
      </c>
      <c r="EL23" s="747">
        <f>VLOOKUP(EJ23,'Ціни контур теплопостачання'!$K$5:$M$17,3,0)</f>
        <v>26.284999999999997</v>
      </c>
      <c r="EM23" s="748">
        <f t="shared" si="74"/>
        <v>26.284999999999997</v>
      </c>
      <c r="EN23" s="745">
        <f t="shared" si="14"/>
        <v>32</v>
      </c>
      <c r="EO23" s="745">
        <v>1</v>
      </c>
      <c r="EP23" s="758">
        <f>VLOOKUP(EN23,'Ціни контур теплопостачання'!$K$5:$M$17,3,0)</f>
        <v>9.48</v>
      </c>
      <c r="EQ23" s="759">
        <f t="shared" si="75"/>
        <v>9.48</v>
      </c>
      <c r="ER23" s="745">
        <f t="shared" si="15"/>
        <v>25</v>
      </c>
      <c r="ES23" s="745">
        <v>1</v>
      </c>
      <c r="ET23" s="758">
        <f>VLOOKUP(ER23,'Ціни контур теплопостачання'!$K$5:$M$17,3,0)</f>
        <v>4.78</v>
      </c>
      <c r="EU23" s="759">
        <f t="shared" si="76"/>
        <v>4.78</v>
      </c>
      <c r="EV23" s="751">
        <f t="shared" si="16"/>
        <v>80</v>
      </c>
      <c r="EW23" s="746">
        <v>2</v>
      </c>
      <c r="EX23" s="747">
        <f>VLOOKUP(EV23,'Ціни контур теплопостачання'!$Y$24:$AA$36,3,0)</f>
        <v>60.079499999999996</v>
      </c>
      <c r="EY23" s="748">
        <f t="shared" si="77"/>
        <v>120.15899999999999</v>
      </c>
      <c r="EZ23" s="745">
        <f t="shared" si="17"/>
        <v>50</v>
      </c>
      <c r="FA23" s="749">
        <v>1</v>
      </c>
      <c r="FB23" s="747">
        <f>VLOOKUP(EZ23,'Ціни контур теплопостачання'!$AO$38:$AQ$50,3,0)</f>
        <v>28.560999999999996</v>
      </c>
      <c r="FC23" s="748">
        <f t="shared" si="78"/>
        <v>28.560999999999996</v>
      </c>
      <c r="FD23" s="745">
        <f t="shared" si="18"/>
        <v>32</v>
      </c>
      <c r="FE23" s="745">
        <v>1</v>
      </c>
      <c r="FF23" s="758">
        <f>VLOOKUP(FD23,'Ціни контур теплопостачання'!$AO$38:$AQ$50,3,0)</f>
        <v>10.773</v>
      </c>
      <c r="FG23" s="759">
        <f t="shared" si="79"/>
        <v>10.773</v>
      </c>
      <c r="FH23" s="745">
        <f t="shared" si="19"/>
        <v>25</v>
      </c>
      <c r="FI23" s="745">
        <v>1</v>
      </c>
      <c r="FJ23" s="758">
        <f>VLOOKUP(FH23,'Ціни контур теплопостачання'!$Y$24:$AA$36,3,0)</f>
        <v>6.9659999999999993</v>
      </c>
      <c r="FK23" s="759">
        <f t="shared" si="80"/>
        <v>6.9659999999999993</v>
      </c>
      <c r="FL23" s="745">
        <f t="shared" si="20"/>
        <v>50</v>
      </c>
      <c r="FM23" s="745">
        <f t="shared" si="21"/>
        <v>6</v>
      </c>
      <c r="FN23" s="758">
        <f>VLOOKUP(FL23,'Ціни контур теплопостачання'!$Y$76:$AA$88,3,0)</f>
        <v>20.6</v>
      </c>
      <c r="FO23" s="759">
        <f t="shared" si="81"/>
        <v>123.60000000000001</v>
      </c>
      <c r="FP23" s="745">
        <f t="shared" si="22"/>
        <v>50</v>
      </c>
      <c r="FQ23" s="745">
        <v>1</v>
      </c>
      <c r="FR23" s="758">
        <f>VLOOKUP(FP23,'Ціни контур теплопостачання'!$Y$76:$AA$88,3,0)</f>
        <v>20.6</v>
      </c>
      <c r="FS23" s="759">
        <f t="shared" si="82"/>
        <v>20.6</v>
      </c>
      <c r="FT23" s="745">
        <f t="shared" si="23"/>
        <v>32</v>
      </c>
      <c r="FU23" s="745">
        <v>1</v>
      </c>
      <c r="FV23" s="758">
        <f>VLOOKUP(FT23,'Ціни контур теплопостачання'!$Y$76:$AA$88,3,0)</f>
        <v>13.15</v>
      </c>
      <c r="FW23" s="759">
        <f t="shared" si="83"/>
        <v>13.15</v>
      </c>
      <c r="FX23" s="758">
        <f t="shared" si="24"/>
        <v>32.918080138428486</v>
      </c>
      <c r="FY23" s="760">
        <v>32</v>
      </c>
      <c r="FZ23" s="719">
        <v>2</v>
      </c>
      <c r="GA23" s="747">
        <f>VLOOKUP(FY23,'Ціни контур теплопостачання'!$K$74:$M$79,3,0)</f>
        <v>33.68</v>
      </c>
      <c r="GB23" s="761">
        <f t="shared" si="84"/>
        <v>67.36</v>
      </c>
      <c r="GC23" s="762">
        <f t="shared" si="85"/>
        <v>17.463617463617464</v>
      </c>
      <c r="GD23" s="911">
        <v>9</v>
      </c>
      <c r="GE23" s="1017">
        <v>9</v>
      </c>
      <c r="GF23" s="1032" t="s">
        <v>1090</v>
      </c>
      <c r="GG23" s="713">
        <v>2</v>
      </c>
      <c r="GH23" s="709">
        <f>VLOOKUP(GF23,'Ціни контур теплопостачання'!$C$89:$M$105,11,0)</f>
        <v>648.69600000000003</v>
      </c>
      <c r="GI23" s="764">
        <f t="shared" si="86"/>
        <v>1297.3920000000001</v>
      </c>
      <c r="GJ23" s="912">
        <f t="shared" si="87"/>
        <v>2.3732251521298173</v>
      </c>
      <c r="GK23" s="911">
        <v>9</v>
      </c>
      <c r="GL23" s="1017">
        <v>9</v>
      </c>
      <c r="GM23" s="1019" t="s">
        <v>1097</v>
      </c>
      <c r="GN23" s="749">
        <v>1</v>
      </c>
      <c r="GO23" s="747">
        <f>VLOOKUP(GM23,'Ціни контур теплопостачання'!$C$89:$M$105,11,0)</f>
        <v>241.2</v>
      </c>
      <c r="GP23" s="904">
        <f t="shared" si="88"/>
        <v>241.2</v>
      </c>
      <c r="GQ23" s="758">
        <f t="shared" si="25"/>
        <v>865.79418297952077</v>
      </c>
      <c r="GR23" s="955">
        <v>1000</v>
      </c>
      <c r="GS23" s="749">
        <f>VLOOKUP(GR23,'Ціни контур теплопостачання'!$J$43:$K$55,2,0)</f>
        <v>50</v>
      </c>
      <c r="GT23" s="1020">
        <v>1</v>
      </c>
      <c r="GU23" s="747">
        <f>VLOOKUP(GR23,'Ціни контур теплопостачання'!$J$43:$M$55,4,0)</f>
        <v>603.23</v>
      </c>
      <c r="GV23" s="748">
        <f t="shared" si="89"/>
        <v>603.23</v>
      </c>
      <c r="GW23" s="758">
        <f t="array" ref="GW23">MIN(IF('Ціни контур теплопостачання'!$AN$68:$AN$77&gt;(V23*1.2),'Ціни контур теплопостачання'!$AN$68:$AN$77))</f>
        <v>11.13</v>
      </c>
      <c r="GX23" s="749">
        <f>VLOOKUP(GW23,'Ціни контур теплопостачання'!$AN$68:$AO$77,2,0)</f>
        <v>32</v>
      </c>
      <c r="GY23" s="749">
        <f t="shared" si="26"/>
        <v>3</v>
      </c>
      <c r="GZ23" s="747">
        <f>VLOOKUP(GX23,'Ціни контур теплопостачання'!$AO$68:$AQ$77,3,0)</f>
        <v>37.183999999999997</v>
      </c>
      <c r="HA23" s="759">
        <f t="shared" si="90"/>
        <v>111.55199999999999</v>
      </c>
      <c r="HB23" s="751">
        <v>15</v>
      </c>
      <c r="HC23" s="746">
        <v>2</v>
      </c>
      <c r="HD23" s="747">
        <f>VLOOKUP(HB23,'Ціни контур мережний'!$J$73:$M$73,4,0)</f>
        <v>3.4649999999999999</v>
      </c>
      <c r="HE23" s="748">
        <f t="shared" si="91"/>
        <v>6.93</v>
      </c>
      <c r="HF23" s="749">
        <f t="shared" si="27"/>
        <v>25</v>
      </c>
      <c r="HG23" s="749">
        <v>1</v>
      </c>
      <c r="HH23" s="747">
        <f>VLOOKUP(HF23,'Ціни контур теплопостачання'!$Y$62:$AA$69,3,0)</f>
        <v>89.924040000000005</v>
      </c>
      <c r="HI23" s="765">
        <f t="shared" si="92"/>
        <v>89.924040000000005</v>
      </c>
      <c r="HJ23" s="750">
        <f>VLOOKUP(HK23,'Ціни контур теплопостачання'!$AN$6:$AO$13,2,0)</f>
        <v>40</v>
      </c>
      <c r="HK23" s="751">
        <f t="array" ref="HK23">MIN(IF('Ціни контур теплопостачання'!$AN$6:$AN$13&gt;N23,'Ціни контур теплопостачання'!$AN$6:$AN$13))</f>
        <v>15</v>
      </c>
      <c r="HL23" s="751">
        <v>1</v>
      </c>
      <c r="HM23" s="747">
        <f>VLOOKUP(HJ23,'Ціни контур теплопостачання'!$AO$6:$AQ$13,3,0)</f>
        <v>140.82444000000001</v>
      </c>
      <c r="HN23" s="748">
        <f t="shared" si="93"/>
        <v>140.82444000000001</v>
      </c>
      <c r="HO23" s="750">
        <f t="shared" si="28"/>
        <v>50</v>
      </c>
      <c r="HP23" s="746">
        <v>1</v>
      </c>
      <c r="HQ23" s="747">
        <f>VLOOKUP(HO23,'Ціни контур теплопостачання'!$AO$55:$AQ$63,3,0)</f>
        <v>355.5</v>
      </c>
      <c r="HR23" s="748">
        <f t="shared" si="126"/>
        <v>355.5</v>
      </c>
      <c r="HS23" s="745">
        <f t="shared" si="29"/>
        <v>25</v>
      </c>
      <c r="HT23" s="749">
        <v>1</v>
      </c>
      <c r="HU23" s="747">
        <f>VLOOKUP(HS23,'Ціни контур теплопостачання'!$K$62:$M$67,3,0)</f>
        <v>92.91</v>
      </c>
      <c r="HV23" s="765">
        <f t="shared" si="95"/>
        <v>92.91</v>
      </c>
      <c r="HW23" s="655" t="str">
        <f t="shared" ref="HW23" si="130">HW22</f>
        <v>0-150</v>
      </c>
      <c r="HX23" s="720">
        <v>1</v>
      </c>
      <c r="HY23" s="747">
        <f>VLOOKUP(HW23,'Ціни контур мережний'!$I$79:$M$80,5,0)</f>
        <v>15.050156291498967</v>
      </c>
      <c r="HZ23" s="748">
        <f t="shared" si="96"/>
        <v>15.050156291498967</v>
      </c>
      <c r="IA23" s="758" t="s">
        <v>109</v>
      </c>
      <c r="IB23" s="749">
        <v>1</v>
      </c>
      <c r="IC23" s="747">
        <f>VLOOKUP(IA23,'Ціни контур мережний'!$I$79:$M$80,5,0)</f>
        <v>15.050156291498967</v>
      </c>
      <c r="ID23" s="765">
        <f t="shared" si="97"/>
        <v>15.050156291498967</v>
      </c>
      <c r="IE23" s="655" t="s">
        <v>108</v>
      </c>
      <c r="IF23" s="720">
        <v>3</v>
      </c>
      <c r="IG23" s="747">
        <f>VLOOKUP(IE23,'Ціни контур мережний'!$I$67:$M$69,5,0)</f>
        <v>4.4537969640631703</v>
      </c>
      <c r="IH23" s="748">
        <f t="shared" si="98"/>
        <v>13.361390892189512</v>
      </c>
      <c r="II23" s="655" t="s">
        <v>106</v>
      </c>
      <c r="IJ23" s="720">
        <f>11+T23</f>
        <v>14</v>
      </c>
      <c r="IK23" s="747">
        <f>VLOOKUP(II23,'Ціни контур мережний'!$I$67:$M$69,5,0)</f>
        <v>4.4537969640631703</v>
      </c>
      <c r="IL23" s="748">
        <f t="shared" si="99"/>
        <v>62.353157496884386</v>
      </c>
      <c r="IM23" s="655" t="s">
        <v>1013</v>
      </c>
      <c r="IN23" s="720">
        <v>5</v>
      </c>
      <c r="IO23" s="747">
        <f>VLOOKUP(IM23,'Ціни контур мережний'!$I$64:$M$64,5,0)</f>
        <v>29.1312</v>
      </c>
      <c r="IP23" s="748">
        <f t="shared" si="100"/>
        <v>145.65600000000001</v>
      </c>
      <c r="IQ23" s="766" t="s">
        <v>1015</v>
      </c>
      <c r="IR23" s="749">
        <v>6</v>
      </c>
      <c r="IS23" s="747">
        <f>VLOOKUP(IQ23,'Ціни контур мережний'!$I$89:$M$89,5,0)</f>
        <v>79.523165325760516</v>
      </c>
      <c r="IT23" s="765">
        <f t="shared" si="101"/>
        <v>477.1389919545631</v>
      </c>
      <c r="IU23" s="778" t="s">
        <v>1016</v>
      </c>
      <c r="IV23" s="720">
        <f t="shared" si="117"/>
        <v>7</v>
      </c>
      <c r="IW23" s="747">
        <f>VLOOKUP(IU23,'Ціни контур мережний'!$I$88:$M$88,5,0)</f>
        <v>13.211568975967202</v>
      </c>
      <c r="IX23" s="768">
        <f t="shared" si="102"/>
        <v>92.480982831770419</v>
      </c>
      <c r="IY23" s="757" t="s">
        <v>383</v>
      </c>
      <c r="IZ23" s="720">
        <v>1</v>
      </c>
      <c r="JA23" s="747">
        <f>VLOOKUP(IY23,'Ціни контур мережний'!$I$87:$M$87,5,0)</f>
        <v>13.483972460007763</v>
      </c>
      <c r="JB23" s="748">
        <f t="shared" si="103"/>
        <v>13.483972460007763</v>
      </c>
      <c r="JC23" s="769">
        <f t="shared" si="31"/>
        <v>27</v>
      </c>
      <c r="JD23" s="770">
        <f t="shared" si="104"/>
        <v>9148.0026197841944</v>
      </c>
      <c r="JE23" s="771">
        <f>$JE$44/'Ціни контур мережний'!$G$26</f>
        <v>476.70609707098151</v>
      </c>
      <c r="JF23" s="771">
        <f>$JE$45/'Ціни контур мережний'!$G$26</f>
        <v>578.85740358619182</v>
      </c>
      <c r="JG23" s="770">
        <f t="shared" si="112"/>
        <v>661.80181284518619</v>
      </c>
      <c r="JH23" s="770">
        <f t="shared" si="113"/>
        <v>487.81784379022207</v>
      </c>
      <c r="JI23" s="770">
        <f>$JI$43/'Ціни контур мережний'!$G$26</f>
        <v>323.47913729816605</v>
      </c>
      <c r="JJ23" s="770">
        <f t="shared" si="105"/>
        <v>66.611999999999995</v>
      </c>
      <c r="JK23" s="772">
        <v>0</v>
      </c>
      <c r="JL23" s="772">
        <f t="shared" si="114"/>
        <v>62.86234247089866</v>
      </c>
      <c r="JM23" s="772">
        <v>0</v>
      </c>
      <c r="JN23" s="770">
        <v>0</v>
      </c>
      <c r="JO23" s="1029">
        <f t="shared" si="32"/>
        <v>826.42974797920874</v>
      </c>
      <c r="JP23" s="770">
        <f t="shared" si="33"/>
        <v>1180.6139256845838</v>
      </c>
      <c r="JQ23" s="1030">
        <f t="shared" si="34"/>
        <v>203.09492544296336</v>
      </c>
      <c r="JR23" s="1023">
        <f t="shared" si="115"/>
        <v>300.63036461094771</v>
      </c>
      <c r="JS23" s="777">
        <f t="shared" si="106"/>
        <v>14316.908220563542</v>
      </c>
      <c r="JU23" s="611">
        <f>[3]Расчеты!AX22/1.2</f>
        <v>4304.2680982042739</v>
      </c>
      <c r="JV23" s="611">
        <f t="shared" si="107"/>
        <v>18621.176318767815</v>
      </c>
      <c r="JW23" s="611" t="e">
        <f>JV23*1.2*#REF!</f>
        <v>#REF!</v>
      </c>
      <c r="JX23" s="611"/>
    </row>
    <row r="24" spans="1:286" ht="12.6" customHeight="1">
      <c r="A24" s="610" t="s">
        <v>686</v>
      </c>
      <c r="B24" s="597">
        <v>28</v>
      </c>
      <c r="C24" s="1056" t="s">
        <v>783</v>
      </c>
      <c r="D24" s="906">
        <v>0.30399999999999999</v>
      </c>
      <c r="E24" s="907">
        <v>0.22320000000000001</v>
      </c>
      <c r="F24" s="908">
        <f t="shared" si="35"/>
        <v>11.136032369141478</v>
      </c>
      <c r="G24" s="909">
        <v>65</v>
      </c>
      <c r="H24" s="598">
        <f t="shared" si="36"/>
        <v>5.4305108967488387</v>
      </c>
      <c r="I24" s="599">
        <v>40</v>
      </c>
      <c r="J24" s="598">
        <f t="shared" si="37"/>
        <v>12.640332640332639</v>
      </c>
      <c r="K24" s="599">
        <v>80</v>
      </c>
      <c r="L24" s="598">
        <f t="shared" si="38"/>
        <v>5.7055214723926388</v>
      </c>
      <c r="M24" s="599">
        <v>40</v>
      </c>
      <c r="N24" s="598">
        <f t="shared" si="39"/>
        <v>4.5273833671399597</v>
      </c>
      <c r="O24" s="599">
        <v>40</v>
      </c>
      <c r="P24" s="598">
        <f t="shared" si="108"/>
        <v>1.3582150101419879</v>
      </c>
      <c r="Q24" s="599">
        <v>25</v>
      </c>
      <c r="R24" s="598">
        <f t="shared" si="40"/>
        <v>7.6799021607970852</v>
      </c>
      <c r="S24" s="600">
        <f t="shared" si="41"/>
        <v>8.0688258466685792</v>
      </c>
      <c r="T24" s="910">
        <v>2</v>
      </c>
      <c r="U24" s="601">
        <f t="shared" si="42"/>
        <v>6.3201663201663196</v>
      </c>
      <c r="V24" s="601">
        <f t="shared" si="43"/>
        <v>8.9380649264328653</v>
      </c>
      <c r="W24" s="602">
        <v>50</v>
      </c>
      <c r="X24" s="1027">
        <v>4.8</v>
      </c>
      <c r="Y24" s="601">
        <f t="shared" si="44"/>
        <v>1.44</v>
      </c>
      <c r="Z24" s="992">
        <v>20</v>
      </c>
      <c r="AA24" s="1028">
        <v>9</v>
      </c>
      <c r="AB24" s="745">
        <f t="shared" si="0"/>
        <v>65</v>
      </c>
      <c r="AC24" s="746">
        <v>2</v>
      </c>
      <c r="AD24" s="747">
        <f>VLOOKUP(AB24,'Ціни контур мережний'!$Z$24:$AB$36,3,0)</f>
        <v>30.19184015363556</v>
      </c>
      <c r="AE24" s="748">
        <f t="shared" si="45"/>
        <v>60.383680307271121</v>
      </c>
      <c r="AF24" s="745">
        <f t="shared" si="1"/>
        <v>65</v>
      </c>
      <c r="AG24" s="749">
        <v>2</v>
      </c>
      <c r="AH24" s="747">
        <f>VLOOKUP(AF24,'Ціни контур мережний'!$Z$64:$AB$77,3,0)</f>
        <v>105.883234246566</v>
      </c>
      <c r="AI24" s="748">
        <f t="shared" si="46"/>
        <v>211.76646849313201</v>
      </c>
      <c r="AJ24" s="745">
        <f t="shared" si="2"/>
        <v>65</v>
      </c>
      <c r="AK24" s="746">
        <v>0</v>
      </c>
      <c r="AL24" s="747">
        <f>VLOOKUP(AJ24,'Ціни контур мережний'!$Z$5:$AB$17,3,0)</f>
        <v>39.731999999999999</v>
      </c>
      <c r="AM24" s="748">
        <f t="shared" si="47"/>
        <v>0</v>
      </c>
      <c r="AN24" s="750">
        <f t="shared" si="3"/>
        <v>40</v>
      </c>
      <c r="AO24" s="746">
        <v>1</v>
      </c>
      <c r="AP24" s="747">
        <f>VLOOKUP(AN24,'Ціни контур мережний'!$Z$43:$AB$55,3,0)</f>
        <v>18.42400964308333</v>
      </c>
      <c r="AQ24" s="768">
        <f t="shared" si="48"/>
        <v>18.42400964308333</v>
      </c>
      <c r="AR24" s="749">
        <f t="shared" si="4"/>
        <v>40</v>
      </c>
      <c r="AS24" s="749">
        <v>4</v>
      </c>
      <c r="AT24" s="747">
        <f>VLOOKUP(AR24,'Ціни контур мережний'!$Z$43:$AB$55,3,0)</f>
        <v>18.42400964308333</v>
      </c>
      <c r="AU24" s="1016">
        <f t="shared" si="49"/>
        <v>73.696038572333322</v>
      </c>
      <c r="AV24" s="751" t="str">
        <f t="shared" si="50"/>
        <v>AMV20</v>
      </c>
      <c r="AW24" s="751">
        <v>1</v>
      </c>
      <c r="AX24" s="747">
        <f>VLOOKUP(AV24,'Ціни контур мережний'!$I$53:$M$57,5,0)</f>
        <v>110.39869654932889</v>
      </c>
      <c r="AY24" s="748">
        <f t="shared" si="51"/>
        <v>110.39869654932889</v>
      </c>
      <c r="AZ24" s="752">
        <f t="array" ref="AZ24">MIN(IF('Ціни контур мережний'!$Y$83:$Y$92&gt;(R24*1.2),'Ціни контур мережний'!$Y$83:$Y$92))</f>
        <v>10</v>
      </c>
      <c r="BA24" s="746">
        <f>VLOOKUP(AZ24,'Ціни контур мережний'!$Y$83:$Z$92,2,0)</f>
        <v>25</v>
      </c>
      <c r="BB24" s="746">
        <v>1</v>
      </c>
      <c r="BC24" s="747">
        <f>VLOOKUP(AZ24,'Ціни контур мережний'!$Y$83:$AB$92,4,0)</f>
        <v>117.50505648967251</v>
      </c>
      <c r="BD24" s="748">
        <f t="shared" si="52"/>
        <v>117.50505648967251</v>
      </c>
      <c r="BE24" s="1099">
        <f t="array" ref="BE24">MIN(IF('[1]Ціни контур мережний'!$Y$104:$Y$114&gt;(R24*1.2),'[1]Ціни контур мережний'!$Y$104:$Y$114))</f>
        <v>12.5</v>
      </c>
      <c r="BF24" s="1101">
        <f>VLOOKUP(BE24,'[1]Ціни контур мережний'!$Y$104:$Z$114,2,0)</f>
        <v>32</v>
      </c>
      <c r="BG24" s="753">
        <v>1</v>
      </c>
      <c r="BH24" s="754">
        <f>VLOOKUP(BE24,'Ціни контур мережний'!$Y$104:$AB$114,4,0)</f>
        <v>435.76049604674444</v>
      </c>
      <c r="BI24" s="755">
        <f t="shared" si="53"/>
        <v>435.76049604674444</v>
      </c>
      <c r="BJ24" s="751" t="s">
        <v>67</v>
      </c>
      <c r="BK24" s="749">
        <v>1</v>
      </c>
      <c r="BL24" s="747">
        <f>VLOOKUP(BJ24,'Ціни контур мережний'!$I$53:$M$57,5,0)</f>
        <v>157.67238032974441</v>
      </c>
      <c r="BM24" s="748">
        <f t="shared" si="54"/>
        <v>157.67238032974441</v>
      </c>
      <c r="BN24" s="896">
        <f t="array" ref="BN24">MIN(IF('Ціни контур мережний'!$Y$83:$Y$93&gt;(S24*1.2),'Ціни контур мережний'!$Y$83:$Y$93))</f>
        <v>10</v>
      </c>
      <c r="BO24" s="896">
        <f>VLOOKUP(BN24,'Ціни контур мережний'!$Y$83:$Z$93,2,0)</f>
        <v>25</v>
      </c>
      <c r="BP24" s="895">
        <v>1</v>
      </c>
      <c r="BQ24" s="896">
        <f>VLOOKUP(BN24,'Ціни контур мережний'!$Y$83:$AB$93,4,0)</f>
        <v>117.50505648967251</v>
      </c>
      <c r="BR24" s="897">
        <f t="shared" si="55"/>
        <v>117.50505648967251</v>
      </c>
      <c r="BS24" s="896">
        <f t="array" ref="BS24">MIN(IF('Ціни контур мережний'!$Y$104:$Y$114&gt;(S24*1.2),'Ціни контур мережний'!$Y$104:$Y$114))</f>
        <v>12.5</v>
      </c>
      <c r="BT24" s="896">
        <f>VLOOKUP(BS24,'Ціни контур мережний'!$Y$104:$Z$114,2,0)</f>
        <v>32</v>
      </c>
      <c r="BU24" s="895">
        <v>1</v>
      </c>
      <c r="BV24" s="896">
        <f>VLOOKUP(BS24,'Ціни контур мережний'!$Y$104:$AB$114,4,0)</f>
        <v>435.76049604674444</v>
      </c>
      <c r="BW24" s="897">
        <f t="shared" si="56"/>
        <v>435.76049604674444</v>
      </c>
      <c r="BX24" s="751" t="s">
        <v>115</v>
      </c>
      <c r="BY24" s="751" t="s">
        <v>115</v>
      </c>
      <c r="BZ24" s="746" t="s">
        <v>1025</v>
      </c>
      <c r="CA24" s="756">
        <v>0</v>
      </c>
      <c r="CB24" s="747">
        <v>0</v>
      </c>
      <c r="CC24" s="748">
        <f t="shared" si="57"/>
        <v>0</v>
      </c>
      <c r="CD24" s="758">
        <f>VLOOKUP(CE24,'Ціни контур мережний'!$J$5:$L$12,3,0)</f>
        <v>25</v>
      </c>
      <c r="CE24" s="747">
        <f t="array" ref="CE24">MIN(IF('Ціни контур мережний'!$J$5:$J$12&gt;L24,'Ціни контур мережний'!$J$5:$J$12))</f>
        <v>6</v>
      </c>
      <c r="CF24" s="746" t="s">
        <v>130</v>
      </c>
      <c r="CG24" s="749">
        <v>1</v>
      </c>
      <c r="CH24" s="747">
        <f>VLOOKUP(CE24,'Ціни контур мережний'!$J$5:$N$12,5,0)</f>
        <v>341.25599999999997</v>
      </c>
      <c r="CI24" s="748">
        <f t="shared" si="58"/>
        <v>341.25599999999997</v>
      </c>
      <c r="CJ24" s="899" t="s">
        <v>1303</v>
      </c>
      <c r="CK24" s="899">
        <v>1</v>
      </c>
      <c r="CL24" s="898">
        <v>899</v>
      </c>
      <c r="CM24" s="901">
        <f t="shared" si="59"/>
        <v>899</v>
      </c>
      <c r="CN24" s="898" t="s">
        <v>1328</v>
      </c>
      <c r="CO24" s="899">
        <v>1</v>
      </c>
      <c r="CP24" s="900">
        <v>582</v>
      </c>
      <c r="CQ24" s="901">
        <f t="shared" si="60"/>
        <v>582</v>
      </c>
      <c r="CR24" s="751">
        <f t="shared" si="5"/>
        <v>80</v>
      </c>
      <c r="CS24" s="746">
        <v>4</v>
      </c>
      <c r="CT24" s="747">
        <f>VLOOKUP(CR24,'Ціни контур теплопостачання'!$Y$5:$AA$17,3,0)</f>
        <v>37.693832104112609</v>
      </c>
      <c r="CU24" s="748">
        <f t="shared" si="61"/>
        <v>150.77532841645044</v>
      </c>
      <c r="CV24" s="750">
        <f t="shared" si="6"/>
        <v>40</v>
      </c>
      <c r="CW24" s="746">
        <v>6</v>
      </c>
      <c r="CX24" s="747">
        <f>VLOOKUP(CV24,'Ціни контур теплопостачання'!$AO$20:$AQ$29,3,0)</f>
        <v>37.980000000000004</v>
      </c>
      <c r="CY24" s="748">
        <f t="shared" si="62"/>
        <v>227.88000000000002</v>
      </c>
      <c r="CZ24" s="750">
        <f t="shared" si="7"/>
        <v>25</v>
      </c>
      <c r="DA24" s="746">
        <v>3</v>
      </c>
      <c r="DB24" s="747">
        <f>VLOOKUP(CZ24,'Ціни контур теплопостачання'!$AO$20:$AQ$29,3,0)</f>
        <v>6.3070000000000004</v>
      </c>
      <c r="DC24" s="748">
        <f t="shared" si="63"/>
        <v>18.920999999999999</v>
      </c>
      <c r="DD24" s="757">
        <f t="shared" si="8"/>
        <v>50</v>
      </c>
      <c r="DE24" s="746">
        <f t="shared" si="9"/>
        <v>4</v>
      </c>
      <c r="DF24" s="747">
        <f>VLOOKUP(DD24,'Ціни контур теплопостачання'!$Y$5:$AA$17,3,0)</f>
        <v>23.2782130224622</v>
      </c>
      <c r="DG24" s="748">
        <f t="shared" si="64"/>
        <v>93.112852089848801</v>
      </c>
      <c r="DH24" s="745">
        <f t="shared" si="65"/>
        <v>32</v>
      </c>
      <c r="DI24" s="749">
        <f t="shared" si="66"/>
        <v>1</v>
      </c>
      <c r="DJ24" s="747">
        <f>VLOOKUP(DH24,'Ціни контур теплопостачання'!$Y$5:$AA$17,3,0)</f>
        <v>10.381</v>
      </c>
      <c r="DK24" s="765">
        <f t="shared" si="67"/>
        <v>10.381</v>
      </c>
      <c r="DL24" s="757">
        <f t="shared" si="10"/>
        <v>20</v>
      </c>
      <c r="DM24" s="746">
        <v>1</v>
      </c>
      <c r="DN24" s="747">
        <f>VLOOKUP(DL24,'Ціни контур мережний'!$Z$43:$AB$55,3,0)</f>
        <v>14.562690256808384</v>
      </c>
      <c r="DO24" s="748">
        <f t="shared" si="68"/>
        <v>14.562690256808384</v>
      </c>
      <c r="DP24" s="757">
        <f t="shared" si="11"/>
        <v>20</v>
      </c>
      <c r="DQ24" s="746">
        <v>2</v>
      </c>
      <c r="DR24" s="747">
        <f>VLOOKUP(DP24,'Ціни контур теплопостачання'!$Y$5:$AA$17,3,0)</f>
        <v>3.577</v>
      </c>
      <c r="DS24" s="748">
        <f t="shared" si="69"/>
        <v>7.1539999999999999</v>
      </c>
      <c r="DT24" s="745">
        <v>20</v>
      </c>
      <c r="DU24" s="749">
        <v>2</v>
      </c>
      <c r="DV24" s="747">
        <f>VLOOKUP(DT24,'Ціни контур теплопостачання'!$Y$5:$AA$17,3,0)</f>
        <v>3.577</v>
      </c>
      <c r="DW24" s="748">
        <f t="shared" si="70"/>
        <v>7.1539999999999999</v>
      </c>
      <c r="DX24" s="745">
        <v>15</v>
      </c>
      <c r="DY24" s="745">
        <v>10</v>
      </c>
      <c r="DZ24" s="758">
        <f>VLOOKUP(DX24,'Ціни контур теплопостачання'!$Y$5:$AA$17,3,0)</f>
        <v>2.464</v>
      </c>
      <c r="EA24" s="759">
        <f t="shared" si="71"/>
        <v>24.64</v>
      </c>
      <c r="EB24" s="745">
        <v>15</v>
      </c>
      <c r="EC24" s="745">
        <f t="shared" si="110"/>
        <v>38</v>
      </c>
      <c r="ED24" s="758">
        <f>VLOOKUP(EB24,'Ціни контур мережний'!$J$71:$M$71,4,0)</f>
        <v>3.3865201135922525</v>
      </c>
      <c r="EE24" s="759">
        <f t="shared" si="72"/>
        <v>128.68776431650559</v>
      </c>
      <c r="EF24" s="751">
        <f t="shared" si="12"/>
        <v>80</v>
      </c>
      <c r="EG24" s="746">
        <v>1</v>
      </c>
      <c r="EH24" s="747">
        <f>VLOOKUP(EF24,'Ціни контур теплопостачання'!$K$5:$M$17,3,0)</f>
        <v>50.12</v>
      </c>
      <c r="EI24" s="748">
        <f t="shared" si="73"/>
        <v>50.12</v>
      </c>
      <c r="EJ24" s="745">
        <f t="shared" si="13"/>
        <v>40</v>
      </c>
      <c r="EK24" s="749">
        <v>1</v>
      </c>
      <c r="EL24" s="747">
        <f>VLOOKUP(EJ24,'Ціни контур теплопостачання'!$K$5:$M$17,3,0)</f>
        <v>23.225999999999999</v>
      </c>
      <c r="EM24" s="748">
        <f t="shared" si="74"/>
        <v>23.225999999999999</v>
      </c>
      <c r="EN24" s="745">
        <f t="shared" si="14"/>
        <v>25</v>
      </c>
      <c r="EO24" s="745">
        <v>1</v>
      </c>
      <c r="EP24" s="758">
        <f>VLOOKUP(EN24,'Ціни контур теплопостачання'!$K$5:$M$17,3,0)</f>
        <v>4.78</v>
      </c>
      <c r="EQ24" s="759">
        <f t="shared" si="75"/>
        <v>4.78</v>
      </c>
      <c r="ER24" s="745">
        <f t="shared" si="15"/>
        <v>20</v>
      </c>
      <c r="ES24" s="745">
        <v>1</v>
      </c>
      <c r="ET24" s="758">
        <f>VLOOKUP(ER24,'Ціни контур теплопостачання'!$K$5:$M$17,3,0)</f>
        <v>3.48</v>
      </c>
      <c r="EU24" s="759">
        <f t="shared" si="76"/>
        <v>3.48</v>
      </c>
      <c r="EV24" s="751">
        <f t="shared" si="16"/>
        <v>80</v>
      </c>
      <c r="EW24" s="746">
        <v>2</v>
      </c>
      <c r="EX24" s="747">
        <f>VLOOKUP(EV24,'Ціни контур теплопостачання'!$Y$24:$AA$36,3,0)</f>
        <v>60.079499999999996</v>
      </c>
      <c r="EY24" s="748">
        <f t="shared" si="77"/>
        <v>120.15899999999999</v>
      </c>
      <c r="EZ24" s="745">
        <f t="shared" si="17"/>
        <v>40</v>
      </c>
      <c r="FA24" s="749">
        <v>1</v>
      </c>
      <c r="FB24" s="747">
        <f>VLOOKUP(EZ24,'Ціни контур теплопостачання'!$AO$38:$AQ$50,3,0)</f>
        <v>20.3645</v>
      </c>
      <c r="FC24" s="748">
        <f t="shared" si="78"/>
        <v>20.3645</v>
      </c>
      <c r="FD24" s="745">
        <f t="shared" si="18"/>
        <v>25</v>
      </c>
      <c r="FE24" s="745">
        <v>1</v>
      </c>
      <c r="FF24" s="758">
        <f>VLOOKUP(FD24,'Ціни контур теплопостачання'!$AO$38:$AQ$50,3,0)</f>
        <v>6.9659999999999993</v>
      </c>
      <c r="FG24" s="759">
        <f t="shared" si="79"/>
        <v>6.9659999999999993</v>
      </c>
      <c r="FH24" s="745">
        <f t="shared" si="19"/>
        <v>20</v>
      </c>
      <c r="FI24" s="745">
        <v>1</v>
      </c>
      <c r="FJ24" s="758">
        <f>VLOOKUP(FH24,'Ціни контур теплопостачання'!$Y$24:$AA$36,3,0)</f>
        <v>4.5359999999999996</v>
      </c>
      <c r="FK24" s="759">
        <f t="shared" si="80"/>
        <v>4.5359999999999996</v>
      </c>
      <c r="FL24" s="745">
        <f t="shared" si="20"/>
        <v>50</v>
      </c>
      <c r="FM24" s="745">
        <f t="shared" si="21"/>
        <v>4</v>
      </c>
      <c r="FN24" s="758">
        <f>VLOOKUP(FL24,'Ціни контур теплопостачання'!$Y$76:$AA$88,3,0)</f>
        <v>20.6</v>
      </c>
      <c r="FO24" s="759">
        <f t="shared" si="81"/>
        <v>82.4</v>
      </c>
      <c r="FP24" s="745">
        <f t="shared" si="22"/>
        <v>40</v>
      </c>
      <c r="FQ24" s="745">
        <v>1</v>
      </c>
      <c r="FR24" s="758">
        <f>VLOOKUP(FP24,'Ціни контур теплопостачання'!$Y$76:$AA$88,3,0)</f>
        <v>16.809999999999999</v>
      </c>
      <c r="FS24" s="759">
        <f t="shared" si="82"/>
        <v>16.809999999999999</v>
      </c>
      <c r="FT24" s="745">
        <f t="shared" si="23"/>
        <v>25</v>
      </c>
      <c r="FU24" s="745">
        <v>1</v>
      </c>
      <c r="FV24" s="758">
        <f>VLOOKUP(FT24,'Ціни контур теплопостачання'!$Y$76:$AA$88,3,0)</f>
        <v>11.45</v>
      </c>
      <c r="FW24" s="759">
        <f t="shared" si="83"/>
        <v>11.45</v>
      </c>
      <c r="FX24" s="758">
        <f t="shared" si="24"/>
        <v>28.005713702742874</v>
      </c>
      <c r="FY24" s="760">
        <v>32</v>
      </c>
      <c r="FZ24" s="719">
        <v>2</v>
      </c>
      <c r="GA24" s="747">
        <f>VLOOKUP(FY24,'Ціни контур теплопостачання'!$K$74:$M$79,3,0)</f>
        <v>33.68</v>
      </c>
      <c r="GB24" s="761">
        <f t="shared" si="84"/>
        <v>67.36</v>
      </c>
      <c r="GC24" s="762">
        <f t="shared" si="85"/>
        <v>12.640332640332639</v>
      </c>
      <c r="GD24" s="911">
        <v>9</v>
      </c>
      <c r="GE24" s="1017">
        <v>9</v>
      </c>
      <c r="GF24" s="1018" t="s">
        <v>119</v>
      </c>
      <c r="GG24" s="713">
        <v>2</v>
      </c>
      <c r="GH24" s="709">
        <f>VLOOKUP(GF24,'Ціни контур теплопостачання'!$C$89:$M$105,11,0)</f>
        <v>391.06799999999998</v>
      </c>
      <c r="GI24" s="764">
        <f t="shared" si="86"/>
        <v>782.13599999999997</v>
      </c>
      <c r="GJ24" s="912">
        <f t="shared" si="87"/>
        <v>1.3582150101419879</v>
      </c>
      <c r="GK24" s="911">
        <v>9</v>
      </c>
      <c r="GL24" s="1017">
        <v>9</v>
      </c>
      <c r="GM24" s="1019" t="s">
        <v>1097</v>
      </c>
      <c r="GN24" s="749">
        <v>1</v>
      </c>
      <c r="GO24" s="747">
        <f>VLOOKUP(GM24,'Ціни контур теплопостачання'!$C$89:$M$105,11,0)</f>
        <v>241.2</v>
      </c>
      <c r="GP24" s="904">
        <f t="shared" si="88"/>
        <v>241.2</v>
      </c>
      <c r="GQ24" s="758">
        <f t="shared" si="25"/>
        <v>507.42516218579976</v>
      </c>
      <c r="GR24" s="955">
        <v>500</v>
      </c>
      <c r="GS24" s="749">
        <f>VLOOKUP(GR24,'Ціни контур теплопостачання'!$J$43:$K$55,2,0)</f>
        <v>32</v>
      </c>
      <c r="GT24" s="1020">
        <v>1</v>
      </c>
      <c r="GU24" s="747">
        <f>VLOOKUP(GR24,'Ціни контур теплопостачання'!$J$43:$M$55,4,0)</f>
        <v>249.72</v>
      </c>
      <c r="GV24" s="748">
        <f t="shared" si="89"/>
        <v>249.72</v>
      </c>
      <c r="GW24" s="758">
        <f t="array" ref="GW24">MIN(IF('Ціни контур теплопостачання'!$AN$68:$AN$77&gt;(V24*1.2),'Ціни контур теплопостачання'!$AN$68:$AN$77))</f>
        <v>11.13</v>
      </c>
      <c r="GX24" s="749">
        <f>VLOOKUP(GW24,'Ціни контур теплопостачання'!$AN$68:$AO$77,2,0)</f>
        <v>32</v>
      </c>
      <c r="GY24" s="749">
        <f t="shared" si="26"/>
        <v>2</v>
      </c>
      <c r="GZ24" s="747">
        <f>VLOOKUP(GX24,'Ціни контур теплопостачання'!$AO$68:$AQ$77,3,0)</f>
        <v>37.183999999999997</v>
      </c>
      <c r="HA24" s="759">
        <f t="shared" si="90"/>
        <v>74.367999999999995</v>
      </c>
      <c r="HB24" s="751">
        <v>15</v>
      </c>
      <c r="HC24" s="746">
        <v>2</v>
      </c>
      <c r="HD24" s="747">
        <f>VLOOKUP(HB24,'Ціни контур мережний'!$J$73:$M$73,4,0)</f>
        <v>3.4649999999999999</v>
      </c>
      <c r="HE24" s="748">
        <f t="shared" si="91"/>
        <v>6.93</v>
      </c>
      <c r="HF24" s="749">
        <f t="shared" si="27"/>
        <v>20</v>
      </c>
      <c r="HG24" s="749">
        <v>1</v>
      </c>
      <c r="HH24" s="747">
        <f>VLOOKUP(HF24,'Ціни контур теплопостачання'!$Y$62:$AA$69,3,0)</f>
        <v>23.753519999999998</v>
      </c>
      <c r="HI24" s="765">
        <f t="shared" si="92"/>
        <v>23.753519999999998</v>
      </c>
      <c r="HJ24" s="750">
        <f>VLOOKUP(HK24,'Ціни контур теплопостачання'!$AN$6:$AO$13,2,0)</f>
        <v>32</v>
      </c>
      <c r="HK24" s="751">
        <f t="array" ref="HK24">MIN(IF('Ціни контур теплопостачання'!$AN$6:$AN$13&gt;N24,'Ціни контур теплопостачання'!$AN$6:$AN$13))</f>
        <v>6</v>
      </c>
      <c r="HL24" s="751">
        <v>1</v>
      </c>
      <c r="HM24" s="747">
        <f>VLOOKUP(HJ24,'Ціни контур теплопостачання'!$AO$6:$AQ$13,3,0)</f>
        <v>85.682340000000011</v>
      </c>
      <c r="HN24" s="748">
        <f t="shared" si="93"/>
        <v>85.682340000000011</v>
      </c>
      <c r="HO24" s="750">
        <f t="shared" si="28"/>
        <v>40</v>
      </c>
      <c r="HP24" s="746">
        <v>1</v>
      </c>
      <c r="HQ24" s="747">
        <f>VLOOKUP(HO24,'Ціни контур теплопостачання'!$AO$55:$AQ$63,3,0)</f>
        <v>193.55</v>
      </c>
      <c r="HR24" s="748">
        <f t="shared" si="126"/>
        <v>193.55</v>
      </c>
      <c r="HS24" s="745">
        <f t="shared" si="29"/>
        <v>20</v>
      </c>
      <c r="HT24" s="749">
        <v>1</v>
      </c>
      <c r="HU24" s="747">
        <f>VLOOKUP(HS24,'Ціни контур теплопостачання'!$K$62:$M$67,3,0)</f>
        <v>91.13</v>
      </c>
      <c r="HV24" s="765">
        <f t="shared" si="95"/>
        <v>91.13</v>
      </c>
      <c r="HW24" s="655" t="str">
        <f t="shared" ref="HW24" si="131">HW23</f>
        <v>0-150</v>
      </c>
      <c r="HX24" s="720">
        <v>1</v>
      </c>
      <c r="HY24" s="747">
        <f>VLOOKUP(HW24,'Ціни контур мережний'!$I$79:$M$80,5,0)</f>
        <v>15.050156291498967</v>
      </c>
      <c r="HZ24" s="748">
        <f t="shared" si="96"/>
        <v>15.050156291498967</v>
      </c>
      <c r="IA24" s="758" t="s">
        <v>109</v>
      </c>
      <c r="IB24" s="749">
        <v>1</v>
      </c>
      <c r="IC24" s="747">
        <f>VLOOKUP(IA24,'Ціни контур мережний'!$I$79:$M$80,5,0)</f>
        <v>15.050156291498967</v>
      </c>
      <c r="ID24" s="765">
        <f t="shared" si="97"/>
        <v>15.050156291498967</v>
      </c>
      <c r="IE24" s="655" t="s">
        <v>108</v>
      </c>
      <c r="IF24" s="720">
        <v>3</v>
      </c>
      <c r="IG24" s="747">
        <f>VLOOKUP(IE24,'Ціни контур мережний'!$I$67:$M$69,5,0)</f>
        <v>4.4537969640631703</v>
      </c>
      <c r="IH24" s="748">
        <f t="shared" si="98"/>
        <v>13.361390892189512</v>
      </c>
      <c r="II24" s="655" t="s">
        <v>106</v>
      </c>
      <c r="IJ24" s="720">
        <f>11+T24</f>
        <v>13</v>
      </c>
      <c r="IK24" s="747">
        <f>VLOOKUP(II24,'Ціни контур мережний'!$I$67:$M$69,5,0)</f>
        <v>4.4537969640631703</v>
      </c>
      <c r="IL24" s="748">
        <f t="shared" si="99"/>
        <v>57.899360532821213</v>
      </c>
      <c r="IM24" s="655" t="s">
        <v>1013</v>
      </c>
      <c r="IN24" s="720">
        <v>5</v>
      </c>
      <c r="IO24" s="747">
        <f>VLOOKUP(IM24,'Ціни контур мережний'!$I$64:$M$64,5,0)</f>
        <v>29.1312</v>
      </c>
      <c r="IP24" s="748">
        <f t="shared" si="100"/>
        <v>145.65600000000001</v>
      </c>
      <c r="IQ24" s="766" t="s">
        <v>1015</v>
      </c>
      <c r="IR24" s="749">
        <v>6</v>
      </c>
      <c r="IS24" s="747">
        <f>VLOOKUP(IQ24,'Ціни контур мережний'!$I$89:$M$89,5,0)</f>
        <v>79.523165325760516</v>
      </c>
      <c r="IT24" s="765">
        <f t="shared" si="101"/>
        <v>477.1389919545631</v>
      </c>
      <c r="IU24" s="917" t="s">
        <v>1016</v>
      </c>
      <c r="IV24" s="720">
        <f t="shared" si="117"/>
        <v>7</v>
      </c>
      <c r="IW24" s="747">
        <f>VLOOKUP(IU24,'Ціни контур мережний'!$I$88:$M$88,5,0)</f>
        <v>13.211568975967202</v>
      </c>
      <c r="IX24" s="768">
        <f t="shared" si="102"/>
        <v>92.480982831770419</v>
      </c>
      <c r="IY24" s="917" t="s">
        <v>383</v>
      </c>
      <c r="IZ24" s="720">
        <v>1</v>
      </c>
      <c r="JA24" s="747">
        <f>VLOOKUP(IY24,'Ціни контур мережний'!$I$87:$M$87,5,0)</f>
        <v>13.483972460007763</v>
      </c>
      <c r="JB24" s="748">
        <f t="shared" si="103"/>
        <v>13.483972460007763</v>
      </c>
      <c r="JC24" s="769">
        <f t="shared" si="31"/>
        <v>28</v>
      </c>
      <c r="JD24" s="770">
        <f t="shared" si="104"/>
        <v>7234.6393853016889</v>
      </c>
      <c r="JE24" s="771">
        <f>$JE$44/'Ціни контур мережний'!$G$26</f>
        <v>476.70609707098151</v>
      </c>
      <c r="JF24" s="771">
        <f>$JE$44/'Ціни контур мережний'!$G$26</f>
        <v>476.70609707098151</v>
      </c>
      <c r="JG24" s="770">
        <f t="shared" si="112"/>
        <v>661.80181284518619</v>
      </c>
      <c r="JH24" s="770">
        <f t="shared" si="113"/>
        <v>487.81784379022207</v>
      </c>
      <c r="JI24" s="770">
        <f>$JI$43/'Ціни контур мережний'!$G$26</f>
        <v>323.47913729816605</v>
      </c>
      <c r="JJ24" s="770">
        <f t="shared" si="105"/>
        <v>66.611999999999995</v>
      </c>
      <c r="JK24" s="772">
        <v>0</v>
      </c>
      <c r="JL24" s="772">
        <f t="shared" si="114"/>
        <v>62.86234247089866</v>
      </c>
      <c r="JM24" s="772">
        <v>0</v>
      </c>
      <c r="JN24" s="770">
        <v>0</v>
      </c>
      <c r="JO24" s="1029">
        <f t="shared" si="32"/>
        <v>685.34373010936872</v>
      </c>
      <c r="JP24" s="770">
        <f t="shared" si="33"/>
        <v>979.06247158481244</v>
      </c>
      <c r="JQ24" s="1030">
        <f t="shared" si="34"/>
        <v>168.42306815517259</v>
      </c>
      <c r="JR24" s="1023">
        <f t="shared" si="115"/>
        <v>300.63036461094771</v>
      </c>
      <c r="JS24" s="777">
        <f t="shared" si="106"/>
        <v>11924.084350308425</v>
      </c>
      <c r="JU24" s="611">
        <f>[3]Расчеты!AX23/1.2</f>
        <v>4539.4533686798559</v>
      </c>
      <c r="JV24" s="611">
        <f t="shared" si="107"/>
        <v>16463.537718988282</v>
      </c>
      <c r="JW24" s="611" t="e">
        <f>JV24*1.2*#REF!</f>
        <v>#REF!</v>
      </c>
      <c r="JX24" s="611"/>
    </row>
    <row r="25" spans="1:286" ht="12.6" customHeight="1">
      <c r="A25" s="610" t="s">
        <v>686</v>
      </c>
      <c r="B25" s="597">
        <v>29</v>
      </c>
      <c r="C25" s="1056" t="s">
        <v>1419</v>
      </c>
      <c r="D25" s="906">
        <v>0.29899999999999999</v>
      </c>
      <c r="E25" s="907">
        <v>0.223</v>
      </c>
      <c r="F25" s="908">
        <f t="shared" si="35"/>
        <v>11.04160228127048</v>
      </c>
      <c r="G25" s="909">
        <v>50</v>
      </c>
      <c r="H25" s="598">
        <f t="shared" si="36"/>
        <v>5.3411932833154694</v>
      </c>
      <c r="I25" s="599">
        <v>40</v>
      </c>
      <c r="J25" s="598">
        <f t="shared" si="37"/>
        <v>12.432432432432432</v>
      </c>
      <c r="K25" s="599">
        <v>80</v>
      </c>
      <c r="L25" s="598">
        <f t="shared" si="38"/>
        <v>5.7004089979550105</v>
      </c>
      <c r="M25" s="599">
        <v>40</v>
      </c>
      <c r="N25" s="598">
        <f t="shared" si="39"/>
        <v>4.5233265720081137</v>
      </c>
      <c r="O25" s="599">
        <v>40</v>
      </c>
      <c r="P25" s="598">
        <f t="shared" si="108"/>
        <v>1.3569979716024341</v>
      </c>
      <c r="Q25" s="599">
        <v>25</v>
      </c>
      <c r="R25" s="598">
        <f t="shared" si="40"/>
        <v>7.5535879805208177</v>
      </c>
      <c r="S25" s="600">
        <f t="shared" si="41"/>
        <v>8.0615957159815999</v>
      </c>
      <c r="T25" s="910">
        <v>2</v>
      </c>
      <c r="U25" s="601">
        <f t="shared" si="42"/>
        <v>6.2162162162162158</v>
      </c>
      <c r="V25" s="601">
        <f t="shared" si="43"/>
        <v>8.7910572796165347</v>
      </c>
      <c r="W25" s="602">
        <v>50</v>
      </c>
      <c r="X25" s="1027">
        <v>5.9</v>
      </c>
      <c r="Y25" s="601">
        <f t="shared" si="44"/>
        <v>1.77</v>
      </c>
      <c r="Z25" s="992">
        <v>25</v>
      </c>
      <c r="AA25" s="1028">
        <v>9</v>
      </c>
      <c r="AB25" s="745">
        <f t="shared" si="0"/>
        <v>50</v>
      </c>
      <c r="AC25" s="746">
        <v>2</v>
      </c>
      <c r="AD25" s="747">
        <f>VLOOKUP(AB25,'Ціни контур мережний'!$Z$24:$AB$36,3,0)</f>
        <v>23.2782130224622</v>
      </c>
      <c r="AE25" s="748">
        <f t="shared" si="45"/>
        <v>46.5564260449244</v>
      </c>
      <c r="AF25" s="745">
        <f t="shared" si="1"/>
        <v>50</v>
      </c>
      <c r="AG25" s="749">
        <v>2</v>
      </c>
      <c r="AH25" s="747">
        <f>VLOOKUP(AF25,'Ціни контур мережний'!$Z$64:$AB$77,3,0)</f>
        <v>80.03214361111678</v>
      </c>
      <c r="AI25" s="748">
        <f t="shared" si="46"/>
        <v>160.06428722223356</v>
      </c>
      <c r="AJ25" s="745">
        <f t="shared" si="2"/>
        <v>50</v>
      </c>
      <c r="AK25" s="746">
        <v>0</v>
      </c>
      <c r="AL25" s="747">
        <f>VLOOKUP(AJ25,'Ціни контур мережний'!$Z$5:$AB$17,3,0)</f>
        <v>26.284999999999997</v>
      </c>
      <c r="AM25" s="748">
        <f t="shared" si="47"/>
        <v>0</v>
      </c>
      <c r="AN25" s="750">
        <f t="shared" si="3"/>
        <v>40</v>
      </c>
      <c r="AO25" s="746">
        <v>1</v>
      </c>
      <c r="AP25" s="747">
        <f>VLOOKUP(AN25,'Ціни контур мережний'!$Z$43:$AB$55,3,0)</f>
        <v>18.42400964308333</v>
      </c>
      <c r="AQ25" s="768">
        <f t="shared" si="48"/>
        <v>18.42400964308333</v>
      </c>
      <c r="AR25" s="749">
        <f t="shared" si="4"/>
        <v>40</v>
      </c>
      <c r="AS25" s="749">
        <v>4</v>
      </c>
      <c r="AT25" s="747">
        <f>VLOOKUP(AR25,'Ціни контур мережний'!$Z$43:$AB$55,3,0)</f>
        <v>18.42400964308333</v>
      </c>
      <c r="AU25" s="1016">
        <f t="shared" si="49"/>
        <v>73.696038572333322</v>
      </c>
      <c r="AV25" s="751" t="str">
        <f t="shared" si="50"/>
        <v>AMV20</v>
      </c>
      <c r="AW25" s="751">
        <v>1</v>
      </c>
      <c r="AX25" s="747">
        <f>VLOOKUP(AV25,'Ціни контур мережний'!$I$53:$M$57,5,0)</f>
        <v>110.39869654932889</v>
      </c>
      <c r="AY25" s="748">
        <f t="shared" si="51"/>
        <v>110.39869654932889</v>
      </c>
      <c r="AZ25" s="752">
        <f t="array" ref="AZ25">MIN(IF('Ціни контур мережний'!$Y$83:$Y$92&gt;(R25*1.2),'Ціни контур мережний'!$Y$83:$Y$92))</f>
        <v>10</v>
      </c>
      <c r="BA25" s="746">
        <f>VLOOKUP(AZ25,'Ціни контур мережний'!$Y$83:$Z$92,2,0)</f>
        <v>25</v>
      </c>
      <c r="BB25" s="746">
        <v>1</v>
      </c>
      <c r="BC25" s="747">
        <f>VLOOKUP(AZ25,'Ціни контур мережний'!$Y$83:$AB$92,4,0)</f>
        <v>117.50505648967251</v>
      </c>
      <c r="BD25" s="748">
        <f t="shared" si="52"/>
        <v>117.50505648967251</v>
      </c>
      <c r="BE25" s="1099">
        <f t="array" ref="BE25">MIN(IF('[1]Ціни контур мережний'!$Y$104:$Y$114&gt;(R25*1.2),'[1]Ціни контур мережний'!$Y$104:$Y$114))</f>
        <v>12.5</v>
      </c>
      <c r="BF25" s="1101">
        <f>VLOOKUP(BE25,'[1]Ціни контур мережний'!$Y$104:$Z$114,2,0)</f>
        <v>32</v>
      </c>
      <c r="BG25" s="753">
        <v>1</v>
      </c>
      <c r="BH25" s="754">
        <f>VLOOKUP(BE25,'Ціни контур мережний'!$Y$104:$AB$114,4,0)</f>
        <v>435.76049604674444</v>
      </c>
      <c r="BI25" s="755">
        <f t="shared" si="53"/>
        <v>435.76049604674444</v>
      </c>
      <c r="BJ25" s="751" t="s">
        <v>67</v>
      </c>
      <c r="BK25" s="749">
        <v>1</v>
      </c>
      <c r="BL25" s="747">
        <f>VLOOKUP(BJ25,'Ціни контур мережний'!$I$53:$M$57,5,0)</f>
        <v>157.67238032974441</v>
      </c>
      <c r="BM25" s="748">
        <f t="shared" si="54"/>
        <v>157.67238032974441</v>
      </c>
      <c r="BN25" s="896">
        <f t="array" ref="BN25">MIN(IF('Ціни контур мережний'!$Y$83:$Y$93&gt;(S25*1.2),'Ціни контур мережний'!$Y$83:$Y$93))</f>
        <v>10</v>
      </c>
      <c r="BO25" s="896">
        <f>VLOOKUP(BN25,'Ціни контур мережний'!$Y$83:$Z$93,2,0)</f>
        <v>25</v>
      </c>
      <c r="BP25" s="895">
        <v>1</v>
      </c>
      <c r="BQ25" s="896">
        <f>VLOOKUP(BN25,'Ціни контур мережний'!$Y$83:$AB$93,4,0)</f>
        <v>117.50505648967251</v>
      </c>
      <c r="BR25" s="897">
        <f t="shared" si="55"/>
        <v>117.50505648967251</v>
      </c>
      <c r="BS25" s="896">
        <f t="array" ref="BS25">MIN(IF('Ціни контур мережний'!$Y$104:$Y$114&gt;(S25*1.2),'Ціни контур мережний'!$Y$104:$Y$114))</f>
        <v>12.5</v>
      </c>
      <c r="BT25" s="896">
        <f>VLOOKUP(BS25,'Ціни контур мережний'!$Y$104:$Z$114,2,0)</f>
        <v>32</v>
      </c>
      <c r="BU25" s="895">
        <v>1</v>
      </c>
      <c r="BV25" s="896">
        <f>VLOOKUP(BS25,'Ціни контур мережний'!$Y$104:$AB$114,4,0)</f>
        <v>435.76049604674444</v>
      </c>
      <c r="BW25" s="897">
        <f t="shared" si="56"/>
        <v>435.76049604674444</v>
      </c>
      <c r="BX25" s="751" t="s">
        <v>115</v>
      </c>
      <c r="BY25" s="751" t="s">
        <v>115</v>
      </c>
      <c r="BZ25" s="746" t="s">
        <v>1025</v>
      </c>
      <c r="CA25" s="756">
        <v>0</v>
      </c>
      <c r="CB25" s="747">
        <v>0</v>
      </c>
      <c r="CC25" s="748">
        <f t="shared" si="57"/>
        <v>0</v>
      </c>
      <c r="CD25" s="758">
        <f>VLOOKUP(CE25,'Ціни контур мережний'!$J$5:$L$12,3,0)</f>
        <v>25</v>
      </c>
      <c r="CE25" s="747">
        <f t="array" ref="CE25">MIN(IF('Ціни контур мережний'!$J$5:$J$12&gt;L25,'Ціни контур мережний'!$J$5:$J$12))</f>
        <v>6</v>
      </c>
      <c r="CF25" s="746" t="s">
        <v>130</v>
      </c>
      <c r="CG25" s="749">
        <v>1</v>
      </c>
      <c r="CH25" s="747">
        <f>VLOOKUP(CE25,'Ціни контур мережний'!$J$5:$N$12,5,0)</f>
        <v>341.25599999999997</v>
      </c>
      <c r="CI25" s="748">
        <f t="shared" si="58"/>
        <v>341.25599999999997</v>
      </c>
      <c r="CJ25" s="899" t="s">
        <v>1304</v>
      </c>
      <c r="CK25" s="899">
        <v>1</v>
      </c>
      <c r="CL25" s="898">
        <v>899</v>
      </c>
      <c r="CM25" s="901">
        <f t="shared" si="59"/>
        <v>899</v>
      </c>
      <c r="CN25" s="898" t="s">
        <v>1328</v>
      </c>
      <c r="CO25" s="899">
        <v>1</v>
      </c>
      <c r="CP25" s="900">
        <v>582</v>
      </c>
      <c r="CQ25" s="901">
        <f t="shared" si="60"/>
        <v>582</v>
      </c>
      <c r="CR25" s="751">
        <f t="shared" si="5"/>
        <v>80</v>
      </c>
      <c r="CS25" s="746">
        <v>4</v>
      </c>
      <c r="CT25" s="747">
        <f>VLOOKUP(CR25,'Ціни контур теплопостачання'!$Y$5:$AA$17,3,0)</f>
        <v>37.693832104112609</v>
      </c>
      <c r="CU25" s="748">
        <f t="shared" si="61"/>
        <v>150.77532841645044</v>
      </c>
      <c r="CV25" s="750">
        <f t="shared" si="6"/>
        <v>40</v>
      </c>
      <c r="CW25" s="746">
        <v>6</v>
      </c>
      <c r="CX25" s="747">
        <f>VLOOKUP(CV25,'Ціни контур теплопостачання'!$AO$20:$AQ$29,3,0)</f>
        <v>37.980000000000004</v>
      </c>
      <c r="CY25" s="748">
        <f t="shared" si="62"/>
        <v>227.88000000000002</v>
      </c>
      <c r="CZ25" s="750">
        <f t="shared" si="7"/>
        <v>25</v>
      </c>
      <c r="DA25" s="746">
        <v>3</v>
      </c>
      <c r="DB25" s="747">
        <f>VLOOKUP(CZ25,'Ціни контур теплопостачання'!$AO$20:$AQ$29,3,0)</f>
        <v>6.3070000000000004</v>
      </c>
      <c r="DC25" s="748">
        <f t="shared" si="63"/>
        <v>18.920999999999999</v>
      </c>
      <c r="DD25" s="757">
        <f t="shared" si="8"/>
        <v>50</v>
      </c>
      <c r="DE25" s="746">
        <f t="shared" si="9"/>
        <v>4</v>
      </c>
      <c r="DF25" s="747">
        <f>VLOOKUP(DD25,'Ціни контур теплопостачання'!$Y$5:$AA$17,3,0)</f>
        <v>23.2782130224622</v>
      </c>
      <c r="DG25" s="748">
        <f t="shared" si="64"/>
        <v>93.112852089848801</v>
      </c>
      <c r="DH25" s="745">
        <f t="shared" si="65"/>
        <v>32</v>
      </c>
      <c r="DI25" s="749">
        <f t="shared" si="66"/>
        <v>1</v>
      </c>
      <c r="DJ25" s="747">
        <f>VLOOKUP(DH25,'Ціни контур теплопостачання'!$Y$5:$AA$17,3,0)</f>
        <v>10.381</v>
      </c>
      <c r="DK25" s="765">
        <f t="shared" si="67"/>
        <v>10.381</v>
      </c>
      <c r="DL25" s="757">
        <f t="shared" si="10"/>
        <v>25</v>
      </c>
      <c r="DM25" s="746">
        <v>1</v>
      </c>
      <c r="DN25" s="747">
        <f>VLOOKUP(DL25,'Ціни контур мережний'!$Z$43:$AB$55,3,0)</f>
        <v>14.856886019572187</v>
      </c>
      <c r="DO25" s="748">
        <f t="shared" si="68"/>
        <v>14.856886019572187</v>
      </c>
      <c r="DP25" s="757">
        <f t="shared" si="11"/>
        <v>25</v>
      </c>
      <c r="DQ25" s="746">
        <v>2</v>
      </c>
      <c r="DR25" s="747">
        <f>VLOOKUP(DP25,'Ціни контур теплопостачання'!$Y$5:$AA$17,3,0)</f>
        <v>6.3070000000000004</v>
      </c>
      <c r="DS25" s="748">
        <f t="shared" si="69"/>
        <v>12.614000000000001</v>
      </c>
      <c r="DT25" s="745">
        <v>20</v>
      </c>
      <c r="DU25" s="749">
        <v>2</v>
      </c>
      <c r="DV25" s="747">
        <f>VLOOKUP(DT25,'Ціни контур теплопостачання'!$Y$5:$AA$17,3,0)</f>
        <v>3.577</v>
      </c>
      <c r="DW25" s="748">
        <f t="shared" si="70"/>
        <v>7.1539999999999999</v>
      </c>
      <c r="DX25" s="745">
        <v>15</v>
      </c>
      <c r="DY25" s="745">
        <v>10</v>
      </c>
      <c r="DZ25" s="758">
        <f>VLOOKUP(DX25,'Ціни контур теплопостачання'!$Y$5:$AA$17,3,0)</f>
        <v>2.464</v>
      </c>
      <c r="EA25" s="759">
        <f t="shared" si="71"/>
        <v>24.64</v>
      </c>
      <c r="EB25" s="745">
        <v>15</v>
      </c>
      <c r="EC25" s="745">
        <f t="shared" si="110"/>
        <v>38</v>
      </c>
      <c r="ED25" s="758">
        <f>VLOOKUP(EB25,'Ціни контур мережний'!$J$71:$M$71,4,0)</f>
        <v>3.3865201135922525</v>
      </c>
      <c r="EE25" s="759">
        <f t="shared" si="72"/>
        <v>128.68776431650559</v>
      </c>
      <c r="EF25" s="751">
        <f t="shared" si="12"/>
        <v>80</v>
      </c>
      <c r="EG25" s="746">
        <v>1</v>
      </c>
      <c r="EH25" s="747">
        <f>VLOOKUP(EF25,'Ціни контур теплопостачання'!$K$5:$M$17,3,0)</f>
        <v>50.12</v>
      </c>
      <c r="EI25" s="748">
        <f t="shared" si="73"/>
        <v>50.12</v>
      </c>
      <c r="EJ25" s="745">
        <f t="shared" si="13"/>
        <v>40</v>
      </c>
      <c r="EK25" s="749">
        <v>1</v>
      </c>
      <c r="EL25" s="747">
        <f>VLOOKUP(EJ25,'Ціни контур теплопостачання'!$K$5:$M$17,3,0)</f>
        <v>23.225999999999999</v>
      </c>
      <c r="EM25" s="748">
        <f t="shared" si="74"/>
        <v>23.225999999999999</v>
      </c>
      <c r="EN25" s="745">
        <f t="shared" si="14"/>
        <v>25</v>
      </c>
      <c r="EO25" s="745">
        <v>1</v>
      </c>
      <c r="EP25" s="758">
        <f>VLOOKUP(EN25,'Ціни контур теплопостачання'!$K$5:$M$17,3,0)</f>
        <v>4.78</v>
      </c>
      <c r="EQ25" s="759">
        <f t="shared" si="75"/>
        <v>4.78</v>
      </c>
      <c r="ER25" s="745">
        <f t="shared" si="15"/>
        <v>25</v>
      </c>
      <c r="ES25" s="745">
        <v>1</v>
      </c>
      <c r="ET25" s="758">
        <f>VLOOKUP(ER25,'Ціни контур теплопостачання'!$K$5:$M$17,3,0)</f>
        <v>4.78</v>
      </c>
      <c r="EU25" s="759">
        <f t="shared" si="76"/>
        <v>4.78</v>
      </c>
      <c r="EV25" s="751">
        <f t="shared" si="16"/>
        <v>80</v>
      </c>
      <c r="EW25" s="746">
        <v>2</v>
      </c>
      <c r="EX25" s="747">
        <f>VLOOKUP(EV25,'Ціни контур теплопостачання'!$Y$24:$AA$36,3,0)</f>
        <v>60.079499999999996</v>
      </c>
      <c r="EY25" s="748">
        <f t="shared" si="77"/>
        <v>120.15899999999999</v>
      </c>
      <c r="EZ25" s="745">
        <f t="shared" si="17"/>
        <v>40</v>
      </c>
      <c r="FA25" s="749">
        <v>1</v>
      </c>
      <c r="FB25" s="747">
        <f>VLOOKUP(EZ25,'Ціни контур теплопостачання'!$AO$38:$AQ$50,3,0)</f>
        <v>20.3645</v>
      </c>
      <c r="FC25" s="748">
        <f t="shared" si="78"/>
        <v>20.3645</v>
      </c>
      <c r="FD25" s="745">
        <f t="shared" si="18"/>
        <v>25</v>
      </c>
      <c r="FE25" s="745">
        <v>1</v>
      </c>
      <c r="FF25" s="758">
        <f>VLOOKUP(FD25,'Ціни контур теплопостачання'!$AO$38:$AQ$50,3,0)</f>
        <v>6.9659999999999993</v>
      </c>
      <c r="FG25" s="759">
        <f t="shared" si="79"/>
        <v>6.9659999999999993</v>
      </c>
      <c r="FH25" s="745">
        <f t="shared" si="19"/>
        <v>25</v>
      </c>
      <c r="FI25" s="745">
        <v>1</v>
      </c>
      <c r="FJ25" s="758">
        <f>VLOOKUP(FH25,'Ціни контур теплопостачання'!$Y$24:$AA$36,3,0)</f>
        <v>6.9659999999999993</v>
      </c>
      <c r="FK25" s="759">
        <f t="shared" si="80"/>
        <v>6.9659999999999993</v>
      </c>
      <c r="FL25" s="745">
        <f t="shared" si="20"/>
        <v>50</v>
      </c>
      <c r="FM25" s="745">
        <f t="shared" si="21"/>
        <v>4</v>
      </c>
      <c r="FN25" s="758">
        <f>VLOOKUP(FL25,'Ціни контур теплопостачання'!$Y$76:$AA$88,3,0)</f>
        <v>20.6</v>
      </c>
      <c r="FO25" s="759">
        <f t="shared" si="81"/>
        <v>82.4</v>
      </c>
      <c r="FP25" s="745">
        <f t="shared" si="22"/>
        <v>40</v>
      </c>
      <c r="FQ25" s="745">
        <v>1</v>
      </c>
      <c r="FR25" s="758">
        <f>VLOOKUP(FP25,'Ціни контур теплопостачання'!$Y$76:$AA$88,3,0)</f>
        <v>16.809999999999999</v>
      </c>
      <c r="FS25" s="759">
        <f t="shared" si="82"/>
        <v>16.809999999999999</v>
      </c>
      <c r="FT25" s="745">
        <f t="shared" si="23"/>
        <v>25</v>
      </c>
      <c r="FU25" s="745">
        <v>1</v>
      </c>
      <c r="FV25" s="758">
        <f>VLOOKUP(FT25,'Ціни контур теплопостачання'!$Y$76:$AA$88,3,0)</f>
        <v>11.45</v>
      </c>
      <c r="FW25" s="759">
        <f t="shared" si="83"/>
        <v>11.45</v>
      </c>
      <c r="FX25" s="758">
        <f t="shared" si="24"/>
        <v>27.774448689397957</v>
      </c>
      <c r="FY25" s="760">
        <v>32</v>
      </c>
      <c r="FZ25" s="719">
        <v>2</v>
      </c>
      <c r="GA25" s="747">
        <f>VLOOKUP(FY25,'Ціни контур теплопостачання'!$K$74:$M$79,3,0)</f>
        <v>33.68</v>
      </c>
      <c r="GB25" s="761">
        <f t="shared" si="84"/>
        <v>67.36</v>
      </c>
      <c r="GC25" s="762">
        <f t="shared" si="85"/>
        <v>12.432432432432432</v>
      </c>
      <c r="GD25" s="911">
        <v>9</v>
      </c>
      <c r="GE25" s="1017">
        <v>9</v>
      </c>
      <c r="GF25" s="1018" t="s">
        <v>119</v>
      </c>
      <c r="GG25" s="713">
        <v>2</v>
      </c>
      <c r="GH25" s="709">
        <f>VLOOKUP(GF25,'Ціни контур теплопостачання'!$C$89:$M$105,11,0)</f>
        <v>391.06799999999998</v>
      </c>
      <c r="GI25" s="764">
        <f t="shared" si="86"/>
        <v>782.13599999999997</v>
      </c>
      <c r="GJ25" s="912">
        <f t="shared" si="87"/>
        <v>1.3569979716024341</v>
      </c>
      <c r="GK25" s="911">
        <v>9</v>
      </c>
      <c r="GL25" s="1017">
        <v>9</v>
      </c>
      <c r="GM25" s="1019" t="s">
        <v>1097</v>
      </c>
      <c r="GN25" s="749">
        <v>1</v>
      </c>
      <c r="GO25" s="747">
        <f>VLOOKUP(GM25,'Ціни контур теплопостачання'!$C$89:$M$105,11,0)</f>
        <v>241.2</v>
      </c>
      <c r="GP25" s="904">
        <f t="shared" si="88"/>
        <v>241.2</v>
      </c>
      <c r="GQ25" s="758">
        <f t="shared" si="25"/>
        <v>623.71009518671212</v>
      </c>
      <c r="GR25" s="955">
        <v>750</v>
      </c>
      <c r="GS25" s="749">
        <f>VLOOKUP(GR25,'Ціни контур теплопостачання'!$J$43:$K$55,2,0)</f>
        <v>32</v>
      </c>
      <c r="GT25" s="1020">
        <v>1</v>
      </c>
      <c r="GU25" s="747">
        <f>VLOOKUP(GR25,'Ціни контур теплопостачання'!$J$43:$M$55,4,0)</f>
        <v>376.94</v>
      </c>
      <c r="GV25" s="748">
        <f t="shared" si="89"/>
        <v>376.94</v>
      </c>
      <c r="GW25" s="758">
        <f t="array" ref="GW25">MIN(IF('Ціни контур теплопостачання'!$AN$68:$AN$77&gt;(V25*1.2),'Ціни контур теплопостачання'!$AN$68:$AN$77))</f>
        <v>11.13</v>
      </c>
      <c r="GX25" s="749">
        <f>VLOOKUP(GW25,'Ціни контур теплопостачання'!$AN$68:$AO$77,2,0)</f>
        <v>32</v>
      </c>
      <c r="GY25" s="749">
        <f t="shared" si="26"/>
        <v>2</v>
      </c>
      <c r="GZ25" s="747">
        <f>VLOOKUP(GX25,'Ціни контур теплопостачання'!$AO$68:$AQ$77,3,0)</f>
        <v>37.183999999999997</v>
      </c>
      <c r="HA25" s="759">
        <f t="shared" si="90"/>
        <v>74.367999999999995</v>
      </c>
      <c r="HB25" s="751">
        <v>15</v>
      </c>
      <c r="HC25" s="746">
        <v>2</v>
      </c>
      <c r="HD25" s="747">
        <f>VLOOKUP(HB25,'Ціни контур мережний'!$J$73:$M$73,4,0)</f>
        <v>3.4649999999999999</v>
      </c>
      <c r="HE25" s="748">
        <f t="shared" si="91"/>
        <v>6.93</v>
      </c>
      <c r="HF25" s="749">
        <f t="shared" si="27"/>
        <v>25</v>
      </c>
      <c r="HG25" s="749">
        <v>1</v>
      </c>
      <c r="HH25" s="747">
        <f>VLOOKUP(HF25,'Ціни контур теплопостачання'!$Y$62:$AA$69,3,0)</f>
        <v>89.924040000000005</v>
      </c>
      <c r="HI25" s="765">
        <f t="shared" si="92"/>
        <v>89.924040000000005</v>
      </c>
      <c r="HJ25" s="750">
        <f>VLOOKUP(HK25,'Ціни контур теплопостачання'!$AN$6:$AO$13,2,0)</f>
        <v>32</v>
      </c>
      <c r="HK25" s="751">
        <f t="array" ref="HK25">MIN(IF('Ціни контур теплопостачання'!$AN$6:$AN$13&gt;N25,'Ціни контур теплопостачання'!$AN$6:$AN$13))</f>
        <v>6</v>
      </c>
      <c r="HL25" s="751">
        <v>1</v>
      </c>
      <c r="HM25" s="747">
        <f>VLOOKUP(HJ25,'Ціни контур теплопостачання'!$AO$6:$AQ$13,3,0)</f>
        <v>85.682340000000011</v>
      </c>
      <c r="HN25" s="748">
        <f t="shared" si="93"/>
        <v>85.682340000000011</v>
      </c>
      <c r="HO25" s="750">
        <f t="shared" si="28"/>
        <v>40</v>
      </c>
      <c r="HP25" s="746">
        <v>1</v>
      </c>
      <c r="HQ25" s="747">
        <f>VLOOKUP(HO25,'Ціни контур теплопостачання'!$AO$55:$AQ$63,3,0)</f>
        <v>193.55</v>
      </c>
      <c r="HR25" s="748">
        <f t="shared" si="126"/>
        <v>193.55</v>
      </c>
      <c r="HS25" s="745">
        <f t="shared" si="29"/>
        <v>25</v>
      </c>
      <c r="HT25" s="749">
        <v>1</v>
      </c>
      <c r="HU25" s="747">
        <f>VLOOKUP(HS25,'Ціни контур теплопостачання'!$K$62:$M$67,3,0)</f>
        <v>92.91</v>
      </c>
      <c r="HV25" s="765">
        <f t="shared" si="95"/>
        <v>92.91</v>
      </c>
      <c r="HW25" s="655" t="str">
        <f t="shared" ref="HW25" si="132">HW24</f>
        <v>0-150</v>
      </c>
      <c r="HX25" s="720">
        <v>1</v>
      </c>
      <c r="HY25" s="747">
        <f>VLOOKUP(HW25,'Ціни контур мережний'!$I$79:$M$80,5,0)</f>
        <v>15.050156291498967</v>
      </c>
      <c r="HZ25" s="748">
        <f t="shared" si="96"/>
        <v>15.050156291498967</v>
      </c>
      <c r="IA25" s="758" t="s">
        <v>109</v>
      </c>
      <c r="IB25" s="749">
        <v>1</v>
      </c>
      <c r="IC25" s="747">
        <f>VLOOKUP(IA25,'Ціни контур мережний'!$I$79:$M$80,5,0)</f>
        <v>15.050156291498967</v>
      </c>
      <c r="ID25" s="765">
        <f t="shared" si="97"/>
        <v>15.050156291498967</v>
      </c>
      <c r="IE25" s="655" t="s">
        <v>108</v>
      </c>
      <c r="IF25" s="720">
        <v>3</v>
      </c>
      <c r="IG25" s="747">
        <f>VLOOKUP(IE25,'Ціни контур мережний'!$I$67:$M$69,5,0)</f>
        <v>4.4537969640631703</v>
      </c>
      <c r="IH25" s="748">
        <f t="shared" si="98"/>
        <v>13.361390892189512</v>
      </c>
      <c r="II25" s="655" t="s">
        <v>106</v>
      </c>
      <c r="IJ25" s="720">
        <f>11+T25</f>
        <v>13</v>
      </c>
      <c r="IK25" s="747">
        <f>VLOOKUP(II25,'Ціни контур мережний'!$I$67:$M$69,5,0)</f>
        <v>4.4537969640631703</v>
      </c>
      <c r="IL25" s="748">
        <f t="shared" si="99"/>
        <v>57.899360532821213</v>
      </c>
      <c r="IM25" s="655" t="s">
        <v>1013</v>
      </c>
      <c r="IN25" s="720">
        <v>5</v>
      </c>
      <c r="IO25" s="747">
        <f>VLOOKUP(IM25,'Ціни контур мережний'!$I$64:$M$64,5,0)</f>
        <v>29.1312</v>
      </c>
      <c r="IP25" s="748">
        <f t="shared" si="100"/>
        <v>145.65600000000001</v>
      </c>
      <c r="IQ25" s="766" t="s">
        <v>1015</v>
      </c>
      <c r="IR25" s="749">
        <v>6</v>
      </c>
      <c r="IS25" s="747">
        <f>VLOOKUP(IQ25,'Ціни контур мережний'!$I$89:$M$89,5,0)</f>
        <v>79.523165325760516</v>
      </c>
      <c r="IT25" s="765">
        <f t="shared" si="101"/>
        <v>477.1389919545631</v>
      </c>
      <c r="IU25" s="778" t="s">
        <v>1016</v>
      </c>
      <c r="IV25" s="720">
        <f t="shared" si="117"/>
        <v>7</v>
      </c>
      <c r="IW25" s="747">
        <f>VLOOKUP(IU25,'Ціни контур мережний'!$I$88:$M$88,5,0)</f>
        <v>13.211568975967202</v>
      </c>
      <c r="IX25" s="768">
        <f t="shared" si="102"/>
        <v>92.480982831770419</v>
      </c>
      <c r="IY25" s="757" t="s">
        <v>383</v>
      </c>
      <c r="IZ25" s="720">
        <v>1</v>
      </c>
      <c r="JA25" s="747">
        <f>VLOOKUP(IY25,'Ціни контур мережний'!$I$87:$M$87,5,0)</f>
        <v>13.483972460007763</v>
      </c>
      <c r="JB25" s="748">
        <f t="shared" si="103"/>
        <v>13.483972460007763</v>
      </c>
      <c r="JC25" s="769">
        <f t="shared" si="31"/>
        <v>29</v>
      </c>
      <c r="JD25" s="770">
        <f t="shared" si="104"/>
        <v>7373.7646655312064</v>
      </c>
      <c r="JE25" s="771">
        <f>$JE$44/'Ціни контур мережний'!$G$26</f>
        <v>476.70609707098151</v>
      </c>
      <c r="JF25" s="771">
        <f>$JE$44/'Ціни контур мережний'!$G$26</f>
        <v>476.70609707098151</v>
      </c>
      <c r="JG25" s="770">
        <f t="shared" si="112"/>
        <v>661.80181284518619</v>
      </c>
      <c r="JH25" s="770">
        <f t="shared" si="113"/>
        <v>487.81784379022207</v>
      </c>
      <c r="JI25" s="770">
        <f>$JI$43/'Ціни контур мережний'!$G$26</f>
        <v>323.47913729816605</v>
      </c>
      <c r="JJ25" s="770">
        <f t="shared" si="105"/>
        <v>66.611999999999995</v>
      </c>
      <c r="JK25" s="772">
        <v>0</v>
      </c>
      <c r="JL25" s="772">
        <f t="shared" si="114"/>
        <v>62.86234247089866</v>
      </c>
      <c r="JM25" s="772">
        <v>0</v>
      </c>
      <c r="JN25" s="770">
        <v>0</v>
      </c>
      <c r="JO25" s="1029">
        <f t="shared" si="32"/>
        <v>695.0824997254349</v>
      </c>
      <c r="JP25" s="770">
        <f t="shared" si="33"/>
        <v>992.97499960776406</v>
      </c>
      <c r="JQ25" s="1030">
        <f t="shared" si="34"/>
        <v>170.81636860680555</v>
      </c>
      <c r="JR25" s="1023">
        <f t="shared" si="115"/>
        <v>300.63036461094771</v>
      </c>
      <c r="JS25" s="777">
        <f t="shared" si="106"/>
        <v>12089.254228628593</v>
      </c>
      <c r="JU25" s="611">
        <f>[3]Расчеты!AX24/1.2</f>
        <v>4026.3163897451122</v>
      </c>
      <c r="JV25" s="611">
        <f t="shared" si="107"/>
        <v>16115.570618373706</v>
      </c>
      <c r="JW25" s="611" t="e">
        <f>JV25*1.2*#REF!</f>
        <v>#REF!</v>
      </c>
      <c r="JX25" s="611"/>
    </row>
    <row r="26" spans="1:286" ht="12.6" customHeight="1">
      <c r="A26" s="610" t="s">
        <v>686</v>
      </c>
      <c r="B26" s="597">
        <v>30</v>
      </c>
      <c r="C26" s="1056" t="s">
        <v>1420</v>
      </c>
      <c r="D26" s="906">
        <v>0.2412</v>
      </c>
      <c r="E26" s="907">
        <v>0.223</v>
      </c>
      <c r="F26" s="908">
        <f t="shared" si="35"/>
        <v>10.009090669980733</v>
      </c>
      <c r="G26" s="909">
        <v>50</v>
      </c>
      <c r="H26" s="598">
        <f t="shared" si="36"/>
        <v>4.3086816720257231</v>
      </c>
      <c r="I26" s="599">
        <v>40</v>
      </c>
      <c r="J26" s="598">
        <f t="shared" si="37"/>
        <v>10.029106029106028</v>
      </c>
      <c r="K26" s="599">
        <v>65</v>
      </c>
      <c r="L26" s="598">
        <f t="shared" si="38"/>
        <v>5.7004089979550105</v>
      </c>
      <c r="M26" s="599">
        <v>40</v>
      </c>
      <c r="N26" s="598">
        <f t="shared" si="39"/>
        <v>4.5233265720081137</v>
      </c>
      <c r="O26" s="599">
        <v>40</v>
      </c>
      <c r="P26" s="598">
        <f t="shared" si="108"/>
        <v>1.3569979716024341</v>
      </c>
      <c r="Q26" s="599">
        <v>25</v>
      </c>
      <c r="R26" s="598">
        <f t="shared" si="40"/>
        <v>6.093396056527161</v>
      </c>
      <c r="S26" s="600">
        <f t="shared" si="41"/>
        <v>8.0615957159815999</v>
      </c>
      <c r="T26" s="910">
        <v>2</v>
      </c>
      <c r="U26" s="601">
        <f t="shared" si="42"/>
        <v>5.0145530145530142</v>
      </c>
      <c r="V26" s="601">
        <f t="shared" si="43"/>
        <v>7.0916488824197605</v>
      </c>
      <c r="W26" s="602">
        <v>40</v>
      </c>
      <c r="X26" s="1027">
        <v>5.9</v>
      </c>
      <c r="Y26" s="601">
        <f t="shared" si="44"/>
        <v>1.77</v>
      </c>
      <c r="Z26" s="992">
        <v>25</v>
      </c>
      <c r="AA26" s="1028">
        <v>9</v>
      </c>
      <c r="AB26" s="745">
        <f t="shared" si="0"/>
        <v>50</v>
      </c>
      <c r="AC26" s="746">
        <v>2</v>
      </c>
      <c r="AD26" s="747">
        <f>VLOOKUP(AB26,'Ціни контур мережний'!$Z$24:$AB$36,3,0)</f>
        <v>23.2782130224622</v>
      </c>
      <c r="AE26" s="748">
        <f t="shared" si="45"/>
        <v>46.5564260449244</v>
      </c>
      <c r="AF26" s="745">
        <f t="shared" si="1"/>
        <v>50</v>
      </c>
      <c r="AG26" s="749">
        <v>2</v>
      </c>
      <c r="AH26" s="747">
        <f>VLOOKUP(AF26,'Ціни контур мережний'!$Z$64:$AB$77,3,0)</f>
        <v>80.03214361111678</v>
      </c>
      <c r="AI26" s="748">
        <f t="shared" si="46"/>
        <v>160.06428722223356</v>
      </c>
      <c r="AJ26" s="745">
        <f t="shared" si="2"/>
        <v>50</v>
      </c>
      <c r="AK26" s="746">
        <v>0</v>
      </c>
      <c r="AL26" s="747">
        <f>VLOOKUP(AJ26,'Ціни контур мережний'!$Z$5:$AB$17,3,0)</f>
        <v>26.284999999999997</v>
      </c>
      <c r="AM26" s="748">
        <f t="shared" si="47"/>
        <v>0</v>
      </c>
      <c r="AN26" s="750">
        <f t="shared" si="3"/>
        <v>40</v>
      </c>
      <c r="AO26" s="746">
        <v>1</v>
      </c>
      <c r="AP26" s="747">
        <f>VLOOKUP(AN26,'Ціни контур мережний'!$Z$43:$AB$55,3,0)</f>
        <v>18.42400964308333</v>
      </c>
      <c r="AQ26" s="768">
        <f t="shared" si="48"/>
        <v>18.42400964308333</v>
      </c>
      <c r="AR26" s="749">
        <f t="shared" si="4"/>
        <v>40</v>
      </c>
      <c r="AS26" s="749">
        <v>4</v>
      </c>
      <c r="AT26" s="747">
        <f>VLOOKUP(AR26,'Ціни контур мережний'!$Z$43:$AB$55,3,0)</f>
        <v>18.42400964308333</v>
      </c>
      <c r="AU26" s="1016">
        <f t="shared" si="49"/>
        <v>73.696038572333322</v>
      </c>
      <c r="AV26" s="751" t="str">
        <f t="shared" si="50"/>
        <v>AMV20</v>
      </c>
      <c r="AW26" s="751">
        <v>1</v>
      </c>
      <c r="AX26" s="747">
        <f>VLOOKUP(AV26,'Ціни контур мережний'!$I$53:$M$57,5,0)</f>
        <v>110.39869654932889</v>
      </c>
      <c r="AY26" s="748">
        <f t="shared" si="51"/>
        <v>110.39869654932889</v>
      </c>
      <c r="AZ26" s="752">
        <f t="array" ref="AZ26">MIN(IF('Ціни контур мережний'!$Y$83:$Y$92&gt;(R26*1.2),'Ціни контур мережний'!$Y$83:$Y$92))</f>
        <v>10</v>
      </c>
      <c r="BA26" s="746">
        <f>VLOOKUP(AZ26,'Ціни контур мережний'!$Y$83:$Z$92,2,0)</f>
        <v>25</v>
      </c>
      <c r="BB26" s="746">
        <v>1</v>
      </c>
      <c r="BC26" s="747">
        <f>VLOOKUP(AZ26,'Ціни контур мережний'!$Y$83:$AB$92,4,0)</f>
        <v>117.50505648967251</v>
      </c>
      <c r="BD26" s="748">
        <f t="shared" si="52"/>
        <v>117.50505648967251</v>
      </c>
      <c r="BE26" s="1099">
        <f t="array" ref="BE26">MIN(IF('[1]Ціни контур мережний'!$Y$104:$Y$114&gt;(R26*1.2),'[1]Ціни контур мережний'!$Y$104:$Y$114))</f>
        <v>8</v>
      </c>
      <c r="BF26" s="1101">
        <f>VLOOKUP(BE26,'[1]Ціни контур мережний'!$Y$104:$Z$114,2,0)</f>
        <v>25</v>
      </c>
      <c r="BG26" s="753">
        <v>1</v>
      </c>
      <c r="BH26" s="754">
        <f>VLOOKUP(BE26,'Ціни контур мережний'!$Y$104:$AB$114,4,0)</f>
        <v>278.09338672441618</v>
      </c>
      <c r="BI26" s="755">
        <f t="shared" si="53"/>
        <v>278.09338672441618</v>
      </c>
      <c r="BJ26" s="751" t="s">
        <v>67</v>
      </c>
      <c r="BK26" s="749">
        <v>1</v>
      </c>
      <c r="BL26" s="747">
        <f>VLOOKUP(BJ26,'Ціни контур мережний'!$I$53:$M$57,5,0)</f>
        <v>157.67238032974441</v>
      </c>
      <c r="BM26" s="748">
        <f t="shared" si="54"/>
        <v>157.67238032974441</v>
      </c>
      <c r="BN26" s="896">
        <f t="array" ref="BN26">MIN(IF('Ціни контур мережний'!$Y$83:$Y$93&gt;(S26*1.2),'Ціни контур мережний'!$Y$83:$Y$93))</f>
        <v>10</v>
      </c>
      <c r="BO26" s="896">
        <f>VLOOKUP(BN26,'Ціни контур мережний'!$Y$83:$Z$93,2,0)</f>
        <v>25</v>
      </c>
      <c r="BP26" s="895">
        <v>1</v>
      </c>
      <c r="BQ26" s="896">
        <f>VLOOKUP(BN26,'Ціни контур мережний'!$Y$83:$AB$93,4,0)</f>
        <v>117.50505648967251</v>
      </c>
      <c r="BR26" s="897">
        <f t="shared" si="55"/>
        <v>117.50505648967251</v>
      </c>
      <c r="BS26" s="896">
        <f t="array" ref="BS26">MIN(IF('Ціни контур мережний'!$Y$104:$Y$114&gt;(S26*1.2),'Ціни контур мережний'!$Y$104:$Y$114))</f>
        <v>12.5</v>
      </c>
      <c r="BT26" s="896">
        <f>VLOOKUP(BS26,'Ціни контур мережний'!$Y$104:$Z$114,2,0)</f>
        <v>32</v>
      </c>
      <c r="BU26" s="895">
        <v>1</v>
      </c>
      <c r="BV26" s="896">
        <f>VLOOKUP(BS26,'Ціни контур мережний'!$Y$104:$AB$114,4,0)</f>
        <v>435.76049604674444</v>
      </c>
      <c r="BW26" s="897">
        <f t="shared" si="56"/>
        <v>435.76049604674444</v>
      </c>
      <c r="BX26" s="751" t="s">
        <v>115</v>
      </c>
      <c r="BY26" s="751" t="s">
        <v>115</v>
      </c>
      <c r="BZ26" s="746" t="s">
        <v>1025</v>
      </c>
      <c r="CA26" s="756">
        <v>0</v>
      </c>
      <c r="CB26" s="747">
        <v>0</v>
      </c>
      <c r="CC26" s="748">
        <f t="shared" si="57"/>
        <v>0</v>
      </c>
      <c r="CD26" s="758">
        <f>VLOOKUP(CE26,'Ціни контур мережний'!$J$5:$L$12,3,0)</f>
        <v>25</v>
      </c>
      <c r="CE26" s="747">
        <f t="array" ref="CE26">MIN(IF('Ціни контур мережний'!$J$5:$J$12&gt;L26,'Ціни контур мережний'!$J$5:$J$12))</f>
        <v>6</v>
      </c>
      <c r="CF26" s="746" t="s">
        <v>130</v>
      </c>
      <c r="CG26" s="749">
        <v>1</v>
      </c>
      <c r="CH26" s="747">
        <f>VLOOKUP(CE26,'Ціни контур мережний'!$J$5:$N$12,5,0)</f>
        <v>341.25599999999997</v>
      </c>
      <c r="CI26" s="748">
        <f t="shared" si="58"/>
        <v>341.25599999999997</v>
      </c>
      <c r="CJ26" s="899" t="s">
        <v>1305</v>
      </c>
      <c r="CK26" s="899">
        <v>1</v>
      </c>
      <c r="CL26" s="898">
        <v>772</v>
      </c>
      <c r="CM26" s="901">
        <f t="shared" si="59"/>
        <v>772</v>
      </c>
      <c r="CN26" s="898" t="s">
        <v>1328</v>
      </c>
      <c r="CO26" s="899">
        <v>1</v>
      </c>
      <c r="CP26" s="900">
        <v>582</v>
      </c>
      <c r="CQ26" s="901">
        <f t="shared" si="60"/>
        <v>582</v>
      </c>
      <c r="CR26" s="751">
        <f t="shared" si="5"/>
        <v>65</v>
      </c>
      <c r="CS26" s="746">
        <v>4</v>
      </c>
      <c r="CT26" s="747">
        <f>VLOOKUP(CR26,'Ціни контур теплопостачання'!$Y$5:$AA$17,3,0)</f>
        <v>30.19184015363556</v>
      </c>
      <c r="CU26" s="748">
        <f t="shared" si="61"/>
        <v>120.76736061454224</v>
      </c>
      <c r="CV26" s="750">
        <f t="shared" si="6"/>
        <v>40</v>
      </c>
      <c r="CW26" s="746">
        <v>6</v>
      </c>
      <c r="CX26" s="747">
        <f>VLOOKUP(CV26,'Ціни контур теплопостачання'!$AO$20:$AQ$29,3,0)</f>
        <v>37.980000000000004</v>
      </c>
      <c r="CY26" s="748">
        <f t="shared" si="62"/>
        <v>227.88000000000002</v>
      </c>
      <c r="CZ26" s="750">
        <f t="shared" si="7"/>
        <v>25</v>
      </c>
      <c r="DA26" s="746">
        <v>3</v>
      </c>
      <c r="DB26" s="747">
        <f>VLOOKUP(CZ26,'Ціни контур теплопостачання'!$AO$20:$AQ$29,3,0)</f>
        <v>6.3070000000000004</v>
      </c>
      <c r="DC26" s="748">
        <f t="shared" si="63"/>
        <v>18.920999999999999</v>
      </c>
      <c r="DD26" s="757">
        <f t="shared" si="8"/>
        <v>40</v>
      </c>
      <c r="DE26" s="746">
        <f t="shared" si="9"/>
        <v>4</v>
      </c>
      <c r="DF26" s="747">
        <f>VLOOKUP(DD26,'Ціни контур теплопостачання'!$Y$5:$AA$17,3,0)</f>
        <v>18.42400964308333</v>
      </c>
      <c r="DG26" s="748">
        <f t="shared" si="64"/>
        <v>73.696038572333322</v>
      </c>
      <c r="DH26" s="745">
        <f t="shared" si="65"/>
        <v>32</v>
      </c>
      <c r="DI26" s="749">
        <f t="shared" si="66"/>
        <v>1</v>
      </c>
      <c r="DJ26" s="747">
        <f>VLOOKUP(DH26,'Ціни контур теплопостачання'!$Y$5:$AA$17,3,0)</f>
        <v>10.381</v>
      </c>
      <c r="DK26" s="765">
        <f t="shared" si="67"/>
        <v>10.381</v>
      </c>
      <c r="DL26" s="757">
        <f t="shared" si="10"/>
        <v>25</v>
      </c>
      <c r="DM26" s="746">
        <v>1</v>
      </c>
      <c r="DN26" s="747">
        <f>VLOOKUP(DL26,'Ціни контур мережний'!$Z$43:$AB$55,3,0)</f>
        <v>14.856886019572187</v>
      </c>
      <c r="DO26" s="748">
        <f t="shared" si="68"/>
        <v>14.856886019572187</v>
      </c>
      <c r="DP26" s="757">
        <f t="shared" si="11"/>
        <v>25</v>
      </c>
      <c r="DQ26" s="746">
        <v>2</v>
      </c>
      <c r="DR26" s="747">
        <f>VLOOKUP(DP26,'Ціни контур теплопостачання'!$Y$5:$AA$17,3,0)</f>
        <v>6.3070000000000004</v>
      </c>
      <c r="DS26" s="748">
        <f t="shared" si="69"/>
        <v>12.614000000000001</v>
      </c>
      <c r="DT26" s="745">
        <v>20</v>
      </c>
      <c r="DU26" s="749">
        <v>2</v>
      </c>
      <c r="DV26" s="747">
        <f>VLOOKUP(DT26,'Ціни контур теплопостачання'!$Y$5:$AA$17,3,0)</f>
        <v>3.577</v>
      </c>
      <c r="DW26" s="748">
        <f t="shared" si="70"/>
        <v>7.1539999999999999</v>
      </c>
      <c r="DX26" s="745">
        <v>15</v>
      </c>
      <c r="DY26" s="745">
        <v>10</v>
      </c>
      <c r="DZ26" s="758">
        <f>VLOOKUP(DX26,'Ціни контур теплопостачання'!$Y$5:$AA$17,3,0)</f>
        <v>2.464</v>
      </c>
      <c r="EA26" s="759">
        <f t="shared" si="71"/>
        <v>24.64</v>
      </c>
      <c r="EB26" s="745">
        <v>15</v>
      </c>
      <c r="EC26" s="745">
        <f t="shared" si="110"/>
        <v>38</v>
      </c>
      <c r="ED26" s="758">
        <f>VLOOKUP(EB26,'Ціни контур мережний'!$J$71:$M$71,4,0)</f>
        <v>3.3865201135922525</v>
      </c>
      <c r="EE26" s="759">
        <f t="shared" si="72"/>
        <v>128.68776431650559</v>
      </c>
      <c r="EF26" s="751">
        <f t="shared" si="12"/>
        <v>65</v>
      </c>
      <c r="EG26" s="746">
        <v>1</v>
      </c>
      <c r="EH26" s="747">
        <f>VLOOKUP(EF26,'Ціни контур теплопостачання'!$K$5:$M$17,3,0)</f>
        <v>39.731999999999999</v>
      </c>
      <c r="EI26" s="748">
        <f t="shared" si="73"/>
        <v>39.731999999999999</v>
      </c>
      <c r="EJ26" s="745">
        <f t="shared" si="13"/>
        <v>40</v>
      </c>
      <c r="EK26" s="749">
        <v>1</v>
      </c>
      <c r="EL26" s="747">
        <f>VLOOKUP(EJ26,'Ціни контур теплопостачання'!$K$5:$M$17,3,0)</f>
        <v>23.225999999999999</v>
      </c>
      <c r="EM26" s="748">
        <f t="shared" si="74"/>
        <v>23.225999999999999</v>
      </c>
      <c r="EN26" s="745">
        <f t="shared" si="14"/>
        <v>25</v>
      </c>
      <c r="EO26" s="745">
        <v>1</v>
      </c>
      <c r="EP26" s="758">
        <f>VLOOKUP(EN26,'Ціни контур теплопостачання'!$K$5:$M$17,3,0)</f>
        <v>4.78</v>
      </c>
      <c r="EQ26" s="759">
        <f t="shared" si="75"/>
        <v>4.78</v>
      </c>
      <c r="ER26" s="745">
        <f t="shared" si="15"/>
        <v>25</v>
      </c>
      <c r="ES26" s="745">
        <v>1</v>
      </c>
      <c r="ET26" s="758">
        <f>VLOOKUP(ER26,'Ціни контур теплопостачання'!$K$5:$M$17,3,0)</f>
        <v>4.78</v>
      </c>
      <c r="EU26" s="759">
        <f t="shared" si="76"/>
        <v>4.78</v>
      </c>
      <c r="EV26" s="751">
        <f t="shared" si="16"/>
        <v>65</v>
      </c>
      <c r="EW26" s="746">
        <v>2</v>
      </c>
      <c r="EX26" s="747">
        <f>VLOOKUP(EV26,'Ціни контур теплопостачання'!$Y$24:$AA$36,3,0)</f>
        <v>42.080999999999996</v>
      </c>
      <c r="EY26" s="748">
        <f t="shared" si="77"/>
        <v>84.161999999999992</v>
      </c>
      <c r="EZ26" s="745">
        <f t="shared" si="17"/>
        <v>40</v>
      </c>
      <c r="FA26" s="749">
        <v>1</v>
      </c>
      <c r="FB26" s="747">
        <f>VLOOKUP(EZ26,'Ціни контур теплопостачання'!$AO$38:$AQ$50,3,0)</f>
        <v>20.3645</v>
      </c>
      <c r="FC26" s="748">
        <f t="shared" si="78"/>
        <v>20.3645</v>
      </c>
      <c r="FD26" s="745">
        <f t="shared" si="18"/>
        <v>25</v>
      </c>
      <c r="FE26" s="745">
        <v>1</v>
      </c>
      <c r="FF26" s="758">
        <f>VLOOKUP(FD26,'Ціни контур теплопостачання'!$AO$38:$AQ$50,3,0)</f>
        <v>6.9659999999999993</v>
      </c>
      <c r="FG26" s="759">
        <f t="shared" si="79"/>
        <v>6.9659999999999993</v>
      </c>
      <c r="FH26" s="745">
        <f t="shared" si="19"/>
        <v>25</v>
      </c>
      <c r="FI26" s="745">
        <v>1</v>
      </c>
      <c r="FJ26" s="758">
        <f>VLOOKUP(FH26,'Ціни контур теплопостачання'!$Y$24:$AA$36,3,0)</f>
        <v>6.9659999999999993</v>
      </c>
      <c r="FK26" s="759">
        <f t="shared" si="80"/>
        <v>6.9659999999999993</v>
      </c>
      <c r="FL26" s="745">
        <f t="shared" si="20"/>
        <v>40</v>
      </c>
      <c r="FM26" s="745">
        <f t="shared" si="21"/>
        <v>4</v>
      </c>
      <c r="FN26" s="758">
        <f>VLOOKUP(FL26,'Ціни контур теплопостачання'!$Y$76:$AA$88,3,0)</f>
        <v>16.809999999999999</v>
      </c>
      <c r="FO26" s="759">
        <f t="shared" si="81"/>
        <v>67.239999999999995</v>
      </c>
      <c r="FP26" s="745">
        <f t="shared" si="22"/>
        <v>40</v>
      </c>
      <c r="FQ26" s="745">
        <v>1</v>
      </c>
      <c r="FR26" s="758">
        <f>VLOOKUP(FP26,'Ціни контур теплопостачання'!$Y$76:$AA$88,3,0)</f>
        <v>16.809999999999999</v>
      </c>
      <c r="FS26" s="759">
        <f t="shared" si="82"/>
        <v>16.809999999999999</v>
      </c>
      <c r="FT26" s="745">
        <f t="shared" si="23"/>
        <v>25</v>
      </c>
      <c r="FU26" s="745">
        <v>1</v>
      </c>
      <c r="FV26" s="758">
        <f>VLOOKUP(FT26,'Ціни контур теплопостачання'!$Y$76:$AA$88,3,0)</f>
        <v>11.45</v>
      </c>
      <c r="FW26" s="759">
        <f t="shared" si="83"/>
        <v>11.45</v>
      </c>
      <c r="FX26" s="758">
        <f t="shared" si="24"/>
        <v>24.945861380196916</v>
      </c>
      <c r="FY26" s="760">
        <v>25</v>
      </c>
      <c r="FZ26" s="719">
        <v>2</v>
      </c>
      <c r="GA26" s="747">
        <f>VLOOKUP(FY26,'Ціни контур теплопостачання'!$K$74:$M$79,3,0)</f>
        <v>22.22</v>
      </c>
      <c r="GB26" s="761">
        <f t="shared" si="84"/>
        <v>44.44</v>
      </c>
      <c r="GC26" s="762">
        <f t="shared" si="85"/>
        <v>10.029106029106028</v>
      </c>
      <c r="GD26" s="911">
        <v>9</v>
      </c>
      <c r="GE26" s="1017">
        <v>9</v>
      </c>
      <c r="GF26" s="1018" t="s">
        <v>119</v>
      </c>
      <c r="GG26" s="713">
        <v>2</v>
      </c>
      <c r="GH26" s="709">
        <f>VLOOKUP(GF26,'Ціни контур теплопостачання'!$C$89:$M$105,11,0)</f>
        <v>391.06799999999998</v>
      </c>
      <c r="GI26" s="764">
        <f t="shared" si="86"/>
        <v>782.13599999999997</v>
      </c>
      <c r="GJ26" s="912">
        <f t="shared" si="87"/>
        <v>1.3569979716024341</v>
      </c>
      <c r="GK26" s="911">
        <v>9</v>
      </c>
      <c r="GL26" s="1017">
        <v>9</v>
      </c>
      <c r="GM26" s="1019" t="s">
        <v>1097</v>
      </c>
      <c r="GN26" s="749">
        <v>1</v>
      </c>
      <c r="GO26" s="747">
        <f>VLOOKUP(GM26,'Ціни контур теплопостачання'!$C$89:$M$105,11,0)</f>
        <v>241.2</v>
      </c>
      <c r="GP26" s="904">
        <f t="shared" si="88"/>
        <v>241.2</v>
      </c>
      <c r="GQ26" s="758">
        <f t="shared" si="25"/>
        <v>623.71009518671212</v>
      </c>
      <c r="GR26" s="955">
        <v>750</v>
      </c>
      <c r="GS26" s="749">
        <f>VLOOKUP(GR26,'Ціни контур теплопостачання'!$J$43:$K$55,2,0)</f>
        <v>32</v>
      </c>
      <c r="GT26" s="1020">
        <v>1</v>
      </c>
      <c r="GU26" s="747">
        <f>VLOOKUP(GR26,'Ціни контур теплопостачання'!$J$43:$M$55,4,0)</f>
        <v>376.94</v>
      </c>
      <c r="GV26" s="748">
        <f t="shared" si="89"/>
        <v>376.94</v>
      </c>
      <c r="GW26" s="758">
        <f t="array" ref="GW26">MIN(IF('Ціни контур теплопостачання'!$AN$68:$AN$77&gt;(V26*1.2),'Ціни контур теплопостачання'!$AN$68:$AN$77))</f>
        <v>11.13</v>
      </c>
      <c r="GX26" s="749">
        <f>VLOOKUP(GW26,'Ціни контур теплопостачання'!$AN$68:$AO$77,2,0)</f>
        <v>32</v>
      </c>
      <c r="GY26" s="749">
        <f t="shared" si="26"/>
        <v>2</v>
      </c>
      <c r="GZ26" s="747">
        <f>VLOOKUP(GX26,'Ціни контур теплопостачання'!$AO$68:$AQ$77,3,0)</f>
        <v>37.183999999999997</v>
      </c>
      <c r="HA26" s="759">
        <f t="shared" si="90"/>
        <v>74.367999999999995</v>
      </c>
      <c r="HB26" s="751">
        <v>15</v>
      </c>
      <c r="HC26" s="746">
        <v>2</v>
      </c>
      <c r="HD26" s="747">
        <f>VLOOKUP(HB26,'Ціни контур мережний'!$J$73:$M$73,4,0)</f>
        <v>3.4649999999999999</v>
      </c>
      <c r="HE26" s="748">
        <f t="shared" si="91"/>
        <v>6.93</v>
      </c>
      <c r="HF26" s="749">
        <f t="shared" si="27"/>
        <v>25</v>
      </c>
      <c r="HG26" s="749">
        <v>1</v>
      </c>
      <c r="HH26" s="747">
        <f>VLOOKUP(HF26,'Ціни контур теплопостачання'!$Y$62:$AA$69,3,0)</f>
        <v>89.924040000000005</v>
      </c>
      <c r="HI26" s="765">
        <f t="shared" si="92"/>
        <v>89.924040000000005</v>
      </c>
      <c r="HJ26" s="750">
        <f>VLOOKUP(HK26,'Ціни контур теплопостачання'!$AN$6:$AO$13,2,0)</f>
        <v>32</v>
      </c>
      <c r="HK26" s="751">
        <f t="array" ref="HK26">MIN(IF('Ціни контур теплопостачання'!$AN$6:$AN$13&gt;N26,'Ціни контур теплопостачання'!$AN$6:$AN$13))</f>
        <v>6</v>
      </c>
      <c r="HL26" s="751">
        <v>1</v>
      </c>
      <c r="HM26" s="747">
        <f>VLOOKUP(HJ26,'Ціни контур теплопостачання'!$AO$6:$AQ$13,3,0)</f>
        <v>85.682340000000011</v>
      </c>
      <c r="HN26" s="748">
        <f t="shared" si="93"/>
        <v>85.682340000000011</v>
      </c>
      <c r="HO26" s="750">
        <f t="shared" si="28"/>
        <v>40</v>
      </c>
      <c r="HP26" s="746">
        <v>1</v>
      </c>
      <c r="HQ26" s="747">
        <f>VLOOKUP(HO26,'Ціни контур теплопостачання'!$AO$55:$AQ$63,3,0)</f>
        <v>193.55</v>
      </c>
      <c r="HR26" s="748">
        <f t="shared" si="126"/>
        <v>193.55</v>
      </c>
      <c r="HS26" s="745">
        <f t="shared" si="29"/>
        <v>25</v>
      </c>
      <c r="HT26" s="749">
        <v>1</v>
      </c>
      <c r="HU26" s="747">
        <f>VLOOKUP(HS26,'Ціни контур теплопостачання'!$K$62:$M$67,3,0)</f>
        <v>92.91</v>
      </c>
      <c r="HV26" s="765">
        <f t="shared" si="95"/>
        <v>92.91</v>
      </c>
      <c r="HW26" s="655" t="str">
        <f t="shared" ref="HW26" si="133">HW25</f>
        <v>0-150</v>
      </c>
      <c r="HX26" s="720">
        <v>1</v>
      </c>
      <c r="HY26" s="747">
        <f>VLOOKUP(HW26,'Ціни контур мережний'!$I$79:$M$80,5,0)</f>
        <v>15.050156291498967</v>
      </c>
      <c r="HZ26" s="748">
        <f t="shared" si="96"/>
        <v>15.050156291498967</v>
      </c>
      <c r="IA26" s="758" t="s">
        <v>109</v>
      </c>
      <c r="IB26" s="749">
        <v>1</v>
      </c>
      <c r="IC26" s="747">
        <f>VLOOKUP(IA26,'Ціни контур мережний'!$I$79:$M$80,5,0)</f>
        <v>15.050156291498967</v>
      </c>
      <c r="ID26" s="765">
        <f t="shared" si="97"/>
        <v>15.050156291498967</v>
      </c>
      <c r="IE26" s="655" t="s">
        <v>108</v>
      </c>
      <c r="IF26" s="720">
        <v>3</v>
      </c>
      <c r="IG26" s="747">
        <f>VLOOKUP(IE26,'Ціни контур мережний'!$I$67:$M$69,5,0)</f>
        <v>4.4537969640631703</v>
      </c>
      <c r="IH26" s="748">
        <f t="shared" si="98"/>
        <v>13.361390892189512</v>
      </c>
      <c r="II26" s="655" t="s">
        <v>106</v>
      </c>
      <c r="IJ26" s="720">
        <f>11+T26</f>
        <v>13</v>
      </c>
      <c r="IK26" s="747">
        <f>VLOOKUP(II26,'Ціни контур мережний'!$I$67:$M$69,5,0)</f>
        <v>4.4537969640631703</v>
      </c>
      <c r="IL26" s="748">
        <f t="shared" si="99"/>
        <v>57.899360532821213</v>
      </c>
      <c r="IM26" s="655" t="s">
        <v>1013</v>
      </c>
      <c r="IN26" s="720">
        <v>5</v>
      </c>
      <c r="IO26" s="747">
        <f>VLOOKUP(IM26,'Ціни контур мережний'!$I$64:$M$64,5,0)</f>
        <v>29.1312</v>
      </c>
      <c r="IP26" s="748">
        <f t="shared" si="100"/>
        <v>145.65600000000001</v>
      </c>
      <c r="IQ26" s="766" t="s">
        <v>1015</v>
      </c>
      <c r="IR26" s="749">
        <v>6</v>
      </c>
      <c r="IS26" s="747">
        <f>VLOOKUP(IQ26,'Ціни контур мережний'!$I$89:$M$89,5,0)</f>
        <v>79.523165325760516</v>
      </c>
      <c r="IT26" s="765">
        <f t="shared" si="101"/>
        <v>477.1389919545631</v>
      </c>
      <c r="IU26" s="917" t="s">
        <v>1016</v>
      </c>
      <c r="IV26" s="720">
        <f t="shared" si="117"/>
        <v>7</v>
      </c>
      <c r="IW26" s="747">
        <f>VLOOKUP(IU26,'Ціни контур мережний'!$I$88:$M$88,5,0)</f>
        <v>13.211568975967202</v>
      </c>
      <c r="IX26" s="768">
        <f t="shared" si="102"/>
        <v>92.480982831770419</v>
      </c>
      <c r="IY26" s="917" t="s">
        <v>383</v>
      </c>
      <c r="IZ26" s="720">
        <v>1</v>
      </c>
      <c r="JA26" s="747">
        <f>VLOOKUP(IY26,'Ціни контур мережний'!$I$87:$M$87,5,0)</f>
        <v>13.483972460007763</v>
      </c>
      <c r="JB26" s="748">
        <f t="shared" si="103"/>
        <v>13.483972460007763</v>
      </c>
      <c r="JC26" s="769">
        <f t="shared" si="31"/>
        <v>30</v>
      </c>
      <c r="JD26" s="770">
        <f t="shared" si="104"/>
        <v>6955.2077748894562</v>
      </c>
      <c r="JE26" s="771">
        <f>$JE$44/'Ціни контур мережний'!$G$26</f>
        <v>476.70609707098151</v>
      </c>
      <c r="JF26" s="771">
        <f>$JE$44/'Ціни контур мережний'!$G$26</f>
        <v>476.70609707098151</v>
      </c>
      <c r="JG26" s="770">
        <f t="shared" si="112"/>
        <v>661.80181284518619</v>
      </c>
      <c r="JH26" s="770">
        <f t="shared" si="113"/>
        <v>487.81784379022207</v>
      </c>
      <c r="JI26" s="770">
        <f>$JI$43/'Ціни контур мережний'!$G$26</f>
        <v>323.47913729816605</v>
      </c>
      <c r="JJ26" s="770">
        <f t="shared" si="105"/>
        <v>66.611999999999995</v>
      </c>
      <c r="JK26" s="772">
        <v>0</v>
      </c>
      <c r="JL26" s="772">
        <f t="shared" si="114"/>
        <v>62.86234247089866</v>
      </c>
      <c r="JM26" s="772">
        <v>0</v>
      </c>
      <c r="JN26" s="770">
        <v>0</v>
      </c>
      <c r="JO26" s="1029">
        <f t="shared" si="32"/>
        <v>665.78351738051254</v>
      </c>
      <c r="JP26" s="770">
        <f t="shared" si="33"/>
        <v>951.11931054358922</v>
      </c>
      <c r="JQ26" s="1030">
        <f t="shared" si="34"/>
        <v>163.61615025860738</v>
      </c>
      <c r="JR26" s="1023">
        <f t="shared" si="115"/>
        <v>300.63036461094771</v>
      </c>
      <c r="JS26" s="777">
        <f t="shared" si="106"/>
        <v>11592.342448229549</v>
      </c>
      <c r="JU26" s="611">
        <f>[3]Расчеты!AX25/1.2</f>
        <v>5557.3337726533409</v>
      </c>
      <c r="JV26" s="611">
        <f t="shared" si="107"/>
        <v>17149.676220882888</v>
      </c>
      <c r="JW26" s="611" t="e">
        <f>JV26*1.2*#REF!</f>
        <v>#REF!</v>
      </c>
      <c r="JX26" s="611"/>
    </row>
    <row r="27" spans="1:286" ht="12.6" customHeight="1">
      <c r="A27" s="610" t="s">
        <v>686</v>
      </c>
      <c r="B27" s="597">
        <v>31</v>
      </c>
      <c r="C27" s="1056" t="s">
        <v>786</v>
      </c>
      <c r="D27" s="906">
        <v>0.23547999999999999</v>
      </c>
      <c r="E27" s="907">
        <v>0.45700000000000002</v>
      </c>
      <c r="F27" s="908">
        <f t="shared" si="35"/>
        <v>15.888506412237499</v>
      </c>
      <c r="G27" s="909">
        <v>80</v>
      </c>
      <c r="H27" s="598">
        <f t="shared" si="36"/>
        <v>4.2065023222579487</v>
      </c>
      <c r="I27" s="599">
        <v>40</v>
      </c>
      <c r="J27" s="598">
        <f t="shared" si="37"/>
        <v>9.7912681912681911</v>
      </c>
      <c r="K27" s="599">
        <v>65</v>
      </c>
      <c r="L27" s="598">
        <f t="shared" si="38"/>
        <v>11.68200408997955</v>
      </c>
      <c r="M27" s="599">
        <v>65</v>
      </c>
      <c r="N27" s="598">
        <f t="shared" si="39"/>
        <v>9.2697768762677484</v>
      </c>
      <c r="O27" s="599">
        <v>65</v>
      </c>
      <c r="P27" s="598">
        <f t="shared" si="108"/>
        <v>2.7809330628803246</v>
      </c>
      <c r="Q27" s="599">
        <v>40</v>
      </c>
      <c r="R27" s="598">
        <f t="shared" si="40"/>
        <v>5.9488926342911101</v>
      </c>
      <c r="S27" s="600">
        <f t="shared" si="41"/>
        <v>16.520848619747046</v>
      </c>
      <c r="T27" s="910">
        <v>1</v>
      </c>
      <c r="U27" s="601">
        <f t="shared" si="42"/>
        <v>9.7912681912681911</v>
      </c>
      <c r="V27" s="601">
        <f t="shared" si="43"/>
        <v>13.846944268923759</v>
      </c>
      <c r="W27" s="602">
        <v>65</v>
      </c>
      <c r="X27" s="1027">
        <v>6</v>
      </c>
      <c r="Y27" s="601">
        <f t="shared" si="44"/>
        <v>1.7999999999999998</v>
      </c>
      <c r="Z27" s="992">
        <v>25</v>
      </c>
      <c r="AA27" s="1028">
        <v>9</v>
      </c>
      <c r="AB27" s="745">
        <f t="shared" si="0"/>
        <v>80</v>
      </c>
      <c r="AC27" s="746">
        <v>2</v>
      </c>
      <c r="AD27" s="747">
        <f>VLOOKUP(AB27,'Ціни контур мережний'!$Z$24:$AB$36,3,0)</f>
        <v>37.693832104112609</v>
      </c>
      <c r="AE27" s="748">
        <f t="shared" si="45"/>
        <v>75.387664208225218</v>
      </c>
      <c r="AF27" s="745">
        <f t="shared" si="1"/>
        <v>80</v>
      </c>
      <c r="AG27" s="749">
        <v>2</v>
      </c>
      <c r="AH27" s="747">
        <f>VLOOKUP(AF27,'Ціни контур мережний'!$Z$64:$AB$77,3,0)</f>
        <v>111.00441974652855</v>
      </c>
      <c r="AI27" s="748">
        <f t="shared" si="46"/>
        <v>222.00883949305711</v>
      </c>
      <c r="AJ27" s="745">
        <f t="shared" si="2"/>
        <v>80</v>
      </c>
      <c r="AK27" s="746">
        <v>1</v>
      </c>
      <c r="AL27" s="747">
        <f>VLOOKUP(AJ27,'Ціни контур мережний'!$Z$5:$AB$17,3,0)</f>
        <v>50.12</v>
      </c>
      <c r="AM27" s="748">
        <f t="shared" si="47"/>
        <v>50.12</v>
      </c>
      <c r="AN27" s="750">
        <f t="shared" si="3"/>
        <v>40</v>
      </c>
      <c r="AO27" s="746">
        <v>3</v>
      </c>
      <c r="AP27" s="747">
        <f>VLOOKUP(AN27,'Ціни контур мережний'!$Z$43:$AB$55,3,0)</f>
        <v>18.42400964308333</v>
      </c>
      <c r="AQ27" s="768">
        <f t="shared" si="48"/>
        <v>55.272028929249991</v>
      </c>
      <c r="AR27" s="749">
        <f t="shared" si="4"/>
        <v>65</v>
      </c>
      <c r="AS27" s="749">
        <v>4</v>
      </c>
      <c r="AT27" s="747">
        <f>VLOOKUP(AR27,'Ціни контур мережний'!$Z$43:$AB$55,3,0)</f>
        <v>30.19184015363556</v>
      </c>
      <c r="AU27" s="1016">
        <f t="shared" si="49"/>
        <v>120.76736061454224</v>
      </c>
      <c r="AV27" s="751" t="str">
        <f t="shared" si="50"/>
        <v>AMV20</v>
      </c>
      <c r="AW27" s="751">
        <v>1</v>
      </c>
      <c r="AX27" s="747">
        <f>VLOOKUP(AV27,'Ціни контур мережний'!$I$53:$M$57,5,0)</f>
        <v>110.39869654932889</v>
      </c>
      <c r="AY27" s="748">
        <f t="shared" si="51"/>
        <v>110.39869654932889</v>
      </c>
      <c r="AZ27" s="752">
        <f t="array" ref="AZ27">MIN(IF('Ціни контур мережний'!$Y$83:$Y$92&gt;(R27*1.2),'Ціни контур мережний'!$Y$83:$Y$92))</f>
        <v>10</v>
      </c>
      <c r="BA27" s="746">
        <f>VLOOKUP(AZ27,'Ціни контур мережний'!$Y$83:$Z$92,2,0)</f>
        <v>25</v>
      </c>
      <c r="BB27" s="746">
        <v>1</v>
      </c>
      <c r="BC27" s="747">
        <f>VLOOKUP(AZ27,'Ціни контур мережний'!$Y$83:$AB$92,4,0)</f>
        <v>117.50505648967251</v>
      </c>
      <c r="BD27" s="748">
        <f t="shared" si="52"/>
        <v>117.50505648967251</v>
      </c>
      <c r="BE27" s="1099">
        <f t="array" ref="BE27">MIN(IF('[1]Ціни контур мережний'!$Y$104:$Y$114&gt;(R27*1.2),'[1]Ціни контур мережний'!$Y$104:$Y$114))</f>
        <v>8</v>
      </c>
      <c r="BF27" s="1101">
        <f>VLOOKUP(BE27,'[1]Ціни контур мережний'!$Y$104:$Z$114,2,0)</f>
        <v>25</v>
      </c>
      <c r="BG27" s="753">
        <v>1</v>
      </c>
      <c r="BH27" s="754">
        <f>VLOOKUP(BE27,'Ціни контур мережний'!$Y$104:$AB$114,4,0)</f>
        <v>278.09338672441618</v>
      </c>
      <c r="BI27" s="755">
        <f t="shared" si="53"/>
        <v>278.09338672441618</v>
      </c>
      <c r="BJ27" s="751" t="s">
        <v>67</v>
      </c>
      <c r="BK27" s="749">
        <v>1</v>
      </c>
      <c r="BL27" s="747">
        <f>VLOOKUP(BJ27,'Ціни контур мережний'!$I$53:$M$57,5,0)</f>
        <v>157.67238032974441</v>
      </c>
      <c r="BM27" s="748">
        <f t="shared" si="54"/>
        <v>157.67238032974441</v>
      </c>
      <c r="BN27" s="896">
        <f t="array" ref="BN27">MIN(IF('Ціни контур мережний'!$Y$83:$Y$93&gt;(S27*1.2),'Ціни контур мережний'!$Y$83:$Y$93))</f>
        <v>25</v>
      </c>
      <c r="BO27" s="896">
        <f>VLOOKUP(BN27,'Ціни контур мережний'!$Y$83:$Z$93,2,0)</f>
        <v>40</v>
      </c>
      <c r="BP27" s="895">
        <v>1</v>
      </c>
      <c r="BQ27" s="896">
        <f>VLOOKUP(BN27,'Ціни контур мережний'!$Y$83:$AB$93,4,0)</f>
        <v>156.6569554824606</v>
      </c>
      <c r="BR27" s="897">
        <f t="shared" si="55"/>
        <v>156.6569554824606</v>
      </c>
      <c r="BS27" s="896">
        <f t="array" ref="BS27">MIN(IF('Ціни контур мережний'!$Y$104:$Y$114&gt;(S27*1.2),'Ціни контур мережний'!$Y$104:$Y$114))</f>
        <v>20</v>
      </c>
      <c r="BT27" s="896">
        <f>VLOOKUP(BS27,'Ціни контур мережний'!$Y$104:$Z$114,2,0)</f>
        <v>40</v>
      </c>
      <c r="BU27" s="895">
        <v>1</v>
      </c>
      <c r="BV27" s="896">
        <f>VLOOKUP(BS27,'Ціни контур мережний'!$Y$104:$AB$114,4,0)</f>
        <v>448.22326189551967</v>
      </c>
      <c r="BW27" s="897">
        <f t="shared" si="56"/>
        <v>448.22326189551967</v>
      </c>
      <c r="BX27" s="751">
        <f>VLOOKUP(BY27,'Ціни контур мережний'!$J$5:$L$12,3,0)</f>
        <v>25</v>
      </c>
      <c r="BY27" s="751">
        <f t="array" ref="BY27">MIN(IF('Ціни контур мережний'!$J$5:$J$12&gt;H27,'Ціни контур мережний'!$J$5:$J$12))</f>
        <v>6</v>
      </c>
      <c r="BZ27" s="746" t="str">
        <f>BZ8</f>
        <v>Pt500</v>
      </c>
      <c r="CA27" s="756">
        <v>1</v>
      </c>
      <c r="CB27" s="747">
        <f>VLOOKUP(BY27,'Ціни контур мережний'!$J$5:$N$12,5,0)</f>
        <v>341.25599999999997</v>
      </c>
      <c r="CC27" s="748">
        <f t="shared" si="57"/>
        <v>341.25599999999997</v>
      </c>
      <c r="CD27" s="758">
        <f>VLOOKUP(CE27,'Ціни контур мережний'!$J$5:$L$12,3,0)</f>
        <v>50</v>
      </c>
      <c r="CE27" s="747">
        <f t="array" ref="CE27">MIN(IF('Ціни контур мережний'!$J$5:$J$12&gt;L27,'Ціни контур мережний'!$J$5:$J$12))</f>
        <v>15</v>
      </c>
      <c r="CF27" s="746" t="s">
        <v>130</v>
      </c>
      <c r="CG27" s="749">
        <v>1</v>
      </c>
      <c r="CH27" s="747">
        <f>VLOOKUP(CE27,'Ціни контур мережний'!$J$5:$N$12,5,0)</f>
        <v>366.74399999999997</v>
      </c>
      <c r="CI27" s="748">
        <f t="shared" si="58"/>
        <v>366.74399999999997</v>
      </c>
      <c r="CJ27" s="899" t="s">
        <v>1306</v>
      </c>
      <c r="CK27" s="899">
        <v>1</v>
      </c>
      <c r="CL27" s="898">
        <v>772</v>
      </c>
      <c r="CM27" s="901">
        <f t="shared" si="59"/>
        <v>772</v>
      </c>
      <c r="CN27" s="898" t="s">
        <v>1329</v>
      </c>
      <c r="CO27" s="899">
        <v>1</v>
      </c>
      <c r="CP27" s="900">
        <v>804</v>
      </c>
      <c r="CQ27" s="901">
        <f t="shared" si="60"/>
        <v>804</v>
      </c>
      <c r="CR27" s="751">
        <f t="shared" si="5"/>
        <v>65</v>
      </c>
      <c r="CS27" s="746">
        <v>4</v>
      </c>
      <c r="CT27" s="747">
        <f>VLOOKUP(CR27,'Ціни контур теплопостачання'!$Y$5:$AA$17,3,0)</f>
        <v>30.19184015363556</v>
      </c>
      <c r="CU27" s="748">
        <f t="shared" si="61"/>
        <v>120.76736061454224</v>
      </c>
      <c r="CV27" s="750">
        <f t="shared" si="6"/>
        <v>65</v>
      </c>
      <c r="CW27" s="746">
        <v>6</v>
      </c>
      <c r="CX27" s="747">
        <f>VLOOKUP(CV27,'Ціни контур теплопостачання'!$AO$20:$AQ$29,3,0)</f>
        <v>42.675547020246391</v>
      </c>
      <c r="CY27" s="748">
        <f t="shared" si="62"/>
        <v>256.05328212147833</v>
      </c>
      <c r="CZ27" s="750">
        <f t="shared" si="7"/>
        <v>40</v>
      </c>
      <c r="DA27" s="746">
        <v>3</v>
      </c>
      <c r="DB27" s="747">
        <f>VLOOKUP(CZ27,'Ціни контур теплопостачання'!$AO$20:$AQ$29,3,0)</f>
        <v>37.980000000000004</v>
      </c>
      <c r="DC27" s="748">
        <f t="shared" si="63"/>
        <v>113.94000000000001</v>
      </c>
      <c r="DD27" s="757">
        <f t="shared" si="8"/>
        <v>65</v>
      </c>
      <c r="DE27" s="746">
        <f t="shared" si="9"/>
        <v>2</v>
      </c>
      <c r="DF27" s="747">
        <f>VLOOKUP(DD27,'Ціни контур теплопостачання'!$Y$5:$AA$17,3,0)</f>
        <v>30.19184015363556</v>
      </c>
      <c r="DG27" s="748">
        <f t="shared" si="64"/>
        <v>60.383680307271121</v>
      </c>
      <c r="DH27" s="745">
        <f t="shared" si="65"/>
        <v>32</v>
      </c>
      <c r="DI27" s="749">
        <f t="shared" si="66"/>
        <v>1</v>
      </c>
      <c r="DJ27" s="747">
        <f>VLOOKUP(DH27,'Ціни контур теплопостачання'!$Y$5:$AA$17,3,0)</f>
        <v>10.381</v>
      </c>
      <c r="DK27" s="765">
        <f t="shared" si="67"/>
        <v>10.381</v>
      </c>
      <c r="DL27" s="757">
        <f t="shared" si="10"/>
        <v>25</v>
      </c>
      <c r="DM27" s="746">
        <v>1</v>
      </c>
      <c r="DN27" s="747">
        <f>VLOOKUP(DL27,'Ціни контур мережний'!$Z$43:$AB$55,3,0)</f>
        <v>14.856886019572187</v>
      </c>
      <c r="DO27" s="748">
        <f t="shared" si="68"/>
        <v>14.856886019572187</v>
      </c>
      <c r="DP27" s="757">
        <f t="shared" si="11"/>
        <v>25</v>
      </c>
      <c r="DQ27" s="746">
        <v>2</v>
      </c>
      <c r="DR27" s="747">
        <f>VLOOKUP(DP27,'Ціни контур теплопостачання'!$Y$5:$AA$17,3,0)</f>
        <v>6.3070000000000004</v>
      </c>
      <c r="DS27" s="748">
        <f t="shared" si="69"/>
        <v>12.614000000000001</v>
      </c>
      <c r="DT27" s="745">
        <v>20</v>
      </c>
      <c r="DU27" s="749">
        <v>2</v>
      </c>
      <c r="DV27" s="747">
        <f>VLOOKUP(DT27,'Ціни контур теплопостачання'!$Y$5:$AA$17,3,0)</f>
        <v>3.577</v>
      </c>
      <c r="DW27" s="748">
        <f t="shared" si="70"/>
        <v>7.1539999999999999</v>
      </c>
      <c r="DX27" s="745">
        <v>15</v>
      </c>
      <c r="DY27" s="745">
        <v>10</v>
      </c>
      <c r="DZ27" s="758">
        <f>VLOOKUP(DX27,'Ціни контур теплопостачання'!$Y$5:$AA$17,3,0)</f>
        <v>2.464</v>
      </c>
      <c r="EA27" s="759">
        <f t="shared" si="71"/>
        <v>24.64</v>
      </c>
      <c r="EB27" s="745">
        <v>15</v>
      </c>
      <c r="EC27" s="745">
        <f>36</f>
        <v>36</v>
      </c>
      <c r="ED27" s="758">
        <f>VLOOKUP(EB27,'Ціни контур мережний'!$J$71:$M$71,4,0)</f>
        <v>3.3865201135922525</v>
      </c>
      <c r="EE27" s="759">
        <f t="shared" si="72"/>
        <v>121.91472408932108</v>
      </c>
      <c r="EF27" s="751">
        <f t="shared" si="12"/>
        <v>65</v>
      </c>
      <c r="EG27" s="746">
        <v>1</v>
      </c>
      <c r="EH27" s="747">
        <f>VLOOKUP(EF27,'Ціни контур теплопостачання'!$K$5:$M$17,3,0)</f>
        <v>39.731999999999999</v>
      </c>
      <c r="EI27" s="748">
        <f t="shared" si="73"/>
        <v>39.731999999999999</v>
      </c>
      <c r="EJ27" s="745">
        <f t="shared" si="13"/>
        <v>65</v>
      </c>
      <c r="EK27" s="749">
        <v>1</v>
      </c>
      <c r="EL27" s="747">
        <f>VLOOKUP(EJ27,'Ціни контур теплопостачання'!$K$5:$M$17,3,0)</f>
        <v>39.731999999999999</v>
      </c>
      <c r="EM27" s="748">
        <f t="shared" si="74"/>
        <v>39.731999999999999</v>
      </c>
      <c r="EN27" s="745">
        <f t="shared" si="14"/>
        <v>40</v>
      </c>
      <c r="EO27" s="745">
        <v>1</v>
      </c>
      <c r="EP27" s="758">
        <f>VLOOKUP(EN27,'Ціни контур теплопостачання'!$K$5:$M$17,3,0)</f>
        <v>23.225999999999999</v>
      </c>
      <c r="EQ27" s="759">
        <f t="shared" si="75"/>
        <v>23.225999999999999</v>
      </c>
      <c r="ER27" s="745">
        <f t="shared" si="15"/>
        <v>25</v>
      </c>
      <c r="ES27" s="745">
        <v>1</v>
      </c>
      <c r="ET27" s="758">
        <f>VLOOKUP(ER27,'Ціни контур теплопостачання'!$K$5:$M$17,3,0)</f>
        <v>4.78</v>
      </c>
      <c r="EU27" s="759">
        <f t="shared" si="76"/>
        <v>4.78</v>
      </c>
      <c r="EV27" s="751">
        <f t="shared" si="16"/>
        <v>65</v>
      </c>
      <c r="EW27" s="746">
        <v>2</v>
      </c>
      <c r="EX27" s="747">
        <f>VLOOKUP(EV27,'Ціни контур теплопостачання'!$Y$24:$AA$36,3,0)</f>
        <v>42.080999999999996</v>
      </c>
      <c r="EY27" s="748">
        <f t="shared" si="77"/>
        <v>84.161999999999992</v>
      </c>
      <c r="EZ27" s="745">
        <f t="shared" si="17"/>
        <v>65</v>
      </c>
      <c r="FA27" s="749">
        <v>1</v>
      </c>
      <c r="FB27" s="747">
        <f>VLOOKUP(EZ27,'Ціни контур теплопостачання'!$AO$38:$AQ$50,3,0)</f>
        <v>42.080999999999996</v>
      </c>
      <c r="FC27" s="748">
        <f t="shared" si="78"/>
        <v>42.080999999999996</v>
      </c>
      <c r="FD27" s="745">
        <f t="shared" si="18"/>
        <v>40</v>
      </c>
      <c r="FE27" s="745">
        <v>1</v>
      </c>
      <c r="FF27" s="758">
        <f>VLOOKUP(FD27,'Ціни контур теплопостачання'!$AO$38:$AQ$50,3,0)</f>
        <v>20.3645</v>
      </c>
      <c r="FG27" s="759">
        <f t="shared" si="79"/>
        <v>20.3645</v>
      </c>
      <c r="FH27" s="745">
        <f t="shared" si="19"/>
        <v>25</v>
      </c>
      <c r="FI27" s="745">
        <v>1</v>
      </c>
      <c r="FJ27" s="758">
        <f>VLOOKUP(FH27,'Ціни контур теплопостачання'!$Y$24:$AA$36,3,0)</f>
        <v>6.9659999999999993</v>
      </c>
      <c r="FK27" s="759">
        <f t="shared" si="80"/>
        <v>6.9659999999999993</v>
      </c>
      <c r="FL27" s="745">
        <f t="shared" si="20"/>
        <v>65</v>
      </c>
      <c r="FM27" s="745">
        <f t="shared" si="21"/>
        <v>2</v>
      </c>
      <c r="FN27" s="758">
        <f>VLOOKUP(FL27,'Ціни контур теплопостачання'!$Y$76:$AA$88,3,0)</f>
        <v>26.33</v>
      </c>
      <c r="FO27" s="759">
        <f t="shared" si="81"/>
        <v>52.66</v>
      </c>
      <c r="FP27" s="745">
        <f t="shared" si="22"/>
        <v>65</v>
      </c>
      <c r="FQ27" s="745">
        <v>1</v>
      </c>
      <c r="FR27" s="758">
        <f>VLOOKUP(FP27,'Ціни контур теплопостачання'!$Y$76:$AA$88,3,0)</f>
        <v>26.33</v>
      </c>
      <c r="FS27" s="759">
        <f t="shared" si="82"/>
        <v>26.33</v>
      </c>
      <c r="FT27" s="745">
        <f t="shared" si="23"/>
        <v>40</v>
      </c>
      <c r="FU27" s="745">
        <v>1</v>
      </c>
      <c r="FV27" s="758">
        <f>VLOOKUP(FT27,'Ціни контур теплопостачання'!$Y$76:$AA$88,3,0)</f>
        <v>16.809999999999999</v>
      </c>
      <c r="FW27" s="759">
        <f t="shared" si="83"/>
        <v>16.809999999999999</v>
      </c>
      <c r="FX27" s="758">
        <f t="shared" si="24"/>
        <v>24.6482940586159</v>
      </c>
      <c r="FY27" s="760">
        <v>25</v>
      </c>
      <c r="FZ27" s="719">
        <v>2</v>
      </c>
      <c r="GA27" s="747">
        <f>VLOOKUP(FY27,'Ціни контур теплопостачання'!$K$74:$M$79,3,0)</f>
        <v>22.22</v>
      </c>
      <c r="GB27" s="761">
        <f t="shared" si="84"/>
        <v>44.44</v>
      </c>
      <c r="GC27" s="762">
        <f t="shared" si="85"/>
        <v>9.7912681912681911</v>
      </c>
      <c r="GD27" s="911">
        <v>9</v>
      </c>
      <c r="GE27" s="1017">
        <v>9</v>
      </c>
      <c r="GF27" s="1018" t="s">
        <v>119</v>
      </c>
      <c r="GG27" s="713">
        <v>2</v>
      </c>
      <c r="GH27" s="709">
        <f>VLOOKUP(GF27,'Ціни контур теплопостачання'!$C$89:$M$105,11,0)</f>
        <v>391.06799999999998</v>
      </c>
      <c r="GI27" s="764">
        <f t="shared" si="86"/>
        <v>782.13599999999997</v>
      </c>
      <c r="GJ27" s="912">
        <f t="shared" si="87"/>
        <v>2.7809330628803246</v>
      </c>
      <c r="GK27" s="911">
        <v>9</v>
      </c>
      <c r="GL27" s="1017">
        <v>9</v>
      </c>
      <c r="GM27" s="1019" t="s">
        <v>1097</v>
      </c>
      <c r="GN27" s="749">
        <v>1</v>
      </c>
      <c r="GO27" s="747">
        <f>VLOOKUP(GM27,'Ціни контур теплопостачання'!$C$89:$M$105,11,0)</f>
        <v>241.2</v>
      </c>
      <c r="GP27" s="904">
        <f t="shared" si="88"/>
        <v>241.2</v>
      </c>
      <c r="GQ27" s="758">
        <f t="shared" si="25"/>
        <v>634.2814527322497</v>
      </c>
      <c r="GR27" s="955">
        <v>750</v>
      </c>
      <c r="GS27" s="749">
        <f>VLOOKUP(GR27,'Ціни контур теплопостачання'!$J$43:$K$55,2,0)</f>
        <v>32</v>
      </c>
      <c r="GT27" s="1020">
        <v>1</v>
      </c>
      <c r="GU27" s="747">
        <f>VLOOKUP(GR27,'Ціни контур теплопостачання'!$J$43:$M$55,4,0)</f>
        <v>376.94</v>
      </c>
      <c r="GV27" s="748">
        <f t="shared" si="89"/>
        <v>376.94</v>
      </c>
      <c r="GW27" s="758">
        <f t="array" ref="GW27">MIN(IF('Ціни контур теплопостачання'!$AN$68:$AN$77&gt;(V27*1.2),'Ціни контур теплопостачання'!$AN$68:$AN$77))</f>
        <v>22.36</v>
      </c>
      <c r="GX27" s="749">
        <f>VLOOKUP(GW27,'Ціни контур теплопостачання'!$AN$68:$AO$77,2,0)</f>
        <v>40</v>
      </c>
      <c r="GY27" s="749">
        <v>0</v>
      </c>
      <c r="GZ27" s="747">
        <f>VLOOKUP(GX27,'Ціни контур теплопостачання'!$AO$68:$AQ$77,3,0)</f>
        <v>43.225000000000001</v>
      </c>
      <c r="HA27" s="759">
        <f t="shared" si="90"/>
        <v>0</v>
      </c>
      <c r="HB27" s="751">
        <v>15</v>
      </c>
      <c r="HC27" s="746">
        <v>2</v>
      </c>
      <c r="HD27" s="747">
        <f>VLOOKUP(HB27,'Ціни контур мережний'!$J$73:$M$73,4,0)</f>
        <v>3.4649999999999999</v>
      </c>
      <c r="HE27" s="748">
        <f t="shared" si="91"/>
        <v>6.93</v>
      </c>
      <c r="HF27" s="749">
        <f t="shared" si="27"/>
        <v>25</v>
      </c>
      <c r="HG27" s="749">
        <v>1</v>
      </c>
      <c r="HH27" s="747">
        <f>VLOOKUP(HF27,'Ціни контур теплопостачання'!$Y$62:$AA$69,3,0)</f>
        <v>89.924040000000005</v>
      </c>
      <c r="HI27" s="765">
        <f t="shared" si="92"/>
        <v>89.924040000000005</v>
      </c>
      <c r="HJ27" s="750">
        <f>VLOOKUP(HK27,'Ціни контур теплопостачання'!$AN$6:$AO$13,2,0)</f>
        <v>40</v>
      </c>
      <c r="HK27" s="751">
        <f t="array" ref="HK27">MIN(IF('Ціни контур теплопостачання'!$AN$6:$AN$13&gt;N27,'Ціни контур теплопостачання'!$AN$6:$AN$13))</f>
        <v>15</v>
      </c>
      <c r="HL27" s="751">
        <v>1</v>
      </c>
      <c r="HM27" s="747">
        <f>VLOOKUP(HJ27,'Ціни контур теплопостачання'!$AO$6:$AQ$13,3,0)</f>
        <v>140.82444000000001</v>
      </c>
      <c r="HN27" s="748">
        <f t="shared" si="93"/>
        <v>140.82444000000001</v>
      </c>
      <c r="HO27" s="750">
        <f t="shared" si="28"/>
        <v>65</v>
      </c>
      <c r="HP27" s="746">
        <v>1</v>
      </c>
      <c r="HQ27" s="747">
        <f>VLOOKUP(HO27,'Ціни контур теплопостачання'!$AO$55:$AQ$63,3,0)</f>
        <v>426.6</v>
      </c>
      <c r="HR27" s="748">
        <f t="shared" si="126"/>
        <v>426.6</v>
      </c>
      <c r="HS27" s="745">
        <f t="shared" si="29"/>
        <v>25</v>
      </c>
      <c r="HT27" s="749">
        <v>1</v>
      </c>
      <c r="HU27" s="747">
        <f>VLOOKUP(HS27,'Ціни контур теплопостачання'!$K$62:$M$67,3,0)</f>
        <v>92.91</v>
      </c>
      <c r="HV27" s="765">
        <f t="shared" si="95"/>
        <v>92.91</v>
      </c>
      <c r="HW27" s="655" t="str">
        <f t="shared" ref="HW27" si="134">HW26</f>
        <v>0-150</v>
      </c>
      <c r="HX27" s="720">
        <v>1</v>
      </c>
      <c r="HY27" s="747">
        <f>VLOOKUP(HW27,'Ціни контур мережний'!$I$79:$M$80,5,0)</f>
        <v>15.050156291498967</v>
      </c>
      <c r="HZ27" s="748">
        <f t="shared" si="96"/>
        <v>15.050156291498967</v>
      </c>
      <c r="IA27" s="758" t="s">
        <v>109</v>
      </c>
      <c r="IB27" s="749">
        <v>5</v>
      </c>
      <c r="IC27" s="747">
        <f>VLOOKUP(IA27,'Ціни контур мережний'!$I$79:$M$80,5,0)</f>
        <v>15.050156291498967</v>
      </c>
      <c r="ID27" s="765">
        <f t="shared" si="97"/>
        <v>75.250781457494838</v>
      </c>
      <c r="IE27" s="655" t="s">
        <v>108</v>
      </c>
      <c r="IF27" s="720">
        <v>5</v>
      </c>
      <c r="IG27" s="747">
        <f>VLOOKUP(IE27,'Ціни контур мережний'!$I$67:$M$69,5,0)</f>
        <v>4.4537969640631703</v>
      </c>
      <c r="IH27" s="748">
        <f t="shared" si="98"/>
        <v>22.26898482031585</v>
      </c>
      <c r="II27" s="655" t="s">
        <v>106</v>
      </c>
      <c r="IJ27" s="720">
        <f>11</f>
        <v>11</v>
      </c>
      <c r="IK27" s="747">
        <f>VLOOKUP(II27,'Ціни контур мережний'!$I$67:$M$69,5,0)</f>
        <v>4.4537969640631703</v>
      </c>
      <c r="IL27" s="748">
        <f t="shared" si="99"/>
        <v>48.991766604694874</v>
      </c>
      <c r="IM27" s="655" t="s">
        <v>1013</v>
      </c>
      <c r="IN27" s="720">
        <v>5</v>
      </c>
      <c r="IO27" s="747">
        <f>VLOOKUP(IM27,'Ціни контур мережний'!$I$64:$M$64,5,0)</f>
        <v>29.1312</v>
      </c>
      <c r="IP27" s="748">
        <f t="shared" si="100"/>
        <v>145.65600000000001</v>
      </c>
      <c r="IQ27" s="766" t="s">
        <v>1015</v>
      </c>
      <c r="IR27" s="749">
        <v>6</v>
      </c>
      <c r="IS27" s="747">
        <f>VLOOKUP(IQ27,'Ціни контур мережний'!$I$89:$M$89,5,0)</f>
        <v>79.523165325760516</v>
      </c>
      <c r="IT27" s="765">
        <f t="shared" si="101"/>
        <v>477.1389919545631</v>
      </c>
      <c r="IU27" s="778" t="s">
        <v>1016</v>
      </c>
      <c r="IV27" s="720">
        <f t="shared" si="117"/>
        <v>7</v>
      </c>
      <c r="IW27" s="747">
        <f>VLOOKUP(IU27,'Ціни контур мережний'!$I$88:$M$88,5,0)</f>
        <v>13.211568975967202</v>
      </c>
      <c r="IX27" s="768">
        <f t="shared" si="102"/>
        <v>92.480982831770419</v>
      </c>
      <c r="IY27" s="779" t="s">
        <v>383</v>
      </c>
      <c r="IZ27" s="720">
        <v>1</v>
      </c>
      <c r="JA27" s="747">
        <f>VLOOKUP(IY27,'Ціни контур мережний'!$I$87:$M$87,5,0)</f>
        <v>13.483972460007763</v>
      </c>
      <c r="JB27" s="748">
        <f t="shared" si="103"/>
        <v>13.483972460007763</v>
      </c>
      <c r="JC27" s="769">
        <f t="shared" si="31"/>
        <v>31</v>
      </c>
      <c r="JD27" s="770">
        <f t="shared" si="104"/>
        <v>8267.8801802887465</v>
      </c>
      <c r="JE27" s="771">
        <f>$JE$44/'Ціни контур мережний'!$G$26</f>
        <v>476.70609707098151</v>
      </c>
      <c r="JF27" s="771">
        <f>$JE$45/'Ціни контур мережний'!$G$26</f>
        <v>578.85740358619182</v>
      </c>
      <c r="JG27" s="770">
        <f t="shared" si="112"/>
        <v>661.80181284518619</v>
      </c>
      <c r="JH27" s="770">
        <f t="shared" si="113"/>
        <v>487.81784379022207</v>
      </c>
      <c r="JI27" s="770">
        <f>$JI$43/'Ціни контур мережний'!$G$26</f>
        <v>323.47913729816605</v>
      </c>
      <c r="JJ27" s="770">
        <f t="shared" si="105"/>
        <v>66.611999999999995</v>
      </c>
      <c r="JK27" s="772">
        <v>0</v>
      </c>
      <c r="JL27" s="772">
        <f t="shared" si="114"/>
        <v>62.86234247089866</v>
      </c>
      <c r="JM27" s="772">
        <v>0</v>
      </c>
      <c r="JN27" s="770">
        <v>0</v>
      </c>
      <c r="JO27" s="1029">
        <f t="shared" si="32"/>
        <v>764.82117721452732</v>
      </c>
      <c r="JP27" s="770">
        <f t="shared" si="33"/>
        <v>1092.6016817350389</v>
      </c>
      <c r="JQ27" s="1030">
        <f t="shared" si="34"/>
        <v>187.95463297806054</v>
      </c>
      <c r="JR27" s="1023">
        <f t="shared" si="115"/>
        <v>300.63036461094771</v>
      </c>
      <c r="JS27" s="777">
        <f t="shared" si="106"/>
        <v>13272.024673888965</v>
      </c>
      <c r="JU27" s="611">
        <f>[3]Расчеты!AX26/1.2</f>
        <v>5557.3337726533409</v>
      </c>
      <c r="JV27" s="611">
        <f t="shared" si="107"/>
        <v>18829.358446542305</v>
      </c>
      <c r="JW27" s="611" t="e">
        <f>JV27*1.2*#REF!</f>
        <v>#REF!</v>
      </c>
      <c r="JX27" s="611"/>
    </row>
    <row r="28" spans="1:286" ht="12.6" customHeight="1">
      <c r="B28" s="597">
        <v>75</v>
      </c>
      <c r="C28" s="1056" t="s">
        <v>787</v>
      </c>
      <c r="D28" s="906">
        <v>0.17496</v>
      </c>
      <c r="E28" s="907">
        <v>8.6400000000000005E-2</v>
      </c>
      <c r="F28" s="908">
        <f t="shared" si="35"/>
        <v>5.3339908863156644</v>
      </c>
      <c r="G28" s="909">
        <v>50</v>
      </c>
      <c r="H28" s="598">
        <f t="shared" si="36"/>
        <v>3.12540192926045</v>
      </c>
      <c r="I28" s="599">
        <v>32</v>
      </c>
      <c r="J28" s="598">
        <f t="shared" si="37"/>
        <v>7.2748440748440748</v>
      </c>
      <c r="K28" s="599">
        <v>65</v>
      </c>
      <c r="L28" s="598">
        <f t="shared" si="38"/>
        <v>2.2085889570552149</v>
      </c>
      <c r="M28" s="599">
        <v>32</v>
      </c>
      <c r="N28" s="598">
        <f t="shared" si="39"/>
        <v>1.7525354969574038</v>
      </c>
      <c r="O28" s="599">
        <v>32</v>
      </c>
      <c r="P28" s="598">
        <f t="shared" si="108"/>
        <v>0.52576064908722109</v>
      </c>
      <c r="Q28" s="599">
        <v>20</v>
      </c>
      <c r="R28" s="598">
        <f t="shared" si="40"/>
        <v>4.4199857962271647</v>
      </c>
      <c r="S28" s="600">
        <f t="shared" si="41"/>
        <v>3.1234164567749336</v>
      </c>
      <c r="T28" s="910">
        <v>4</v>
      </c>
      <c r="U28" s="601">
        <f t="shared" si="42"/>
        <v>1.8187110187110187</v>
      </c>
      <c r="V28" s="601">
        <f t="shared" si="43"/>
        <v>2.5720457886985102</v>
      </c>
      <c r="W28" s="602">
        <v>25</v>
      </c>
      <c r="X28" s="1027">
        <v>3.4292160000000003</v>
      </c>
      <c r="Y28" s="601">
        <f t="shared" si="44"/>
        <v>1.0287648</v>
      </c>
      <c r="Z28" s="992">
        <v>20</v>
      </c>
      <c r="AA28" s="1028">
        <v>3</v>
      </c>
      <c r="AB28" s="745">
        <f t="shared" si="0"/>
        <v>50</v>
      </c>
      <c r="AC28" s="746">
        <v>2</v>
      </c>
      <c r="AD28" s="747">
        <f>VLOOKUP(AB28,'Ціни контур мережний'!$Z$24:$AB$36,3,0)</f>
        <v>23.2782130224622</v>
      </c>
      <c r="AE28" s="748">
        <f t="shared" si="45"/>
        <v>46.5564260449244</v>
      </c>
      <c r="AF28" s="745">
        <f t="shared" si="1"/>
        <v>50</v>
      </c>
      <c r="AG28" s="749">
        <v>2</v>
      </c>
      <c r="AH28" s="747">
        <f>VLOOKUP(AF28,'Ціни контур мережний'!$Z$64:$AB$77,3,0)</f>
        <v>80.03214361111678</v>
      </c>
      <c r="AI28" s="748">
        <f t="shared" si="46"/>
        <v>160.06428722223356</v>
      </c>
      <c r="AJ28" s="745">
        <f t="shared" si="2"/>
        <v>50</v>
      </c>
      <c r="AK28" s="746">
        <v>0</v>
      </c>
      <c r="AL28" s="747">
        <f>VLOOKUP(AJ28,'Ціни контур мережний'!$Z$5:$AB$17,3,0)</f>
        <v>26.284999999999997</v>
      </c>
      <c r="AM28" s="748">
        <f t="shared" si="47"/>
        <v>0</v>
      </c>
      <c r="AN28" s="750">
        <f t="shared" si="3"/>
        <v>32</v>
      </c>
      <c r="AO28" s="746">
        <v>1</v>
      </c>
      <c r="AP28" s="747">
        <f>VLOOKUP(AN28,'Ціни контур мережний'!$Z$43:$AB$55,3,0)</f>
        <v>16.107218011318363</v>
      </c>
      <c r="AQ28" s="768">
        <f t="shared" si="48"/>
        <v>16.107218011318363</v>
      </c>
      <c r="AR28" s="749">
        <f t="shared" si="4"/>
        <v>32</v>
      </c>
      <c r="AS28" s="749">
        <v>4</v>
      </c>
      <c r="AT28" s="747">
        <f>VLOOKUP(AR28,'Ціни контур мережний'!$Z$43:$AB$55,3,0)</f>
        <v>16.107218011318363</v>
      </c>
      <c r="AU28" s="1016">
        <f t="shared" si="49"/>
        <v>64.428872045273451</v>
      </c>
      <c r="AV28" s="751" t="str">
        <f t="shared" si="50"/>
        <v>AMV20</v>
      </c>
      <c r="AW28" s="751">
        <v>1</v>
      </c>
      <c r="AX28" s="747">
        <f>VLOOKUP(AV28,'Ціни контур мережний'!$I$53:$M$57,5,0)</f>
        <v>110.39869654932889</v>
      </c>
      <c r="AY28" s="748">
        <f t="shared" si="51"/>
        <v>110.39869654932889</v>
      </c>
      <c r="AZ28" s="752">
        <f t="array" ref="AZ28">MIN(IF('Ціни контур мережний'!$Y$83:$Y$92&gt;(R28*1.2),'Ціни контур мережний'!$Y$83:$Y$92))</f>
        <v>6.3</v>
      </c>
      <c r="BA28" s="746">
        <f>VLOOKUP(AZ28,'Ціни контур мережний'!$Y$83:$Z$92,2,0)</f>
        <v>20</v>
      </c>
      <c r="BB28" s="746">
        <v>1</v>
      </c>
      <c r="BC28" s="747">
        <f>VLOOKUP(AZ28,'Ціни контур мережний'!$Y$83:$AB$92,4,0)</f>
        <v>113.14115267534271</v>
      </c>
      <c r="BD28" s="748">
        <f t="shared" si="52"/>
        <v>113.14115267534271</v>
      </c>
      <c r="BE28" s="1099">
        <f t="array" ref="BE28">MIN(IF('[1]Ціни контур мережний'!$Y$104:$Y$114&gt;(R28*1.2),'[1]Ціни контур мережний'!$Y$104:$Y$114))</f>
        <v>6.3</v>
      </c>
      <c r="BF28" s="1101">
        <f>VLOOKUP(BE28,'[1]Ціни контур мережний'!$Y$104:$Z$114,2,0)</f>
        <v>20</v>
      </c>
      <c r="BG28" s="753">
        <v>1</v>
      </c>
      <c r="BH28" s="754">
        <f>VLOOKUP(BE28,'Ціни контур мережний'!$Y$104:$AB$114,4,0)</f>
        <v>259.83406541769665</v>
      </c>
      <c r="BI28" s="755">
        <f t="shared" si="53"/>
        <v>259.83406541769665</v>
      </c>
      <c r="BJ28" s="751" t="s">
        <v>67</v>
      </c>
      <c r="BK28" s="749">
        <v>1</v>
      </c>
      <c r="BL28" s="747">
        <f>VLOOKUP(BJ28,'Ціни контур мережний'!$I$53:$M$57,5,0)</f>
        <v>157.67238032974441</v>
      </c>
      <c r="BM28" s="748">
        <f t="shared" si="54"/>
        <v>157.67238032974441</v>
      </c>
      <c r="BN28" s="896">
        <f t="array" ref="BN28">MIN(IF('Ціни контур мережний'!$Y$83:$Y$93&gt;(S28*1.2),'Ціни контур мережний'!$Y$83:$Y$93))</f>
        <v>4</v>
      </c>
      <c r="BO28" s="896">
        <f>VLOOKUP(BN28,'Ціни контур мережний'!$Y$83:$Z$93,2,0)</f>
        <v>15</v>
      </c>
      <c r="BP28" s="895">
        <v>1</v>
      </c>
      <c r="BQ28" s="896">
        <f>VLOOKUP(BN28,'Ціни контур мережний'!$Y$83:$AB$93,4,0)</f>
        <v>104.44472592804462</v>
      </c>
      <c r="BR28" s="897">
        <f t="shared" si="55"/>
        <v>104.44472592804462</v>
      </c>
      <c r="BS28" s="896">
        <f t="array" ref="BS28">MIN(IF('Ціни контур мережний'!$Y$104:$Y$114&gt;(S28*1.2),'Ціни контур мережний'!$Y$104:$Y$114))</f>
        <v>4</v>
      </c>
      <c r="BT28" s="896">
        <f>VLOOKUP(BS28,'Ціни контур мережний'!$Y$104:$Z$114,2,0)</f>
        <v>15</v>
      </c>
      <c r="BU28" s="895">
        <v>1</v>
      </c>
      <c r="BV28" s="896">
        <f>VLOOKUP(BS28,'Ціни контур мережний'!$Y$104:$AB$114,4,0)</f>
        <v>251.13923223078018</v>
      </c>
      <c r="BW28" s="897">
        <f t="shared" si="56"/>
        <v>251.13923223078018</v>
      </c>
      <c r="BX28" s="751" t="s">
        <v>115</v>
      </c>
      <c r="BY28" s="751" t="s">
        <v>115</v>
      </c>
      <c r="BZ28" s="746" t="s">
        <v>1025</v>
      </c>
      <c r="CA28" s="756">
        <v>0</v>
      </c>
      <c r="CB28" s="747">
        <v>0</v>
      </c>
      <c r="CC28" s="748">
        <f t="shared" si="57"/>
        <v>0</v>
      </c>
      <c r="CD28" s="758">
        <f>VLOOKUP(CE28,'Ціни контур мережний'!$J$5:$L$12,3,0)</f>
        <v>20</v>
      </c>
      <c r="CE28" s="747">
        <f t="array" ref="CE28">MIN(IF('Ціни контур мережний'!$J$5:$J$12&gt;L28,'Ціни контур мережний'!$J$5:$J$12))</f>
        <v>2.5</v>
      </c>
      <c r="CF28" s="746" t="s">
        <v>130</v>
      </c>
      <c r="CG28" s="749">
        <v>1</v>
      </c>
      <c r="CH28" s="747">
        <f>VLOOKUP(CE28,'Ціни контур мережний'!$J$5:$N$12,5,0)</f>
        <v>277.536</v>
      </c>
      <c r="CI28" s="748">
        <f t="shared" si="58"/>
        <v>277.536</v>
      </c>
      <c r="CJ28" s="899" t="s">
        <v>1307</v>
      </c>
      <c r="CK28" s="899">
        <v>1</v>
      </c>
      <c r="CL28" s="898">
        <v>677</v>
      </c>
      <c r="CM28" s="901">
        <f t="shared" si="59"/>
        <v>677</v>
      </c>
      <c r="CN28" s="898" t="s">
        <v>1330</v>
      </c>
      <c r="CO28" s="899">
        <v>1</v>
      </c>
      <c r="CP28" s="900">
        <v>370</v>
      </c>
      <c r="CQ28" s="901">
        <f t="shared" si="60"/>
        <v>370</v>
      </c>
      <c r="CR28" s="751">
        <f t="shared" si="5"/>
        <v>65</v>
      </c>
      <c r="CS28" s="746">
        <v>4</v>
      </c>
      <c r="CT28" s="747">
        <f>VLOOKUP(CR28,'Ціни контур теплопостачання'!$Y$5:$AA$17,3,0)</f>
        <v>30.19184015363556</v>
      </c>
      <c r="CU28" s="748">
        <f t="shared" si="61"/>
        <v>120.76736061454224</v>
      </c>
      <c r="CV28" s="750">
        <f t="shared" si="6"/>
        <v>32</v>
      </c>
      <c r="CW28" s="746">
        <v>6</v>
      </c>
      <c r="CX28" s="747">
        <f>VLOOKUP(CV28,'Ціни контур теплопостачання'!$AO$20:$AQ$29,3,0)</f>
        <v>10.381</v>
      </c>
      <c r="CY28" s="748">
        <f t="shared" si="62"/>
        <v>62.286000000000001</v>
      </c>
      <c r="CZ28" s="750">
        <f t="shared" si="7"/>
        <v>20</v>
      </c>
      <c r="DA28" s="746">
        <v>3</v>
      </c>
      <c r="DB28" s="747">
        <f>VLOOKUP(CZ28,'Ціни контур теплопостачання'!$AO$20:$AQ$29,3,0)</f>
        <v>3.577</v>
      </c>
      <c r="DC28" s="748">
        <f t="shared" si="63"/>
        <v>10.731</v>
      </c>
      <c r="DD28" s="757">
        <f t="shared" si="8"/>
        <v>25</v>
      </c>
      <c r="DE28" s="746">
        <f t="shared" si="9"/>
        <v>8</v>
      </c>
      <c r="DF28" s="747">
        <f>VLOOKUP(DD28,'Ціни контур теплопостачання'!$Y$5:$AA$17,3,0)</f>
        <v>6.3070000000000004</v>
      </c>
      <c r="DG28" s="748">
        <f t="shared" si="64"/>
        <v>50.456000000000003</v>
      </c>
      <c r="DH28" s="745">
        <f t="shared" si="65"/>
        <v>32</v>
      </c>
      <c r="DI28" s="749">
        <f t="shared" si="66"/>
        <v>1</v>
      </c>
      <c r="DJ28" s="747">
        <f>VLOOKUP(DH28,'Ціни контур теплопостачання'!$Y$5:$AA$17,3,0)</f>
        <v>10.381</v>
      </c>
      <c r="DK28" s="765">
        <f t="shared" si="67"/>
        <v>10.381</v>
      </c>
      <c r="DL28" s="757">
        <f t="shared" si="10"/>
        <v>20</v>
      </c>
      <c r="DM28" s="746">
        <v>1</v>
      </c>
      <c r="DN28" s="747">
        <f>VLOOKUP(DL28,'Ціни контур мережний'!$Z$43:$AB$55,3,0)</f>
        <v>14.562690256808384</v>
      </c>
      <c r="DO28" s="748">
        <f t="shared" si="68"/>
        <v>14.562690256808384</v>
      </c>
      <c r="DP28" s="757">
        <f t="shared" si="11"/>
        <v>20</v>
      </c>
      <c r="DQ28" s="746">
        <v>2</v>
      </c>
      <c r="DR28" s="747">
        <f>VLOOKUP(DP28,'Ціни контур теплопостачання'!$Y$5:$AA$17,3,0)</f>
        <v>3.577</v>
      </c>
      <c r="DS28" s="748">
        <f t="shared" si="69"/>
        <v>7.1539999999999999</v>
      </c>
      <c r="DT28" s="745">
        <v>20</v>
      </c>
      <c r="DU28" s="749">
        <v>2</v>
      </c>
      <c r="DV28" s="747">
        <f>VLOOKUP(DT28,'Ціни контур теплопостачання'!$Y$5:$AA$17,3,0)</f>
        <v>3.577</v>
      </c>
      <c r="DW28" s="748">
        <f t="shared" si="70"/>
        <v>7.1539999999999999</v>
      </c>
      <c r="DX28" s="745">
        <v>15</v>
      </c>
      <c r="DY28" s="745">
        <v>10</v>
      </c>
      <c r="DZ28" s="758">
        <f>VLOOKUP(DX28,'Ціни контур теплопостачання'!$Y$5:$AA$17,3,0)</f>
        <v>2.464</v>
      </c>
      <c r="EA28" s="759">
        <f t="shared" si="71"/>
        <v>24.64</v>
      </c>
      <c r="EB28" s="745">
        <v>15</v>
      </c>
      <c r="EC28" s="745">
        <f t="shared" si="110"/>
        <v>40</v>
      </c>
      <c r="ED28" s="758">
        <f>VLOOKUP(EB28,'Ціни контур мережний'!$J$71:$M$71,4,0)</f>
        <v>3.3865201135922525</v>
      </c>
      <c r="EE28" s="759">
        <f t="shared" si="72"/>
        <v>135.4608045436901</v>
      </c>
      <c r="EF28" s="751">
        <f t="shared" si="12"/>
        <v>65</v>
      </c>
      <c r="EG28" s="746">
        <v>1</v>
      </c>
      <c r="EH28" s="747">
        <f>VLOOKUP(EF28,'Ціни контур теплопостачання'!$K$5:$M$17,3,0)</f>
        <v>39.731999999999999</v>
      </c>
      <c r="EI28" s="748">
        <f t="shared" si="73"/>
        <v>39.731999999999999</v>
      </c>
      <c r="EJ28" s="745">
        <f t="shared" si="13"/>
        <v>32</v>
      </c>
      <c r="EK28" s="749">
        <v>1</v>
      </c>
      <c r="EL28" s="747">
        <f>VLOOKUP(EJ28,'Ціни контур теплопостачання'!$K$5:$M$17,3,0)</f>
        <v>9.48</v>
      </c>
      <c r="EM28" s="748">
        <f t="shared" si="74"/>
        <v>9.48</v>
      </c>
      <c r="EN28" s="745">
        <f t="shared" si="14"/>
        <v>20</v>
      </c>
      <c r="EO28" s="745">
        <v>1</v>
      </c>
      <c r="EP28" s="758">
        <f>VLOOKUP(EN28,'Ціни контур теплопостачання'!$K$5:$M$17,3,0)</f>
        <v>3.48</v>
      </c>
      <c r="EQ28" s="759">
        <f t="shared" si="75"/>
        <v>3.48</v>
      </c>
      <c r="ER28" s="745">
        <f t="shared" si="15"/>
        <v>20</v>
      </c>
      <c r="ES28" s="745">
        <v>1</v>
      </c>
      <c r="ET28" s="758">
        <f>VLOOKUP(ER28,'Ціни контур теплопостачання'!$K$5:$M$17,3,0)</f>
        <v>3.48</v>
      </c>
      <c r="EU28" s="759">
        <f t="shared" si="76"/>
        <v>3.48</v>
      </c>
      <c r="EV28" s="751">
        <f t="shared" si="16"/>
        <v>65</v>
      </c>
      <c r="EW28" s="746">
        <v>2</v>
      </c>
      <c r="EX28" s="747">
        <f>VLOOKUP(EV28,'Ціни контур теплопостачання'!$Y$24:$AA$36,3,0)</f>
        <v>42.080999999999996</v>
      </c>
      <c r="EY28" s="748">
        <f t="shared" si="77"/>
        <v>84.161999999999992</v>
      </c>
      <c r="EZ28" s="745">
        <f t="shared" si="17"/>
        <v>32</v>
      </c>
      <c r="FA28" s="749">
        <v>1</v>
      </c>
      <c r="FB28" s="747">
        <f>VLOOKUP(EZ28,'Ціни контур теплопостачання'!$AO$38:$AQ$50,3,0)</f>
        <v>10.773</v>
      </c>
      <c r="FC28" s="748">
        <f t="shared" si="78"/>
        <v>10.773</v>
      </c>
      <c r="FD28" s="745">
        <f t="shared" si="18"/>
        <v>20</v>
      </c>
      <c r="FE28" s="745">
        <v>1</v>
      </c>
      <c r="FF28" s="758">
        <f>VLOOKUP(FD28,'Ціни контур теплопостачання'!$AO$38:$AQ$50,3,0)</f>
        <v>4.5359999999999996</v>
      </c>
      <c r="FG28" s="759">
        <f t="shared" si="79"/>
        <v>4.5359999999999996</v>
      </c>
      <c r="FH28" s="745">
        <f t="shared" si="19"/>
        <v>20</v>
      </c>
      <c r="FI28" s="745">
        <v>1</v>
      </c>
      <c r="FJ28" s="758">
        <f>VLOOKUP(FH28,'Ціни контур теплопостачання'!$Y$24:$AA$36,3,0)</f>
        <v>4.5359999999999996</v>
      </c>
      <c r="FK28" s="759">
        <f t="shared" si="80"/>
        <v>4.5359999999999996</v>
      </c>
      <c r="FL28" s="745">
        <f t="shared" si="20"/>
        <v>25</v>
      </c>
      <c r="FM28" s="745">
        <f t="shared" si="21"/>
        <v>8</v>
      </c>
      <c r="FN28" s="758">
        <f>VLOOKUP(FL28,'Ціни контур теплопостачання'!$Y$76:$AA$88,3,0)</f>
        <v>11.45</v>
      </c>
      <c r="FO28" s="759">
        <f t="shared" si="81"/>
        <v>91.6</v>
      </c>
      <c r="FP28" s="745">
        <f t="shared" si="22"/>
        <v>32</v>
      </c>
      <c r="FQ28" s="745">
        <v>1</v>
      </c>
      <c r="FR28" s="758">
        <f>VLOOKUP(FP28,'Ціни контур теплопостачання'!$Y$76:$AA$88,3,0)</f>
        <v>13.15</v>
      </c>
      <c r="FS28" s="759">
        <f t="shared" si="82"/>
        <v>13.15</v>
      </c>
      <c r="FT28" s="745">
        <f t="shared" si="23"/>
        <v>20</v>
      </c>
      <c r="FU28" s="745">
        <v>1</v>
      </c>
      <c r="FV28" s="758">
        <f>VLOOKUP(FT28,'Ціни контур теплопостачання'!$Y$76:$AA$88,3,0)</f>
        <v>11.45</v>
      </c>
      <c r="FW28" s="759">
        <f t="shared" si="83"/>
        <v>11.45</v>
      </c>
      <c r="FX28" s="758">
        <f t="shared" si="24"/>
        <v>21.246100818738483</v>
      </c>
      <c r="FY28" s="760">
        <v>25</v>
      </c>
      <c r="FZ28" s="719">
        <v>2</v>
      </c>
      <c r="GA28" s="747">
        <f>VLOOKUP(FY28,'Ціни контур теплопостачання'!$K$74:$M$79,3,0)</f>
        <v>22.22</v>
      </c>
      <c r="GB28" s="761">
        <f t="shared" si="84"/>
        <v>44.44</v>
      </c>
      <c r="GC28" s="762">
        <f t="shared" si="85"/>
        <v>7.2748440748440748</v>
      </c>
      <c r="GD28" s="911">
        <v>3</v>
      </c>
      <c r="GE28" s="1017">
        <v>6</v>
      </c>
      <c r="GF28" s="1032" t="s">
        <v>123</v>
      </c>
      <c r="GG28" s="713">
        <v>2</v>
      </c>
      <c r="GH28" s="709">
        <f>VLOOKUP(GF28,'Ціни контур теплопостачання'!$C$89:$M$105,11,0)</f>
        <v>387.45599999999996</v>
      </c>
      <c r="GI28" s="764">
        <f t="shared" si="86"/>
        <v>774.91199999999992</v>
      </c>
      <c r="GJ28" s="912">
        <f t="shared" si="87"/>
        <v>0.52576064908722109</v>
      </c>
      <c r="GK28" s="911">
        <v>3</v>
      </c>
      <c r="GL28" s="1017">
        <v>6</v>
      </c>
      <c r="GM28" s="1019" t="s">
        <v>1098</v>
      </c>
      <c r="GN28" s="749">
        <v>1</v>
      </c>
      <c r="GO28" s="747">
        <f>VLOOKUP(GM28,'Ціни контур теплопостачання'!$C$89:$M$105,11,0)</f>
        <v>80.399999999999991</v>
      </c>
      <c r="GP28" s="904">
        <f t="shared" si="88"/>
        <v>80.399999999999991</v>
      </c>
      <c r="GQ28" s="758">
        <f t="shared" si="25"/>
        <v>288.3639534751652</v>
      </c>
      <c r="GR28" s="955">
        <v>300</v>
      </c>
      <c r="GS28" s="749">
        <f>VLOOKUP(GR28,'Ціни контур теплопостачання'!$J$43:$K$55,2,0)</f>
        <v>32</v>
      </c>
      <c r="GT28" s="1020">
        <v>1</v>
      </c>
      <c r="GU28" s="747">
        <f>VLOOKUP(GR28,'Ціни контур теплопостачання'!$J$43:$M$55,4,0)</f>
        <v>152.54</v>
      </c>
      <c r="GV28" s="748">
        <f t="shared" si="89"/>
        <v>152.54</v>
      </c>
      <c r="GW28" s="758">
        <f t="array" ref="GW28">MIN(IF('Ціни контур теплопостачання'!$AN$68:$AN$77&gt;(V28*1.2),'Ціни контур теплопостачання'!$AN$68:$AN$77))</f>
        <v>3.25</v>
      </c>
      <c r="GX28" s="749">
        <f>VLOOKUP(GW28,'Ціни контур теплопостачання'!$AN$68:$AO$77,2,0)</f>
        <v>20</v>
      </c>
      <c r="GY28" s="749">
        <f t="shared" si="26"/>
        <v>4</v>
      </c>
      <c r="GZ28" s="747">
        <f>VLOOKUP(GX28,'Ціни контур теплопостачання'!$AO$68:$AQ$77,3,0)</f>
        <v>25.102</v>
      </c>
      <c r="HA28" s="759">
        <f t="shared" si="90"/>
        <v>100.408</v>
      </c>
      <c r="HB28" s="751">
        <v>15</v>
      </c>
      <c r="HC28" s="746">
        <v>2</v>
      </c>
      <c r="HD28" s="747">
        <f>VLOOKUP(HB28,'Ціни контур мережний'!$J$73:$M$73,4,0)</f>
        <v>3.4649999999999999</v>
      </c>
      <c r="HE28" s="748">
        <f t="shared" si="91"/>
        <v>6.93</v>
      </c>
      <c r="HF28" s="749">
        <f t="shared" si="27"/>
        <v>20</v>
      </c>
      <c r="HG28" s="749">
        <v>1</v>
      </c>
      <c r="HH28" s="747">
        <f>VLOOKUP(HF28,'Ціни контур теплопостачання'!$Y$62:$AA$69,3,0)</f>
        <v>23.753519999999998</v>
      </c>
      <c r="HI28" s="765">
        <f t="shared" si="92"/>
        <v>23.753519999999998</v>
      </c>
      <c r="HJ28" s="750">
        <f>VLOOKUP(HK28,'Ціни контур теплопостачання'!$AN$6:$AO$13,2,0)</f>
        <v>20</v>
      </c>
      <c r="HK28" s="751">
        <f t="array" ref="HK28">MIN(IF('Ціни контур теплопостачання'!$AN$6:$AN$13&gt;N28,'Ціни контур теплопостачання'!$AN$6:$AN$13))</f>
        <v>2.5</v>
      </c>
      <c r="HL28" s="751">
        <v>1</v>
      </c>
      <c r="HM28" s="747">
        <f>VLOOKUP(HJ28,'Ціни контур теплопостачання'!$AO$6:$AQ$13,3,0)</f>
        <v>23.753519999999998</v>
      </c>
      <c r="HN28" s="748">
        <f t="shared" si="93"/>
        <v>23.753519999999998</v>
      </c>
      <c r="HO28" s="750">
        <f t="shared" si="28"/>
        <v>32</v>
      </c>
      <c r="HP28" s="746">
        <v>1</v>
      </c>
      <c r="HQ28" s="747">
        <f>VLOOKUP(HO28,'Ціни контур теплопостачання'!$AO$55:$AQ$63,3,0)</f>
        <v>150.1</v>
      </c>
      <c r="HR28" s="748">
        <f t="shared" si="126"/>
        <v>150.1</v>
      </c>
      <c r="HS28" s="745">
        <f t="shared" si="29"/>
        <v>20</v>
      </c>
      <c r="HT28" s="749">
        <v>1</v>
      </c>
      <c r="HU28" s="747">
        <f>VLOOKUP(HS28,'Ціни контур теплопостачання'!$K$62:$M$67,3,0)</f>
        <v>91.13</v>
      </c>
      <c r="HV28" s="765">
        <f t="shared" si="95"/>
        <v>91.13</v>
      </c>
      <c r="HW28" s="655" t="str">
        <f t="shared" ref="HW28" si="135">HW27</f>
        <v>0-150</v>
      </c>
      <c r="HX28" s="720">
        <v>1</v>
      </c>
      <c r="HY28" s="747">
        <f>VLOOKUP(HW28,'Ціни контур мережний'!$I$79:$M$80,5,0)</f>
        <v>15.050156291498967</v>
      </c>
      <c r="HZ28" s="748">
        <f t="shared" si="96"/>
        <v>15.050156291498967</v>
      </c>
      <c r="IA28" s="758" t="s">
        <v>109</v>
      </c>
      <c r="IB28" s="749">
        <v>1</v>
      </c>
      <c r="IC28" s="747">
        <f>VLOOKUP(IA28,'Ціни контур мережний'!$I$79:$M$80,5,0)</f>
        <v>15.050156291498967</v>
      </c>
      <c r="ID28" s="765">
        <f t="shared" si="97"/>
        <v>15.050156291498967</v>
      </c>
      <c r="IE28" s="655" t="s">
        <v>108</v>
      </c>
      <c r="IF28" s="720">
        <v>3</v>
      </c>
      <c r="IG28" s="747">
        <f>VLOOKUP(IE28,'Ціни контур мережний'!$I$67:$M$69,5,0)</f>
        <v>4.4537969640631703</v>
      </c>
      <c r="IH28" s="748">
        <f t="shared" si="98"/>
        <v>13.361390892189512</v>
      </c>
      <c r="II28" s="655" t="s">
        <v>106</v>
      </c>
      <c r="IJ28" s="720">
        <f t="shared" ref="IJ28:IJ38" si="136">11+T28</f>
        <v>15</v>
      </c>
      <c r="IK28" s="747">
        <f>VLOOKUP(II28,'Ціни контур мережний'!$I$67:$M$69,5,0)</f>
        <v>4.4537969640631703</v>
      </c>
      <c r="IL28" s="748">
        <f t="shared" si="99"/>
        <v>66.806954460947551</v>
      </c>
      <c r="IM28" s="655" t="s">
        <v>1013</v>
      </c>
      <c r="IN28" s="720">
        <v>5</v>
      </c>
      <c r="IO28" s="747">
        <f>VLOOKUP(IM28,'Ціни контур мережний'!$I$64:$M$64,5,0)</f>
        <v>29.1312</v>
      </c>
      <c r="IP28" s="748">
        <f t="shared" si="100"/>
        <v>145.65600000000001</v>
      </c>
      <c r="IQ28" s="766" t="s">
        <v>1015</v>
      </c>
      <c r="IR28" s="749">
        <v>6</v>
      </c>
      <c r="IS28" s="747">
        <f>VLOOKUP(IQ28,'Ціни контур мережний'!$I$89:$M$89,5,0)</f>
        <v>79.523165325760516</v>
      </c>
      <c r="IT28" s="765">
        <f t="shared" si="101"/>
        <v>477.1389919545631</v>
      </c>
      <c r="IU28" s="917" t="s">
        <v>1016</v>
      </c>
      <c r="IV28" s="720">
        <f t="shared" si="117"/>
        <v>7</v>
      </c>
      <c r="IW28" s="747">
        <f>VLOOKUP(IU28,'Ціни контур мережний'!$I$88:$M$88,5,0)</f>
        <v>13.211568975967202</v>
      </c>
      <c r="IX28" s="768">
        <f t="shared" si="102"/>
        <v>92.480982831770419</v>
      </c>
      <c r="IY28" s="917" t="s">
        <v>383</v>
      </c>
      <c r="IZ28" s="720">
        <v>1</v>
      </c>
      <c r="JA28" s="747">
        <f>VLOOKUP(IY28,'Ціни контур мережний'!$I$87:$M$87,5,0)</f>
        <v>13.483972460007763</v>
      </c>
      <c r="JB28" s="748">
        <f t="shared" si="103"/>
        <v>13.483972460007763</v>
      </c>
      <c r="JC28" s="769">
        <f t="shared" si="31"/>
        <v>75</v>
      </c>
      <c r="JD28" s="770">
        <f t="shared" si="104"/>
        <v>5615.6905570522058</v>
      </c>
      <c r="JE28" s="771">
        <f>$JE$44/'Ціни контур мережний'!$G$26</f>
        <v>476.70609707098151</v>
      </c>
      <c r="JF28" s="771">
        <f>$JE$43/'Ціни контур мережний'!$G$26</f>
        <v>340.50435505070107</v>
      </c>
      <c r="JG28" s="770">
        <f t="shared" si="112"/>
        <v>661.80181284518619</v>
      </c>
      <c r="JH28" s="770">
        <f t="shared" si="113"/>
        <v>487.81784379022207</v>
      </c>
      <c r="JI28" s="770">
        <f>$JI$43/'Ціни контур мережний'!$G$26</f>
        <v>323.47913729816605</v>
      </c>
      <c r="JJ28" s="770">
        <f t="shared" si="105"/>
        <v>66.611999999999995</v>
      </c>
      <c r="JK28" s="770">
        <f>[2]Расходы!$C$146</f>
        <v>0</v>
      </c>
      <c r="JL28" s="772">
        <f t="shared" si="114"/>
        <v>62.86234247089866</v>
      </c>
      <c r="JM28" s="770">
        <f>[2]Расходы!$C$154/'Ціни контур мережний'!$G26</f>
        <v>0</v>
      </c>
      <c r="JN28" s="770">
        <v>0</v>
      </c>
      <c r="JO28" s="1029">
        <f t="shared" si="32"/>
        <v>562.4831901904854</v>
      </c>
      <c r="JP28" s="770">
        <f t="shared" si="33"/>
        <v>803.54741455783619</v>
      </c>
      <c r="JQ28" s="1030">
        <f t="shared" si="34"/>
        <v>138.23011799126471</v>
      </c>
      <c r="JR28" s="1023">
        <f t="shared" si="115"/>
        <v>300.63036461094771</v>
      </c>
      <c r="JS28" s="777">
        <f t="shared" si="106"/>
        <v>9840.3652329288943</v>
      </c>
      <c r="JU28" s="611">
        <f>[3]Расчеты!AX27/1.2</f>
        <v>4857.1049294532295</v>
      </c>
      <c r="JV28" s="611">
        <f t="shared" si="107"/>
        <v>14697.470162382124</v>
      </c>
      <c r="JW28" s="611" t="e">
        <f>JV28*1.2*#REF!</f>
        <v>#REF!</v>
      </c>
      <c r="JX28" s="611"/>
    </row>
    <row r="29" spans="1:286" ht="12.6" customHeight="1">
      <c r="B29" s="597">
        <v>76</v>
      </c>
      <c r="C29" s="1056" t="s">
        <v>788</v>
      </c>
      <c r="D29" s="906">
        <v>0.25463999999999998</v>
      </c>
      <c r="E29" s="907">
        <v>0.24199999999999999</v>
      </c>
      <c r="F29" s="908">
        <f t="shared" si="35"/>
        <v>10.734861486464272</v>
      </c>
      <c r="G29" s="909">
        <v>65</v>
      </c>
      <c r="H29" s="598">
        <f t="shared" si="36"/>
        <v>4.5487674169346191</v>
      </c>
      <c r="I29" s="599">
        <v>40</v>
      </c>
      <c r="J29" s="598">
        <f t="shared" si="37"/>
        <v>10.587941787941787</v>
      </c>
      <c r="K29" s="599">
        <v>65</v>
      </c>
      <c r="L29" s="598">
        <f t="shared" si="38"/>
        <v>6.1860940695296529</v>
      </c>
      <c r="M29" s="599">
        <v>40</v>
      </c>
      <c r="N29" s="598">
        <f t="shared" si="39"/>
        <v>4.9087221095334685</v>
      </c>
      <c r="O29" s="599">
        <v>40</v>
      </c>
      <c r="P29" s="598">
        <f t="shared" si="108"/>
        <v>1.4726166328600405</v>
      </c>
      <c r="Q29" s="599">
        <v>25</v>
      </c>
      <c r="R29" s="598">
        <f t="shared" si="40"/>
        <v>6.432928573109769</v>
      </c>
      <c r="S29" s="600">
        <f t="shared" si="41"/>
        <v>8.7484581312446057</v>
      </c>
      <c r="T29" s="910">
        <v>2</v>
      </c>
      <c r="U29" s="601">
        <f t="shared" si="42"/>
        <v>5.2939708939708936</v>
      </c>
      <c r="V29" s="601">
        <f t="shared" si="43"/>
        <v>7.4868054370620554</v>
      </c>
      <c r="W29" s="602">
        <v>50</v>
      </c>
      <c r="X29" s="1027">
        <v>5</v>
      </c>
      <c r="Y29" s="601">
        <f t="shared" si="44"/>
        <v>1.5</v>
      </c>
      <c r="Z29" s="992">
        <v>25</v>
      </c>
      <c r="AA29" s="1028">
        <v>9</v>
      </c>
      <c r="AB29" s="745">
        <f t="shared" si="0"/>
        <v>65</v>
      </c>
      <c r="AC29" s="746">
        <v>2</v>
      </c>
      <c r="AD29" s="747">
        <f>VLOOKUP(AB29,'Ціни контур мережний'!$Z$24:$AB$36,3,0)</f>
        <v>30.19184015363556</v>
      </c>
      <c r="AE29" s="748">
        <f t="shared" si="45"/>
        <v>60.383680307271121</v>
      </c>
      <c r="AF29" s="745">
        <f t="shared" si="1"/>
        <v>65</v>
      </c>
      <c r="AG29" s="749">
        <v>2</v>
      </c>
      <c r="AH29" s="747">
        <f>VLOOKUP(AF29,'Ціни контур мережний'!$Z$64:$AB$77,3,0)</f>
        <v>105.883234246566</v>
      </c>
      <c r="AI29" s="748">
        <f t="shared" si="46"/>
        <v>211.76646849313201</v>
      </c>
      <c r="AJ29" s="745">
        <f t="shared" si="2"/>
        <v>65</v>
      </c>
      <c r="AK29" s="746">
        <v>0</v>
      </c>
      <c r="AL29" s="747">
        <f>VLOOKUP(AJ29,'Ціни контур мережний'!$Z$5:$AB$17,3,0)</f>
        <v>39.731999999999999</v>
      </c>
      <c r="AM29" s="748">
        <f t="shared" si="47"/>
        <v>0</v>
      </c>
      <c r="AN29" s="750">
        <f t="shared" si="3"/>
        <v>40</v>
      </c>
      <c r="AO29" s="746">
        <v>1</v>
      </c>
      <c r="AP29" s="747">
        <f>VLOOKUP(AN29,'Ціни контур мережний'!$Z$43:$AB$55,3,0)</f>
        <v>18.42400964308333</v>
      </c>
      <c r="AQ29" s="768">
        <f t="shared" si="48"/>
        <v>18.42400964308333</v>
      </c>
      <c r="AR29" s="749">
        <f t="shared" si="4"/>
        <v>40</v>
      </c>
      <c r="AS29" s="749">
        <v>4</v>
      </c>
      <c r="AT29" s="747">
        <f>VLOOKUP(AR29,'Ціни контур мережний'!$Z$43:$AB$55,3,0)</f>
        <v>18.42400964308333</v>
      </c>
      <c r="AU29" s="1016">
        <f t="shared" si="49"/>
        <v>73.696038572333322</v>
      </c>
      <c r="AV29" s="751" t="str">
        <f t="shared" si="50"/>
        <v>AMV20</v>
      </c>
      <c r="AW29" s="751">
        <v>1</v>
      </c>
      <c r="AX29" s="747">
        <f>VLOOKUP(AV29,'Ціни контур мережний'!$I$53:$M$57,5,0)</f>
        <v>110.39869654932889</v>
      </c>
      <c r="AY29" s="748">
        <f t="shared" si="51"/>
        <v>110.39869654932889</v>
      </c>
      <c r="AZ29" s="752">
        <f t="array" ref="AZ29">MIN(IF('Ціни контур мережний'!$Y$83:$Y$92&gt;(R29*1.2),'Ціни контур мережний'!$Y$83:$Y$92))</f>
        <v>10</v>
      </c>
      <c r="BA29" s="746">
        <f>VLOOKUP(AZ29,'Ціни контур мережний'!$Y$83:$Z$92,2,0)</f>
        <v>25</v>
      </c>
      <c r="BB29" s="746">
        <v>1</v>
      </c>
      <c r="BC29" s="747">
        <f>VLOOKUP(AZ29,'Ціни контур мережний'!$Y$83:$AB$92,4,0)</f>
        <v>117.50505648967251</v>
      </c>
      <c r="BD29" s="748">
        <f t="shared" si="52"/>
        <v>117.50505648967251</v>
      </c>
      <c r="BE29" s="1099">
        <f t="array" ref="BE29">MIN(IF('[1]Ціни контур мережний'!$Y$104:$Y$114&gt;(R29*1.2),'[1]Ціни контур мережний'!$Y$104:$Y$114))</f>
        <v>8</v>
      </c>
      <c r="BF29" s="1101">
        <f>VLOOKUP(BE29,'[1]Ціни контур мережний'!$Y$104:$Z$114,2,0)</f>
        <v>25</v>
      </c>
      <c r="BG29" s="753">
        <v>1</v>
      </c>
      <c r="BH29" s="754">
        <f>VLOOKUP(BE29,'Ціни контур мережний'!$Y$104:$AB$114,4,0)</f>
        <v>278.09338672441618</v>
      </c>
      <c r="BI29" s="755">
        <f t="shared" si="53"/>
        <v>278.09338672441618</v>
      </c>
      <c r="BJ29" s="751" t="s">
        <v>67</v>
      </c>
      <c r="BK29" s="749">
        <v>1</v>
      </c>
      <c r="BL29" s="747">
        <f>VLOOKUP(BJ29,'Ціни контур мережний'!$I$53:$M$57,5,0)</f>
        <v>157.67238032974441</v>
      </c>
      <c r="BM29" s="748">
        <f t="shared" si="54"/>
        <v>157.67238032974441</v>
      </c>
      <c r="BN29" s="896">
        <f t="array" ref="BN29">MIN(IF('Ціни контур мережний'!$Y$83:$Y$93&gt;(S29*1.2),'Ціни контур мережний'!$Y$83:$Y$93))</f>
        <v>16</v>
      </c>
      <c r="BO29" s="896">
        <f>VLOOKUP(BN29,'Ціни контур мережний'!$Y$83:$Z$93,2,0)</f>
        <v>32</v>
      </c>
      <c r="BP29" s="895">
        <v>1</v>
      </c>
      <c r="BQ29" s="896">
        <f>VLOOKUP(BN29,'Ціни контур мережний'!$Y$83:$AB$93,4,0)</f>
        <v>130.5392363168325</v>
      </c>
      <c r="BR29" s="897">
        <f t="shared" si="55"/>
        <v>130.5392363168325</v>
      </c>
      <c r="BS29" s="896">
        <f t="array" ref="BS29">MIN(IF('Ціни контур мережний'!$Y$104:$Y$114&gt;(S29*1.2),'Ціни контур мережний'!$Y$104:$Y$114))</f>
        <v>12.5</v>
      </c>
      <c r="BT29" s="896">
        <f>VLOOKUP(BS29,'Ціни контур мережний'!$Y$104:$Z$114,2,0)</f>
        <v>32</v>
      </c>
      <c r="BU29" s="895">
        <v>1</v>
      </c>
      <c r="BV29" s="896">
        <f>VLOOKUP(BS29,'Ціни контур мережний'!$Y$104:$AB$114,4,0)</f>
        <v>435.76049604674444</v>
      </c>
      <c r="BW29" s="897">
        <f t="shared" si="56"/>
        <v>435.76049604674444</v>
      </c>
      <c r="BX29" s="751" t="s">
        <v>115</v>
      </c>
      <c r="BY29" s="751" t="s">
        <v>115</v>
      </c>
      <c r="BZ29" s="746" t="s">
        <v>1025</v>
      </c>
      <c r="CA29" s="756">
        <v>0</v>
      </c>
      <c r="CB29" s="747">
        <v>0</v>
      </c>
      <c r="CC29" s="748">
        <f t="shared" si="57"/>
        <v>0</v>
      </c>
      <c r="CD29" s="758">
        <f>VLOOKUP(CE29,'Ціни контур мережний'!$J$5:$L$12,3,0)</f>
        <v>40</v>
      </c>
      <c r="CE29" s="747">
        <f t="array" ref="CE29">MIN(IF('Ціни контур мережний'!$J$5:$J$12&gt;L29,'Ціни контур мережний'!$J$5:$J$12))</f>
        <v>10</v>
      </c>
      <c r="CF29" s="746" t="s">
        <v>130</v>
      </c>
      <c r="CG29" s="749">
        <v>1</v>
      </c>
      <c r="CH29" s="747">
        <f>VLOOKUP(CE29,'Ціни контур мережний'!$J$5:$N$12,5,0)</f>
        <v>375.23999999999995</v>
      </c>
      <c r="CI29" s="748">
        <f t="shared" si="58"/>
        <v>375.23999999999995</v>
      </c>
      <c r="CJ29" s="899" t="s">
        <v>1308</v>
      </c>
      <c r="CK29" s="899">
        <v>1</v>
      </c>
      <c r="CL29" s="898">
        <v>804</v>
      </c>
      <c r="CM29" s="901">
        <f t="shared" si="59"/>
        <v>804</v>
      </c>
      <c r="CN29" s="898" t="s">
        <v>1331</v>
      </c>
      <c r="CO29" s="899">
        <v>1</v>
      </c>
      <c r="CP29" s="900">
        <v>613</v>
      </c>
      <c r="CQ29" s="901">
        <f t="shared" si="60"/>
        <v>613</v>
      </c>
      <c r="CR29" s="751">
        <f t="shared" si="5"/>
        <v>65</v>
      </c>
      <c r="CS29" s="746">
        <v>4</v>
      </c>
      <c r="CT29" s="747">
        <f>VLOOKUP(CR29,'Ціни контур теплопостачання'!$Y$5:$AA$17,3,0)</f>
        <v>30.19184015363556</v>
      </c>
      <c r="CU29" s="748">
        <f t="shared" si="61"/>
        <v>120.76736061454224</v>
      </c>
      <c r="CV29" s="750">
        <f t="shared" si="6"/>
        <v>40</v>
      </c>
      <c r="CW29" s="746">
        <v>6</v>
      </c>
      <c r="CX29" s="747">
        <f>VLOOKUP(CV29,'Ціни контур теплопостачання'!$AO$20:$AQ$29,3,0)</f>
        <v>37.980000000000004</v>
      </c>
      <c r="CY29" s="748">
        <f t="shared" si="62"/>
        <v>227.88000000000002</v>
      </c>
      <c r="CZ29" s="750">
        <f t="shared" si="7"/>
        <v>25</v>
      </c>
      <c r="DA29" s="746">
        <v>3</v>
      </c>
      <c r="DB29" s="747">
        <f>VLOOKUP(CZ29,'Ціни контур теплопостачання'!$AO$20:$AQ$29,3,0)</f>
        <v>6.3070000000000004</v>
      </c>
      <c r="DC29" s="748">
        <f t="shared" si="63"/>
        <v>18.920999999999999</v>
      </c>
      <c r="DD29" s="757">
        <f t="shared" si="8"/>
        <v>50</v>
      </c>
      <c r="DE29" s="746">
        <f t="shared" si="9"/>
        <v>4</v>
      </c>
      <c r="DF29" s="747">
        <f>VLOOKUP(DD29,'Ціни контур теплопостачання'!$Y$5:$AA$17,3,0)</f>
        <v>23.2782130224622</v>
      </c>
      <c r="DG29" s="748">
        <f t="shared" si="64"/>
        <v>93.112852089848801</v>
      </c>
      <c r="DH29" s="745">
        <f t="shared" si="65"/>
        <v>32</v>
      </c>
      <c r="DI29" s="749">
        <f t="shared" si="66"/>
        <v>1</v>
      </c>
      <c r="DJ29" s="747">
        <f>VLOOKUP(DH29,'Ціни контур теплопостачання'!$Y$5:$AA$17,3,0)</f>
        <v>10.381</v>
      </c>
      <c r="DK29" s="765">
        <f t="shared" si="67"/>
        <v>10.381</v>
      </c>
      <c r="DL29" s="757">
        <f t="shared" si="10"/>
        <v>25</v>
      </c>
      <c r="DM29" s="746">
        <v>1</v>
      </c>
      <c r="DN29" s="747">
        <f>VLOOKUP(DL29,'Ціни контур мережний'!$Z$43:$AB$55,3,0)</f>
        <v>14.856886019572187</v>
      </c>
      <c r="DO29" s="748">
        <f t="shared" si="68"/>
        <v>14.856886019572187</v>
      </c>
      <c r="DP29" s="757">
        <f t="shared" si="11"/>
        <v>25</v>
      </c>
      <c r="DQ29" s="746">
        <v>2</v>
      </c>
      <c r="DR29" s="747">
        <f>VLOOKUP(DP29,'Ціни контур теплопостачання'!$Y$5:$AA$17,3,0)</f>
        <v>6.3070000000000004</v>
      </c>
      <c r="DS29" s="748">
        <f t="shared" si="69"/>
        <v>12.614000000000001</v>
      </c>
      <c r="DT29" s="745">
        <v>20</v>
      </c>
      <c r="DU29" s="749">
        <v>2</v>
      </c>
      <c r="DV29" s="747">
        <f>VLOOKUP(DT29,'Ціни контур теплопостачання'!$Y$5:$AA$17,3,0)</f>
        <v>3.577</v>
      </c>
      <c r="DW29" s="748">
        <f t="shared" si="70"/>
        <v>7.1539999999999999</v>
      </c>
      <c r="DX29" s="745">
        <v>15</v>
      </c>
      <c r="DY29" s="745">
        <v>10</v>
      </c>
      <c r="DZ29" s="758">
        <f>VLOOKUP(DX29,'Ціни контур теплопостачання'!$Y$5:$AA$17,3,0)</f>
        <v>2.464</v>
      </c>
      <c r="EA29" s="759">
        <f t="shared" si="71"/>
        <v>24.64</v>
      </c>
      <c r="EB29" s="745">
        <v>15</v>
      </c>
      <c r="EC29" s="745">
        <f t="shared" si="110"/>
        <v>38</v>
      </c>
      <c r="ED29" s="758">
        <f>VLOOKUP(EB29,'Ціни контур мережний'!$J$71:$M$71,4,0)</f>
        <v>3.3865201135922525</v>
      </c>
      <c r="EE29" s="759">
        <f t="shared" si="72"/>
        <v>128.68776431650559</v>
      </c>
      <c r="EF29" s="751">
        <f t="shared" si="12"/>
        <v>65</v>
      </c>
      <c r="EG29" s="746">
        <v>1</v>
      </c>
      <c r="EH29" s="747">
        <f>VLOOKUP(EF29,'Ціни контур теплопостачання'!$K$5:$M$17,3,0)</f>
        <v>39.731999999999999</v>
      </c>
      <c r="EI29" s="748">
        <f t="shared" si="73"/>
        <v>39.731999999999999</v>
      </c>
      <c r="EJ29" s="745">
        <f t="shared" si="13"/>
        <v>40</v>
      </c>
      <c r="EK29" s="749">
        <v>1</v>
      </c>
      <c r="EL29" s="747">
        <f>VLOOKUP(EJ29,'Ціни контур теплопостачання'!$K$5:$M$17,3,0)</f>
        <v>23.225999999999999</v>
      </c>
      <c r="EM29" s="748">
        <f t="shared" si="74"/>
        <v>23.225999999999999</v>
      </c>
      <c r="EN29" s="745">
        <f t="shared" si="14"/>
        <v>25</v>
      </c>
      <c r="EO29" s="745">
        <v>1</v>
      </c>
      <c r="EP29" s="758">
        <f>VLOOKUP(EN29,'Ціни контур теплопостачання'!$K$5:$M$17,3,0)</f>
        <v>4.78</v>
      </c>
      <c r="EQ29" s="759">
        <f t="shared" si="75"/>
        <v>4.78</v>
      </c>
      <c r="ER29" s="745">
        <f t="shared" si="15"/>
        <v>25</v>
      </c>
      <c r="ES29" s="745">
        <v>1</v>
      </c>
      <c r="ET29" s="758">
        <f>VLOOKUP(ER29,'Ціни контур теплопостачання'!$K$5:$M$17,3,0)</f>
        <v>4.78</v>
      </c>
      <c r="EU29" s="759">
        <f t="shared" si="76"/>
        <v>4.78</v>
      </c>
      <c r="EV29" s="751">
        <f t="shared" si="16"/>
        <v>65</v>
      </c>
      <c r="EW29" s="746">
        <v>2</v>
      </c>
      <c r="EX29" s="747">
        <f>VLOOKUP(EV29,'Ціни контур теплопостачання'!$Y$24:$AA$36,3,0)</f>
        <v>42.080999999999996</v>
      </c>
      <c r="EY29" s="748">
        <f t="shared" si="77"/>
        <v>84.161999999999992</v>
      </c>
      <c r="EZ29" s="745">
        <f t="shared" si="17"/>
        <v>40</v>
      </c>
      <c r="FA29" s="749">
        <v>1</v>
      </c>
      <c r="FB29" s="747">
        <f>VLOOKUP(EZ29,'Ціни контур теплопостачання'!$AO$38:$AQ$50,3,0)</f>
        <v>20.3645</v>
      </c>
      <c r="FC29" s="748">
        <f t="shared" si="78"/>
        <v>20.3645</v>
      </c>
      <c r="FD29" s="745">
        <f t="shared" si="18"/>
        <v>25</v>
      </c>
      <c r="FE29" s="745">
        <v>1</v>
      </c>
      <c r="FF29" s="758">
        <f>VLOOKUP(FD29,'Ціни контур теплопостачання'!$AO$38:$AQ$50,3,0)</f>
        <v>6.9659999999999993</v>
      </c>
      <c r="FG29" s="759">
        <f t="shared" si="79"/>
        <v>6.9659999999999993</v>
      </c>
      <c r="FH29" s="745">
        <f t="shared" si="19"/>
        <v>25</v>
      </c>
      <c r="FI29" s="745">
        <v>1</v>
      </c>
      <c r="FJ29" s="758">
        <f>VLOOKUP(FH29,'Ціни контур теплопостачання'!$Y$24:$AA$36,3,0)</f>
        <v>6.9659999999999993</v>
      </c>
      <c r="FK29" s="759">
        <f t="shared" si="80"/>
        <v>6.9659999999999993</v>
      </c>
      <c r="FL29" s="745">
        <f t="shared" si="20"/>
        <v>50</v>
      </c>
      <c r="FM29" s="745">
        <f t="shared" si="21"/>
        <v>4</v>
      </c>
      <c r="FN29" s="758">
        <f>VLOOKUP(FL29,'Ціни контур теплопостачання'!$Y$76:$AA$88,3,0)</f>
        <v>20.6</v>
      </c>
      <c r="FO29" s="759">
        <f t="shared" si="81"/>
        <v>82.4</v>
      </c>
      <c r="FP29" s="745">
        <f t="shared" si="22"/>
        <v>40</v>
      </c>
      <c r="FQ29" s="745">
        <v>1</v>
      </c>
      <c r="FR29" s="758">
        <f>VLOOKUP(FP29,'Ціни контур теплопостачання'!$Y$76:$AA$88,3,0)</f>
        <v>16.809999999999999</v>
      </c>
      <c r="FS29" s="759">
        <f t="shared" si="82"/>
        <v>16.809999999999999</v>
      </c>
      <c r="FT29" s="745">
        <f t="shared" si="23"/>
        <v>25</v>
      </c>
      <c r="FU29" s="745">
        <v>1</v>
      </c>
      <c r="FV29" s="758">
        <f>VLOOKUP(FT29,'Ціни контур теплопостачання'!$Y$76:$AA$88,3,0)</f>
        <v>11.45</v>
      </c>
      <c r="FW29" s="759">
        <f t="shared" si="83"/>
        <v>11.45</v>
      </c>
      <c r="FX29" s="758">
        <f t="shared" si="24"/>
        <v>25.63144943228923</v>
      </c>
      <c r="FY29" s="760">
        <v>25</v>
      </c>
      <c r="FZ29" s="719">
        <v>2</v>
      </c>
      <c r="GA29" s="747">
        <f>VLOOKUP(FY29,'Ціни контур теплопостачання'!$K$74:$M$79,3,0)</f>
        <v>22.22</v>
      </c>
      <c r="GB29" s="761">
        <f t="shared" si="84"/>
        <v>44.44</v>
      </c>
      <c r="GC29" s="762">
        <f t="shared" si="85"/>
        <v>10.587941787941787</v>
      </c>
      <c r="GD29" s="911">
        <v>9</v>
      </c>
      <c r="GE29" s="1017">
        <v>9</v>
      </c>
      <c r="GF29" s="1018" t="s">
        <v>119</v>
      </c>
      <c r="GG29" s="713">
        <v>2</v>
      </c>
      <c r="GH29" s="709">
        <f>VLOOKUP(GF29,'Ціни контур теплопостачання'!$C$89:$M$105,11,0)</f>
        <v>391.06799999999998</v>
      </c>
      <c r="GI29" s="764">
        <f t="shared" si="86"/>
        <v>782.13599999999997</v>
      </c>
      <c r="GJ29" s="912">
        <f t="shared" si="87"/>
        <v>1.4726166328600405</v>
      </c>
      <c r="GK29" s="911">
        <v>9</v>
      </c>
      <c r="GL29" s="1017">
        <v>9</v>
      </c>
      <c r="GM29" s="1019" t="s">
        <v>1097</v>
      </c>
      <c r="GN29" s="749">
        <v>1</v>
      </c>
      <c r="GO29" s="747">
        <f>VLOOKUP(GM29,'Ціни контур теплопостачання'!$C$89:$M$105,11,0)</f>
        <v>241.2</v>
      </c>
      <c r="GP29" s="904">
        <f t="shared" si="88"/>
        <v>241.2</v>
      </c>
      <c r="GQ29" s="758">
        <f t="shared" si="25"/>
        <v>528.5678772768747</v>
      </c>
      <c r="GR29" s="955">
        <v>500</v>
      </c>
      <c r="GS29" s="749">
        <f>VLOOKUP(GR29,'Ціни контур теплопостачання'!$J$43:$K$55,2,0)</f>
        <v>32</v>
      </c>
      <c r="GT29" s="1020">
        <v>1</v>
      </c>
      <c r="GU29" s="747">
        <f>VLOOKUP(GR29,'Ціни контур теплопостачання'!$J$43:$M$55,4,0)</f>
        <v>249.72</v>
      </c>
      <c r="GV29" s="748">
        <f t="shared" si="89"/>
        <v>249.72</v>
      </c>
      <c r="GW29" s="758">
        <f t="array" ref="GW29">MIN(IF('Ціни контур теплопостачання'!$AN$68:$AN$77&gt;(V29*1.2),'Ціни контур теплопостачання'!$AN$68:$AN$77))</f>
        <v>11.13</v>
      </c>
      <c r="GX29" s="749">
        <f>VLOOKUP(GW29,'Ціни контур теплопостачання'!$AN$68:$AO$77,2,0)</f>
        <v>32</v>
      </c>
      <c r="GY29" s="749">
        <f t="shared" si="26"/>
        <v>2</v>
      </c>
      <c r="GZ29" s="747">
        <f>VLOOKUP(GX29,'Ціни контур теплопостачання'!$AO$68:$AQ$77,3,0)</f>
        <v>37.183999999999997</v>
      </c>
      <c r="HA29" s="759">
        <f t="shared" si="90"/>
        <v>74.367999999999995</v>
      </c>
      <c r="HB29" s="751">
        <v>15</v>
      </c>
      <c r="HC29" s="746">
        <v>2</v>
      </c>
      <c r="HD29" s="747">
        <f>VLOOKUP(HB29,'Ціни контур мережний'!$J$73:$M$73,4,0)</f>
        <v>3.4649999999999999</v>
      </c>
      <c r="HE29" s="748">
        <f t="shared" si="91"/>
        <v>6.93</v>
      </c>
      <c r="HF29" s="749">
        <f t="shared" si="27"/>
        <v>25</v>
      </c>
      <c r="HG29" s="749">
        <v>1</v>
      </c>
      <c r="HH29" s="747">
        <f>VLOOKUP(HF29,'Ціни контур теплопостачання'!$Y$62:$AA$69,3,0)</f>
        <v>89.924040000000005</v>
      </c>
      <c r="HI29" s="765">
        <f t="shared" si="92"/>
        <v>89.924040000000005</v>
      </c>
      <c r="HJ29" s="750">
        <f>VLOOKUP(HK29,'Ціни контур теплопостачання'!$AN$6:$AO$13,2,0)</f>
        <v>32</v>
      </c>
      <c r="HK29" s="751">
        <f t="array" ref="HK29">MIN(IF('Ціни контур теплопостачання'!$AN$6:$AN$13&gt;N29,'Ціни контур теплопостачання'!$AN$6:$AN$13))</f>
        <v>6</v>
      </c>
      <c r="HL29" s="751">
        <v>1</v>
      </c>
      <c r="HM29" s="747">
        <f>VLOOKUP(HJ29,'Ціни контур теплопостачання'!$AO$6:$AQ$13,3,0)</f>
        <v>85.682340000000011</v>
      </c>
      <c r="HN29" s="748">
        <f t="shared" si="93"/>
        <v>85.682340000000011</v>
      </c>
      <c r="HO29" s="750">
        <f t="shared" si="28"/>
        <v>40</v>
      </c>
      <c r="HP29" s="746">
        <v>1</v>
      </c>
      <c r="HQ29" s="747">
        <f>VLOOKUP(HO29,'Ціни контур теплопостачання'!$AO$55:$AQ$63,3,0)</f>
        <v>193.55</v>
      </c>
      <c r="HR29" s="748">
        <f t="shared" si="126"/>
        <v>193.55</v>
      </c>
      <c r="HS29" s="745">
        <f t="shared" si="29"/>
        <v>25</v>
      </c>
      <c r="HT29" s="749">
        <v>1</v>
      </c>
      <c r="HU29" s="747">
        <f>VLOOKUP(HS29,'Ціни контур теплопостачання'!$K$62:$M$67,3,0)</f>
        <v>92.91</v>
      </c>
      <c r="HV29" s="765">
        <f t="shared" si="95"/>
        <v>92.91</v>
      </c>
      <c r="HW29" s="655" t="str">
        <f t="shared" ref="HW29" si="137">HW28</f>
        <v>0-150</v>
      </c>
      <c r="HX29" s="720">
        <v>1</v>
      </c>
      <c r="HY29" s="747">
        <f>VLOOKUP(HW29,'Ціни контур мережний'!$I$79:$M$80,5,0)</f>
        <v>15.050156291498967</v>
      </c>
      <c r="HZ29" s="748">
        <f t="shared" si="96"/>
        <v>15.050156291498967</v>
      </c>
      <c r="IA29" s="758" t="s">
        <v>109</v>
      </c>
      <c r="IB29" s="749">
        <v>1</v>
      </c>
      <c r="IC29" s="747">
        <f>VLOOKUP(IA29,'Ціни контур мережний'!$I$79:$M$80,5,0)</f>
        <v>15.050156291498967</v>
      </c>
      <c r="ID29" s="765">
        <f t="shared" si="97"/>
        <v>15.050156291498967</v>
      </c>
      <c r="IE29" s="655" t="s">
        <v>108</v>
      </c>
      <c r="IF29" s="720">
        <v>3</v>
      </c>
      <c r="IG29" s="747">
        <f>VLOOKUP(IE29,'Ціни контур мережний'!$I$67:$M$69,5,0)</f>
        <v>4.4537969640631703</v>
      </c>
      <c r="IH29" s="748">
        <f t="shared" si="98"/>
        <v>13.361390892189512</v>
      </c>
      <c r="II29" s="655" t="s">
        <v>106</v>
      </c>
      <c r="IJ29" s="720">
        <f t="shared" si="136"/>
        <v>13</v>
      </c>
      <c r="IK29" s="747">
        <f>VLOOKUP(II29,'Ціни контур мережний'!$I$67:$M$69,5,0)</f>
        <v>4.4537969640631703</v>
      </c>
      <c r="IL29" s="748">
        <f t="shared" si="99"/>
        <v>57.899360532821213</v>
      </c>
      <c r="IM29" s="655" t="s">
        <v>1013</v>
      </c>
      <c r="IN29" s="720">
        <v>5</v>
      </c>
      <c r="IO29" s="747">
        <f>VLOOKUP(IM29,'Ціни контур мережний'!$I$64:$M$64,5,0)</f>
        <v>29.1312</v>
      </c>
      <c r="IP29" s="748">
        <f t="shared" si="100"/>
        <v>145.65600000000001</v>
      </c>
      <c r="IQ29" s="766" t="s">
        <v>1015</v>
      </c>
      <c r="IR29" s="749">
        <v>6</v>
      </c>
      <c r="IS29" s="747">
        <f>VLOOKUP(IQ29,'Ціни контур мережний'!$I$89:$M$89,5,0)</f>
        <v>79.523165325760516</v>
      </c>
      <c r="IT29" s="765">
        <f t="shared" si="101"/>
        <v>477.1389919545631</v>
      </c>
      <c r="IU29" s="778" t="s">
        <v>1016</v>
      </c>
      <c r="IV29" s="720">
        <f t="shared" si="117"/>
        <v>7</v>
      </c>
      <c r="IW29" s="747">
        <f>VLOOKUP(IU29,'Ціни контур мережний'!$I$88:$M$88,5,0)</f>
        <v>13.211568975967202</v>
      </c>
      <c r="IX29" s="768">
        <f t="shared" si="102"/>
        <v>92.480982831770419</v>
      </c>
      <c r="IY29" s="757" t="s">
        <v>383</v>
      </c>
      <c r="IZ29" s="720">
        <v>1</v>
      </c>
      <c r="JA29" s="747">
        <f>VLOOKUP(IY29,'Ціни контур мережний'!$I$87:$M$87,5,0)</f>
        <v>13.483972460007763</v>
      </c>
      <c r="JB29" s="748">
        <f t="shared" si="103"/>
        <v>13.483972460007763</v>
      </c>
      <c r="JC29" s="769">
        <f t="shared" si="31"/>
        <v>76</v>
      </c>
      <c r="JD29" s="770">
        <f t="shared" si="104"/>
        <v>7038.1122037673767</v>
      </c>
      <c r="JE29" s="771">
        <f>$JE$44/'Ціни контур мережний'!$G$26</f>
        <v>476.70609707098151</v>
      </c>
      <c r="JF29" s="771">
        <f>$JE$44/'Ціни контур мережний'!$G$26</f>
        <v>476.70609707098151</v>
      </c>
      <c r="JG29" s="770">
        <f t="shared" si="112"/>
        <v>661.80181284518619</v>
      </c>
      <c r="JH29" s="770">
        <f t="shared" si="113"/>
        <v>487.81784379022207</v>
      </c>
      <c r="JI29" s="770">
        <f>$JI$43/'Ціни контур мережний'!$G$26</f>
        <v>323.47913729816605</v>
      </c>
      <c r="JJ29" s="770">
        <f t="shared" si="105"/>
        <v>66.611999999999995</v>
      </c>
      <c r="JK29" s="770">
        <f>$JK$28</f>
        <v>0</v>
      </c>
      <c r="JL29" s="772">
        <f t="shared" si="114"/>
        <v>62.86234247089866</v>
      </c>
      <c r="JM29" s="770">
        <f>$JM$28</f>
        <v>0</v>
      </c>
      <c r="JN29" s="770">
        <v>0</v>
      </c>
      <c r="JO29" s="1029">
        <f t="shared" si="32"/>
        <v>671.58682740196696</v>
      </c>
      <c r="JP29" s="770">
        <f t="shared" si="33"/>
        <v>959.40975343138132</v>
      </c>
      <c r="JQ29" s="1030">
        <f t="shared" si="34"/>
        <v>165.04231239641922</v>
      </c>
      <c r="JR29" s="1023">
        <f t="shared" si="115"/>
        <v>300.63036461094771</v>
      </c>
      <c r="JS29" s="777">
        <f t="shared" si="106"/>
        <v>11690.766792154527</v>
      </c>
      <c r="JU29" s="611">
        <f>[3]Расчеты!AX28/1.2</f>
        <v>4857.1049294532295</v>
      </c>
      <c r="JV29" s="611">
        <f t="shared" si="107"/>
        <v>16547.871721607757</v>
      </c>
      <c r="JW29" s="611" t="e">
        <f>JV29*1.2*#REF!</f>
        <v>#REF!</v>
      </c>
      <c r="JX29" s="611"/>
    </row>
    <row r="30" spans="1:286" ht="12.6" customHeight="1">
      <c r="B30" s="597">
        <v>77</v>
      </c>
      <c r="C30" s="1056" t="s">
        <v>789</v>
      </c>
      <c r="D30" s="906">
        <v>0.28314</v>
      </c>
      <c r="E30" s="907">
        <v>0.24199999999999999</v>
      </c>
      <c r="F30" s="908">
        <f t="shared" si="35"/>
        <v>11.243971883034476</v>
      </c>
      <c r="G30" s="909">
        <v>65</v>
      </c>
      <c r="H30" s="598">
        <f t="shared" si="36"/>
        <v>5.0578778135048221</v>
      </c>
      <c r="I30" s="599">
        <v>40</v>
      </c>
      <c r="J30" s="598">
        <f t="shared" si="37"/>
        <v>11.772972972972973</v>
      </c>
      <c r="K30" s="599">
        <v>65</v>
      </c>
      <c r="L30" s="598">
        <f t="shared" si="38"/>
        <v>6.1860940695296529</v>
      </c>
      <c r="M30" s="599">
        <v>40</v>
      </c>
      <c r="N30" s="598">
        <f t="shared" si="39"/>
        <v>4.9087221095334685</v>
      </c>
      <c r="O30" s="599">
        <v>40</v>
      </c>
      <c r="P30" s="598">
        <f t="shared" si="108"/>
        <v>1.4726166328600405</v>
      </c>
      <c r="Q30" s="599">
        <v>25</v>
      </c>
      <c r="R30" s="598">
        <f t="shared" si="40"/>
        <v>7.1529194006844952</v>
      </c>
      <c r="S30" s="600">
        <f t="shared" si="41"/>
        <v>8.7484581312446057</v>
      </c>
      <c r="T30" s="910">
        <v>2</v>
      </c>
      <c r="U30" s="601">
        <f t="shared" si="42"/>
        <v>5.8864864864864863</v>
      </c>
      <c r="V30" s="601">
        <f t="shared" si="43"/>
        <v>8.3247490239151372</v>
      </c>
      <c r="W30" s="602">
        <v>50</v>
      </c>
      <c r="X30" s="1027">
        <v>5.6</v>
      </c>
      <c r="Y30" s="601">
        <f t="shared" si="44"/>
        <v>1.68</v>
      </c>
      <c r="Z30" s="992">
        <v>25</v>
      </c>
      <c r="AA30" s="1028">
        <v>9</v>
      </c>
      <c r="AB30" s="745">
        <f t="shared" si="0"/>
        <v>65</v>
      </c>
      <c r="AC30" s="746">
        <v>2</v>
      </c>
      <c r="AD30" s="747">
        <f>VLOOKUP(AB30,'Ціни контур мережний'!$Z$24:$AB$36,3,0)</f>
        <v>30.19184015363556</v>
      </c>
      <c r="AE30" s="748">
        <f t="shared" si="45"/>
        <v>60.383680307271121</v>
      </c>
      <c r="AF30" s="745">
        <f t="shared" si="1"/>
        <v>65</v>
      </c>
      <c r="AG30" s="749">
        <v>2</v>
      </c>
      <c r="AH30" s="747">
        <f>VLOOKUP(AF30,'Ціни контур мережний'!$Z$64:$AB$77,3,0)</f>
        <v>105.883234246566</v>
      </c>
      <c r="AI30" s="748">
        <f t="shared" si="46"/>
        <v>211.76646849313201</v>
      </c>
      <c r="AJ30" s="745">
        <f t="shared" si="2"/>
        <v>65</v>
      </c>
      <c r="AK30" s="746">
        <v>0</v>
      </c>
      <c r="AL30" s="747">
        <f>VLOOKUP(AJ30,'Ціни контур мережний'!$Z$5:$AB$17,3,0)</f>
        <v>39.731999999999999</v>
      </c>
      <c r="AM30" s="748">
        <f t="shared" si="47"/>
        <v>0</v>
      </c>
      <c r="AN30" s="750">
        <f t="shared" si="3"/>
        <v>40</v>
      </c>
      <c r="AO30" s="746">
        <v>1</v>
      </c>
      <c r="AP30" s="747">
        <f>VLOOKUP(AN30,'Ціни контур мережний'!$Z$43:$AB$55,3,0)</f>
        <v>18.42400964308333</v>
      </c>
      <c r="AQ30" s="768">
        <f t="shared" si="48"/>
        <v>18.42400964308333</v>
      </c>
      <c r="AR30" s="749">
        <f t="shared" si="4"/>
        <v>40</v>
      </c>
      <c r="AS30" s="749">
        <v>4</v>
      </c>
      <c r="AT30" s="747">
        <f>VLOOKUP(AR30,'Ціни контур мережний'!$Z$43:$AB$55,3,0)</f>
        <v>18.42400964308333</v>
      </c>
      <c r="AU30" s="1016">
        <f t="shared" si="49"/>
        <v>73.696038572333322</v>
      </c>
      <c r="AV30" s="751" t="str">
        <f t="shared" si="50"/>
        <v>AMV20</v>
      </c>
      <c r="AW30" s="751">
        <v>1</v>
      </c>
      <c r="AX30" s="747">
        <f>VLOOKUP(AV30,'Ціни контур мережний'!$I$53:$M$57,5,0)</f>
        <v>110.39869654932889</v>
      </c>
      <c r="AY30" s="748">
        <f t="shared" si="51"/>
        <v>110.39869654932889</v>
      </c>
      <c r="AZ30" s="752">
        <f t="array" ref="AZ30">MIN(IF('Ціни контур мережний'!$Y$83:$Y$92&gt;(R30*1.2),'Ціни контур мережний'!$Y$83:$Y$92))</f>
        <v>10</v>
      </c>
      <c r="BA30" s="746">
        <f>VLOOKUP(AZ30,'Ціни контур мережний'!$Y$83:$Z$92,2,0)</f>
        <v>25</v>
      </c>
      <c r="BB30" s="746">
        <v>1</v>
      </c>
      <c r="BC30" s="747">
        <f>VLOOKUP(AZ30,'Ціни контур мережний'!$Y$83:$AB$92,4,0)</f>
        <v>117.50505648967251</v>
      </c>
      <c r="BD30" s="748">
        <f t="shared" si="52"/>
        <v>117.50505648967251</v>
      </c>
      <c r="BE30" s="1099">
        <f t="array" ref="BE30">MIN(IF('[1]Ціни контур мережний'!$Y$104:$Y$114&gt;(R30*1.2),'[1]Ціни контур мережний'!$Y$104:$Y$114))</f>
        <v>12.5</v>
      </c>
      <c r="BF30" s="1101">
        <f>VLOOKUP(BE30,'[1]Ціни контур мережний'!$Y$104:$Z$114,2,0)</f>
        <v>32</v>
      </c>
      <c r="BG30" s="753">
        <v>1</v>
      </c>
      <c r="BH30" s="754">
        <f>VLOOKUP(BE30,'Ціни контур мережний'!$Y$104:$AB$114,4,0)</f>
        <v>435.76049604674444</v>
      </c>
      <c r="BI30" s="755">
        <f t="shared" si="53"/>
        <v>435.76049604674444</v>
      </c>
      <c r="BJ30" s="751" t="s">
        <v>67</v>
      </c>
      <c r="BK30" s="749">
        <v>1</v>
      </c>
      <c r="BL30" s="747">
        <f>VLOOKUP(BJ30,'Ціни контур мережний'!$I$53:$M$57,5,0)</f>
        <v>157.67238032974441</v>
      </c>
      <c r="BM30" s="748">
        <f t="shared" si="54"/>
        <v>157.67238032974441</v>
      </c>
      <c r="BN30" s="896">
        <f t="array" ref="BN30">MIN(IF('Ціни контур мережний'!$Y$83:$Y$93&gt;(S30*1.2),'Ціни контур мережний'!$Y$83:$Y$93))</f>
        <v>16</v>
      </c>
      <c r="BO30" s="896">
        <f>VLOOKUP(BN30,'Ціни контур мережний'!$Y$83:$Z$93,2,0)</f>
        <v>32</v>
      </c>
      <c r="BP30" s="895">
        <v>1</v>
      </c>
      <c r="BQ30" s="896">
        <f>VLOOKUP(BN30,'Ціни контур мережний'!$Y$83:$AB$93,4,0)</f>
        <v>130.5392363168325</v>
      </c>
      <c r="BR30" s="897">
        <f t="shared" si="55"/>
        <v>130.5392363168325</v>
      </c>
      <c r="BS30" s="896">
        <f t="array" ref="BS30">MIN(IF('Ціни контур мережний'!$Y$104:$Y$114&gt;(S30*1.2),'Ціни контур мережний'!$Y$104:$Y$114))</f>
        <v>12.5</v>
      </c>
      <c r="BT30" s="896">
        <f>VLOOKUP(BS30,'Ціни контур мережний'!$Y$104:$Z$114,2,0)</f>
        <v>32</v>
      </c>
      <c r="BU30" s="895">
        <v>1</v>
      </c>
      <c r="BV30" s="896">
        <f>VLOOKUP(BS30,'Ціни контур мережний'!$Y$104:$AB$114,4,0)</f>
        <v>435.76049604674444</v>
      </c>
      <c r="BW30" s="897">
        <f t="shared" si="56"/>
        <v>435.76049604674444</v>
      </c>
      <c r="BX30" s="751" t="s">
        <v>115</v>
      </c>
      <c r="BY30" s="751" t="s">
        <v>115</v>
      </c>
      <c r="BZ30" s="746" t="s">
        <v>1025</v>
      </c>
      <c r="CA30" s="756">
        <v>0</v>
      </c>
      <c r="CB30" s="747">
        <v>0</v>
      </c>
      <c r="CC30" s="748">
        <f t="shared" si="57"/>
        <v>0</v>
      </c>
      <c r="CD30" s="758">
        <f>VLOOKUP(CE30,'Ціни контур мережний'!$J$5:$L$12,3,0)</f>
        <v>40</v>
      </c>
      <c r="CE30" s="747">
        <f t="array" ref="CE30">MIN(IF('Ціни контур мережний'!$J$5:$J$12&gt;L30,'Ціни контур мережний'!$J$5:$J$12))</f>
        <v>10</v>
      </c>
      <c r="CF30" s="746" t="s">
        <v>130</v>
      </c>
      <c r="CG30" s="749">
        <v>1</v>
      </c>
      <c r="CH30" s="747">
        <f>VLOOKUP(CE30,'Ціни контур мережний'!$J$5:$N$12,5,0)</f>
        <v>375.23999999999995</v>
      </c>
      <c r="CI30" s="748">
        <f t="shared" si="58"/>
        <v>375.23999999999995</v>
      </c>
      <c r="CJ30" s="899" t="s">
        <v>1309</v>
      </c>
      <c r="CK30" s="899">
        <v>1</v>
      </c>
      <c r="CL30" s="898">
        <v>868</v>
      </c>
      <c r="CM30" s="901">
        <f t="shared" si="59"/>
        <v>868</v>
      </c>
      <c r="CN30" s="898" t="s">
        <v>1331</v>
      </c>
      <c r="CO30" s="899">
        <v>1</v>
      </c>
      <c r="CP30" s="900">
        <v>613</v>
      </c>
      <c r="CQ30" s="901">
        <f t="shared" si="60"/>
        <v>613</v>
      </c>
      <c r="CR30" s="751">
        <f t="shared" si="5"/>
        <v>65</v>
      </c>
      <c r="CS30" s="746">
        <v>4</v>
      </c>
      <c r="CT30" s="747">
        <f>VLOOKUP(CR30,'Ціни контур теплопостачання'!$Y$5:$AA$17,3,0)</f>
        <v>30.19184015363556</v>
      </c>
      <c r="CU30" s="748">
        <f t="shared" si="61"/>
        <v>120.76736061454224</v>
      </c>
      <c r="CV30" s="750">
        <f t="shared" si="6"/>
        <v>40</v>
      </c>
      <c r="CW30" s="746">
        <v>6</v>
      </c>
      <c r="CX30" s="747">
        <f>VLOOKUP(CV30,'Ціни контур теплопостачання'!$AO$20:$AQ$29,3,0)</f>
        <v>37.980000000000004</v>
      </c>
      <c r="CY30" s="748">
        <f t="shared" si="62"/>
        <v>227.88000000000002</v>
      </c>
      <c r="CZ30" s="750">
        <f t="shared" si="7"/>
        <v>25</v>
      </c>
      <c r="DA30" s="746">
        <v>3</v>
      </c>
      <c r="DB30" s="747">
        <f>VLOOKUP(CZ30,'Ціни контур теплопостачання'!$AO$20:$AQ$29,3,0)</f>
        <v>6.3070000000000004</v>
      </c>
      <c r="DC30" s="748">
        <f t="shared" si="63"/>
        <v>18.920999999999999</v>
      </c>
      <c r="DD30" s="757">
        <f t="shared" si="8"/>
        <v>50</v>
      </c>
      <c r="DE30" s="746">
        <f t="shared" si="9"/>
        <v>4</v>
      </c>
      <c r="DF30" s="747">
        <f>VLOOKUP(DD30,'Ціни контур теплопостачання'!$Y$5:$AA$17,3,0)</f>
        <v>23.2782130224622</v>
      </c>
      <c r="DG30" s="748">
        <f t="shared" si="64"/>
        <v>93.112852089848801</v>
      </c>
      <c r="DH30" s="745">
        <f t="shared" si="65"/>
        <v>32</v>
      </c>
      <c r="DI30" s="749">
        <f t="shared" si="66"/>
        <v>1</v>
      </c>
      <c r="DJ30" s="747">
        <f>VLOOKUP(DH30,'Ціни контур теплопостачання'!$Y$5:$AA$17,3,0)</f>
        <v>10.381</v>
      </c>
      <c r="DK30" s="765">
        <f t="shared" si="67"/>
        <v>10.381</v>
      </c>
      <c r="DL30" s="757">
        <f t="shared" si="10"/>
        <v>25</v>
      </c>
      <c r="DM30" s="746">
        <v>1</v>
      </c>
      <c r="DN30" s="747">
        <f>VLOOKUP(DL30,'Ціни контур мережний'!$Z$43:$AB$55,3,0)</f>
        <v>14.856886019572187</v>
      </c>
      <c r="DO30" s="748">
        <f t="shared" si="68"/>
        <v>14.856886019572187</v>
      </c>
      <c r="DP30" s="757">
        <f t="shared" si="11"/>
        <v>25</v>
      </c>
      <c r="DQ30" s="746">
        <v>2</v>
      </c>
      <c r="DR30" s="747">
        <f>VLOOKUP(DP30,'Ціни контур теплопостачання'!$Y$5:$AA$17,3,0)</f>
        <v>6.3070000000000004</v>
      </c>
      <c r="DS30" s="748">
        <f t="shared" si="69"/>
        <v>12.614000000000001</v>
      </c>
      <c r="DT30" s="745">
        <v>20</v>
      </c>
      <c r="DU30" s="749">
        <v>2</v>
      </c>
      <c r="DV30" s="747">
        <f>VLOOKUP(DT30,'Ціни контур теплопостачання'!$Y$5:$AA$17,3,0)</f>
        <v>3.577</v>
      </c>
      <c r="DW30" s="748">
        <f t="shared" si="70"/>
        <v>7.1539999999999999</v>
      </c>
      <c r="DX30" s="745">
        <v>15</v>
      </c>
      <c r="DY30" s="745">
        <v>10</v>
      </c>
      <c r="DZ30" s="758">
        <f>VLOOKUP(DX30,'Ціни контур теплопостачання'!$Y$5:$AA$17,3,0)</f>
        <v>2.464</v>
      </c>
      <c r="EA30" s="759">
        <f t="shared" si="71"/>
        <v>24.64</v>
      </c>
      <c r="EB30" s="745">
        <v>15</v>
      </c>
      <c r="EC30" s="745">
        <f t="shared" si="110"/>
        <v>38</v>
      </c>
      <c r="ED30" s="758">
        <f>VLOOKUP(EB30,'Ціни контур мережний'!$J$71:$M$71,4,0)</f>
        <v>3.3865201135922525</v>
      </c>
      <c r="EE30" s="759">
        <f t="shared" si="72"/>
        <v>128.68776431650559</v>
      </c>
      <c r="EF30" s="751">
        <f t="shared" si="12"/>
        <v>65</v>
      </c>
      <c r="EG30" s="746">
        <v>1</v>
      </c>
      <c r="EH30" s="747">
        <f>VLOOKUP(EF30,'Ціни контур теплопостачання'!$K$5:$M$17,3,0)</f>
        <v>39.731999999999999</v>
      </c>
      <c r="EI30" s="748">
        <f t="shared" si="73"/>
        <v>39.731999999999999</v>
      </c>
      <c r="EJ30" s="745">
        <f t="shared" si="13"/>
        <v>40</v>
      </c>
      <c r="EK30" s="749">
        <v>1</v>
      </c>
      <c r="EL30" s="747">
        <f>VLOOKUP(EJ30,'Ціни контур теплопостачання'!$K$5:$M$17,3,0)</f>
        <v>23.225999999999999</v>
      </c>
      <c r="EM30" s="748">
        <f t="shared" si="74"/>
        <v>23.225999999999999</v>
      </c>
      <c r="EN30" s="745">
        <f t="shared" si="14"/>
        <v>25</v>
      </c>
      <c r="EO30" s="745">
        <v>1</v>
      </c>
      <c r="EP30" s="758">
        <f>VLOOKUP(EN30,'Ціни контур теплопостачання'!$K$5:$M$17,3,0)</f>
        <v>4.78</v>
      </c>
      <c r="EQ30" s="759">
        <f t="shared" si="75"/>
        <v>4.78</v>
      </c>
      <c r="ER30" s="745">
        <f t="shared" si="15"/>
        <v>25</v>
      </c>
      <c r="ES30" s="745">
        <v>1</v>
      </c>
      <c r="ET30" s="758">
        <f>VLOOKUP(ER30,'Ціни контур теплопостачання'!$K$5:$M$17,3,0)</f>
        <v>4.78</v>
      </c>
      <c r="EU30" s="759">
        <f t="shared" si="76"/>
        <v>4.78</v>
      </c>
      <c r="EV30" s="751">
        <f t="shared" si="16"/>
        <v>65</v>
      </c>
      <c r="EW30" s="746">
        <v>2</v>
      </c>
      <c r="EX30" s="747">
        <f>VLOOKUP(EV30,'Ціни контур теплопостачання'!$Y$24:$AA$36,3,0)</f>
        <v>42.080999999999996</v>
      </c>
      <c r="EY30" s="748">
        <f t="shared" si="77"/>
        <v>84.161999999999992</v>
      </c>
      <c r="EZ30" s="745">
        <f t="shared" si="17"/>
        <v>40</v>
      </c>
      <c r="FA30" s="749">
        <v>1</v>
      </c>
      <c r="FB30" s="747">
        <f>VLOOKUP(EZ30,'Ціни контур теплопостачання'!$AO$38:$AQ$50,3,0)</f>
        <v>20.3645</v>
      </c>
      <c r="FC30" s="748">
        <f t="shared" si="78"/>
        <v>20.3645</v>
      </c>
      <c r="FD30" s="745">
        <f t="shared" si="18"/>
        <v>25</v>
      </c>
      <c r="FE30" s="745">
        <v>1</v>
      </c>
      <c r="FF30" s="758">
        <f>VLOOKUP(FD30,'Ціни контур теплопостачання'!$AO$38:$AQ$50,3,0)</f>
        <v>6.9659999999999993</v>
      </c>
      <c r="FG30" s="759">
        <f t="shared" si="79"/>
        <v>6.9659999999999993</v>
      </c>
      <c r="FH30" s="745">
        <f t="shared" si="19"/>
        <v>25</v>
      </c>
      <c r="FI30" s="745">
        <v>1</v>
      </c>
      <c r="FJ30" s="758">
        <f>VLOOKUP(FH30,'Ціни контур теплопостачання'!$Y$24:$AA$36,3,0)</f>
        <v>6.9659999999999993</v>
      </c>
      <c r="FK30" s="759">
        <f t="shared" si="80"/>
        <v>6.9659999999999993</v>
      </c>
      <c r="FL30" s="745">
        <f t="shared" si="20"/>
        <v>50</v>
      </c>
      <c r="FM30" s="745">
        <f t="shared" si="21"/>
        <v>4</v>
      </c>
      <c r="FN30" s="758">
        <f>VLOOKUP(FL30,'Ціни контур теплопостачання'!$Y$76:$AA$88,3,0)</f>
        <v>20.6</v>
      </c>
      <c r="FO30" s="759">
        <f t="shared" si="81"/>
        <v>82.4</v>
      </c>
      <c r="FP30" s="745">
        <f t="shared" si="22"/>
        <v>40</v>
      </c>
      <c r="FQ30" s="745">
        <v>1</v>
      </c>
      <c r="FR30" s="758">
        <f>VLOOKUP(FP30,'Ціни контур теплопостачання'!$Y$76:$AA$88,3,0)</f>
        <v>16.809999999999999</v>
      </c>
      <c r="FS30" s="759">
        <f t="shared" si="82"/>
        <v>16.809999999999999</v>
      </c>
      <c r="FT30" s="745">
        <f t="shared" si="23"/>
        <v>25</v>
      </c>
      <c r="FU30" s="745">
        <v>1</v>
      </c>
      <c r="FV30" s="758">
        <f>VLOOKUP(FT30,'Ціни контур теплопостачання'!$Y$76:$AA$88,3,0)</f>
        <v>11.45</v>
      </c>
      <c r="FW30" s="759">
        <f t="shared" si="83"/>
        <v>11.45</v>
      </c>
      <c r="FX30" s="758">
        <f t="shared" si="24"/>
        <v>27.027785702865117</v>
      </c>
      <c r="FY30" s="760">
        <v>32</v>
      </c>
      <c r="FZ30" s="719">
        <v>2</v>
      </c>
      <c r="GA30" s="747">
        <f>VLOOKUP(FY30,'Ціни контур теплопостачання'!$K$74:$M$79,3,0)</f>
        <v>33.68</v>
      </c>
      <c r="GB30" s="761">
        <f t="shared" si="84"/>
        <v>67.36</v>
      </c>
      <c r="GC30" s="762">
        <f t="shared" si="85"/>
        <v>11.772972972972973</v>
      </c>
      <c r="GD30" s="911">
        <v>9</v>
      </c>
      <c r="GE30" s="1017">
        <v>9</v>
      </c>
      <c r="GF30" s="1018" t="s">
        <v>119</v>
      </c>
      <c r="GG30" s="713">
        <v>2</v>
      </c>
      <c r="GH30" s="709">
        <f>VLOOKUP(GF30,'Ціни контур теплопостачання'!$C$89:$M$105,11,0)</f>
        <v>391.06799999999998</v>
      </c>
      <c r="GI30" s="764">
        <f t="shared" si="86"/>
        <v>782.13599999999997</v>
      </c>
      <c r="GJ30" s="912">
        <f t="shared" si="87"/>
        <v>1.4726166328600405</v>
      </c>
      <c r="GK30" s="911">
        <v>9</v>
      </c>
      <c r="GL30" s="1017">
        <v>9</v>
      </c>
      <c r="GM30" s="1019" t="s">
        <v>1097</v>
      </c>
      <c r="GN30" s="749">
        <v>1</v>
      </c>
      <c r="GO30" s="747">
        <f>VLOOKUP(GM30,'Ціни контур теплопостачання'!$C$89:$M$105,11,0)</f>
        <v>241.2</v>
      </c>
      <c r="GP30" s="904">
        <f t="shared" si="88"/>
        <v>241.2</v>
      </c>
      <c r="GQ30" s="758">
        <f t="shared" si="25"/>
        <v>591.99602255009972</v>
      </c>
      <c r="GR30" s="955">
        <v>750</v>
      </c>
      <c r="GS30" s="749">
        <f>VLOOKUP(GR30,'Ціни контур теплопостачання'!$J$43:$K$55,2,0)</f>
        <v>32</v>
      </c>
      <c r="GT30" s="1020">
        <v>1</v>
      </c>
      <c r="GU30" s="747">
        <f>VLOOKUP(GR30,'Ціни контур теплопостачання'!$J$43:$M$55,4,0)</f>
        <v>376.94</v>
      </c>
      <c r="GV30" s="748">
        <f t="shared" si="89"/>
        <v>376.94</v>
      </c>
      <c r="GW30" s="758">
        <f t="array" ref="GW30">MIN(IF('Ціни контур теплопостачання'!$AN$68:$AN$77&gt;(V30*1.2),'Ціни контур теплопостачання'!$AN$68:$AN$77))</f>
        <v>11.13</v>
      </c>
      <c r="GX30" s="749">
        <f>VLOOKUP(GW30,'Ціни контур теплопостачання'!$AN$68:$AO$77,2,0)</f>
        <v>32</v>
      </c>
      <c r="GY30" s="749">
        <f t="shared" si="26"/>
        <v>2</v>
      </c>
      <c r="GZ30" s="747">
        <f>VLOOKUP(GX30,'Ціни контур теплопостачання'!$AO$68:$AQ$77,3,0)</f>
        <v>37.183999999999997</v>
      </c>
      <c r="HA30" s="759">
        <f t="shared" si="90"/>
        <v>74.367999999999995</v>
      </c>
      <c r="HB30" s="751">
        <v>15</v>
      </c>
      <c r="HC30" s="746">
        <v>2</v>
      </c>
      <c r="HD30" s="747">
        <f>VLOOKUP(HB30,'Ціни контур мережний'!$J$73:$M$73,4,0)</f>
        <v>3.4649999999999999</v>
      </c>
      <c r="HE30" s="748">
        <f t="shared" si="91"/>
        <v>6.93</v>
      </c>
      <c r="HF30" s="749">
        <f t="shared" si="27"/>
        <v>25</v>
      </c>
      <c r="HG30" s="749">
        <v>1</v>
      </c>
      <c r="HH30" s="747">
        <f>VLOOKUP(HF30,'Ціни контур теплопостачання'!$Y$62:$AA$69,3,0)</f>
        <v>89.924040000000005</v>
      </c>
      <c r="HI30" s="765">
        <f t="shared" si="92"/>
        <v>89.924040000000005</v>
      </c>
      <c r="HJ30" s="750">
        <f>VLOOKUP(HK30,'Ціни контур теплопостачання'!$AN$6:$AO$13,2,0)</f>
        <v>32</v>
      </c>
      <c r="HK30" s="751">
        <f t="array" ref="HK30">MIN(IF('Ціни контур теплопостачання'!$AN$6:$AN$13&gt;N30,'Ціни контур теплопостачання'!$AN$6:$AN$13))</f>
        <v>6</v>
      </c>
      <c r="HL30" s="751">
        <v>1</v>
      </c>
      <c r="HM30" s="747">
        <f>VLOOKUP(HJ30,'Ціни контур теплопостачання'!$AO$6:$AQ$13,3,0)</f>
        <v>85.682340000000011</v>
      </c>
      <c r="HN30" s="748">
        <f t="shared" si="93"/>
        <v>85.682340000000011</v>
      </c>
      <c r="HO30" s="750">
        <f t="shared" si="28"/>
        <v>40</v>
      </c>
      <c r="HP30" s="746">
        <v>1</v>
      </c>
      <c r="HQ30" s="747">
        <f>VLOOKUP(HO30,'Ціни контур теплопостачання'!$AO$55:$AQ$63,3,0)</f>
        <v>193.55</v>
      </c>
      <c r="HR30" s="748">
        <f t="shared" si="126"/>
        <v>193.55</v>
      </c>
      <c r="HS30" s="745">
        <f t="shared" si="29"/>
        <v>25</v>
      </c>
      <c r="HT30" s="749">
        <v>1</v>
      </c>
      <c r="HU30" s="747">
        <f>VLOOKUP(HS30,'Ціни контур теплопостачання'!$K$62:$M$67,3,0)</f>
        <v>92.91</v>
      </c>
      <c r="HV30" s="765">
        <f t="shared" si="95"/>
        <v>92.91</v>
      </c>
      <c r="HW30" s="655" t="str">
        <f t="shared" ref="HW30:HW40" si="138">HW29</f>
        <v>0-150</v>
      </c>
      <c r="HX30" s="720">
        <v>1</v>
      </c>
      <c r="HY30" s="747">
        <f>VLOOKUP(HW30,'Ціни контур мережний'!$I$79:$M$80,5,0)</f>
        <v>15.050156291498967</v>
      </c>
      <c r="HZ30" s="748">
        <f t="shared" si="96"/>
        <v>15.050156291498967</v>
      </c>
      <c r="IA30" s="758" t="s">
        <v>109</v>
      </c>
      <c r="IB30" s="749">
        <v>1</v>
      </c>
      <c r="IC30" s="747">
        <f>VLOOKUP(IA30,'Ціни контур мережний'!$I$79:$M$80,5,0)</f>
        <v>15.050156291498967</v>
      </c>
      <c r="ID30" s="765">
        <f t="shared" si="97"/>
        <v>15.050156291498967</v>
      </c>
      <c r="IE30" s="655" t="s">
        <v>108</v>
      </c>
      <c r="IF30" s="720">
        <v>3</v>
      </c>
      <c r="IG30" s="747">
        <f>VLOOKUP(IE30,'Ціни контур мережний'!$I$67:$M$69,5,0)</f>
        <v>4.4537969640631703</v>
      </c>
      <c r="IH30" s="748">
        <f t="shared" si="98"/>
        <v>13.361390892189512</v>
      </c>
      <c r="II30" s="655" t="s">
        <v>106</v>
      </c>
      <c r="IJ30" s="720">
        <f t="shared" si="136"/>
        <v>13</v>
      </c>
      <c r="IK30" s="747">
        <f>VLOOKUP(II30,'Ціни контур мережний'!$I$67:$M$69,5,0)</f>
        <v>4.4537969640631703</v>
      </c>
      <c r="IL30" s="748">
        <f t="shared" si="99"/>
        <v>57.899360532821213</v>
      </c>
      <c r="IM30" s="655" t="s">
        <v>1013</v>
      </c>
      <c r="IN30" s="720">
        <v>5</v>
      </c>
      <c r="IO30" s="747">
        <f>VLOOKUP(IM30,'Ціни контур мережний'!$I$64:$M$64,5,0)</f>
        <v>29.1312</v>
      </c>
      <c r="IP30" s="748">
        <f t="shared" si="100"/>
        <v>145.65600000000001</v>
      </c>
      <c r="IQ30" s="766" t="s">
        <v>1015</v>
      </c>
      <c r="IR30" s="749">
        <v>6</v>
      </c>
      <c r="IS30" s="747">
        <f>VLOOKUP(IQ30,'Ціни контур мережний'!$I$89:$M$89,5,0)</f>
        <v>79.523165325760516</v>
      </c>
      <c r="IT30" s="765">
        <f t="shared" si="101"/>
        <v>477.1389919545631</v>
      </c>
      <c r="IU30" s="917" t="s">
        <v>1016</v>
      </c>
      <c r="IV30" s="720">
        <f t="shared" si="117"/>
        <v>7</v>
      </c>
      <c r="IW30" s="747">
        <f>VLOOKUP(IU30,'Ціни контур мережний'!$I$88:$M$88,5,0)</f>
        <v>13.211568975967202</v>
      </c>
      <c r="IX30" s="768">
        <f t="shared" si="102"/>
        <v>92.480982831770419</v>
      </c>
      <c r="IY30" s="917" t="s">
        <v>383</v>
      </c>
      <c r="IZ30" s="720">
        <v>1</v>
      </c>
      <c r="JA30" s="747">
        <f>VLOOKUP(IY30,'Ціни контур мережний'!$I$87:$M$87,5,0)</f>
        <v>13.483972460007763</v>
      </c>
      <c r="JB30" s="748">
        <f t="shared" si="103"/>
        <v>13.483972460007763</v>
      </c>
      <c r="JC30" s="769">
        <f t="shared" si="31"/>
        <v>77</v>
      </c>
      <c r="JD30" s="770">
        <f t="shared" si="104"/>
        <v>7409.9193130897047</v>
      </c>
      <c r="JE30" s="771">
        <f>$JE$44/'Ціни контур мережний'!$G$26</f>
        <v>476.70609707098151</v>
      </c>
      <c r="JF30" s="771">
        <f>$JE$44/'Ціни контур мережний'!$G$26</f>
        <v>476.70609707098151</v>
      </c>
      <c r="JG30" s="770">
        <f t="shared" si="112"/>
        <v>661.80181284518619</v>
      </c>
      <c r="JH30" s="770">
        <f t="shared" si="113"/>
        <v>487.81784379022207</v>
      </c>
      <c r="JI30" s="770">
        <f>$JI$43/'Ціни контур мережний'!$G$26</f>
        <v>323.47913729816605</v>
      </c>
      <c r="JJ30" s="770">
        <f t="shared" si="105"/>
        <v>66.611999999999995</v>
      </c>
      <c r="JK30" s="770">
        <f t="shared" ref="JK30:JK40" si="139">$JK$28</f>
        <v>0</v>
      </c>
      <c r="JL30" s="772">
        <f t="shared" si="114"/>
        <v>62.86234247089866</v>
      </c>
      <c r="JM30" s="770">
        <f t="shared" ref="JM30:JM40" si="140">$JM$28</f>
        <v>0</v>
      </c>
      <c r="JN30" s="770">
        <v>0</v>
      </c>
      <c r="JO30" s="1029">
        <f t="shared" si="32"/>
        <v>697.61332505452981</v>
      </c>
      <c r="JP30" s="770">
        <f t="shared" si="33"/>
        <v>996.59046436361393</v>
      </c>
      <c r="JQ30" s="1030">
        <f t="shared" si="34"/>
        <v>171.43831836451682</v>
      </c>
      <c r="JR30" s="1023">
        <f t="shared" si="115"/>
        <v>300.63036461094771</v>
      </c>
      <c r="JS30" s="777">
        <f t="shared" si="106"/>
        <v>12132.177116029747</v>
      </c>
      <c r="JU30" s="611">
        <f>[3]Расчеты!AX29/1.2</f>
        <v>4857.1049294532295</v>
      </c>
      <c r="JV30" s="611">
        <f t="shared" si="107"/>
        <v>16989.282045482978</v>
      </c>
      <c r="JW30" s="611" t="e">
        <f>JV30*1.2*#REF!</f>
        <v>#REF!</v>
      </c>
      <c r="JX30" s="611"/>
    </row>
    <row r="31" spans="1:286" ht="12.6" customHeight="1">
      <c r="B31" s="597">
        <v>78</v>
      </c>
      <c r="C31" s="1056" t="s">
        <v>790</v>
      </c>
      <c r="D31" s="906">
        <v>0.27705000000000002</v>
      </c>
      <c r="E31" s="907">
        <v>0.24199999999999999</v>
      </c>
      <c r="F31" s="908">
        <f t="shared" si="35"/>
        <v>11.135183029872632</v>
      </c>
      <c r="G31" s="909">
        <v>65</v>
      </c>
      <c r="H31" s="598">
        <f t="shared" si="36"/>
        <v>4.9490889603429791</v>
      </c>
      <c r="I31" s="599">
        <v>40</v>
      </c>
      <c r="J31" s="598">
        <f t="shared" si="37"/>
        <v>11.51975051975052</v>
      </c>
      <c r="K31" s="599">
        <v>65</v>
      </c>
      <c r="L31" s="598">
        <f t="shared" si="38"/>
        <v>6.1860940695296529</v>
      </c>
      <c r="M31" s="599">
        <v>40</v>
      </c>
      <c r="N31" s="598">
        <f t="shared" si="39"/>
        <v>4.9087221095334685</v>
      </c>
      <c r="O31" s="599">
        <v>40</v>
      </c>
      <c r="P31" s="598">
        <f t="shared" si="108"/>
        <v>1.4726166328600405</v>
      </c>
      <c r="Q31" s="599">
        <v>25</v>
      </c>
      <c r="R31" s="598">
        <f t="shared" si="40"/>
        <v>6.9990687291080009</v>
      </c>
      <c r="S31" s="600">
        <f t="shared" si="41"/>
        <v>8.7484581312446057</v>
      </c>
      <c r="T31" s="910">
        <v>2</v>
      </c>
      <c r="U31" s="601">
        <f t="shared" si="42"/>
        <v>5.7598752598752601</v>
      </c>
      <c r="V31" s="601">
        <f t="shared" si="43"/>
        <v>8.1456937100928481</v>
      </c>
      <c r="W31" s="602">
        <v>50</v>
      </c>
      <c r="X31" s="1027">
        <v>5.5</v>
      </c>
      <c r="Y31" s="601">
        <f t="shared" si="44"/>
        <v>1.65</v>
      </c>
      <c r="Z31" s="992">
        <v>25</v>
      </c>
      <c r="AA31" s="1028">
        <v>9</v>
      </c>
      <c r="AB31" s="745">
        <f t="shared" si="0"/>
        <v>65</v>
      </c>
      <c r="AC31" s="746">
        <v>2</v>
      </c>
      <c r="AD31" s="747">
        <f>VLOOKUP(AB31,'Ціни контур мережний'!$Z$24:$AB$36,3,0)</f>
        <v>30.19184015363556</v>
      </c>
      <c r="AE31" s="748">
        <f t="shared" si="45"/>
        <v>60.383680307271121</v>
      </c>
      <c r="AF31" s="745">
        <f t="shared" si="1"/>
        <v>65</v>
      </c>
      <c r="AG31" s="749">
        <v>2</v>
      </c>
      <c r="AH31" s="747">
        <f>VLOOKUP(AF31,'Ціни контур мережний'!$Z$64:$AB$77,3,0)</f>
        <v>105.883234246566</v>
      </c>
      <c r="AI31" s="748">
        <f t="shared" si="46"/>
        <v>211.76646849313201</v>
      </c>
      <c r="AJ31" s="745">
        <f t="shared" si="2"/>
        <v>65</v>
      </c>
      <c r="AK31" s="746">
        <v>0</v>
      </c>
      <c r="AL31" s="747">
        <f>VLOOKUP(AJ31,'Ціни контур мережний'!$Z$5:$AB$17,3,0)</f>
        <v>39.731999999999999</v>
      </c>
      <c r="AM31" s="748">
        <f t="shared" si="47"/>
        <v>0</v>
      </c>
      <c r="AN31" s="750">
        <f t="shared" si="3"/>
        <v>40</v>
      </c>
      <c r="AO31" s="746">
        <v>1</v>
      </c>
      <c r="AP31" s="747">
        <f>VLOOKUP(AN31,'Ціни контур мережний'!$Z$43:$AB$55,3,0)</f>
        <v>18.42400964308333</v>
      </c>
      <c r="AQ31" s="768">
        <f t="shared" si="48"/>
        <v>18.42400964308333</v>
      </c>
      <c r="AR31" s="749">
        <f t="shared" si="4"/>
        <v>40</v>
      </c>
      <c r="AS31" s="749">
        <v>4</v>
      </c>
      <c r="AT31" s="747">
        <f>VLOOKUP(AR31,'Ціни контур мережний'!$Z$43:$AB$55,3,0)</f>
        <v>18.42400964308333</v>
      </c>
      <c r="AU31" s="1016">
        <f t="shared" si="49"/>
        <v>73.696038572333322</v>
      </c>
      <c r="AV31" s="751" t="str">
        <f t="shared" si="50"/>
        <v>AMV20</v>
      </c>
      <c r="AW31" s="751">
        <v>1</v>
      </c>
      <c r="AX31" s="747">
        <f>VLOOKUP(AV31,'Ціни контур мережний'!$I$53:$M$57,5,0)</f>
        <v>110.39869654932889</v>
      </c>
      <c r="AY31" s="748">
        <f t="shared" si="51"/>
        <v>110.39869654932889</v>
      </c>
      <c r="AZ31" s="752">
        <f t="array" ref="AZ31">MIN(IF('Ціни контур мережний'!$Y$83:$Y$92&gt;(R31*1.2),'Ціни контур мережний'!$Y$83:$Y$92))</f>
        <v>10</v>
      </c>
      <c r="BA31" s="746">
        <f>VLOOKUP(AZ31,'Ціни контур мережний'!$Y$83:$Z$92,2,0)</f>
        <v>25</v>
      </c>
      <c r="BB31" s="746">
        <v>1</v>
      </c>
      <c r="BC31" s="747">
        <f>VLOOKUP(AZ31,'Ціни контур мережний'!$Y$83:$AB$92,4,0)</f>
        <v>117.50505648967251</v>
      </c>
      <c r="BD31" s="748">
        <f t="shared" si="52"/>
        <v>117.50505648967251</v>
      </c>
      <c r="BE31" s="1099">
        <f t="array" ref="BE31">MIN(IF('[1]Ціни контур мережний'!$Y$104:$Y$114&gt;(R31*1.2),'[1]Ціни контур мережний'!$Y$104:$Y$114))</f>
        <v>12.5</v>
      </c>
      <c r="BF31" s="1101">
        <f>VLOOKUP(BE31,'[1]Ціни контур мережний'!$Y$104:$Z$114,2,0)</f>
        <v>32</v>
      </c>
      <c r="BG31" s="753">
        <v>1</v>
      </c>
      <c r="BH31" s="754">
        <f>VLOOKUP(BE31,'Ціни контур мережний'!$Y$104:$AB$114,4,0)</f>
        <v>435.76049604674444</v>
      </c>
      <c r="BI31" s="755">
        <f t="shared" si="53"/>
        <v>435.76049604674444</v>
      </c>
      <c r="BJ31" s="751" t="s">
        <v>67</v>
      </c>
      <c r="BK31" s="749">
        <v>1</v>
      </c>
      <c r="BL31" s="747">
        <f>VLOOKUP(BJ31,'Ціни контур мережний'!$I$53:$M$57,5,0)</f>
        <v>157.67238032974441</v>
      </c>
      <c r="BM31" s="748">
        <f t="shared" si="54"/>
        <v>157.67238032974441</v>
      </c>
      <c r="BN31" s="896">
        <f t="array" ref="BN31">MIN(IF('Ціни контур мережний'!$Y$83:$Y$93&gt;(S31*1.2),'Ціни контур мережний'!$Y$83:$Y$93))</f>
        <v>16</v>
      </c>
      <c r="BO31" s="896">
        <f>VLOOKUP(BN31,'Ціни контур мережний'!$Y$83:$Z$93,2,0)</f>
        <v>32</v>
      </c>
      <c r="BP31" s="895">
        <v>1</v>
      </c>
      <c r="BQ31" s="896">
        <f>VLOOKUP(BN31,'Ціни контур мережний'!$Y$83:$AB$93,4,0)</f>
        <v>130.5392363168325</v>
      </c>
      <c r="BR31" s="897">
        <f t="shared" si="55"/>
        <v>130.5392363168325</v>
      </c>
      <c r="BS31" s="896">
        <f t="array" ref="BS31">MIN(IF('Ціни контур мережний'!$Y$104:$Y$114&gt;(S31*1.2),'Ціни контур мережний'!$Y$104:$Y$114))</f>
        <v>12.5</v>
      </c>
      <c r="BT31" s="896">
        <f>VLOOKUP(BS31,'Ціни контур мережний'!$Y$104:$Z$114,2,0)</f>
        <v>32</v>
      </c>
      <c r="BU31" s="895">
        <v>1</v>
      </c>
      <c r="BV31" s="896">
        <f>VLOOKUP(BS31,'Ціни контур мережний'!$Y$104:$AB$114,4,0)</f>
        <v>435.76049604674444</v>
      </c>
      <c r="BW31" s="897">
        <f t="shared" si="56"/>
        <v>435.76049604674444</v>
      </c>
      <c r="BX31" s="751" t="s">
        <v>115</v>
      </c>
      <c r="BY31" s="751" t="s">
        <v>115</v>
      </c>
      <c r="BZ31" s="746" t="s">
        <v>1025</v>
      </c>
      <c r="CA31" s="756">
        <v>0</v>
      </c>
      <c r="CB31" s="747">
        <v>0</v>
      </c>
      <c r="CC31" s="748">
        <f t="shared" si="57"/>
        <v>0</v>
      </c>
      <c r="CD31" s="758">
        <f>VLOOKUP(CE31,'Ціни контур мережний'!$J$5:$L$12,3,0)</f>
        <v>40</v>
      </c>
      <c r="CE31" s="747">
        <f t="array" ref="CE31">MIN(IF('Ціни контур мережний'!$J$5:$J$12&gt;L31,'Ціни контур мережний'!$J$5:$J$12))</f>
        <v>10</v>
      </c>
      <c r="CF31" s="746" t="s">
        <v>130</v>
      </c>
      <c r="CG31" s="749">
        <v>1</v>
      </c>
      <c r="CH31" s="747">
        <f>VLOOKUP(CE31,'Ціни контур мережний'!$J$5:$N$12,5,0)</f>
        <v>375.23999999999995</v>
      </c>
      <c r="CI31" s="748">
        <f t="shared" si="58"/>
        <v>375.23999999999995</v>
      </c>
      <c r="CJ31" s="899" t="s">
        <v>1310</v>
      </c>
      <c r="CK31" s="899">
        <v>1</v>
      </c>
      <c r="CL31" s="898">
        <v>836</v>
      </c>
      <c r="CM31" s="901">
        <f t="shared" si="59"/>
        <v>836</v>
      </c>
      <c r="CN31" s="898" t="s">
        <v>1331</v>
      </c>
      <c r="CO31" s="899">
        <v>1</v>
      </c>
      <c r="CP31" s="900">
        <v>613</v>
      </c>
      <c r="CQ31" s="901">
        <f t="shared" si="60"/>
        <v>613</v>
      </c>
      <c r="CR31" s="751">
        <f t="shared" si="5"/>
        <v>65</v>
      </c>
      <c r="CS31" s="746">
        <v>4</v>
      </c>
      <c r="CT31" s="747">
        <f>VLOOKUP(CR31,'Ціни контур теплопостачання'!$Y$5:$AA$17,3,0)</f>
        <v>30.19184015363556</v>
      </c>
      <c r="CU31" s="748">
        <f t="shared" si="61"/>
        <v>120.76736061454224</v>
      </c>
      <c r="CV31" s="750">
        <f t="shared" si="6"/>
        <v>40</v>
      </c>
      <c r="CW31" s="746">
        <v>6</v>
      </c>
      <c r="CX31" s="747">
        <f>VLOOKUP(CV31,'Ціни контур теплопостачання'!$AO$20:$AQ$29,3,0)</f>
        <v>37.980000000000004</v>
      </c>
      <c r="CY31" s="748">
        <f t="shared" si="62"/>
        <v>227.88000000000002</v>
      </c>
      <c r="CZ31" s="750">
        <f t="shared" si="7"/>
        <v>25</v>
      </c>
      <c r="DA31" s="746">
        <v>3</v>
      </c>
      <c r="DB31" s="747">
        <f>VLOOKUP(CZ31,'Ціни контур теплопостачання'!$AO$20:$AQ$29,3,0)</f>
        <v>6.3070000000000004</v>
      </c>
      <c r="DC31" s="748">
        <f t="shared" si="63"/>
        <v>18.920999999999999</v>
      </c>
      <c r="DD31" s="757">
        <f t="shared" si="8"/>
        <v>50</v>
      </c>
      <c r="DE31" s="746">
        <f t="shared" si="9"/>
        <v>4</v>
      </c>
      <c r="DF31" s="747">
        <f>VLOOKUP(DD31,'Ціни контур теплопостачання'!$Y$5:$AA$17,3,0)</f>
        <v>23.2782130224622</v>
      </c>
      <c r="DG31" s="748">
        <f t="shared" si="64"/>
        <v>93.112852089848801</v>
      </c>
      <c r="DH31" s="745">
        <f t="shared" si="65"/>
        <v>32</v>
      </c>
      <c r="DI31" s="749">
        <f t="shared" si="66"/>
        <v>1</v>
      </c>
      <c r="DJ31" s="747">
        <f>VLOOKUP(DH31,'Ціни контур теплопостачання'!$Y$5:$AA$17,3,0)</f>
        <v>10.381</v>
      </c>
      <c r="DK31" s="765">
        <f t="shared" si="67"/>
        <v>10.381</v>
      </c>
      <c r="DL31" s="757">
        <f t="shared" si="10"/>
        <v>25</v>
      </c>
      <c r="DM31" s="746">
        <v>1</v>
      </c>
      <c r="DN31" s="747">
        <f>VLOOKUP(DL31,'Ціни контур мережний'!$Z$43:$AB$55,3,0)</f>
        <v>14.856886019572187</v>
      </c>
      <c r="DO31" s="748">
        <f t="shared" si="68"/>
        <v>14.856886019572187</v>
      </c>
      <c r="DP31" s="757">
        <f t="shared" si="11"/>
        <v>25</v>
      </c>
      <c r="DQ31" s="746">
        <v>2</v>
      </c>
      <c r="DR31" s="747">
        <f>VLOOKUP(DP31,'Ціни контур теплопостачання'!$Y$5:$AA$17,3,0)</f>
        <v>6.3070000000000004</v>
      </c>
      <c r="DS31" s="748">
        <f t="shared" si="69"/>
        <v>12.614000000000001</v>
      </c>
      <c r="DT31" s="745">
        <v>20</v>
      </c>
      <c r="DU31" s="749">
        <v>2</v>
      </c>
      <c r="DV31" s="747">
        <f>VLOOKUP(DT31,'Ціни контур теплопостачання'!$Y$5:$AA$17,3,0)</f>
        <v>3.577</v>
      </c>
      <c r="DW31" s="748">
        <f t="shared" si="70"/>
        <v>7.1539999999999999</v>
      </c>
      <c r="DX31" s="745">
        <v>15</v>
      </c>
      <c r="DY31" s="745">
        <v>10</v>
      </c>
      <c r="DZ31" s="758">
        <f>VLOOKUP(DX31,'Ціни контур теплопостачання'!$Y$5:$AA$17,3,0)</f>
        <v>2.464</v>
      </c>
      <c r="EA31" s="759">
        <f t="shared" si="71"/>
        <v>24.64</v>
      </c>
      <c r="EB31" s="745">
        <v>15</v>
      </c>
      <c r="EC31" s="745">
        <f t="shared" si="110"/>
        <v>38</v>
      </c>
      <c r="ED31" s="758">
        <f>VLOOKUP(EB31,'Ціни контур мережний'!$J$71:$M$71,4,0)</f>
        <v>3.3865201135922525</v>
      </c>
      <c r="EE31" s="759">
        <f t="shared" si="72"/>
        <v>128.68776431650559</v>
      </c>
      <c r="EF31" s="751">
        <f t="shared" si="12"/>
        <v>65</v>
      </c>
      <c r="EG31" s="746">
        <v>1</v>
      </c>
      <c r="EH31" s="747">
        <f>VLOOKUP(EF31,'Ціни контур теплопостачання'!$K$5:$M$17,3,0)</f>
        <v>39.731999999999999</v>
      </c>
      <c r="EI31" s="748">
        <f t="shared" si="73"/>
        <v>39.731999999999999</v>
      </c>
      <c r="EJ31" s="745">
        <f t="shared" si="13"/>
        <v>40</v>
      </c>
      <c r="EK31" s="749">
        <v>1</v>
      </c>
      <c r="EL31" s="747">
        <f>VLOOKUP(EJ31,'Ціни контур теплопостачання'!$K$5:$M$17,3,0)</f>
        <v>23.225999999999999</v>
      </c>
      <c r="EM31" s="748">
        <f t="shared" si="74"/>
        <v>23.225999999999999</v>
      </c>
      <c r="EN31" s="745">
        <f t="shared" si="14"/>
        <v>25</v>
      </c>
      <c r="EO31" s="745">
        <v>1</v>
      </c>
      <c r="EP31" s="758">
        <f>VLOOKUP(EN31,'Ціни контур теплопостачання'!$K$5:$M$17,3,0)</f>
        <v>4.78</v>
      </c>
      <c r="EQ31" s="759">
        <f t="shared" si="75"/>
        <v>4.78</v>
      </c>
      <c r="ER31" s="745">
        <f t="shared" si="15"/>
        <v>25</v>
      </c>
      <c r="ES31" s="745">
        <v>1</v>
      </c>
      <c r="ET31" s="758">
        <f>VLOOKUP(ER31,'Ціни контур теплопостачання'!$K$5:$M$17,3,0)</f>
        <v>4.78</v>
      </c>
      <c r="EU31" s="759">
        <f t="shared" si="76"/>
        <v>4.78</v>
      </c>
      <c r="EV31" s="751">
        <f t="shared" si="16"/>
        <v>65</v>
      </c>
      <c r="EW31" s="746">
        <v>2</v>
      </c>
      <c r="EX31" s="747">
        <f>VLOOKUP(EV31,'Ціни контур теплопостачання'!$Y$24:$AA$36,3,0)</f>
        <v>42.080999999999996</v>
      </c>
      <c r="EY31" s="748">
        <f t="shared" si="77"/>
        <v>84.161999999999992</v>
      </c>
      <c r="EZ31" s="745">
        <f t="shared" si="17"/>
        <v>40</v>
      </c>
      <c r="FA31" s="749">
        <v>1</v>
      </c>
      <c r="FB31" s="747">
        <f>VLOOKUP(EZ31,'Ціни контур теплопостачання'!$AO$38:$AQ$50,3,0)</f>
        <v>20.3645</v>
      </c>
      <c r="FC31" s="748">
        <f t="shared" si="78"/>
        <v>20.3645</v>
      </c>
      <c r="FD31" s="745">
        <f t="shared" si="18"/>
        <v>25</v>
      </c>
      <c r="FE31" s="745">
        <v>1</v>
      </c>
      <c r="FF31" s="758">
        <f>VLOOKUP(FD31,'Ціни контур теплопостачання'!$AO$38:$AQ$50,3,0)</f>
        <v>6.9659999999999993</v>
      </c>
      <c r="FG31" s="759">
        <f t="shared" si="79"/>
        <v>6.9659999999999993</v>
      </c>
      <c r="FH31" s="745">
        <f t="shared" si="19"/>
        <v>25</v>
      </c>
      <c r="FI31" s="745">
        <v>1</v>
      </c>
      <c r="FJ31" s="758">
        <f>VLOOKUP(FH31,'Ціни контур теплопостачання'!$Y$24:$AA$36,3,0)</f>
        <v>6.9659999999999993</v>
      </c>
      <c r="FK31" s="759">
        <f t="shared" si="80"/>
        <v>6.9659999999999993</v>
      </c>
      <c r="FL31" s="745">
        <f t="shared" si="20"/>
        <v>50</v>
      </c>
      <c r="FM31" s="745">
        <f t="shared" si="21"/>
        <v>4</v>
      </c>
      <c r="FN31" s="758">
        <f>VLOOKUP(FL31,'Ціни контур теплопостачання'!$Y$76:$AA$88,3,0)</f>
        <v>20.6</v>
      </c>
      <c r="FO31" s="759">
        <f t="shared" si="81"/>
        <v>82.4</v>
      </c>
      <c r="FP31" s="745">
        <f t="shared" si="22"/>
        <v>40</v>
      </c>
      <c r="FQ31" s="745">
        <v>1</v>
      </c>
      <c r="FR31" s="758">
        <f>VLOOKUP(FP31,'Ціни контур теплопостачання'!$Y$76:$AA$88,3,0)</f>
        <v>16.809999999999999</v>
      </c>
      <c r="FS31" s="759">
        <f t="shared" si="82"/>
        <v>16.809999999999999</v>
      </c>
      <c r="FT31" s="745">
        <f t="shared" si="23"/>
        <v>25</v>
      </c>
      <c r="FU31" s="745">
        <v>1</v>
      </c>
      <c r="FV31" s="758">
        <f>VLOOKUP(FT31,'Ціни контур теплопостачання'!$Y$76:$AA$88,3,0)</f>
        <v>11.45</v>
      </c>
      <c r="FW31" s="759">
        <f t="shared" si="83"/>
        <v>11.45</v>
      </c>
      <c r="FX31" s="758">
        <f t="shared" si="24"/>
        <v>26.73553814681874</v>
      </c>
      <c r="FY31" s="760">
        <v>32</v>
      </c>
      <c r="FZ31" s="719">
        <v>2</v>
      </c>
      <c r="GA31" s="747">
        <f>VLOOKUP(FY31,'Ціни контур теплопостачання'!$K$74:$M$79,3,0)</f>
        <v>33.68</v>
      </c>
      <c r="GB31" s="761">
        <f t="shared" si="84"/>
        <v>67.36</v>
      </c>
      <c r="GC31" s="762">
        <f t="shared" si="85"/>
        <v>11.51975051975052</v>
      </c>
      <c r="GD31" s="911">
        <v>9</v>
      </c>
      <c r="GE31" s="1017">
        <v>9</v>
      </c>
      <c r="GF31" s="1018" t="s">
        <v>119</v>
      </c>
      <c r="GG31" s="713">
        <v>2</v>
      </c>
      <c r="GH31" s="709">
        <f>VLOOKUP(GF31,'Ціни контур теплопостачання'!$C$89:$M$105,11,0)</f>
        <v>391.06799999999998</v>
      </c>
      <c r="GI31" s="764">
        <f t="shared" si="86"/>
        <v>782.13599999999997</v>
      </c>
      <c r="GJ31" s="912">
        <f t="shared" si="87"/>
        <v>1.4726166328600405</v>
      </c>
      <c r="GK31" s="911">
        <v>9</v>
      </c>
      <c r="GL31" s="1017">
        <v>9</v>
      </c>
      <c r="GM31" s="1019" t="s">
        <v>1097</v>
      </c>
      <c r="GN31" s="749">
        <v>1</v>
      </c>
      <c r="GO31" s="747">
        <f>VLOOKUP(GM31,'Ціни контур теплопостачання'!$C$89:$M$105,11,0)</f>
        <v>241.2</v>
      </c>
      <c r="GP31" s="904">
        <f t="shared" si="88"/>
        <v>241.2</v>
      </c>
      <c r="GQ31" s="758">
        <f t="shared" si="25"/>
        <v>581.42466500456214</v>
      </c>
      <c r="GR31" s="955">
        <v>750</v>
      </c>
      <c r="GS31" s="749">
        <f>VLOOKUP(GR31,'Ціни контур теплопостачання'!$J$43:$K$55,2,0)</f>
        <v>32</v>
      </c>
      <c r="GT31" s="1020">
        <v>1</v>
      </c>
      <c r="GU31" s="747">
        <f>VLOOKUP(GR31,'Ціни контур теплопостачання'!$J$43:$M$55,4,0)</f>
        <v>376.94</v>
      </c>
      <c r="GV31" s="748">
        <f t="shared" si="89"/>
        <v>376.94</v>
      </c>
      <c r="GW31" s="758">
        <f t="array" ref="GW31">MIN(IF('Ціни контур теплопостачання'!$AN$68:$AN$77&gt;(V31*1.2),'Ціни контур теплопостачання'!$AN$68:$AN$77))</f>
        <v>11.13</v>
      </c>
      <c r="GX31" s="749">
        <f>VLOOKUP(GW31,'Ціни контур теплопостачання'!$AN$68:$AO$77,2,0)</f>
        <v>32</v>
      </c>
      <c r="GY31" s="749">
        <f t="shared" si="26"/>
        <v>2</v>
      </c>
      <c r="GZ31" s="747">
        <f>VLOOKUP(GX31,'Ціни контур теплопостачання'!$AO$68:$AQ$77,3,0)</f>
        <v>37.183999999999997</v>
      </c>
      <c r="HA31" s="759">
        <f t="shared" si="90"/>
        <v>74.367999999999995</v>
      </c>
      <c r="HB31" s="751">
        <v>15</v>
      </c>
      <c r="HC31" s="746">
        <v>2</v>
      </c>
      <c r="HD31" s="747">
        <f>VLOOKUP(HB31,'Ціни контур мережний'!$J$73:$M$73,4,0)</f>
        <v>3.4649999999999999</v>
      </c>
      <c r="HE31" s="748">
        <f t="shared" si="91"/>
        <v>6.93</v>
      </c>
      <c r="HF31" s="749">
        <f t="shared" si="27"/>
        <v>25</v>
      </c>
      <c r="HG31" s="749">
        <v>1</v>
      </c>
      <c r="HH31" s="747">
        <f>VLOOKUP(HF31,'Ціни контур теплопостачання'!$Y$62:$AA$69,3,0)</f>
        <v>89.924040000000005</v>
      </c>
      <c r="HI31" s="765">
        <f t="shared" si="92"/>
        <v>89.924040000000005</v>
      </c>
      <c r="HJ31" s="750">
        <f>VLOOKUP(HK31,'Ціни контур теплопостачання'!$AN$6:$AO$13,2,0)</f>
        <v>32</v>
      </c>
      <c r="HK31" s="751">
        <f t="array" ref="HK31">MIN(IF('Ціни контур теплопостачання'!$AN$6:$AN$13&gt;N31,'Ціни контур теплопостачання'!$AN$6:$AN$13))</f>
        <v>6</v>
      </c>
      <c r="HL31" s="751">
        <v>1</v>
      </c>
      <c r="HM31" s="747">
        <f>VLOOKUP(HJ31,'Ціни контур теплопостачання'!$AO$6:$AQ$13,3,0)</f>
        <v>85.682340000000011</v>
      </c>
      <c r="HN31" s="748">
        <f t="shared" si="93"/>
        <v>85.682340000000011</v>
      </c>
      <c r="HO31" s="750">
        <f t="shared" si="28"/>
        <v>40</v>
      </c>
      <c r="HP31" s="746">
        <v>1</v>
      </c>
      <c r="HQ31" s="747">
        <f>VLOOKUP(HO31,'Ціни контур теплопостачання'!$AO$55:$AQ$63,3,0)</f>
        <v>193.55</v>
      </c>
      <c r="HR31" s="748">
        <f t="shared" si="126"/>
        <v>193.55</v>
      </c>
      <c r="HS31" s="745">
        <f t="shared" si="29"/>
        <v>25</v>
      </c>
      <c r="HT31" s="749">
        <v>1</v>
      </c>
      <c r="HU31" s="747">
        <f>VLOOKUP(HS31,'Ціни контур теплопостачання'!$K$62:$M$67,3,0)</f>
        <v>92.91</v>
      </c>
      <c r="HV31" s="765">
        <f t="shared" si="95"/>
        <v>92.91</v>
      </c>
      <c r="HW31" s="655" t="str">
        <f t="shared" si="138"/>
        <v>0-150</v>
      </c>
      <c r="HX31" s="720">
        <v>1</v>
      </c>
      <c r="HY31" s="747">
        <f>VLOOKUP(HW31,'Ціни контур мережний'!$I$79:$M$80,5,0)</f>
        <v>15.050156291498967</v>
      </c>
      <c r="HZ31" s="748">
        <f t="shared" si="96"/>
        <v>15.050156291498967</v>
      </c>
      <c r="IA31" s="758" t="s">
        <v>109</v>
      </c>
      <c r="IB31" s="749">
        <v>1</v>
      </c>
      <c r="IC31" s="747">
        <f>VLOOKUP(IA31,'Ціни контур мережний'!$I$79:$M$80,5,0)</f>
        <v>15.050156291498967</v>
      </c>
      <c r="ID31" s="765">
        <f t="shared" si="97"/>
        <v>15.050156291498967</v>
      </c>
      <c r="IE31" s="655" t="s">
        <v>108</v>
      </c>
      <c r="IF31" s="720">
        <v>3</v>
      </c>
      <c r="IG31" s="747">
        <f>VLOOKUP(IE31,'Ціни контур мережний'!$I$67:$M$69,5,0)</f>
        <v>4.4537969640631703</v>
      </c>
      <c r="IH31" s="748">
        <f t="shared" si="98"/>
        <v>13.361390892189512</v>
      </c>
      <c r="II31" s="655" t="s">
        <v>106</v>
      </c>
      <c r="IJ31" s="720">
        <f t="shared" si="136"/>
        <v>13</v>
      </c>
      <c r="IK31" s="747">
        <f>VLOOKUP(II31,'Ціни контур мережний'!$I$67:$M$69,5,0)</f>
        <v>4.4537969640631703</v>
      </c>
      <c r="IL31" s="748">
        <f t="shared" si="99"/>
        <v>57.899360532821213</v>
      </c>
      <c r="IM31" s="655" t="s">
        <v>1013</v>
      </c>
      <c r="IN31" s="720">
        <v>5</v>
      </c>
      <c r="IO31" s="747">
        <f>VLOOKUP(IM31,'Ціни контур мережний'!$I$64:$M$64,5,0)</f>
        <v>29.1312</v>
      </c>
      <c r="IP31" s="748">
        <f t="shared" si="100"/>
        <v>145.65600000000001</v>
      </c>
      <c r="IQ31" s="766" t="s">
        <v>1015</v>
      </c>
      <c r="IR31" s="749">
        <v>6</v>
      </c>
      <c r="IS31" s="747">
        <f>VLOOKUP(IQ31,'Ціни контур мережний'!$I$89:$M$89,5,0)</f>
        <v>79.523165325760516</v>
      </c>
      <c r="IT31" s="765">
        <f t="shared" si="101"/>
        <v>477.1389919545631</v>
      </c>
      <c r="IU31" s="778" t="s">
        <v>1016</v>
      </c>
      <c r="IV31" s="720">
        <f t="shared" si="117"/>
        <v>7</v>
      </c>
      <c r="IW31" s="747">
        <f>VLOOKUP(IU31,'Ціни контур мережний'!$I$88:$M$88,5,0)</f>
        <v>13.211568975967202</v>
      </c>
      <c r="IX31" s="768">
        <f t="shared" si="102"/>
        <v>92.480982831770419</v>
      </c>
      <c r="IY31" s="757" t="s">
        <v>383</v>
      </c>
      <c r="IZ31" s="720">
        <v>1</v>
      </c>
      <c r="JA31" s="747">
        <f>VLOOKUP(IY31,'Ціни контур мережний'!$I$87:$M$87,5,0)</f>
        <v>13.483972460007763</v>
      </c>
      <c r="JB31" s="748">
        <f t="shared" ref="JB31:JB40" si="141">IZ31*JA31</f>
        <v>13.483972460007763</v>
      </c>
      <c r="JC31" s="769">
        <f t="shared" si="31"/>
        <v>78</v>
      </c>
      <c r="JD31" s="770">
        <f t="shared" si="104"/>
        <v>7377.9193130897047</v>
      </c>
      <c r="JE31" s="771">
        <f>$JE$44/'Ціни контур мережний'!$G$26</f>
        <v>476.70609707098151</v>
      </c>
      <c r="JF31" s="771">
        <f>$JE$44/'Ціни контур мережний'!$G$26</f>
        <v>476.70609707098151</v>
      </c>
      <c r="JG31" s="770">
        <f t="shared" si="112"/>
        <v>661.80181284518619</v>
      </c>
      <c r="JH31" s="770">
        <f t="shared" si="113"/>
        <v>487.81784379022207</v>
      </c>
      <c r="JI31" s="770">
        <f>$JI$43/'Ціни контур мережний'!$G$26</f>
        <v>323.47913729816605</v>
      </c>
      <c r="JJ31" s="770">
        <f t="shared" si="105"/>
        <v>66.611999999999995</v>
      </c>
      <c r="JK31" s="770">
        <f t="shared" si="139"/>
        <v>0</v>
      </c>
      <c r="JL31" s="772">
        <f t="shared" si="114"/>
        <v>62.86234247089866</v>
      </c>
      <c r="JM31" s="770">
        <f t="shared" si="140"/>
        <v>0</v>
      </c>
      <c r="JN31" s="770">
        <v>0</v>
      </c>
      <c r="JO31" s="1029">
        <f t="shared" si="32"/>
        <v>695.3733250545298</v>
      </c>
      <c r="JP31" s="770">
        <f t="shared" si="33"/>
        <v>993.39046436361389</v>
      </c>
      <c r="JQ31" s="1030">
        <f t="shared" si="34"/>
        <v>170.88783886628516</v>
      </c>
      <c r="JR31" s="1023">
        <f t="shared" si="115"/>
        <v>300.63036461094771</v>
      </c>
      <c r="JS31" s="777">
        <f t="shared" si="106"/>
        <v>12094.186636531516</v>
      </c>
      <c r="JU31" s="611">
        <f>[3]Расчеты!AX30/1.2</f>
        <v>4857.1049294532295</v>
      </c>
      <c r="JV31" s="611">
        <f t="shared" si="107"/>
        <v>16951.291565984746</v>
      </c>
      <c r="JW31" s="611" t="e">
        <f>JV31*1.2*#REF!</f>
        <v>#REF!</v>
      </c>
      <c r="JX31" s="611"/>
    </row>
    <row r="32" spans="1:286" ht="12.6" customHeight="1">
      <c r="B32" s="597">
        <v>79</v>
      </c>
      <c r="C32" s="1056" t="s">
        <v>791</v>
      </c>
      <c r="D32" s="906">
        <v>0.2412</v>
      </c>
      <c r="E32" s="907">
        <v>0.22320000000000001</v>
      </c>
      <c r="F32" s="908">
        <f t="shared" si="35"/>
        <v>10.014203144418362</v>
      </c>
      <c r="G32" s="909">
        <v>65</v>
      </c>
      <c r="H32" s="598">
        <f t="shared" si="36"/>
        <v>4.3086816720257231</v>
      </c>
      <c r="I32" s="599">
        <v>40</v>
      </c>
      <c r="J32" s="598">
        <f t="shared" si="37"/>
        <v>10.029106029106028</v>
      </c>
      <c r="K32" s="599">
        <v>65</v>
      </c>
      <c r="L32" s="598">
        <f t="shared" si="38"/>
        <v>5.7055214723926388</v>
      </c>
      <c r="M32" s="599">
        <v>40</v>
      </c>
      <c r="N32" s="598">
        <f t="shared" si="39"/>
        <v>4.5273833671399597</v>
      </c>
      <c r="O32" s="599">
        <v>40</v>
      </c>
      <c r="P32" s="598">
        <f t="shared" si="108"/>
        <v>1.3582150101419879</v>
      </c>
      <c r="Q32" s="599">
        <v>25</v>
      </c>
      <c r="R32" s="598">
        <f t="shared" si="40"/>
        <v>6.093396056527161</v>
      </c>
      <c r="S32" s="600">
        <f t="shared" si="41"/>
        <v>8.0688258466685792</v>
      </c>
      <c r="T32" s="910">
        <v>2</v>
      </c>
      <c r="U32" s="601">
        <f t="shared" si="42"/>
        <v>5.0145530145530142</v>
      </c>
      <c r="V32" s="601">
        <f t="shared" si="43"/>
        <v>7.0916488824197605</v>
      </c>
      <c r="W32" s="602">
        <v>40</v>
      </c>
      <c r="X32" s="1027">
        <v>4.7</v>
      </c>
      <c r="Y32" s="601">
        <f t="shared" si="44"/>
        <v>1.41</v>
      </c>
      <c r="Z32" s="992">
        <v>20</v>
      </c>
      <c r="AA32" s="1028">
        <v>9</v>
      </c>
      <c r="AB32" s="745">
        <f t="shared" si="0"/>
        <v>65</v>
      </c>
      <c r="AC32" s="746">
        <v>2</v>
      </c>
      <c r="AD32" s="747">
        <f>VLOOKUP(AB32,'Ціни контур мережний'!$Z$24:$AB$36,3,0)</f>
        <v>30.19184015363556</v>
      </c>
      <c r="AE32" s="748">
        <f t="shared" si="45"/>
        <v>60.383680307271121</v>
      </c>
      <c r="AF32" s="745">
        <f t="shared" si="1"/>
        <v>65</v>
      </c>
      <c r="AG32" s="749">
        <v>2</v>
      </c>
      <c r="AH32" s="747">
        <f>VLOOKUP(AF32,'Ціни контур мережний'!$Z$64:$AB$77,3,0)</f>
        <v>105.883234246566</v>
      </c>
      <c r="AI32" s="748">
        <f t="shared" si="46"/>
        <v>211.76646849313201</v>
      </c>
      <c r="AJ32" s="745">
        <f t="shared" si="2"/>
        <v>65</v>
      </c>
      <c r="AK32" s="746">
        <v>0</v>
      </c>
      <c r="AL32" s="747">
        <f>VLOOKUP(AJ32,'Ціни контур мережний'!$Z$5:$AB$17,3,0)</f>
        <v>39.731999999999999</v>
      </c>
      <c r="AM32" s="748">
        <f t="shared" si="47"/>
        <v>0</v>
      </c>
      <c r="AN32" s="750">
        <f t="shared" si="3"/>
        <v>40</v>
      </c>
      <c r="AO32" s="746">
        <v>1</v>
      </c>
      <c r="AP32" s="747">
        <f>VLOOKUP(AN32,'Ціни контур мережний'!$Z$43:$AB$55,3,0)</f>
        <v>18.42400964308333</v>
      </c>
      <c r="AQ32" s="768">
        <f t="shared" si="48"/>
        <v>18.42400964308333</v>
      </c>
      <c r="AR32" s="749">
        <f t="shared" si="4"/>
        <v>40</v>
      </c>
      <c r="AS32" s="749">
        <v>4</v>
      </c>
      <c r="AT32" s="747">
        <f>VLOOKUP(AR32,'Ціни контур мережний'!$Z$43:$AB$55,3,0)</f>
        <v>18.42400964308333</v>
      </c>
      <c r="AU32" s="1016">
        <f t="shared" si="49"/>
        <v>73.696038572333322</v>
      </c>
      <c r="AV32" s="751" t="str">
        <f t="shared" si="50"/>
        <v>AMV20</v>
      </c>
      <c r="AW32" s="751">
        <v>1</v>
      </c>
      <c r="AX32" s="747">
        <f>VLOOKUP(AV32,'Ціни контур мережний'!$I$53:$M$57,5,0)</f>
        <v>110.39869654932889</v>
      </c>
      <c r="AY32" s="748">
        <f t="shared" si="51"/>
        <v>110.39869654932889</v>
      </c>
      <c r="AZ32" s="752">
        <f t="array" ref="AZ32">MIN(IF('Ціни контур мережний'!$Y$83:$Y$92&gt;(R32*1.2),'Ціни контур мережний'!$Y$83:$Y$92))</f>
        <v>10</v>
      </c>
      <c r="BA32" s="746">
        <f>VLOOKUP(AZ32,'Ціни контур мережний'!$Y$83:$Z$92,2,0)</f>
        <v>25</v>
      </c>
      <c r="BB32" s="746">
        <v>1</v>
      </c>
      <c r="BC32" s="747">
        <f>VLOOKUP(AZ32,'Ціни контур мережний'!$Y$83:$AB$92,4,0)</f>
        <v>117.50505648967251</v>
      </c>
      <c r="BD32" s="748">
        <f t="shared" si="52"/>
        <v>117.50505648967251</v>
      </c>
      <c r="BE32" s="1099">
        <f t="array" ref="BE32">MIN(IF('[1]Ціни контур мережний'!$Y$104:$Y$114&gt;(R32*1.2),'[1]Ціни контур мережний'!$Y$104:$Y$114))</f>
        <v>8</v>
      </c>
      <c r="BF32" s="1101">
        <f>VLOOKUP(BE32,'[1]Ціни контур мережний'!$Y$104:$Z$114,2,0)</f>
        <v>25</v>
      </c>
      <c r="BG32" s="753">
        <v>1</v>
      </c>
      <c r="BH32" s="754">
        <f>VLOOKUP(BE32,'Ціни контур мережний'!$Y$104:$AB$114,4,0)</f>
        <v>278.09338672441618</v>
      </c>
      <c r="BI32" s="755">
        <f t="shared" si="53"/>
        <v>278.09338672441618</v>
      </c>
      <c r="BJ32" s="751" t="s">
        <v>67</v>
      </c>
      <c r="BK32" s="749">
        <v>1</v>
      </c>
      <c r="BL32" s="747">
        <f>VLOOKUP(BJ32,'Ціни контур мережний'!$I$53:$M$57,5,0)</f>
        <v>157.67238032974441</v>
      </c>
      <c r="BM32" s="748">
        <f t="shared" si="54"/>
        <v>157.67238032974441</v>
      </c>
      <c r="BN32" s="896">
        <f t="array" ref="BN32">MIN(IF('Ціни контур мережний'!$Y$83:$Y$93&gt;(S32*1.2),'Ціни контур мережний'!$Y$83:$Y$93))</f>
        <v>10</v>
      </c>
      <c r="BO32" s="896">
        <f>VLOOKUP(BN32,'Ціни контур мережний'!$Y$83:$Z$93,2,0)</f>
        <v>25</v>
      </c>
      <c r="BP32" s="895">
        <v>1</v>
      </c>
      <c r="BQ32" s="896">
        <f>VLOOKUP(BN32,'Ціни контур мережний'!$Y$83:$AB$93,4,0)</f>
        <v>117.50505648967251</v>
      </c>
      <c r="BR32" s="897">
        <f t="shared" si="55"/>
        <v>117.50505648967251</v>
      </c>
      <c r="BS32" s="896">
        <f t="array" ref="BS32">MIN(IF('Ціни контур мережний'!$Y$104:$Y$114&gt;(S32*1.2),'Ціни контур мережний'!$Y$104:$Y$114))</f>
        <v>12.5</v>
      </c>
      <c r="BT32" s="896">
        <f>VLOOKUP(BS32,'Ціни контур мережний'!$Y$104:$Z$114,2,0)</f>
        <v>32</v>
      </c>
      <c r="BU32" s="895">
        <v>1</v>
      </c>
      <c r="BV32" s="896">
        <f>VLOOKUP(BS32,'Ціни контур мережний'!$Y$104:$AB$114,4,0)</f>
        <v>435.76049604674444</v>
      </c>
      <c r="BW32" s="897">
        <f t="shared" si="56"/>
        <v>435.76049604674444</v>
      </c>
      <c r="BX32" s="751" t="s">
        <v>115</v>
      </c>
      <c r="BY32" s="751" t="s">
        <v>115</v>
      </c>
      <c r="BZ32" s="746" t="s">
        <v>1025</v>
      </c>
      <c r="CA32" s="756">
        <v>0</v>
      </c>
      <c r="CB32" s="747">
        <v>0</v>
      </c>
      <c r="CC32" s="748">
        <f t="shared" si="57"/>
        <v>0</v>
      </c>
      <c r="CD32" s="758">
        <f>VLOOKUP(CE32,'Ціни контур мережний'!$J$5:$L$12,3,0)</f>
        <v>25</v>
      </c>
      <c r="CE32" s="747">
        <f t="array" ref="CE32">MIN(IF('Ціни контур мережний'!$J$5:$J$12&gt;L32,'Ціни контур мережний'!$J$5:$J$12))</f>
        <v>6</v>
      </c>
      <c r="CF32" s="746" t="s">
        <v>130</v>
      </c>
      <c r="CG32" s="749">
        <v>1</v>
      </c>
      <c r="CH32" s="747">
        <f>VLOOKUP(CE32,'Ціни контур мережний'!$J$5:$N$12,5,0)</f>
        <v>341.25599999999997</v>
      </c>
      <c r="CI32" s="748">
        <f t="shared" si="58"/>
        <v>341.25599999999997</v>
      </c>
      <c r="CJ32" s="899" t="s">
        <v>1305</v>
      </c>
      <c r="CK32" s="899">
        <v>1</v>
      </c>
      <c r="CL32" s="898">
        <v>772</v>
      </c>
      <c r="CM32" s="901">
        <f t="shared" si="59"/>
        <v>772</v>
      </c>
      <c r="CN32" s="898" t="s">
        <v>1332</v>
      </c>
      <c r="CO32" s="899">
        <v>1</v>
      </c>
      <c r="CP32" s="900">
        <v>582</v>
      </c>
      <c r="CQ32" s="901">
        <f t="shared" si="60"/>
        <v>582</v>
      </c>
      <c r="CR32" s="751">
        <f t="shared" si="5"/>
        <v>65</v>
      </c>
      <c r="CS32" s="746">
        <v>4</v>
      </c>
      <c r="CT32" s="747">
        <f>VLOOKUP(CR32,'Ціни контур теплопостачання'!$Y$5:$AA$17,3,0)</f>
        <v>30.19184015363556</v>
      </c>
      <c r="CU32" s="748">
        <f t="shared" si="61"/>
        <v>120.76736061454224</v>
      </c>
      <c r="CV32" s="750">
        <f t="shared" si="6"/>
        <v>40</v>
      </c>
      <c r="CW32" s="746">
        <v>6</v>
      </c>
      <c r="CX32" s="747">
        <f>VLOOKUP(CV32,'Ціни контур теплопостачання'!$AO$20:$AQ$29,3,0)</f>
        <v>37.980000000000004</v>
      </c>
      <c r="CY32" s="748">
        <f t="shared" si="62"/>
        <v>227.88000000000002</v>
      </c>
      <c r="CZ32" s="750">
        <f t="shared" si="7"/>
        <v>25</v>
      </c>
      <c r="DA32" s="746">
        <v>3</v>
      </c>
      <c r="DB32" s="747">
        <f>VLOOKUP(CZ32,'Ціни контур теплопостачання'!$AO$20:$AQ$29,3,0)</f>
        <v>6.3070000000000004</v>
      </c>
      <c r="DC32" s="748">
        <f t="shared" si="63"/>
        <v>18.920999999999999</v>
      </c>
      <c r="DD32" s="757">
        <f t="shared" si="8"/>
        <v>40</v>
      </c>
      <c r="DE32" s="746">
        <f t="shared" si="9"/>
        <v>4</v>
      </c>
      <c r="DF32" s="747">
        <f>VLOOKUP(DD32,'Ціни контур теплопостачання'!$Y$5:$AA$17,3,0)</f>
        <v>18.42400964308333</v>
      </c>
      <c r="DG32" s="748">
        <f t="shared" si="64"/>
        <v>73.696038572333322</v>
      </c>
      <c r="DH32" s="745">
        <f t="shared" si="65"/>
        <v>32</v>
      </c>
      <c r="DI32" s="749">
        <f t="shared" si="66"/>
        <v>1</v>
      </c>
      <c r="DJ32" s="747">
        <f>VLOOKUP(DH32,'Ціни контур теплопостачання'!$Y$5:$AA$17,3,0)</f>
        <v>10.381</v>
      </c>
      <c r="DK32" s="765">
        <f t="shared" si="67"/>
        <v>10.381</v>
      </c>
      <c r="DL32" s="757">
        <f t="shared" si="10"/>
        <v>20</v>
      </c>
      <c r="DM32" s="746">
        <v>1</v>
      </c>
      <c r="DN32" s="747">
        <f>VLOOKUP(DL32,'Ціни контур мережний'!$Z$43:$AB$55,3,0)</f>
        <v>14.562690256808384</v>
      </c>
      <c r="DO32" s="748">
        <f t="shared" si="68"/>
        <v>14.562690256808384</v>
      </c>
      <c r="DP32" s="757">
        <f t="shared" si="11"/>
        <v>20</v>
      </c>
      <c r="DQ32" s="746">
        <v>2</v>
      </c>
      <c r="DR32" s="747">
        <f>VLOOKUP(DP32,'Ціни контур теплопостачання'!$Y$5:$AA$17,3,0)</f>
        <v>3.577</v>
      </c>
      <c r="DS32" s="748">
        <f t="shared" si="69"/>
        <v>7.1539999999999999</v>
      </c>
      <c r="DT32" s="745">
        <v>20</v>
      </c>
      <c r="DU32" s="749">
        <v>2</v>
      </c>
      <c r="DV32" s="747">
        <f>VLOOKUP(DT32,'Ціни контур теплопостачання'!$Y$5:$AA$17,3,0)</f>
        <v>3.577</v>
      </c>
      <c r="DW32" s="748">
        <f t="shared" si="70"/>
        <v>7.1539999999999999</v>
      </c>
      <c r="DX32" s="745">
        <v>15</v>
      </c>
      <c r="DY32" s="745">
        <v>10</v>
      </c>
      <c r="DZ32" s="758">
        <f>VLOOKUP(DX32,'Ціни контур теплопостачання'!$Y$5:$AA$17,3,0)</f>
        <v>2.464</v>
      </c>
      <c r="EA32" s="759">
        <f t="shared" si="71"/>
        <v>24.64</v>
      </c>
      <c r="EB32" s="745">
        <v>15</v>
      </c>
      <c r="EC32" s="745">
        <f t="shared" si="110"/>
        <v>38</v>
      </c>
      <c r="ED32" s="758">
        <f>VLOOKUP(EB32,'Ціни контур мережний'!$J$71:$M$71,4,0)</f>
        <v>3.3865201135922525</v>
      </c>
      <c r="EE32" s="759">
        <f t="shared" si="72"/>
        <v>128.68776431650559</v>
      </c>
      <c r="EF32" s="751">
        <f t="shared" si="12"/>
        <v>65</v>
      </c>
      <c r="EG32" s="746">
        <v>1</v>
      </c>
      <c r="EH32" s="747">
        <f>VLOOKUP(EF32,'Ціни контур теплопостачання'!$K$5:$M$17,3,0)</f>
        <v>39.731999999999999</v>
      </c>
      <c r="EI32" s="748">
        <f t="shared" si="73"/>
        <v>39.731999999999999</v>
      </c>
      <c r="EJ32" s="745">
        <f t="shared" si="13"/>
        <v>40</v>
      </c>
      <c r="EK32" s="749">
        <v>1</v>
      </c>
      <c r="EL32" s="747">
        <f>VLOOKUP(EJ32,'Ціни контур теплопостачання'!$K$5:$M$17,3,0)</f>
        <v>23.225999999999999</v>
      </c>
      <c r="EM32" s="748">
        <f t="shared" si="74"/>
        <v>23.225999999999999</v>
      </c>
      <c r="EN32" s="745">
        <f t="shared" si="14"/>
        <v>25</v>
      </c>
      <c r="EO32" s="745">
        <v>1</v>
      </c>
      <c r="EP32" s="758">
        <f>VLOOKUP(EN32,'Ціни контур теплопостачання'!$K$5:$M$17,3,0)</f>
        <v>4.78</v>
      </c>
      <c r="EQ32" s="759">
        <f t="shared" si="75"/>
        <v>4.78</v>
      </c>
      <c r="ER32" s="745">
        <f t="shared" si="15"/>
        <v>20</v>
      </c>
      <c r="ES32" s="745">
        <v>1</v>
      </c>
      <c r="ET32" s="758">
        <f>VLOOKUP(ER32,'Ціни контур теплопостачання'!$K$5:$M$17,3,0)</f>
        <v>3.48</v>
      </c>
      <c r="EU32" s="759">
        <f t="shared" si="76"/>
        <v>3.48</v>
      </c>
      <c r="EV32" s="751">
        <f t="shared" si="16"/>
        <v>65</v>
      </c>
      <c r="EW32" s="746">
        <v>2</v>
      </c>
      <c r="EX32" s="747">
        <f>VLOOKUP(EV32,'Ціни контур теплопостачання'!$Y$24:$AA$36,3,0)</f>
        <v>42.080999999999996</v>
      </c>
      <c r="EY32" s="748">
        <f t="shared" si="77"/>
        <v>84.161999999999992</v>
      </c>
      <c r="EZ32" s="745">
        <f t="shared" si="17"/>
        <v>40</v>
      </c>
      <c r="FA32" s="749">
        <v>1</v>
      </c>
      <c r="FB32" s="747">
        <f>VLOOKUP(EZ32,'Ціни контур теплопостачання'!$AO$38:$AQ$50,3,0)</f>
        <v>20.3645</v>
      </c>
      <c r="FC32" s="748">
        <f t="shared" si="78"/>
        <v>20.3645</v>
      </c>
      <c r="FD32" s="745">
        <f t="shared" si="18"/>
        <v>25</v>
      </c>
      <c r="FE32" s="745">
        <v>1</v>
      </c>
      <c r="FF32" s="758">
        <f>VLOOKUP(FD32,'Ціни контур теплопостачання'!$AO$38:$AQ$50,3,0)</f>
        <v>6.9659999999999993</v>
      </c>
      <c r="FG32" s="759">
        <f t="shared" si="79"/>
        <v>6.9659999999999993</v>
      </c>
      <c r="FH32" s="745">
        <f t="shared" si="19"/>
        <v>20</v>
      </c>
      <c r="FI32" s="745">
        <v>1</v>
      </c>
      <c r="FJ32" s="758">
        <f>VLOOKUP(FH32,'Ціни контур теплопостачання'!$Y$24:$AA$36,3,0)</f>
        <v>4.5359999999999996</v>
      </c>
      <c r="FK32" s="759">
        <f t="shared" si="80"/>
        <v>4.5359999999999996</v>
      </c>
      <c r="FL32" s="745">
        <f t="shared" si="20"/>
        <v>40</v>
      </c>
      <c r="FM32" s="745">
        <f t="shared" si="21"/>
        <v>4</v>
      </c>
      <c r="FN32" s="758">
        <f>VLOOKUP(FL32,'Ціни контур теплопостачання'!$Y$76:$AA$88,3,0)</f>
        <v>16.809999999999999</v>
      </c>
      <c r="FO32" s="759">
        <f t="shared" si="81"/>
        <v>67.239999999999995</v>
      </c>
      <c r="FP32" s="745">
        <f t="shared" si="22"/>
        <v>40</v>
      </c>
      <c r="FQ32" s="745">
        <v>1</v>
      </c>
      <c r="FR32" s="758">
        <f>VLOOKUP(FP32,'Ціни контур теплопостачання'!$Y$76:$AA$88,3,0)</f>
        <v>16.809999999999999</v>
      </c>
      <c r="FS32" s="759">
        <f t="shared" si="82"/>
        <v>16.809999999999999</v>
      </c>
      <c r="FT32" s="745">
        <f t="shared" si="23"/>
        <v>25</v>
      </c>
      <c r="FU32" s="745">
        <v>1</v>
      </c>
      <c r="FV32" s="758">
        <f>VLOOKUP(FT32,'Ціни контур теплопостачання'!$Y$76:$AA$88,3,0)</f>
        <v>11.45</v>
      </c>
      <c r="FW32" s="759">
        <f t="shared" si="83"/>
        <v>11.45</v>
      </c>
      <c r="FX32" s="758">
        <f t="shared" si="24"/>
        <v>24.945861380196916</v>
      </c>
      <c r="FY32" s="760">
        <v>25</v>
      </c>
      <c r="FZ32" s="719">
        <v>2</v>
      </c>
      <c r="GA32" s="747">
        <f>VLOOKUP(FY32,'Ціни контур теплопостачання'!$K$74:$M$79,3,0)</f>
        <v>22.22</v>
      </c>
      <c r="GB32" s="761">
        <f t="shared" si="84"/>
        <v>44.44</v>
      </c>
      <c r="GC32" s="762">
        <f t="shared" si="85"/>
        <v>10.029106029106028</v>
      </c>
      <c r="GD32" s="911">
        <v>9</v>
      </c>
      <c r="GE32" s="1017">
        <v>9</v>
      </c>
      <c r="GF32" s="1018" t="s">
        <v>119</v>
      </c>
      <c r="GG32" s="713">
        <v>2</v>
      </c>
      <c r="GH32" s="709">
        <f>VLOOKUP(GF32,'Ціни контур теплопостачання'!$C$89:$M$105,11,0)</f>
        <v>391.06799999999998</v>
      </c>
      <c r="GI32" s="764">
        <f t="shared" si="86"/>
        <v>782.13599999999997</v>
      </c>
      <c r="GJ32" s="912">
        <f t="shared" si="87"/>
        <v>1.3582150101419879</v>
      </c>
      <c r="GK32" s="911">
        <v>9</v>
      </c>
      <c r="GL32" s="1017">
        <v>9</v>
      </c>
      <c r="GM32" s="1019" t="s">
        <v>1097</v>
      </c>
      <c r="GN32" s="749">
        <v>1</v>
      </c>
      <c r="GO32" s="747">
        <f>VLOOKUP(GM32,'Ціни контур теплопостачання'!$C$89:$M$105,11,0)</f>
        <v>241.2</v>
      </c>
      <c r="GP32" s="904">
        <f t="shared" si="88"/>
        <v>241.2</v>
      </c>
      <c r="GQ32" s="758">
        <f t="shared" si="25"/>
        <v>496.8538046402623</v>
      </c>
      <c r="GR32" s="955">
        <v>500</v>
      </c>
      <c r="GS32" s="749">
        <f>VLOOKUP(GR32,'Ціни контур теплопостачання'!$J$43:$K$55,2,0)</f>
        <v>32</v>
      </c>
      <c r="GT32" s="1020">
        <v>1</v>
      </c>
      <c r="GU32" s="747">
        <f>VLOOKUP(GR32,'Ціни контур теплопостачання'!$J$43:$M$55,4,0)</f>
        <v>249.72</v>
      </c>
      <c r="GV32" s="748">
        <f t="shared" si="89"/>
        <v>249.72</v>
      </c>
      <c r="GW32" s="758">
        <f t="array" ref="GW32">MIN(IF('Ціни контур теплопостачання'!$AN$68:$AN$77&gt;(V32*1.2),'Ціни контур теплопостачання'!$AN$68:$AN$77))</f>
        <v>11.13</v>
      </c>
      <c r="GX32" s="749">
        <f>VLOOKUP(GW32,'Ціни контур теплопостачання'!$AN$68:$AO$77,2,0)</f>
        <v>32</v>
      </c>
      <c r="GY32" s="749">
        <f t="shared" si="26"/>
        <v>2</v>
      </c>
      <c r="GZ32" s="747">
        <f>VLOOKUP(GX32,'Ціни контур теплопостачання'!$AO$68:$AQ$77,3,0)</f>
        <v>37.183999999999997</v>
      </c>
      <c r="HA32" s="759">
        <f t="shared" si="90"/>
        <v>74.367999999999995</v>
      </c>
      <c r="HB32" s="751">
        <v>15</v>
      </c>
      <c r="HC32" s="746">
        <v>2</v>
      </c>
      <c r="HD32" s="747">
        <f>VLOOKUP(HB32,'Ціни контур мережний'!$J$73:$M$73,4,0)</f>
        <v>3.4649999999999999</v>
      </c>
      <c r="HE32" s="748">
        <f t="shared" si="91"/>
        <v>6.93</v>
      </c>
      <c r="HF32" s="749">
        <f t="shared" si="27"/>
        <v>20</v>
      </c>
      <c r="HG32" s="749">
        <v>1</v>
      </c>
      <c r="HH32" s="747">
        <f>VLOOKUP(HF32,'Ціни контур теплопостачання'!$Y$62:$AA$69,3,0)</f>
        <v>23.753519999999998</v>
      </c>
      <c r="HI32" s="765">
        <f t="shared" si="92"/>
        <v>23.753519999999998</v>
      </c>
      <c r="HJ32" s="750">
        <f>VLOOKUP(HK32,'Ціни контур теплопостачання'!$AN$6:$AO$13,2,0)</f>
        <v>32</v>
      </c>
      <c r="HK32" s="751">
        <f t="array" ref="HK32">MIN(IF('Ціни контур теплопостачання'!$AN$6:$AN$13&gt;N32,'Ціни контур теплопостачання'!$AN$6:$AN$13))</f>
        <v>6</v>
      </c>
      <c r="HL32" s="751">
        <v>1</v>
      </c>
      <c r="HM32" s="747">
        <f>VLOOKUP(HJ32,'Ціни контур теплопостачання'!$AO$6:$AQ$13,3,0)</f>
        <v>85.682340000000011</v>
      </c>
      <c r="HN32" s="748">
        <f t="shared" si="93"/>
        <v>85.682340000000011</v>
      </c>
      <c r="HO32" s="750">
        <f t="shared" si="28"/>
        <v>40</v>
      </c>
      <c r="HP32" s="746">
        <v>1</v>
      </c>
      <c r="HQ32" s="747">
        <f>VLOOKUP(HO32,'Ціни контур теплопостачання'!$AO$55:$AQ$63,3,0)</f>
        <v>193.55</v>
      </c>
      <c r="HR32" s="748">
        <f t="shared" si="126"/>
        <v>193.55</v>
      </c>
      <c r="HS32" s="745">
        <f t="shared" si="29"/>
        <v>20</v>
      </c>
      <c r="HT32" s="749">
        <v>1</v>
      </c>
      <c r="HU32" s="747">
        <f>VLOOKUP(HS32,'Ціни контур теплопостачання'!$K$62:$M$67,3,0)</f>
        <v>91.13</v>
      </c>
      <c r="HV32" s="765">
        <f t="shared" si="95"/>
        <v>91.13</v>
      </c>
      <c r="HW32" s="655" t="str">
        <f t="shared" si="138"/>
        <v>0-150</v>
      </c>
      <c r="HX32" s="720">
        <v>1</v>
      </c>
      <c r="HY32" s="747">
        <f>VLOOKUP(HW32,'Ціни контур мережний'!$I$79:$M$80,5,0)</f>
        <v>15.050156291498967</v>
      </c>
      <c r="HZ32" s="748">
        <f t="shared" si="96"/>
        <v>15.050156291498967</v>
      </c>
      <c r="IA32" s="758" t="s">
        <v>109</v>
      </c>
      <c r="IB32" s="749">
        <v>1</v>
      </c>
      <c r="IC32" s="747">
        <f>VLOOKUP(IA32,'Ціни контур мережний'!$I$79:$M$80,5,0)</f>
        <v>15.050156291498967</v>
      </c>
      <c r="ID32" s="765">
        <f t="shared" si="97"/>
        <v>15.050156291498967</v>
      </c>
      <c r="IE32" s="655" t="s">
        <v>108</v>
      </c>
      <c r="IF32" s="720">
        <v>3</v>
      </c>
      <c r="IG32" s="747">
        <f>VLOOKUP(IE32,'Ціни контур мережний'!$I$67:$M$69,5,0)</f>
        <v>4.4537969640631703</v>
      </c>
      <c r="IH32" s="748">
        <f t="shared" si="98"/>
        <v>13.361390892189512</v>
      </c>
      <c r="II32" s="655" t="s">
        <v>106</v>
      </c>
      <c r="IJ32" s="720">
        <f t="shared" si="136"/>
        <v>13</v>
      </c>
      <c r="IK32" s="747">
        <f>VLOOKUP(II32,'Ціни контур мережний'!$I$67:$M$69,5,0)</f>
        <v>4.4537969640631703</v>
      </c>
      <c r="IL32" s="748">
        <f t="shared" si="99"/>
        <v>57.899360532821213</v>
      </c>
      <c r="IM32" s="655" t="s">
        <v>1013</v>
      </c>
      <c r="IN32" s="720">
        <v>5</v>
      </c>
      <c r="IO32" s="747">
        <f>VLOOKUP(IM32,'Ціни контур мережний'!$I$64:$M$64,5,0)</f>
        <v>29.1312</v>
      </c>
      <c r="IP32" s="748">
        <f t="shared" si="100"/>
        <v>145.65600000000001</v>
      </c>
      <c r="IQ32" s="766" t="s">
        <v>1015</v>
      </c>
      <c r="IR32" s="749">
        <v>6</v>
      </c>
      <c r="IS32" s="747">
        <f>VLOOKUP(IQ32,'Ціни контур мережний'!$I$89:$M$89,5,0)</f>
        <v>79.523165325760516</v>
      </c>
      <c r="IT32" s="765">
        <f t="shared" si="101"/>
        <v>477.1389919545631</v>
      </c>
      <c r="IU32" s="917" t="s">
        <v>1016</v>
      </c>
      <c r="IV32" s="720">
        <f t="shared" si="117"/>
        <v>7</v>
      </c>
      <c r="IW32" s="747">
        <f>VLOOKUP(IU32,'Ціни контур мережний'!$I$88:$M$88,5,0)</f>
        <v>13.211568975967202</v>
      </c>
      <c r="IX32" s="768">
        <f t="shared" si="102"/>
        <v>92.480982831770419</v>
      </c>
      <c r="IY32" s="917" t="s">
        <v>383</v>
      </c>
      <c r="IZ32" s="720">
        <v>1</v>
      </c>
      <c r="JA32" s="747">
        <f>VLOOKUP(IY32,'Ціни контур мережний'!$I$87:$M$87,5,0)</f>
        <v>13.483972460007763</v>
      </c>
      <c r="JB32" s="748">
        <f t="shared" si="141"/>
        <v>13.483972460007763</v>
      </c>
      <c r="JC32" s="769">
        <f t="shared" si="31"/>
        <v>79</v>
      </c>
      <c r="JD32" s="770">
        <f t="shared" si="104"/>
        <v>6816.0824946599387</v>
      </c>
      <c r="JE32" s="771">
        <f>$JE$44/'Ціни контур мережний'!$G$26</f>
        <v>476.70609707098151</v>
      </c>
      <c r="JF32" s="771">
        <f>$JE$44/'Ціни контур мережний'!$G$26</f>
        <v>476.70609707098151</v>
      </c>
      <c r="JG32" s="770">
        <f t="shared" si="112"/>
        <v>661.80181284518619</v>
      </c>
      <c r="JH32" s="770">
        <f t="shared" si="113"/>
        <v>487.81784379022207</v>
      </c>
      <c r="JI32" s="770">
        <f>$JI$43/'Ціни контур мережний'!$G$26</f>
        <v>323.47913729816605</v>
      </c>
      <c r="JJ32" s="770">
        <f t="shared" si="105"/>
        <v>66.611999999999995</v>
      </c>
      <c r="JK32" s="770">
        <f t="shared" si="139"/>
        <v>0</v>
      </c>
      <c r="JL32" s="772">
        <f t="shared" si="114"/>
        <v>62.86234247089866</v>
      </c>
      <c r="JM32" s="770">
        <f t="shared" si="140"/>
        <v>0</v>
      </c>
      <c r="JN32" s="770">
        <v>0</v>
      </c>
      <c r="JO32" s="1029">
        <f t="shared" si="32"/>
        <v>656.04474776444624</v>
      </c>
      <c r="JP32" s="770">
        <f t="shared" si="33"/>
        <v>937.20678252063738</v>
      </c>
      <c r="JQ32" s="1030">
        <f t="shared" si="34"/>
        <v>161.22284980697441</v>
      </c>
      <c r="JR32" s="1023">
        <f t="shared" si="115"/>
        <v>300.63036461094771</v>
      </c>
      <c r="JS32" s="777">
        <f t="shared" si="106"/>
        <v>11427.17256990938</v>
      </c>
      <c r="JU32" s="611">
        <f>[3]Расчеты!AX31/1.2</f>
        <v>4694.163997044222</v>
      </c>
      <c r="JV32" s="611">
        <f t="shared" si="107"/>
        <v>16121.336566953603</v>
      </c>
      <c r="JW32" s="611" t="e">
        <f>JV32*1.2*#REF!</f>
        <v>#REF!</v>
      </c>
      <c r="JX32" s="611"/>
    </row>
    <row r="33" spans="2:284" ht="12.6" customHeight="1">
      <c r="B33" s="597">
        <v>80</v>
      </c>
      <c r="C33" s="1056" t="s">
        <v>792</v>
      </c>
      <c r="D33" s="906">
        <v>0.2412</v>
      </c>
      <c r="E33" s="907">
        <v>0.22320000000000001</v>
      </c>
      <c r="F33" s="908">
        <f t="shared" si="35"/>
        <v>10.014203144418362</v>
      </c>
      <c r="G33" s="909">
        <v>65</v>
      </c>
      <c r="H33" s="598">
        <f t="shared" si="36"/>
        <v>4.3086816720257231</v>
      </c>
      <c r="I33" s="599">
        <v>40</v>
      </c>
      <c r="J33" s="598">
        <f t="shared" si="37"/>
        <v>10.029106029106028</v>
      </c>
      <c r="K33" s="599">
        <v>65</v>
      </c>
      <c r="L33" s="598">
        <f t="shared" si="38"/>
        <v>5.7055214723926388</v>
      </c>
      <c r="M33" s="599">
        <v>40</v>
      </c>
      <c r="N33" s="598">
        <f t="shared" si="39"/>
        <v>4.5273833671399597</v>
      </c>
      <c r="O33" s="599">
        <v>40</v>
      </c>
      <c r="P33" s="598">
        <f t="shared" si="108"/>
        <v>1.3582150101419879</v>
      </c>
      <c r="Q33" s="599">
        <v>25</v>
      </c>
      <c r="R33" s="598">
        <f t="shared" si="40"/>
        <v>6.093396056527161</v>
      </c>
      <c r="S33" s="600">
        <f t="shared" si="41"/>
        <v>8.0688258466685792</v>
      </c>
      <c r="T33" s="910">
        <v>2</v>
      </c>
      <c r="U33" s="601">
        <f t="shared" si="42"/>
        <v>5.0145530145530142</v>
      </c>
      <c r="V33" s="601">
        <f t="shared" si="43"/>
        <v>7.0916488824197605</v>
      </c>
      <c r="W33" s="602">
        <v>40</v>
      </c>
      <c r="X33" s="1027">
        <v>4.7</v>
      </c>
      <c r="Y33" s="601">
        <f t="shared" si="44"/>
        <v>1.41</v>
      </c>
      <c r="Z33" s="992">
        <v>20</v>
      </c>
      <c r="AA33" s="1028">
        <v>9</v>
      </c>
      <c r="AB33" s="745">
        <f t="shared" si="0"/>
        <v>65</v>
      </c>
      <c r="AC33" s="746">
        <v>2</v>
      </c>
      <c r="AD33" s="747">
        <f>VLOOKUP(AB33,'Ціни контур мережний'!$Z$24:$AB$36,3,0)</f>
        <v>30.19184015363556</v>
      </c>
      <c r="AE33" s="748">
        <f t="shared" si="45"/>
        <v>60.383680307271121</v>
      </c>
      <c r="AF33" s="745">
        <f t="shared" si="1"/>
        <v>65</v>
      </c>
      <c r="AG33" s="749">
        <v>2</v>
      </c>
      <c r="AH33" s="747">
        <f>VLOOKUP(AF33,'Ціни контур мережний'!$Z$64:$AB$77,3,0)</f>
        <v>105.883234246566</v>
      </c>
      <c r="AI33" s="748">
        <f t="shared" si="46"/>
        <v>211.76646849313201</v>
      </c>
      <c r="AJ33" s="745">
        <f t="shared" si="2"/>
        <v>65</v>
      </c>
      <c r="AK33" s="746">
        <v>1</v>
      </c>
      <c r="AL33" s="747">
        <f>VLOOKUP(AJ33,'Ціни контур мережний'!$Z$5:$AB$17,3,0)</f>
        <v>39.731999999999999</v>
      </c>
      <c r="AM33" s="748">
        <f t="shared" si="47"/>
        <v>39.731999999999999</v>
      </c>
      <c r="AN33" s="750">
        <f t="shared" si="3"/>
        <v>40</v>
      </c>
      <c r="AO33" s="746">
        <v>3</v>
      </c>
      <c r="AP33" s="747">
        <f>VLOOKUP(AN33,'Ціни контур мережний'!$Z$43:$AB$55,3,0)</f>
        <v>18.42400964308333</v>
      </c>
      <c r="AQ33" s="768">
        <f t="shared" si="48"/>
        <v>55.272028929249991</v>
      </c>
      <c r="AR33" s="749">
        <f t="shared" si="4"/>
        <v>40</v>
      </c>
      <c r="AS33" s="749">
        <v>4</v>
      </c>
      <c r="AT33" s="747">
        <f>VLOOKUP(AR33,'Ціни контур мережний'!$Z$43:$AB$55,3,0)</f>
        <v>18.42400964308333</v>
      </c>
      <c r="AU33" s="1016">
        <f t="shared" si="49"/>
        <v>73.696038572333322</v>
      </c>
      <c r="AV33" s="751" t="str">
        <f t="shared" si="50"/>
        <v>AMV20</v>
      </c>
      <c r="AW33" s="751">
        <v>1</v>
      </c>
      <c r="AX33" s="747">
        <f>VLOOKUP(AV33,'Ціни контур мережний'!$I$53:$M$57,5,0)</f>
        <v>110.39869654932889</v>
      </c>
      <c r="AY33" s="748">
        <f t="shared" si="51"/>
        <v>110.39869654932889</v>
      </c>
      <c r="AZ33" s="752">
        <f t="array" ref="AZ33">MIN(IF('Ціни контур мережний'!$Y$83:$Y$92&gt;(R33*1.2),'Ціни контур мережний'!$Y$83:$Y$92))</f>
        <v>10</v>
      </c>
      <c r="BA33" s="746">
        <f>VLOOKUP(AZ33,'Ціни контур мережний'!$Y$83:$Z$92,2,0)</f>
        <v>25</v>
      </c>
      <c r="BB33" s="746">
        <v>1</v>
      </c>
      <c r="BC33" s="747">
        <f>VLOOKUP(AZ33,'Ціни контур мережний'!$Y$83:$AB$92,4,0)</f>
        <v>117.50505648967251</v>
      </c>
      <c r="BD33" s="748">
        <f t="shared" si="52"/>
        <v>117.50505648967251</v>
      </c>
      <c r="BE33" s="1099">
        <f t="array" ref="BE33">MIN(IF('[1]Ціни контур мережний'!$Y$104:$Y$114&gt;(R33*1.2),'[1]Ціни контур мережний'!$Y$104:$Y$114))</f>
        <v>8</v>
      </c>
      <c r="BF33" s="1101">
        <f>VLOOKUP(BE33,'[1]Ціни контур мережний'!$Y$104:$Z$114,2,0)</f>
        <v>25</v>
      </c>
      <c r="BG33" s="753">
        <v>1</v>
      </c>
      <c r="BH33" s="754">
        <f>VLOOKUP(BE33,'Ціни контур мережний'!$Y$104:$AB$114,4,0)</f>
        <v>278.09338672441618</v>
      </c>
      <c r="BI33" s="755">
        <f t="shared" si="53"/>
        <v>278.09338672441618</v>
      </c>
      <c r="BJ33" s="751" t="s">
        <v>67</v>
      </c>
      <c r="BK33" s="749">
        <v>1</v>
      </c>
      <c r="BL33" s="747">
        <f>VLOOKUP(BJ33,'Ціни контур мережний'!$I$53:$M$57,5,0)</f>
        <v>157.67238032974441</v>
      </c>
      <c r="BM33" s="748">
        <f t="shared" si="54"/>
        <v>157.67238032974441</v>
      </c>
      <c r="BN33" s="896">
        <f t="array" ref="BN33">MIN(IF('Ціни контур мережний'!$Y$83:$Y$93&gt;(S33*1.2),'Ціни контур мережний'!$Y$83:$Y$93))</f>
        <v>10</v>
      </c>
      <c r="BO33" s="896">
        <f>VLOOKUP(BN33,'Ціни контур мережний'!$Y$83:$Z$93,2,0)</f>
        <v>25</v>
      </c>
      <c r="BP33" s="895">
        <v>1</v>
      </c>
      <c r="BQ33" s="896">
        <f>VLOOKUP(BN33,'Ціни контур мережний'!$Y$83:$AB$93,4,0)</f>
        <v>117.50505648967251</v>
      </c>
      <c r="BR33" s="897">
        <f t="shared" si="55"/>
        <v>117.50505648967251</v>
      </c>
      <c r="BS33" s="896">
        <f t="array" ref="BS33">MIN(IF('Ціни контур мережний'!$Y$104:$Y$114&gt;(S33*1.2),'Ціни контур мережний'!$Y$104:$Y$114))</f>
        <v>12.5</v>
      </c>
      <c r="BT33" s="896">
        <f>VLOOKUP(BS33,'Ціни контур мережний'!$Y$104:$Z$114,2,0)</f>
        <v>32</v>
      </c>
      <c r="BU33" s="895">
        <v>1</v>
      </c>
      <c r="BV33" s="896">
        <f>VLOOKUP(BS33,'Ціни контур мережний'!$Y$104:$AB$114,4,0)</f>
        <v>435.76049604674444</v>
      </c>
      <c r="BW33" s="897">
        <f t="shared" si="56"/>
        <v>435.76049604674444</v>
      </c>
      <c r="BX33" s="751" t="s">
        <v>115</v>
      </c>
      <c r="BY33" s="751" t="s">
        <v>115</v>
      </c>
      <c r="BZ33" s="746" t="s">
        <v>1025</v>
      </c>
      <c r="CA33" s="756">
        <v>0</v>
      </c>
      <c r="CB33" s="747">
        <v>0</v>
      </c>
      <c r="CC33" s="748">
        <f t="shared" si="57"/>
        <v>0</v>
      </c>
      <c r="CD33" s="758">
        <f>VLOOKUP(CE33,'Ціни контур мережний'!$J$5:$L$12,3,0)</f>
        <v>25</v>
      </c>
      <c r="CE33" s="747">
        <f t="array" ref="CE33">MIN(IF('Ціни контур мережний'!$J$5:$J$12&gt;L33,'Ціни контур мережний'!$J$5:$J$12))</f>
        <v>6</v>
      </c>
      <c r="CF33" s="746" t="s">
        <v>130</v>
      </c>
      <c r="CG33" s="749">
        <v>1</v>
      </c>
      <c r="CH33" s="747">
        <f>VLOOKUP(CE33,'Ціни контур мережний'!$J$5:$N$12,5,0)</f>
        <v>341.25599999999997</v>
      </c>
      <c r="CI33" s="748">
        <f t="shared" si="58"/>
        <v>341.25599999999997</v>
      </c>
      <c r="CJ33" s="899" t="s">
        <v>1305</v>
      </c>
      <c r="CK33" s="899">
        <v>1</v>
      </c>
      <c r="CL33" s="898">
        <v>772</v>
      </c>
      <c r="CM33" s="901">
        <f t="shared" si="59"/>
        <v>772</v>
      </c>
      <c r="CN33" s="898" t="s">
        <v>1332</v>
      </c>
      <c r="CO33" s="899">
        <v>1</v>
      </c>
      <c r="CP33" s="900">
        <v>582</v>
      </c>
      <c r="CQ33" s="901">
        <f t="shared" si="60"/>
        <v>582</v>
      </c>
      <c r="CR33" s="751">
        <f t="shared" si="5"/>
        <v>65</v>
      </c>
      <c r="CS33" s="746">
        <v>4</v>
      </c>
      <c r="CT33" s="747">
        <f>VLOOKUP(CR33,'Ціни контур теплопостачання'!$Y$5:$AA$17,3,0)</f>
        <v>30.19184015363556</v>
      </c>
      <c r="CU33" s="748">
        <f t="shared" si="61"/>
        <v>120.76736061454224</v>
      </c>
      <c r="CV33" s="750">
        <f t="shared" si="6"/>
        <v>40</v>
      </c>
      <c r="CW33" s="746">
        <v>6</v>
      </c>
      <c r="CX33" s="747">
        <f>VLOOKUP(CV33,'Ціни контур теплопостачання'!$AO$20:$AQ$29,3,0)</f>
        <v>37.980000000000004</v>
      </c>
      <c r="CY33" s="748">
        <f t="shared" si="62"/>
        <v>227.88000000000002</v>
      </c>
      <c r="CZ33" s="750">
        <f t="shared" si="7"/>
        <v>25</v>
      </c>
      <c r="DA33" s="746">
        <v>3</v>
      </c>
      <c r="DB33" s="747">
        <f>VLOOKUP(CZ33,'Ціни контур теплопостачання'!$AO$20:$AQ$29,3,0)</f>
        <v>6.3070000000000004</v>
      </c>
      <c r="DC33" s="748">
        <f t="shared" si="63"/>
        <v>18.920999999999999</v>
      </c>
      <c r="DD33" s="757">
        <f t="shared" si="8"/>
        <v>40</v>
      </c>
      <c r="DE33" s="746">
        <f t="shared" si="9"/>
        <v>4</v>
      </c>
      <c r="DF33" s="747">
        <f>VLOOKUP(DD33,'Ціни контур теплопостачання'!$Y$5:$AA$17,3,0)</f>
        <v>18.42400964308333</v>
      </c>
      <c r="DG33" s="748">
        <f t="shared" si="64"/>
        <v>73.696038572333322</v>
      </c>
      <c r="DH33" s="745">
        <f t="shared" si="65"/>
        <v>32</v>
      </c>
      <c r="DI33" s="749">
        <f t="shared" si="66"/>
        <v>1</v>
      </c>
      <c r="DJ33" s="747">
        <f>VLOOKUP(DH33,'Ціни контур теплопостачання'!$Y$5:$AA$17,3,0)</f>
        <v>10.381</v>
      </c>
      <c r="DK33" s="765">
        <f t="shared" si="67"/>
        <v>10.381</v>
      </c>
      <c r="DL33" s="757">
        <f t="shared" si="10"/>
        <v>20</v>
      </c>
      <c r="DM33" s="746">
        <v>1</v>
      </c>
      <c r="DN33" s="747">
        <f>VLOOKUP(DL33,'Ціни контур мережний'!$Z$43:$AB$55,3,0)</f>
        <v>14.562690256808384</v>
      </c>
      <c r="DO33" s="748">
        <f t="shared" si="68"/>
        <v>14.562690256808384</v>
      </c>
      <c r="DP33" s="757">
        <f t="shared" si="11"/>
        <v>20</v>
      </c>
      <c r="DQ33" s="746">
        <v>2</v>
      </c>
      <c r="DR33" s="747">
        <f>VLOOKUP(DP33,'Ціни контур теплопостачання'!$Y$5:$AA$17,3,0)</f>
        <v>3.577</v>
      </c>
      <c r="DS33" s="748">
        <f t="shared" si="69"/>
        <v>7.1539999999999999</v>
      </c>
      <c r="DT33" s="745">
        <v>20</v>
      </c>
      <c r="DU33" s="749">
        <v>2</v>
      </c>
      <c r="DV33" s="747">
        <f>VLOOKUP(DT33,'Ціни контур теплопостачання'!$Y$5:$AA$17,3,0)</f>
        <v>3.577</v>
      </c>
      <c r="DW33" s="748">
        <f t="shared" si="70"/>
        <v>7.1539999999999999</v>
      </c>
      <c r="DX33" s="745">
        <v>15</v>
      </c>
      <c r="DY33" s="745">
        <v>10</v>
      </c>
      <c r="DZ33" s="758">
        <f>VLOOKUP(DX33,'Ціни контур теплопостачання'!$Y$5:$AA$17,3,0)</f>
        <v>2.464</v>
      </c>
      <c r="EA33" s="759">
        <f t="shared" si="71"/>
        <v>24.64</v>
      </c>
      <c r="EB33" s="745">
        <v>15</v>
      </c>
      <c r="EC33" s="745">
        <f t="shared" si="110"/>
        <v>38</v>
      </c>
      <c r="ED33" s="758">
        <f>VLOOKUP(EB33,'Ціни контур мережний'!$J$71:$M$71,4,0)</f>
        <v>3.3865201135922525</v>
      </c>
      <c r="EE33" s="759">
        <f t="shared" si="72"/>
        <v>128.68776431650559</v>
      </c>
      <c r="EF33" s="751">
        <f t="shared" si="12"/>
        <v>65</v>
      </c>
      <c r="EG33" s="746">
        <v>1</v>
      </c>
      <c r="EH33" s="747">
        <f>VLOOKUP(EF33,'Ціни контур теплопостачання'!$K$5:$M$17,3,0)</f>
        <v>39.731999999999999</v>
      </c>
      <c r="EI33" s="748">
        <f t="shared" si="73"/>
        <v>39.731999999999999</v>
      </c>
      <c r="EJ33" s="745">
        <f t="shared" si="13"/>
        <v>40</v>
      </c>
      <c r="EK33" s="749">
        <v>1</v>
      </c>
      <c r="EL33" s="747">
        <f>VLOOKUP(EJ33,'Ціни контур теплопостачання'!$K$5:$M$17,3,0)</f>
        <v>23.225999999999999</v>
      </c>
      <c r="EM33" s="748">
        <f t="shared" si="74"/>
        <v>23.225999999999999</v>
      </c>
      <c r="EN33" s="745">
        <f t="shared" si="14"/>
        <v>25</v>
      </c>
      <c r="EO33" s="745">
        <v>1</v>
      </c>
      <c r="EP33" s="758">
        <f>VLOOKUP(EN33,'Ціни контур теплопостачання'!$K$5:$M$17,3,0)</f>
        <v>4.78</v>
      </c>
      <c r="EQ33" s="759">
        <f t="shared" si="75"/>
        <v>4.78</v>
      </c>
      <c r="ER33" s="745">
        <f t="shared" si="15"/>
        <v>20</v>
      </c>
      <c r="ES33" s="745">
        <v>1</v>
      </c>
      <c r="ET33" s="758">
        <f>VLOOKUP(ER33,'Ціни контур теплопостачання'!$K$5:$M$17,3,0)</f>
        <v>3.48</v>
      </c>
      <c r="EU33" s="759">
        <f t="shared" si="76"/>
        <v>3.48</v>
      </c>
      <c r="EV33" s="751">
        <f t="shared" si="16"/>
        <v>65</v>
      </c>
      <c r="EW33" s="746">
        <v>2</v>
      </c>
      <c r="EX33" s="747">
        <f>VLOOKUP(EV33,'Ціни контур теплопостачання'!$Y$24:$AA$36,3,0)</f>
        <v>42.080999999999996</v>
      </c>
      <c r="EY33" s="748">
        <f t="shared" si="77"/>
        <v>84.161999999999992</v>
      </c>
      <c r="EZ33" s="745">
        <f t="shared" si="17"/>
        <v>40</v>
      </c>
      <c r="FA33" s="749">
        <v>1</v>
      </c>
      <c r="FB33" s="747">
        <f>VLOOKUP(EZ33,'Ціни контур теплопостачання'!$AO$38:$AQ$50,3,0)</f>
        <v>20.3645</v>
      </c>
      <c r="FC33" s="748">
        <f t="shared" si="78"/>
        <v>20.3645</v>
      </c>
      <c r="FD33" s="745">
        <f t="shared" si="18"/>
        <v>25</v>
      </c>
      <c r="FE33" s="745">
        <v>1</v>
      </c>
      <c r="FF33" s="758">
        <f>VLOOKUP(FD33,'Ціни контур теплопостачання'!$AO$38:$AQ$50,3,0)</f>
        <v>6.9659999999999993</v>
      </c>
      <c r="FG33" s="759">
        <f t="shared" si="79"/>
        <v>6.9659999999999993</v>
      </c>
      <c r="FH33" s="745">
        <f t="shared" si="19"/>
        <v>20</v>
      </c>
      <c r="FI33" s="745">
        <v>1</v>
      </c>
      <c r="FJ33" s="758">
        <f>VLOOKUP(FH33,'Ціни контур теплопостачання'!$Y$24:$AA$36,3,0)</f>
        <v>4.5359999999999996</v>
      </c>
      <c r="FK33" s="759">
        <f t="shared" si="80"/>
        <v>4.5359999999999996</v>
      </c>
      <c r="FL33" s="745">
        <f t="shared" si="20"/>
        <v>40</v>
      </c>
      <c r="FM33" s="745">
        <f t="shared" si="21"/>
        <v>4</v>
      </c>
      <c r="FN33" s="758">
        <f>VLOOKUP(FL33,'Ціни контур теплопостачання'!$Y$76:$AA$88,3,0)</f>
        <v>16.809999999999999</v>
      </c>
      <c r="FO33" s="759">
        <f t="shared" si="81"/>
        <v>67.239999999999995</v>
      </c>
      <c r="FP33" s="745">
        <f t="shared" si="22"/>
        <v>40</v>
      </c>
      <c r="FQ33" s="745">
        <v>1</v>
      </c>
      <c r="FR33" s="758">
        <f>VLOOKUP(FP33,'Ціни контур теплопостачання'!$Y$76:$AA$88,3,0)</f>
        <v>16.809999999999999</v>
      </c>
      <c r="FS33" s="759">
        <f t="shared" si="82"/>
        <v>16.809999999999999</v>
      </c>
      <c r="FT33" s="745">
        <f t="shared" si="23"/>
        <v>25</v>
      </c>
      <c r="FU33" s="745">
        <v>1</v>
      </c>
      <c r="FV33" s="758">
        <f>VLOOKUP(FT33,'Ціни контур теплопостачання'!$Y$76:$AA$88,3,0)</f>
        <v>11.45</v>
      </c>
      <c r="FW33" s="759">
        <f t="shared" si="83"/>
        <v>11.45</v>
      </c>
      <c r="FX33" s="758">
        <f t="shared" si="24"/>
        <v>24.945861380196916</v>
      </c>
      <c r="FY33" s="760">
        <v>25</v>
      </c>
      <c r="FZ33" s="719">
        <v>2</v>
      </c>
      <c r="GA33" s="747">
        <f>VLOOKUP(FY33,'Ціни контур теплопостачання'!$K$74:$M$79,3,0)</f>
        <v>22.22</v>
      </c>
      <c r="GB33" s="761">
        <f t="shared" si="84"/>
        <v>44.44</v>
      </c>
      <c r="GC33" s="762">
        <f t="shared" si="85"/>
        <v>10.029106029106028</v>
      </c>
      <c r="GD33" s="911">
        <v>9</v>
      </c>
      <c r="GE33" s="1017">
        <v>9</v>
      </c>
      <c r="GF33" s="1018" t="s">
        <v>119</v>
      </c>
      <c r="GG33" s="713">
        <v>2</v>
      </c>
      <c r="GH33" s="709">
        <f>VLOOKUP(GF33,'Ціни контур теплопостачання'!$C$89:$M$105,11,0)</f>
        <v>391.06799999999998</v>
      </c>
      <c r="GI33" s="764">
        <f t="shared" si="86"/>
        <v>782.13599999999997</v>
      </c>
      <c r="GJ33" s="912">
        <f t="shared" si="87"/>
        <v>1.3582150101419879</v>
      </c>
      <c r="GK33" s="911">
        <v>9</v>
      </c>
      <c r="GL33" s="1017">
        <v>9</v>
      </c>
      <c r="GM33" s="1019" t="s">
        <v>1097</v>
      </c>
      <c r="GN33" s="749">
        <v>1</v>
      </c>
      <c r="GO33" s="747">
        <f>VLOOKUP(GM33,'Ціни контур теплопостачання'!$C$89:$M$105,11,0)</f>
        <v>241.2</v>
      </c>
      <c r="GP33" s="904">
        <f t="shared" si="88"/>
        <v>241.2</v>
      </c>
      <c r="GQ33" s="758">
        <f t="shared" si="25"/>
        <v>496.8538046402623</v>
      </c>
      <c r="GR33" s="955">
        <v>500</v>
      </c>
      <c r="GS33" s="749">
        <f>VLOOKUP(GR33,'Ціни контур теплопостачання'!$J$43:$K$55,2,0)</f>
        <v>32</v>
      </c>
      <c r="GT33" s="1020">
        <v>1</v>
      </c>
      <c r="GU33" s="747">
        <f>VLOOKUP(GR33,'Ціни контур теплопостачання'!$J$43:$M$55,4,0)</f>
        <v>249.72</v>
      </c>
      <c r="GV33" s="748">
        <f t="shared" si="89"/>
        <v>249.72</v>
      </c>
      <c r="GW33" s="758">
        <f t="array" ref="GW33">MIN(IF('Ціни контур теплопостачання'!$AN$68:$AN$77&gt;(V33*1.2),'Ціни контур теплопостачання'!$AN$68:$AN$77))</f>
        <v>11.13</v>
      </c>
      <c r="GX33" s="749">
        <f>VLOOKUP(GW33,'Ціни контур теплопостачання'!$AN$68:$AO$77,2,0)</f>
        <v>32</v>
      </c>
      <c r="GY33" s="749">
        <f t="shared" si="26"/>
        <v>2</v>
      </c>
      <c r="GZ33" s="747">
        <f>VLOOKUP(GX33,'Ціни контур теплопостачання'!$AO$68:$AQ$77,3,0)</f>
        <v>37.183999999999997</v>
      </c>
      <c r="HA33" s="759">
        <f t="shared" si="90"/>
        <v>74.367999999999995</v>
      </c>
      <c r="HB33" s="751">
        <v>15</v>
      </c>
      <c r="HC33" s="746">
        <v>2</v>
      </c>
      <c r="HD33" s="747">
        <f>VLOOKUP(HB33,'Ціни контур мережний'!$J$73:$M$73,4,0)</f>
        <v>3.4649999999999999</v>
      </c>
      <c r="HE33" s="748">
        <f t="shared" si="91"/>
        <v>6.93</v>
      </c>
      <c r="HF33" s="749">
        <f t="shared" si="27"/>
        <v>20</v>
      </c>
      <c r="HG33" s="749">
        <v>1</v>
      </c>
      <c r="HH33" s="747">
        <f>VLOOKUP(HF33,'Ціни контур теплопостачання'!$Y$62:$AA$69,3,0)</f>
        <v>23.753519999999998</v>
      </c>
      <c r="HI33" s="765">
        <f t="shared" si="92"/>
        <v>23.753519999999998</v>
      </c>
      <c r="HJ33" s="750">
        <f>VLOOKUP(HK33,'Ціни контур теплопостачання'!$AN$6:$AO$13,2,0)</f>
        <v>32</v>
      </c>
      <c r="HK33" s="751">
        <f t="array" ref="HK33">MIN(IF('Ціни контур теплопостачання'!$AN$6:$AN$13&gt;N33,'Ціни контур теплопостачання'!$AN$6:$AN$13))</f>
        <v>6</v>
      </c>
      <c r="HL33" s="751">
        <v>1</v>
      </c>
      <c r="HM33" s="747">
        <f>VLOOKUP(HJ33,'Ціни контур теплопостачання'!$AO$6:$AQ$13,3,0)</f>
        <v>85.682340000000011</v>
      </c>
      <c r="HN33" s="748">
        <f t="shared" si="93"/>
        <v>85.682340000000011</v>
      </c>
      <c r="HO33" s="750">
        <f t="shared" si="28"/>
        <v>40</v>
      </c>
      <c r="HP33" s="746">
        <v>1</v>
      </c>
      <c r="HQ33" s="747">
        <f>VLOOKUP(HO33,'Ціни контур теплопостачання'!$AO$55:$AQ$63,3,0)</f>
        <v>193.55</v>
      </c>
      <c r="HR33" s="748">
        <f t="shared" si="126"/>
        <v>193.55</v>
      </c>
      <c r="HS33" s="745">
        <f t="shared" si="29"/>
        <v>20</v>
      </c>
      <c r="HT33" s="749">
        <v>1</v>
      </c>
      <c r="HU33" s="747">
        <f>VLOOKUP(HS33,'Ціни контур теплопостачання'!$K$62:$M$67,3,0)</f>
        <v>91.13</v>
      </c>
      <c r="HV33" s="765">
        <f t="shared" si="95"/>
        <v>91.13</v>
      </c>
      <c r="HW33" s="655" t="str">
        <f t="shared" si="138"/>
        <v>0-150</v>
      </c>
      <c r="HX33" s="720">
        <v>1</v>
      </c>
      <c r="HY33" s="747">
        <f>VLOOKUP(HW33,'Ціни контур мережний'!$I$79:$M$80,5,0)</f>
        <v>15.050156291498967</v>
      </c>
      <c r="HZ33" s="748">
        <f t="shared" si="96"/>
        <v>15.050156291498967</v>
      </c>
      <c r="IA33" s="758" t="s">
        <v>109</v>
      </c>
      <c r="IB33" s="749">
        <v>5</v>
      </c>
      <c r="IC33" s="747">
        <f>VLOOKUP(IA33,'Ціни контур мережний'!$I$79:$M$80,5,0)</f>
        <v>15.050156291498967</v>
      </c>
      <c r="ID33" s="765">
        <f t="shared" si="97"/>
        <v>75.250781457494838</v>
      </c>
      <c r="IE33" s="655" t="s">
        <v>108</v>
      </c>
      <c r="IF33" s="720">
        <v>5</v>
      </c>
      <c r="IG33" s="747">
        <f>VLOOKUP(IE33,'Ціни контур мережний'!$I$67:$M$69,5,0)</f>
        <v>4.4537969640631703</v>
      </c>
      <c r="IH33" s="748">
        <f t="shared" si="98"/>
        <v>22.26898482031585</v>
      </c>
      <c r="II33" s="655" t="s">
        <v>106</v>
      </c>
      <c r="IJ33" s="720">
        <f t="shared" si="136"/>
        <v>13</v>
      </c>
      <c r="IK33" s="747">
        <f>VLOOKUP(II33,'Ціни контур мережний'!$I$67:$M$69,5,0)</f>
        <v>4.4537969640631703</v>
      </c>
      <c r="IL33" s="748">
        <f t="shared" si="99"/>
        <v>57.899360532821213</v>
      </c>
      <c r="IM33" s="655" t="s">
        <v>1013</v>
      </c>
      <c r="IN33" s="720">
        <v>5</v>
      </c>
      <c r="IO33" s="747">
        <f>VLOOKUP(IM33,'Ціни контур мережний'!$I$64:$M$64,5,0)</f>
        <v>29.1312</v>
      </c>
      <c r="IP33" s="748">
        <f t="shared" si="100"/>
        <v>145.65600000000001</v>
      </c>
      <c r="IQ33" s="766" t="s">
        <v>1015</v>
      </c>
      <c r="IR33" s="749">
        <v>6</v>
      </c>
      <c r="IS33" s="747">
        <f>VLOOKUP(IQ33,'Ціни контур мережний'!$I$89:$M$89,5,0)</f>
        <v>79.523165325760516</v>
      </c>
      <c r="IT33" s="765">
        <f t="shared" si="101"/>
        <v>477.1389919545631</v>
      </c>
      <c r="IU33" s="778" t="s">
        <v>1016</v>
      </c>
      <c r="IV33" s="720">
        <f t="shared" si="117"/>
        <v>7</v>
      </c>
      <c r="IW33" s="747">
        <f>VLOOKUP(IU33,'Ціни контур мережний'!$I$88:$M$88,5,0)</f>
        <v>13.211568975967202</v>
      </c>
      <c r="IX33" s="768">
        <f t="shared" si="102"/>
        <v>92.480982831770419</v>
      </c>
      <c r="IY33" s="757" t="s">
        <v>383</v>
      </c>
      <c r="IZ33" s="720">
        <v>1</v>
      </c>
      <c r="JA33" s="747">
        <f>VLOOKUP(IY33,'Ціни контур мережний'!$I$87:$M$87,5,0)</f>
        <v>13.483972460007763</v>
      </c>
      <c r="JB33" s="748">
        <f t="shared" si="141"/>
        <v>13.483972460007763</v>
      </c>
      <c r="JC33" s="769">
        <f t="shared" si="31"/>
        <v>80</v>
      </c>
      <c r="JD33" s="770">
        <f t="shared" si="104"/>
        <v>6961.7707330402272</v>
      </c>
      <c r="JE33" s="771">
        <f>$JE$44/'Ціни контур мережний'!$G$26</f>
        <v>476.70609707098151</v>
      </c>
      <c r="JF33" s="771">
        <f>$JE$44/'Ціни контур мережний'!$G$26</f>
        <v>476.70609707098151</v>
      </c>
      <c r="JG33" s="770">
        <f t="shared" si="112"/>
        <v>661.80181284518619</v>
      </c>
      <c r="JH33" s="770">
        <f t="shared" si="113"/>
        <v>487.81784379022207</v>
      </c>
      <c r="JI33" s="770">
        <f>$JI$43/'Ціни контур мережний'!$G$26</f>
        <v>323.47913729816605</v>
      </c>
      <c r="JJ33" s="770">
        <f t="shared" si="105"/>
        <v>66.611999999999995</v>
      </c>
      <c r="JK33" s="770">
        <f t="shared" si="139"/>
        <v>0</v>
      </c>
      <c r="JL33" s="772">
        <f t="shared" si="114"/>
        <v>62.86234247089866</v>
      </c>
      <c r="JM33" s="770">
        <f t="shared" si="140"/>
        <v>0</v>
      </c>
      <c r="JN33" s="770">
        <v>0</v>
      </c>
      <c r="JO33" s="1029">
        <f t="shared" si="32"/>
        <v>666.24292445106653</v>
      </c>
      <c r="JP33" s="770">
        <f t="shared" si="33"/>
        <v>951.77560635866632</v>
      </c>
      <c r="JQ33" s="1030">
        <f t="shared" si="34"/>
        <v>163.72904944328729</v>
      </c>
      <c r="JR33" s="1023">
        <f t="shared" si="115"/>
        <v>300.63036461094771</v>
      </c>
      <c r="JS33" s="777">
        <f t="shared" si="106"/>
        <v>11600.13400845063</v>
      </c>
      <c r="JU33" s="611">
        <f>[3]Расчеты!AX32/1.2</f>
        <v>4694.163997044222</v>
      </c>
      <c r="JV33" s="611">
        <f t="shared" si="107"/>
        <v>16294.298005494853</v>
      </c>
      <c r="JW33" s="611" t="e">
        <f>JV33*1.2*#REF!</f>
        <v>#REF!</v>
      </c>
      <c r="JX33" s="611"/>
    </row>
    <row r="34" spans="2:284" ht="12.6" customHeight="1">
      <c r="B34" s="597">
        <v>81</v>
      </c>
      <c r="C34" s="1056" t="s">
        <v>793</v>
      </c>
      <c r="D34" s="906">
        <v>0.2412</v>
      </c>
      <c r="E34" s="907">
        <v>0.22320000000000001</v>
      </c>
      <c r="F34" s="908">
        <f t="shared" si="35"/>
        <v>10.014203144418362</v>
      </c>
      <c r="G34" s="909">
        <v>65</v>
      </c>
      <c r="H34" s="598">
        <f t="shared" si="36"/>
        <v>4.3086816720257231</v>
      </c>
      <c r="I34" s="599">
        <v>40</v>
      </c>
      <c r="J34" s="598">
        <f t="shared" si="37"/>
        <v>10.029106029106028</v>
      </c>
      <c r="K34" s="599">
        <v>65</v>
      </c>
      <c r="L34" s="598">
        <f t="shared" si="38"/>
        <v>5.7055214723926388</v>
      </c>
      <c r="M34" s="599">
        <v>40</v>
      </c>
      <c r="N34" s="598">
        <f t="shared" si="39"/>
        <v>4.5273833671399597</v>
      </c>
      <c r="O34" s="599">
        <v>40</v>
      </c>
      <c r="P34" s="598">
        <f t="shared" si="108"/>
        <v>1.3582150101419879</v>
      </c>
      <c r="Q34" s="599">
        <v>25</v>
      </c>
      <c r="R34" s="598">
        <f t="shared" si="40"/>
        <v>6.093396056527161</v>
      </c>
      <c r="S34" s="600">
        <f t="shared" si="41"/>
        <v>8.0688258466685792</v>
      </c>
      <c r="T34" s="910">
        <v>2</v>
      </c>
      <c r="U34" s="601">
        <f t="shared" si="42"/>
        <v>5.0145530145530142</v>
      </c>
      <c r="V34" s="601">
        <f t="shared" si="43"/>
        <v>7.0916488824197605</v>
      </c>
      <c r="W34" s="602">
        <v>40</v>
      </c>
      <c r="X34" s="1027">
        <v>4.7</v>
      </c>
      <c r="Y34" s="601">
        <f t="shared" si="44"/>
        <v>1.41</v>
      </c>
      <c r="Z34" s="992">
        <v>20</v>
      </c>
      <c r="AA34" s="1028">
        <v>9</v>
      </c>
      <c r="AB34" s="745">
        <f t="shared" si="0"/>
        <v>65</v>
      </c>
      <c r="AC34" s="746">
        <v>2</v>
      </c>
      <c r="AD34" s="747">
        <f>VLOOKUP(AB34,'Ціни контур мережний'!$Z$24:$AB$36,3,0)</f>
        <v>30.19184015363556</v>
      </c>
      <c r="AE34" s="748">
        <f t="shared" si="45"/>
        <v>60.383680307271121</v>
      </c>
      <c r="AF34" s="745">
        <f t="shared" si="1"/>
        <v>65</v>
      </c>
      <c r="AG34" s="749">
        <v>2</v>
      </c>
      <c r="AH34" s="747">
        <f>VLOOKUP(AF34,'Ціни контур мережний'!$Z$64:$AB$77,3,0)</f>
        <v>105.883234246566</v>
      </c>
      <c r="AI34" s="748">
        <f t="shared" si="46"/>
        <v>211.76646849313201</v>
      </c>
      <c r="AJ34" s="745">
        <f t="shared" si="2"/>
        <v>65</v>
      </c>
      <c r="AK34" s="746">
        <v>0</v>
      </c>
      <c r="AL34" s="747">
        <f>VLOOKUP(AJ34,'Ціни контур мережний'!$Z$5:$AB$17,3,0)</f>
        <v>39.731999999999999</v>
      </c>
      <c r="AM34" s="748">
        <f t="shared" si="47"/>
        <v>0</v>
      </c>
      <c r="AN34" s="750">
        <f t="shared" si="3"/>
        <v>40</v>
      </c>
      <c r="AO34" s="746">
        <v>1</v>
      </c>
      <c r="AP34" s="747">
        <f>VLOOKUP(AN34,'Ціни контур мережний'!$Z$43:$AB$55,3,0)</f>
        <v>18.42400964308333</v>
      </c>
      <c r="AQ34" s="768">
        <f t="shared" si="48"/>
        <v>18.42400964308333</v>
      </c>
      <c r="AR34" s="749">
        <f t="shared" si="4"/>
        <v>40</v>
      </c>
      <c r="AS34" s="749">
        <v>4</v>
      </c>
      <c r="AT34" s="747">
        <f>VLOOKUP(AR34,'Ціни контур мережний'!$Z$43:$AB$55,3,0)</f>
        <v>18.42400964308333</v>
      </c>
      <c r="AU34" s="1016">
        <f t="shared" si="49"/>
        <v>73.696038572333322</v>
      </c>
      <c r="AV34" s="751" t="str">
        <f t="shared" si="50"/>
        <v>AMV20</v>
      </c>
      <c r="AW34" s="751">
        <v>1</v>
      </c>
      <c r="AX34" s="747">
        <f>VLOOKUP(AV34,'Ціни контур мережний'!$I$53:$M$57,5,0)</f>
        <v>110.39869654932889</v>
      </c>
      <c r="AY34" s="748">
        <f t="shared" si="51"/>
        <v>110.39869654932889</v>
      </c>
      <c r="AZ34" s="752">
        <f t="array" ref="AZ34">MIN(IF('Ціни контур мережний'!$Y$83:$Y$92&gt;(R34*1.2),'Ціни контур мережний'!$Y$83:$Y$92))</f>
        <v>10</v>
      </c>
      <c r="BA34" s="746">
        <f>VLOOKUP(AZ34,'Ціни контур мережний'!$Y$83:$Z$92,2,0)</f>
        <v>25</v>
      </c>
      <c r="BB34" s="746">
        <v>1</v>
      </c>
      <c r="BC34" s="747">
        <f>VLOOKUP(AZ34,'Ціни контур мережний'!$Y$83:$AB$92,4,0)</f>
        <v>117.50505648967251</v>
      </c>
      <c r="BD34" s="748">
        <f t="shared" si="52"/>
        <v>117.50505648967251</v>
      </c>
      <c r="BE34" s="1099">
        <f t="array" ref="BE34">MIN(IF('[1]Ціни контур мережний'!$Y$104:$Y$114&gt;(R34*1.2),'[1]Ціни контур мережний'!$Y$104:$Y$114))</f>
        <v>8</v>
      </c>
      <c r="BF34" s="1101">
        <f>VLOOKUP(BE34,'[1]Ціни контур мережний'!$Y$104:$Z$114,2,0)</f>
        <v>25</v>
      </c>
      <c r="BG34" s="753">
        <v>1</v>
      </c>
      <c r="BH34" s="754">
        <f>VLOOKUP(BE34,'Ціни контур мережний'!$Y$104:$AB$114,4,0)</f>
        <v>278.09338672441618</v>
      </c>
      <c r="BI34" s="755">
        <f t="shared" si="53"/>
        <v>278.09338672441618</v>
      </c>
      <c r="BJ34" s="751" t="s">
        <v>67</v>
      </c>
      <c r="BK34" s="749">
        <v>1</v>
      </c>
      <c r="BL34" s="747">
        <f>VLOOKUP(BJ34,'Ціни контур мережний'!$I$53:$M$57,5,0)</f>
        <v>157.67238032974441</v>
      </c>
      <c r="BM34" s="748">
        <f t="shared" si="54"/>
        <v>157.67238032974441</v>
      </c>
      <c r="BN34" s="896">
        <f t="array" ref="BN34">MIN(IF('Ціни контур мережний'!$Y$83:$Y$93&gt;(S34*1.2),'Ціни контур мережний'!$Y$83:$Y$93))</f>
        <v>10</v>
      </c>
      <c r="BO34" s="896">
        <f>VLOOKUP(BN34,'Ціни контур мережний'!$Y$83:$Z$93,2,0)</f>
        <v>25</v>
      </c>
      <c r="BP34" s="895">
        <v>1</v>
      </c>
      <c r="BQ34" s="896">
        <f>VLOOKUP(BN34,'Ціни контур мережний'!$Y$83:$AB$93,4,0)</f>
        <v>117.50505648967251</v>
      </c>
      <c r="BR34" s="897">
        <f t="shared" si="55"/>
        <v>117.50505648967251</v>
      </c>
      <c r="BS34" s="896">
        <f t="array" ref="BS34">MIN(IF('Ціни контур мережний'!$Y$104:$Y$114&gt;(S34*1.2),'Ціни контур мережний'!$Y$104:$Y$114))</f>
        <v>12.5</v>
      </c>
      <c r="BT34" s="896">
        <f>VLOOKUP(BS34,'Ціни контур мережний'!$Y$104:$Z$114,2,0)</f>
        <v>32</v>
      </c>
      <c r="BU34" s="895">
        <v>1</v>
      </c>
      <c r="BV34" s="896">
        <f>VLOOKUP(BS34,'Ціни контур мережний'!$Y$104:$AB$114,4,0)</f>
        <v>435.76049604674444</v>
      </c>
      <c r="BW34" s="897">
        <f t="shared" si="56"/>
        <v>435.76049604674444</v>
      </c>
      <c r="BX34" s="751" t="s">
        <v>115</v>
      </c>
      <c r="BY34" s="751" t="s">
        <v>115</v>
      </c>
      <c r="BZ34" s="746" t="s">
        <v>1025</v>
      </c>
      <c r="CA34" s="756">
        <v>0</v>
      </c>
      <c r="CB34" s="747">
        <v>0</v>
      </c>
      <c r="CC34" s="748">
        <f t="shared" si="57"/>
        <v>0</v>
      </c>
      <c r="CD34" s="758">
        <f>VLOOKUP(CE34,'Ціни контур мережний'!$J$5:$L$12,3,0)</f>
        <v>25</v>
      </c>
      <c r="CE34" s="747">
        <f t="array" ref="CE34">MIN(IF('Ціни контур мережний'!$J$5:$J$12&gt;L34,'Ціни контур мережний'!$J$5:$J$12))</f>
        <v>6</v>
      </c>
      <c r="CF34" s="746" t="s">
        <v>130</v>
      </c>
      <c r="CG34" s="749">
        <v>1</v>
      </c>
      <c r="CH34" s="747">
        <f>VLOOKUP(CE34,'Ціни контур мережний'!$J$5:$N$12,5,0)</f>
        <v>341.25599999999997</v>
      </c>
      <c r="CI34" s="748">
        <f t="shared" si="58"/>
        <v>341.25599999999997</v>
      </c>
      <c r="CJ34" s="899" t="s">
        <v>1305</v>
      </c>
      <c r="CK34" s="899">
        <v>1</v>
      </c>
      <c r="CL34" s="898">
        <v>772</v>
      </c>
      <c r="CM34" s="901">
        <f t="shared" si="59"/>
        <v>772</v>
      </c>
      <c r="CN34" s="898" t="s">
        <v>1332</v>
      </c>
      <c r="CO34" s="899">
        <v>1</v>
      </c>
      <c r="CP34" s="900">
        <v>582</v>
      </c>
      <c r="CQ34" s="901">
        <f t="shared" si="60"/>
        <v>582</v>
      </c>
      <c r="CR34" s="751">
        <f t="shared" si="5"/>
        <v>65</v>
      </c>
      <c r="CS34" s="746">
        <v>4</v>
      </c>
      <c r="CT34" s="747">
        <f>VLOOKUP(CR34,'Ціни контур теплопостачання'!$Y$5:$AA$17,3,0)</f>
        <v>30.19184015363556</v>
      </c>
      <c r="CU34" s="748">
        <f t="shared" si="61"/>
        <v>120.76736061454224</v>
      </c>
      <c r="CV34" s="750">
        <f t="shared" si="6"/>
        <v>40</v>
      </c>
      <c r="CW34" s="746">
        <v>6</v>
      </c>
      <c r="CX34" s="747">
        <f>VLOOKUP(CV34,'Ціни контур теплопостачання'!$AO$20:$AQ$29,3,0)</f>
        <v>37.980000000000004</v>
      </c>
      <c r="CY34" s="748">
        <f t="shared" si="62"/>
        <v>227.88000000000002</v>
      </c>
      <c r="CZ34" s="750">
        <f t="shared" si="7"/>
        <v>25</v>
      </c>
      <c r="DA34" s="746">
        <v>3</v>
      </c>
      <c r="DB34" s="747">
        <f>VLOOKUP(CZ34,'Ціни контур теплопостачання'!$AO$20:$AQ$29,3,0)</f>
        <v>6.3070000000000004</v>
      </c>
      <c r="DC34" s="748">
        <f t="shared" si="63"/>
        <v>18.920999999999999</v>
      </c>
      <c r="DD34" s="757">
        <f t="shared" si="8"/>
        <v>40</v>
      </c>
      <c r="DE34" s="746">
        <f t="shared" si="9"/>
        <v>4</v>
      </c>
      <c r="DF34" s="747">
        <f>VLOOKUP(DD34,'Ціни контур теплопостачання'!$Y$5:$AA$17,3,0)</f>
        <v>18.42400964308333</v>
      </c>
      <c r="DG34" s="748">
        <f t="shared" si="64"/>
        <v>73.696038572333322</v>
      </c>
      <c r="DH34" s="745">
        <f t="shared" si="65"/>
        <v>32</v>
      </c>
      <c r="DI34" s="749">
        <f t="shared" si="66"/>
        <v>1</v>
      </c>
      <c r="DJ34" s="747">
        <f>VLOOKUP(DH34,'Ціни контур теплопостачання'!$Y$5:$AA$17,3,0)</f>
        <v>10.381</v>
      </c>
      <c r="DK34" s="765">
        <f t="shared" si="67"/>
        <v>10.381</v>
      </c>
      <c r="DL34" s="757">
        <f t="shared" si="10"/>
        <v>20</v>
      </c>
      <c r="DM34" s="746">
        <v>1</v>
      </c>
      <c r="DN34" s="747">
        <f>VLOOKUP(DL34,'Ціни контур мережний'!$Z$43:$AB$55,3,0)</f>
        <v>14.562690256808384</v>
      </c>
      <c r="DO34" s="748">
        <f t="shared" si="68"/>
        <v>14.562690256808384</v>
      </c>
      <c r="DP34" s="757">
        <f t="shared" si="11"/>
        <v>20</v>
      </c>
      <c r="DQ34" s="746">
        <v>2</v>
      </c>
      <c r="DR34" s="747">
        <f>VLOOKUP(DP34,'Ціни контур теплопостачання'!$Y$5:$AA$17,3,0)</f>
        <v>3.577</v>
      </c>
      <c r="DS34" s="748">
        <f t="shared" si="69"/>
        <v>7.1539999999999999</v>
      </c>
      <c r="DT34" s="745">
        <v>20</v>
      </c>
      <c r="DU34" s="749">
        <v>2</v>
      </c>
      <c r="DV34" s="747">
        <f>VLOOKUP(DT34,'Ціни контур теплопостачання'!$Y$5:$AA$17,3,0)</f>
        <v>3.577</v>
      </c>
      <c r="DW34" s="748">
        <f t="shared" si="70"/>
        <v>7.1539999999999999</v>
      </c>
      <c r="DX34" s="745">
        <v>15</v>
      </c>
      <c r="DY34" s="745">
        <v>10</v>
      </c>
      <c r="DZ34" s="758">
        <f>VLOOKUP(DX34,'Ціни контур теплопостачання'!$Y$5:$AA$17,3,0)</f>
        <v>2.464</v>
      </c>
      <c r="EA34" s="759">
        <f t="shared" si="71"/>
        <v>24.64</v>
      </c>
      <c r="EB34" s="745">
        <v>15</v>
      </c>
      <c r="EC34" s="745">
        <f t="shared" si="110"/>
        <v>38</v>
      </c>
      <c r="ED34" s="758">
        <f>VLOOKUP(EB34,'Ціни контур мережний'!$J$71:$M$71,4,0)</f>
        <v>3.3865201135922525</v>
      </c>
      <c r="EE34" s="759">
        <f t="shared" si="72"/>
        <v>128.68776431650559</v>
      </c>
      <c r="EF34" s="751">
        <f t="shared" si="12"/>
        <v>65</v>
      </c>
      <c r="EG34" s="746">
        <v>1</v>
      </c>
      <c r="EH34" s="747">
        <f>VLOOKUP(EF34,'Ціни контур теплопостачання'!$K$5:$M$17,3,0)</f>
        <v>39.731999999999999</v>
      </c>
      <c r="EI34" s="748">
        <f t="shared" si="73"/>
        <v>39.731999999999999</v>
      </c>
      <c r="EJ34" s="745">
        <f t="shared" si="13"/>
        <v>40</v>
      </c>
      <c r="EK34" s="749">
        <v>1</v>
      </c>
      <c r="EL34" s="747">
        <f>VLOOKUP(EJ34,'Ціни контур теплопостачання'!$K$5:$M$17,3,0)</f>
        <v>23.225999999999999</v>
      </c>
      <c r="EM34" s="748">
        <f t="shared" si="74"/>
        <v>23.225999999999999</v>
      </c>
      <c r="EN34" s="745">
        <f t="shared" si="14"/>
        <v>25</v>
      </c>
      <c r="EO34" s="745">
        <v>1</v>
      </c>
      <c r="EP34" s="758">
        <f>VLOOKUP(EN34,'Ціни контур теплопостачання'!$K$5:$M$17,3,0)</f>
        <v>4.78</v>
      </c>
      <c r="EQ34" s="759">
        <f t="shared" si="75"/>
        <v>4.78</v>
      </c>
      <c r="ER34" s="745">
        <f t="shared" si="15"/>
        <v>20</v>
      </c>
      <c r="ES34" s="745">
        <v>1</v>
      </c>
      <c r="ET34" s="758">
        <f>VLOOKUP(ER34,'Ціни контур теплопостачання'!$K$5:$M$17,3,0)</f>
        <v>3.48</v>
      </c>
      <c r="EU34" s="759">
        <f t="shared" si="76"/>
        <v>3.48</v>
      </c>
      <c r="EV34" s="751">
        <f t="shared" si="16"/>
        <v>65</v>
      </c>
      <c r="EW34" s="746">
        <v>2</v>
      </c>
      <c r="EX34" s="747">
        <f>VLOOKUP(EV34,'Ціни контур теплопостачання'!$Y$24:$AA$36,3,0)</f>
        <v>42.080999999999996</v>
      </c>
      <c r="EY34" s="748">
        <f t="shared" si="77"/>
        <v>84.161999999999992</v>
      </c>
      <c r="EZ34" s="745">
        <f t="shared" si="17"/>
        <v>40</v>
      </c>
      <c r="FA34" s="749">
        <v>1</v>
      </c>
      <c r="FB34" s="747">
        <f>VLOOKUP(EZ34,'Ціни контур теплопостачання'!$AO$38:$AQ$50,3,0)</f>
        <v>20.3645</v>
      </c>
      <c r="FC34" s="748">
        <f t="shared" si="78"/>
        <v>20.3645</v>
      </c>
      <c r="FD34" s="745">
        <f t="shared" si="18"/>
        <v>25</v>
      </c>
      <c r="FE34" s="745">
        <v>1</v>
      </c>
      <c r="FF34" s="758">
        <f>VLOOKUP(FD34,'Ціни контур теплопостачання'!$AO$38:$AQ$50,3,0)</f>
        <v>6.9659999999999993</v>
      </c>
      <c r="FG34" s="759">
        <f t="shared" si="79"/>
        <v>6.9659999999999993</v>
      </c>
      <c r="FH34" s="745">
        <f t="shared" si="19"/>
        <v>20</v>
      </c>
      <c r="FI34" s="745">
        <v>1</v>
      </c>
      <c r="FJ34" s="758">
        <f>VLOOKUP(FH34,'Ціни контур теплопостачання'!$Y$24:$AA$36,3,0)</f>
        <v>4.5359999999999996</v>
      </c>
      <c r="FK34" s="759">
        <f t="shared" si="80"/>
        <v>4.5359999999999996</v>
      </c>
      <c r="FL34" s="745">
        <f t="shared" si="20"/>
        <v>40</v>
      </c>
      <c r="FM34" s="745">
        <f t="shared" si="21"/>
        <v>4</v>
      </c>
      <c r="FN34" s="758">
        <f>VLOOKUP(FL34,'Ціни контур теплопостачання'!$Y$76:$AA$88,3,0)</f>
        <v>16.809999999999999</v>
      </c>
      <c r="FO34" s="759">
        <f t="shared" si="81"/>
        <v>67.239999999999995</v>
      </c>
      <c r="FP34" s="745">
        <f t="shared" si="22"/>
        <v>40</v>
      </c>
      <c r="FQ34" s="745">
        <v>1</v>
      </c>
      <c r="FR34" s="758">
        <f>VLOOKUP(FP34,'Ціни контур теплопостачання'!$Y$76:$AA$88,3,0)</f>
        <v>16.809999999999999</v>
      </c>
      <c r="FS34" s="759">
        <f t="shared" si="82"/>
        <v>16.809999999999999</v>
      </c>
      <c r="FT34" s="745">
        <f t="shared" si="23"/>
        <v>25</v>
      </c>
      <c r="FU34" s="745">
        <v>1</v>
      </c>
      <c r="FV34" s="758">
        <f>VLOOKUP(FT34,'Ціни контур теплопостачання'!$Y$76:$AA$88,3,0)</f>
        <v>11.45</v>
      </c>
      <c r="FW34" s="759">
        <f t="shared" si="83"/>
        <v>11.45</v>
      </c>
      <c r="FX34" s="758">
        <f t="shared" si="24"/>
        <v>24.945861380196916</v>
      </c>
      <c r="FY34" s="760">
        <v>25</v>
      </c>
      <c r="FZ34" s="719">
        <v>2</v>
      </c>
      <c r="GA34" s="747">
        <f>VLOOKUP(FY34,'Ціни контур теплопостачання'!$K$74:$M$79,3,0)</f>
        <v>22.22</v>
      </c>
      <c r="GB34" s="761">
        <f t="shared" si="84"/>
        <v>44.44</v>
      </c>
      <c r="GC34" s="762">
        <f t="shared" si="85"/>
        <v>10.029106029106028</v>
      </c>
      <c r="GD34" s="911">
        <v>9</v>
      </c>
      <c r="GE34" s="1017">
        <v>9</v>
      </c>
      <c r="GF34" s="1018" t="s">
        <v>119</v>
      </c>
      <c r="GG34" s="713">
        <v>2</v>
      </c>
      <c r="GH34" s="709">
        <f>VLOOKUP(GF34,'Ціни контур теплопостачання'!$C$89:$M$105,11,0)</f>
        <v>391.06799999999998</v>
      </c>
      <c r="GI34" s="764">
        <f t="shared" si="86"/>
        <v>782.13599999999997</v>
      </c>
      <c r="GJ34" s="912">
        <f t="shared" si="87"/>
        <v>1.3582150101419879</v>
      </c>
      <c r="GK34" s="911">
        <v>9</v>
      </c>
      <c r="GL34" s="1017">
        <v>9</v>
      </c>
      <c r="GM34" s="1019" t="s">
        <v>1097</v>
      </c>
      <c r="GN34" s="749">
        <v>1</v>
      </c>
      <c r="GO34" s="747">
        <f>VLOOKUP(GM34,'Ціни контур теплопостачання'!$C$89:$M$105,11,0)</f>
        <v>241.2</v>
      </c>
      <c r="GP34" s="904">
        <f t="shared" si="88"/>
        <v>241.2</v>
      </c>
      <c r="GQ34" s="758">
        <f t="shared" si="25"/>
        <v>496.8538046402623</v>
      </c>
      <c r="GR34" s="955">
        <v>500</v>
      </c>
      <c r="GS34" s="749">
        <f>VLOOKUP(GR34,'Ціни контур теплопостачання'!$J$43:$K$55,2,0)</f>
        <v>32</v>
      </c>
      <c r="GT34" s="1020">
        <v>1</v>
      </c>
      <c r="GU34" s="747">
        <f>VLOOKUP(GR34,'Ціни контур теплопостачання'!$J$43:$M$55,4,0)</f>
        <v>249.72</v>
      </c>
      <c r="GV34" s="748">
        <f t="shared" si="89"/>
        <v>249.72</v>
      </c>
      <c r="GW34" s="758">
        <f t="array" ref="GW34">MIN(IF('Ціни контур теплопостачання'!$AN$68:$AN$77&gt;(V34*1.2),'Ціни контур теплопостачання'!$AN$68:$AN$77))</f>
        <v>11.13</v>
      </c>
      <c r="GX34" s="749">
        <f>VLOOKUP(GW34,'Ціни контур теплопостачання'!$AN$68:$AO$77,2,0)</f>
        <v>32</v>
      </c>
      <c r="GY34" s="749">
        <f t="shared" si="26"/>
        <v>2</v>
      </c>
      <c r="GZ34" s="747">
        <f>VLOOKUP(GX34,'Ціни контур теплопостачання'!$AO$68:$AQ$77,3,0)</f>
        <v>37.183999999999997</v>
      </c>
      <c r="HA34" s="759">
        <f t="shared" si="90"/>
        <v>74.367999999999995</v>
      </c>
      <c r="HB34" s="751">
        <v>15</v>
      </c>
      <c r="HC34" s="746">
        <v>2</v>
      </c>
      <c r="HD34" s="747">
        <f>VLOOKUP(HB34,'Ціни контур мережний'!$J$73:$M$73,4,0)</f>
        <v>3.4649999999999999</v>
      </c>
      <c r="HE34" s="748">
        <f t="shared" si="91"/>
        <v>6.93</v>
      </c>
      <c r="HF34" s="749">
        <f t="shared" si="27"/>
        <v>20</v>
      </c>
      <c r="HG34" s="749">
        <v>1</v>
      </c>
      <c r="HH34" s="747">
        <f>VLOOKUP(HF34,'Ціни контур теплопостачання'!$Y$62:$AA$69,3,0)</f>
        <v>23.753519999999998</v>
      </c>
      <c r="HI34" s="765">
        <f t="shared" si="92"/>
        <v>23.753519999999998</v>
      </c>
      <c r="HJ34" s="750">
        <f>VLOOKUP(HK34,'Ціни контур теплопостачання'!$AN$6:$AO$13,2,0)</f>
        <v>32</v>
      </c>
      <c r="HK34" s="751">
        <f t="array" ref="HK34">MIN(IF('Ціни контур теплопостачання'!$AN$6:$AN$13&gt;N34,'Ціни контур теплопостачання'!$AN$6:$AN$13))</f>
        <v>6</v>
      </c>
      <c r="HL34" s="751">
        <v>1</v>
      </c>
      <c r="HM34" s="747">
        <f>VLOOKUP(HJ34,'Ціни контур теплопостачання'!$AO$6:$AQ$13,3,0)</f>
        <v>85.682340000000011</v>
      </c>
      <c r="HN34" s="748">
        <f t="shared" si="93"/>
        <v>85.682340000000011</v>
      </c>
      <c r="HO34" s="750">
        <f t="shared" si="28"/>
        <v>40</v>
      </c>
      <c r="HP34" s="746">
        <v>1</v>
      </c>
      <c r="HQ34" s="747">
        <f>VLOOKUP(HO34,'Ціни контур теплопостачання'!$AO$55:$AQ$63,3,0)</f>
        <v>193.55</v>
      </c>
      <c r="HR34" s="748">
        <f t="shared" si="126"/>
        <v>193.55</v>
      </c>
      <c r="HS34" s="745">
        <f t="shared" si="29"/>
        <v>20</v>
      </c>
      <c r="HT34" s="749">
        <v>1</v>
      </c>
      <c r="HU34" s="747">
        <f>VLOOKUP(HS34,'Ціни контур теплопостачання'!$K$62:$M$67,3,0)</f>
        <v>91.13</v>
      </c>
      <c r="HV34" s="765">
        <f t="shared" si="95"/>
        <v>91.13</v>
      </c>
      <c r="HW34" s="655" t="str">
        <f t="shared" si="138"/>
        <v>0-150</v>
      </c>
      <c r="HX34" s="720">
        <v>1</v>
      </c>
      <c r="HY34" s="747">
        <f>VLOOKUP(HW34,'Ціни контур мережний'!$I$79:$M$80,5,0)</f>
        <v>15.050156291498967</v>
      </c>
      <c r="HZ34" s="748">
        <f t="shared" si="96"/>
        <v>15.050156291498967</v>
      </c>
      <c r="IA34" s="758" t="s">
        <v>109</v>
      </c>
      <c r="IB34" s="749">
        <v>1</v>
      </c>
      <c r="IC34" s="747">
        <f>VLOOKUP(IA34,'Ціни контур мережний'!$I$79:$M$80,5,0)</f>
        <v>15.050156291498967</v>
      </c>
      <c r="ID34" s="765">
        <f t="shared" si="97"/>
        <v>15.050156291498967</v>
      </c>
      <c r="IE34" s="655" t="s">
        <v>108</v>
      </c>
      <c r="IF34" s="720">
        <v>3</v>
      </c>
      <c r="IG34" s="747">
        <f>VLOOKUP(IE34,'Ціни контур мережний'!$I$67:$M$69,5,0)</f>
        <v>4.4537969640631703</v>
      </c>
      <c r="IH34" s="748">
        <f t="shared" si="98"/>
        <v>13.361390892189512</v>
      </c>
      <c r="II34" s="655" t="s">
        <v>106</v>
      </c>
      <c r="IJ34" s="720">
        <f t="shared" si="136"/>
        <v>13</v>
      </c>
      <c r="IK34" s="747">
        <f>VLOOKUP(II34,'Ціни контур мережний'!$I$67:$M$69,5,0)</f>
        <v>4.4537969640631703</v>
      </c>
      <c r="IL34" s="748">
        <f t="shared" si="99"/>
        <v>57.899360532821213</v>
      </c>
      <c r="IM34" s="655" t="s">
        <v>1013</v>
      </c>
      <c r="IN34" s="720">
        <v>5</v>
      </c>
      <c r="IO34" s="747">
        <f>VLOOKUP(IM34,'Ціни контур мережний'!$I$64:$M$64,5,0)</f>
        <v>29.1312</v>
      </c>
      <c r="IP34" s="748">
        <f t="shared" si="100"/>
        <v>145.65600000000001</v>
      </c>
      <c r="IQ34" s="766" t="s">
        <v>1015</v>
      </c>
      <c r="IR34" s="749">
        <v>6</v>
      </c>
      <c r="IS34" s="747">
        <f>VLOOKUP(IQ34,'Ціни контур мережний'!$I$89:$M$89,5,0)</f>
        <v>79.523165325760516</v>
      </c>
      <c r="IT34" s="765">
        <f t="shared" si="101"/>
        <v>477.1389919545631</v>
      </c>
      <c r="IU34" s="917" t="s">
        <v>1016</v>
      </c>
      <c r="IV34" s="720">
        <f t="shared" si="117"/>
        <v>7</v>
      </c>
      <c r="IW34" s="747">
        <f>VLOOKUP(IU34,'Ціни контур мережний'!$I$88:$M$88,5,0)</f>
        <v>13.211568975967202</v>
      </c>
      <c r="IX34" s="768">
        <f t="shared" si="102"/>
        <v>92.480982831770419</v>
      </c>
      <c r="IY34" s="917" t="s">
        <v>383</v>
      </c>
      <c r="IZ34" s="720">
        <v>1</v>
      </c>
      <c r="JA34" s="747">
        <f>VLOOKUP(IY34,'Ціни контур мережний'!$I$87:$M$87,5,0)</f>
        <v>13.483972460007763</v>
      </c>
      <c r="JB34" s="748">
        <f t="shared" si="141"/>
        <v>13.483972460007763</v>
      </c>
      <c r="JC34" s="769">
        <f t="shared" si="31"/>
        <v>81</v>
      </c>
      <c r="JD34" s="770">
        <f t="shared" si="104"/>
        <v>6816.0824946599387</v>
      </c>
      <c r="JE34" s="771">
        <f>$JE$44/'Ціни контур мережний'!$G$26</f>
        <v>476.70609707098151</v>
      </c>
      <c r="JF34" s="771">
        <f>$JE$44/'Ціни контур мережний'!$G$26</f>
        <v>476.70609707098151</v>
      </c>
      <c r="JG34" s="770">
        <f t="shared" si="112"/>
        <v>661.80181284518619</v>
      </c>
      <c r="JH34" s="770">
        <f t="shared" si="113"/>
        <v>487.81784379022207</v>
      </c>
      <c r="JI34" s="770">
        <f>$JI$43/'Ціни контур мережний'!$G$26</f>
        <v>323.47913729816605</v>
      </c>
      <c r="JJ34" s="770">
        <f t="shared" si="105"/>
        <v>66.611999999999995</v>
      </c>
      <c r="JK34" s="770">
        <f t="shared" si="139"/>
        <v>0</v>
      </c>
      <c r="JL34" s="772">
        <f t="shared" si="114"/>
        <v>62.86234247089866</v>
      </c>
      <c r="JM34" s="770">
        <f t="shared" si="140"/>
        <v>0</v>
      </c>
      <c r="JN34" s="770">
        <v>0</v>
      </c>
      <c r="JO34" s="1029">
        <f t="shared" si="32"/>
        <v>656.04474776444624</v>
      </c>
      <c r="JP34" s="770">
        <f t="shared" si="33"/>
        <v>937.20678252063738</v>
      </c>
      <c r="JQ34" s="1030">
        <f t="shared" si="34"/>
        <v>161.22284980697441</v>
      </c>
      <c r="JR34" s="1023">
        <f t="shared" si="115"/>
        <v>300.63036461094771</v>
      </c>
      <c r="JS34" s="777">
        <f t="shared" si="106"/>
        <v>11427.17256990938</v>
      </c>
      <c r="JU34" s="611">
        <f>[3]Расчеты!AX33/1.2</f>
        <v>4694.163997044222</v>
      </c>
      <c r="JV34" s="611">
        <f t="shared" si="107"/>
        <v>16121.336566953603</v>
      </c>
      <c r="JW34" s="611" t="e">
        <f>JV34*1.2*#REF!</f>
        <v>#REF!</v>
      </c>
      <c r="JX34" s="611"/>
    </row>
    <row r="35" spans="2:284" ht="12.6" customHeight="1">
      <c r="B35" s="597">
        <v>82</v>
      </c>
      <c r="C35" s="1056" t="s">
        <v>794</v>
      </c>
      <c r="D35" s="906">
        <v>0.56999999999999995</v>
      </c>
      <c r="E35" s="907">
        <v>0.39900000000000002</v>
      </c>
      <c r="F35" s="908">
        <f t="shared" si="35"/>
        <v>20.381594434471559</v>
      </c>
      <c r="G35" s="909">
        <v>100</v>
      </c>
      <c r="H35" s="598">
        <f t="shared" si="36"/>
        <v>10.182207931404072</v>
      </c>
      <c r="I35" s="599">
        <v>65</v>
      </c>
      <c r="J35" s="598">
        <f t="shared" si="37"/>
        <v>23.700623700623701</v>
      </c>
      <c r="K35" s="599">
        <v>100</v>
      </c>
      <c r="L35" s="598">
        <f t="shared" si="38"/>
        <v>10.199386503067485</v>
      </c>
      <c r="M35" s="599">
        <v>65</v>
      </c>
      <c r="N35" s="598">
        <f t="shared" si="39"/>
        <v>8.0933062880324549</v>
      </c>
      <c r="O35" s="599">
        <v>50</v>
      </c>
      <c r="P35" s="598">
        <f t="shared" si="108"/>
        <v>2.4279918864097363</v>
      </c>
      <c r="Q35" s="599">
        <v>32</v>
      </c>
      <c r="R35" s="598">
        <f t="shared" si="40"/>
        <v>14.399816551494535</v>
      </c>
      <c r="S35" s="600">
        <f t="shared" si="41"/>
        <v>14.424110720523132</v>
      </c>
      <c r="T35" s="910">
        <v>3</v>
      </c>
      <c r="U35" s="601">
        <f t="shared" si="42"/>
        <v>7.9002079002079002</v>
      </c>
      <c r="V35" s="601">
        <f t="shared" si="43"/>
        <v>11.172581158041083</v>
      </c>
      <c r="W35" s="602">
        <v>50</v>
      </c>
      <c r="X35" s="1027">
        <v>11.1</v>
      </c>
      <c r="Y35" s="601">
        <f t="shared" si="44"/>
        <v>3.3299999999999996</v>
      </c>
      <c r="Z35" s="992">
        <v>25</v>
      </c>
      <c r="AA35" s="1028">
        <v>9</v>
      </c>
      <c r="AB35" s="745">
        <f t="shared" si="0"/>
        <v>100</v>
      </c>
      <c r="AC35" s="746">
        <v>2</v>
      </c>
      <c r="AD35" s="747">
        <f>VLOOKUP(AB35,'Ціни контур мережний'!$Z$24:$AB$36,3,0)</f>
        <v>61.045620773489688</v>
      </c>
      <c r="AE35" s="748">
        <f t="shared" si="45"/>
        <v>122.09124154697938</v>
      </c>
      <c r="AF35" s="745">
        <f t="shared" si="1"/>
        <v>100</v>
      </c>
      <c r="AG35" s="749">
        <v>2</v>
      </c>
      <c r="AH35" s="747">
        <f>VLOOKUP(AF35,'Ціни контур мережний'!$Z$64:$AB$77,3,0)</f>
        <v>150.69360737123827</v>
      </c>
      <c r="AI35" s="748">
        <f t="shared" si="46"/>
        <v>301.38721474247654</v>
      </c>
      <c r="AJ35" s="745">
        <f t="shared" si="2"/>
        <v>100</v>
      </c>
      <c r="AK35" s="746">
        <v>0</v>
      </c>
      <c r="AL35" s="747">
        <f>VLOOKUP(AJ35,'Ціни контур мережний'!$Z$5:$AB$17,3,0)</f>
        <v>70.903000000000006</v>
      </c>
      <c r="AM35" s="748">
        <f t="shared" si="47"/>
        <v>0</v>
      </c>
      <c r="AN35" s="750">
        <f t="shared" si="3"/>
        <v>65</v>
      </c>
      <c r="AO35" s="746">
        <v>1</v>
      </c>
      <c r="AP35" s="747">
        <f>VLOOKUP(AN35,'Ціни контур мережний'!$Z$43:$AB$55,3,0)</f>
        <v>30.19184015363556</v>
      </c>
      <c r="AQ35" s="768">
        <f t="shared" si="48"/>
        <v>30.19184015363556</v>
      </c>
      <c r="AR35" s="749">
        <f t="shared" si="4"/>
        <v>65</v>
      </c>
      <c r="AS35" s="749">
        <v>4</v>
      </c>
      <c r="AT35" s="747">
        <f>VLOOKUP(AR35,'Ціни контур мережний'!$Z$43:$AB$55,3,0)</f>
        <v>30.19184015363556</v>
      </c>
      <c r="AU35" s="1016">
        <f t="shared" si="49"/>
        <v>120.76736061454224</v>
      </c>
      <c r="AV35" s="751" t="str">
        <f t="shared" si="50"/>
        <v>AMV20</v>
      </c>
      <c r="AW35" s="751">
        <v>1</v>
      </c>
      <c r="AX35" s="747">
        <f>VLOOKUP(AV35,'Ціни контур мережний'!$I$53:$M$57,5,0)</f>
        <v>110.39869654932889</v>
      </c>
      <c r="AY35" s="748">
        <f t="shared" si="51"/>
        <v>110.39869654932889</v>
      </c>
      <c r="AZ35" s="752">
        <f t="array" ref="AZ35">MIN(IF('Ціни контур мережний'!$Y$83:$Y$92&gt;(R35*1.2),'Ціни контур мережний'!$Y$83:$Y$92))</f>
        <v>25</v>
      </c>
      <c r="BA35" s="746">
        <f>VLOOKUP(AZ35,'Ціни контур мережний'!$Y$83:$Z$92,2,0)</f>
        <v>40</v>
      </c>
      <c r="BB35" s="746">
        <v>1</v>
      </c>
      <c r="BC35" s="747">
        <f>VLOOKUP(AZ35,'Ціни контур мережний'!$Y$83:$AB$92,4,0)</f>
        <v>156.6569554824606</v>
      </c>
      <c r="BD35" s="748">
        <f t="shared" si="52"/>
        <v>156.6569554824606</v>
      </c>
      <c r="BE35" s="1099">
        <f t="array" ref="BE35">MIN(IF('[1]Ціни контур мережний'!$Y$104:$Y$114&gt;(R35*1.2),'[1]Ціни контур мережний'!$Y$104:$Y$114))</f>
        <v>20</v>
      </c>
      <c r="BF35" s="1101">
        <f>VLOOKUP(BE35,'[1]Ціни контур мережний'!$Y$104:$Z$114,2,0)</f>
        <v>50</v>
      </c>
      <c r="BG35" s="753">
        <v>1</v>
      </c>
      <c r="BH35" s="754">
        <f>VLOOKUP(BE35,'Ціни контур мережний'!$Y$104:$AB$114,4,0)</f>
        <v>448.22326189551967</v>
      </c>
      <c r="BI35" s="755">
        <f t="shared" si="53"/>
        <v>448.22326189551967</v>
      </c>
      <c r="BJ35" s="751" t="s">
        <v>67</v>
      </c>
      <c r="BK35" s="749">
        <v>1</v>
      </c>
      <c r="BL35" s="747">
        <f>VLOOKUP(BJ35,'Ціни контур мережний'!$I$53:$M$57,5,0)</f>
        <v>157.67238032974441</v>
      </c>
      <c r="BM35" s="748">
        <f t="shared" si="54"/>
        <v>157.67238032974441</v>
      </c>
      <c r="BN35" s="896">
        <f t="array" ref="BN35">MIN(IF('Ціни контур мережний'!$Y$83:$Y$93&gt;(S35*1.2),'Ціни контур мережний'!$Y$83:$Y$93))</f>
        <v>25</v>
      </c>
      <c r="BO35" s="896">
        <f>VLOOKUP(BN35,'Ціни контур мережний'!$Y$83:$Z$93,2,0)</f>
        <v>40</v>
      </c>
      <c r="BP35" s="895">
        <v>1</v>
      </c>
      <c r="BQ35" s="896">
        <f>VLOOKUP(BN35,'Ціни контур мережний'!$Y$83:$AB$93,4,0)</f>
        <v>156.6569554824606</v>
      </c>
      <c r="BR35" s="897">
        <f t="shared" si="55"/>
        <v>156.6569554824606</v>
      </c>
      <c r="BS35" s="896">
        <f t="array" ref="BS35">MIN(IF('Ціни контур мережний'!$Y$104:$Y$114&gt;(S35*1.2),'Ціни контур мережний'!$Y$104:$Y$114))</f>
        <v>20</v>
      </c>
      <c r="BT35" s="896">
        <f>VLOOKUP(BS35,'Ціни контур мережний'!$Y$104:$Z$114,2,0)</f>
        <v>40</v>
      </c>
      <c r="BU35" s="895">
        <v>1</v>
      </c>
      <c r="BV35" s="896">
        <f>VLOOKUP(BS35,'Ціни контур мережний'!$Y$104:$AB$114,4,0)</f>
        <v>448.22326189551967</v>
      </c>
      <c r="BW35" s="897">
        <f t="shared" si="56"/>
        <v>448.22326189551967</v>
      </c>
      <c r="BX35" s="751" t="s">
        <v>115</v>
      </c>
      <c r="BY35" s="751" t="s">
        <v>115</v>
      </c>
      <c r="BZ35" s="746" t="s">
        <v>1025</v>
      </c>
      <c r="CA35" s="756">
        <v>0</v>
      </c>
      <c r="CB35" s="747">
        <v>0</v>
      </c>
      <c r="CC35" s="748">
        <f t="shared" si="57"/>
        <v>0</v>
      </c>
      <c r="CD35" s="758">
        <f>VLOOKUP(CE35,'Ціни контур мережний'!$J$5:$L$12,3,0)</f>
        <v>50</v>
      </c>
      <c r="CE35" s="747">
        <f t="array" ref="CE35">MIN(IF('Ціни контур мережний'!$J$5:$J$12&gt;L35,'Ціни контур мережний'!$J$5:$J$12))</f>
        <v>15</v>
      </c>
      <c r="CF35" s="746" t="s">
        <v>130</v>
      </c>
      <c r="CG35" s="749">
        <v>1</v>
      </c>
      <c r="CH35" s="747">
        <f>VLOOKUP(CE35,'Ціни контур мережний'!$J$5:$N$12,5,0)</f>
        <v>366.74399999999997</v>
      </c>
      <c r="CI35" s="748">
        <f t="shared" si="58"/>
        <v>366.74399999999997</v>
      </c>
      <c r="CJ35" s="899" t="s">
        <v>1311</v>
      </c>
      <c r="CK35" s="899">
        <v>1</v>
      </c>
      <c r="CL35" s="898">
        <v>1503</v>
      </c>
      <c r="CM35" s="901">
        <f t="shared" si="59"/>
        <v>1503</v>
      </c>
      <c r="CN35" s="898" t="s">
        <v>1333</v>
      </c>
      <c r="CO35" s="899">
        <v>1</v>
      </c>
      <c r="CP35" s="900">
        <v>740</v>
      </c>
      <c r="CQ35" s="901">
        <f t="shared" si="60"/>
        <v>740</v>
      </c>
      <c r="CR35" s="751">
        <f t="shared" si="5"/>
        <v>100</v>
      </c>
      <c r="CS35" s="746">
        <v>4</v>
      </c>
      <c r="CT35" s="747">
        <f>VLOOKUP(CR35,'Ціни контур теплопостачання'!$Y$5:$AA$17,3,0)</f>
        <v>61.045620773489688</v>
      </c>
      <c r="CU35" s="748">
        <f t="shared" si="61"/>
        <v>244.18248309395875</v>
      </c>
      <c r="CV35" s="750">
        <f t="shared" si="6"/>
        <v>50</v>
      </c>
      <c r="CW35" s="746">
        <v>6</v>
      </c>
      <c r="CX35" s="747">
        <f>VLOOKUP(CV35,'Ціни контур теплопостачання'!$AO$20:$AQ$29,3,0)</f>
        <v>37.588411955788914</v>
      </c>
      <c r="CY35" s="748">
        <f t="shared" si="62"/>
        <v>225.53047173473348</v>
      </c>
      <c r="CZ35" s="750">
        <f t="shared" si="7"/>
        <v>32</v>
      </c>
      <c r="DA35" s="746">
        <v>3</v>
      </c>
      <c r="DB35" s="747">
        <f>VLOOKUP(CZ35,'Ціни контур теплопостачання'!$AO$20:$AQ$29,3,0)</f>
        <v>10.381</v>
      </c>
      <c r="DC35" s="748">
        <f t="shared" si="63"/>
        <v>31.143000000000001</v>
      </c>
      <c r="DD35" s="757">
        <f t="shared" si="8"/>
        <v>50</v>
      </c>
      <c r="DE35" s="746">
        <f t="shared" si="9"/>
        <v>6</v>
      </c>
      <c r="DF35" s="747">
        <f>VLOOKUP(DD35,'Ціни контур теплопостачання'!$Y$5:$AA$17,3,0)</f>
        <v>23.2782130224622</v>
      </c>
      <c r="DG35" s="748">
        <f t="shared" si="64"/>
        <v>139.66927813477321</v>
      </c>
      <c r="DH35" s="745">
        <f t="shared" si="65"/>
        <v>32</v>
      </c>
      <c r="DI35" s="749">
        <f t="shared" si="66"/>
        <v>2</v>
      </c>
      <c r="DJ35" s="747">
        <f>VLOOKUP(DH35,'Ціни контур теплопостачання'!$Y$5:$AA$17,3,0)</f>
        <v>10.381</v>
      </c>
      <c r="DK35" s="765">
        <f t="shared" si="67"/>
        <v>20.762</v>
      </c>
      <c r="DL35" s="757">
        <f t="shared" si="10"/>
        <v>25</v>
      </c>
      <c r="DM35" s="746">
        <v>1</v>
      </c>
      <c r="DN35" s="747">
        <f>VLOOKUP(DL35,'Ціни контур мережний'!$Z$43:$AB$55,3,0)</f>
        <v>14.856886019572187</v>
      </c>
      <c r="DO35" s="748">
        <f t="shared" si="68"/>
        <v>14.856886019572187</v>
      </c>
      <c r="DP35" s="757">
        <f t="shared" si="11"/>
        <v>25</v>
      </c>
      <c r="DQ35" s="746">
        <v>2</v>
      </c>
      <c r="DR35" s="747">
        <f>VLOOKUP(DP35,'Ціни контур теплопостачання'!$Y$5:$AA$17,3,0)</f>
        <v>6.3070000000000004</v>
      </c>
      <c r="DS35" s="748">
        <f t="shared" si="69"/>
        <v>12.614000000000001</v>
      </c>
      <c r="DT35" s="745">
        <v>20</v>
      </c>
      <c r="DU35" s="749">
        <v>2</v>
      </c>
      <c r="DV35" s="747">
        <f>VLOOKUP(DT35,'Ціни контур теплопостачання'!$Y$5:$AA$17,3,0)</f>
        <v>3.577</v>
      </c>
      <c r="DW35" s="748">
        <f t="shared" si="70"/>
        <v>7.1539999999999999</v>
      </c>
      <c r="DX35" s="745">
        <v>15</v>
      </c>
      <c r="DY35" s="745">
        <v>10</v>
      </c>
      <c r="DZ35" s="758">
        <f>VLOOKUP(DX35,'Ціни контур теплопостачання'!$Y$5:$AA$17,3,0)</f>
        <v>2.464</v>
      </c>
      <c r="EA35" s="759">
        <f t="shared" si="71"/>
        <v>24.64</v>
      </c>
      <c r="EB35" s="745">
        <v>15</v>
      </c>
      <c r="EC35" s="745">
        <f t="shared" si="110"/>
        <v>39</v>
      </c>
      <c r="ED35" s="758">
        <f>VLOOKUP(EB35,'Ціни контур мережний'!$J$71:$M$71,4,0)</f>
        <v>3.3865201135922525</v>
      </c>
      <c r="EE35" s="759">
        <f t="shared" si="72"/>
        <v>132.07428443009783</v>
      </c>
      <c r="EF35" s="751">
        <f t="shared" si="12"/>
        <v>100</v>
      </c>
      <c r="EG35" s="746">
        <v>1</v>
      </c>
      <c r="EH35" s="747">
        <f>VLOOKUP(EF35,'Ціни контур теплопостачання'!$K$5:$M$17,3,0)</f>
        <v>70.903000000000006</v>
      </c>
      <c r="EI35" s="748">
        <f t="shared" si="73"/>
        <v>70.903000000000006</v>
      </c>
      <c r="EJ35" s="745">
        <f t="shared" si="13"/>
        <v>50</v>
      </c>
      <c r="EK35" s="749">
        <v>1</v>
      </c>
      <c r="EL35" s="747">
        <f>VLOOKUP(EJ35,'Ціни контур теплопостачання'!$K$5:$M$17,3,0)</f>
        <v>26.284999999999997</v>
      </c>
      <c r="EM35" s="748">
        <f t="shared" si="74"/>
        <v>26.284999999999997</v>
      </c>
      <c r="EN35" s="745">
        <f t="shared" si="14"/>
        <v>32</v>
      </c>
      <c r="EO35" s="745">
        <v>1</v>
      </c>
      <c r="EP35" s="758">
        <f>VLOOKUP(EN35,'Ціни контур теплопостачання'!$K$5:$M$17,3,0)</f>
        <v>9.48</v>
      </c>
      <c r="EQ35" s="759">
        <f t="shared" si="75"/>
        <v>9.48</v>
      </c>
      <c r="ER35" s="745">
        <f t="shared" si="15"/>
        <v>25</v>
      </c>
      <c r="ES35" s="745">
        <v>1</v>
      </c>
      <c r="ET35" s="758">
        <f>VLOOKUP(ER35,'Ціни контур теплопостачання'!$K$5:$M$17,3,0)</f>
        <v>4.78</v>
      </c>
      <c r="EU35" s="759">
        <f t="shared" si="76"/>
        <v>4.78</v>
      </c>
      <c r="EV35" s="751">
        <f t="shared" si="16"/>
        <v>100</v>
      </c>
      <c r="EW35" s="746">
        <v>2</v>
      </c>
      <c r="EX35" s="747">
        <f>VLOOKUP(EV35,'Ціни контур теплопостачання'!$Y$24:$AA$36,3,0)</f>
        <v>87.795500000000004</v>
      </c>
      <c r="EY35" s="748">
        <f t="shared" si="77"/>
        <v>175.59100000000001</v>
      </c>
      <c r="EZ35" s="745">
        <f t="shared" si="17"/>
        <v>50</v>
      </c>
      <c r="FA35" s="749">
        <v>1</v>
      </c>
      <c r="FB35" s="747">
        <f>VLOOKUP(EZ35,'Ціни контур теплопостачання'!$AO$38:$AQ$50,3,0)</f>
        <v>28.560999999999996</v>
      </c>
      <c r="FC35" s="748">
        <f t="shared" si="78"/>
        <v>28.560999999999996</v>
      </c>
      <c r="FD35" s="745">
        <f t="shared" si="18"/>
        <v>32</v>
      </c>
      <c r="FE35" s="745">
        <v>1</v>
      </c>
      <c r="FF35" s="758">
        <f>VLOOKUP(FD35,'Ціни контур теплопостачання'!$AO$38:$AQ$50,3,0)</f>
        <v>10.773</v>
      </c>
      <c r="FG35" s="759">
        <f t="shared" si="79"/>
        <v>10.773</v>
      </c>
      <c r="FH35" s="745">
        <f t="shared" si="19"/>
        <v>25</v>
      </c>
      <c r="FI35" s="745">
        <v>1</v>
      </c>
      <c r="FJ35" s="758">
        <f>VLOOKUP(FH35,'Ціни контур теплопостачання'!$Y$24:$AA$36,3,0)</f>
        <v>6.9659999999999993</v>
      </c>
      <c r="FK35" s="759">
        <f t="shared" si="80"/>
        <v>6.9659999999999993</v>
      </c>
      <c r="FL35" s="745">
        <f t="shared" si="20"/>
        <v>50</v>
      </c>
      <c r="FM35" s="745">
        <f t="shared" si="21"/>
        <v>6</v>
      </c>
      <c r="FN35" s="758">
        <f>VLOOKUP(FL35,'Ціни контур теплопостачання'!$Y$76:$AA$88,3,0)</f>
        <v>20.6</v>
      </c>
      <c r="FO35" s="759">
        <f t="shared" si="81"/>
        <v>123.60000000000001</v>
      </c>
      <c r="FP35" s="745">
        <f t="shared" si="22"/>
        <v>50</v>
      </c>
      <c r="FQ35" s="745">
        <v>1</v>
      </c>
      <c r="FR35" s="758">
        <f>VLOOKUP(FP35,'Ціни контур теплопостачання'!$Y$76:$AA$88,3,0)</f>
        <v>20.6</v>
      </c>
      <c r="FS35" s="759">
        <f t="shared" si="82"/>
        <v>20.6</v>
      </c>
      <c r="FT35" s="745">
        <f t="shared" si="23"/>
        <v>32</v>
      </c>
      <c r="FU35" s="745">
        <v>1</v>
      </c>
      <c r="FV35" s="758">
        <f>VLOOKUP(FT35,'Ціни контур теплопостачання'!$Y$76:$AA$88,3,0)</f>
        <v>13.15</v>
      </c>
      <c r="FW35" s="759">
        <f t="shared" si="83"/>
        <v>13.15</v>
      </c>
      <c r="FX35" s="758">
        <f t="shared" si="24"/>
        <v>38.348402835059503</v>
      </c>
      <c r="FY35" s="760">
        <v>40</v>
      </c>
      <c r="FZ35" s="719">
        <v>2</v>
      </c>
      <c r="GA35" s="747">
        <f>VLOOKUP(FY35,'Ціни контур теплопостачання'!$K$74:$M$79,3,0)</f>
        <v>43.19</v>
      </c>
      <c r="GB35" s="761">
        <f t="shared" si="84"/>
        <v>86.38</v>
      </c>
      <c r="GC35" s="762">
        <f t="shared" si="85"/>
        <v>23.700623700623701</v>
      </c>
      <c r="GD35" s="911">
        <v>9</v>
      </c>
      <c r="GE35" s="1017">
        <v>9</v>
      </c>
      <c r="GF35" s="1032" t="s">
        <v>124</v>
      </c>
      <c r="GG35" s="713">
        <v>2</v>
      </c>
      <c r="GH35" s="709">
        <f>VLOOKUP(GF35,'Ціни контур теплопостачання'!$C$89:$M$105,11,0)</f>
        <v>678</v>
      </c>
      <c r="GI35" s="764">
        <f t="shared" si="86"/>
        <v>1356</v>
      </c>
      <c r="GJ35" s="912">
        <f t="shared" si="87"/>
        <v>2.4279918864097363</v>
      </c>
      <c r="GK35" s="911">
        <v>9</v>
      </c>
      <c r="GL35" s="1017">
        <v>9</v>
      </c>
      <c r="GM35" s="1019" t="s">
        <v>1097</v>
      </c>
      <c r="GN35" s="749">
        <v>1</v>
      </c>
      <c r="GO35" s="747">
        <f>VLOOKUP(GM35,'Ціни контур теплопостачання'!$C$89:$M$105,11,0)</f>
        <v>241.2</v>
      </c>
      <c r="GP35" s="904">
        <f t="shared" si="88"/>
        <v>241.2</v>
      </c>
      <c r="GQ35" s="758">
        <f t="shared" si="25"/>
        <v>1173.4206875546618</v>
      </c>
      <c r="GR35" s="955">
        <v>750</v>
      </c>
      <c r="GS35" s="749">
        <f>VLOOKUP(GR35,'Ціни контур теплопостачання'!$J$43:$K$55,2,0)</f>
        <v>32</v>
      </c>
      <c r="GT35" s="1020">
        <v>2</v>
      </c>
      <c r="GU35" s="747">
        <f>VLOOKUP(GR35,'Ціни контур теплопостачання'!$J$43:$M$55,4,0)</f>
        <v>376.94</v>
      </c>
      <c r="GV35" s="748">
        <f t="shared" si="89"/>
        <v>753.88</v>
      </c>
      <c r="GW35" s="758">
        <f t="array" ref="GW35">MIN(IF('Ціни контур теплопостачання'!$AN$68:$AN$77&gt;(V35*1.2),'Ціни контур теплопостачання'!$AN$68:$AN$77))</f>
        <v>22.36</v>
      </c>
      <c r="GX35" s="749">
        <f>VLOOKUP(GW35,'Ціни контур теплопостачання'!$AN$68:$AO$77,2,0)</f>
        <v>40</v>
      </c>
      <c r="GY35" s="749">
        <f t="shared" si="26"/>
        <v>3</v>
      </c>
      <c r="GZ35" s="747">
        <f>VLOOKUP(GX35,'Ціни контур теплопостачання'!$AO$68:$AQ$77,3,0)</f>
        <v>43.225000000000001</v>
      </c>
      <c r="HA35" s="759">
        <f t="shared" si="90"/>
        <v>129.67500000000001</v>
      </c>
      <c r="HB35" s="751">
        <v>15</v>
      </c>
      <c r="HC35" s="746">
        <v>2</v>
      </c>
      <c r="HD35" s="747">
        <f>VLOOKUP(HB35,'Ціни контур мережний'!$J$73:$M$73,4,0)</f>
        <v>3.4649999999999999</v>
      </c>
      <c r="HE35" s="748">
        <f t="shared" si="91"/>
        <v>6.93</v>
      </c>
      <c r="HF35" s="749">
        <f t="shared" si="27"/>
        <v>25</v>
      </c>
      <c r="HG35" s="749">
        <v>1</v>
      </c>
      <c r="HH35" s="747">
        <f>VLOOKUP(HF35,'Ціни контур теплопостачання'!$Y$62:$AA$69,3,0)</f>
        <v>89.924040000000005</v>
      </c>
      <c r="HI35" s="765">
        <f t="shared" si="92"/>
        <v>89.924040000000005</v>
      </c>
      <c r="HJ35" s="750">
        <f>VLOOKUP(HK35,'Ціни контур теплопостачання'!$AN$6:$AO$13,2,0)</f>
        <v>40</v>
      </c>
      <c r="HK35" s="751">
        <f t="array" ref="HK35">MIN(IF('Ціни контур теплопостачання'!$AN$6:$AN$13&gt;N35,'Ціни контур теплопостачання'!$AN$6:$AN$13))</f>
        <v>15</v>
      </c>
      <c r="HL35" s="751">
        <v>1</v>
      </c>
      <c r="HM35" s="747">
        <f>VLOOKUP(HJ35,'Ціни контур теплопостачання'!$AO$6:$AQ$13,3,0)</f>
        <v>140.82444000000001</v>
      </c>
      <c r="HN35" s="748">
        <f t="shared" si="93"/>
        <v>140.82444000000001</v>
      </c>
      <c r="HO35" s="750">
        <f t="shared" si="28"/>
        <v>50</v>
      </c>
      <c r="HP35" s="746">
        <v>1</v>
      </c>
      <c r="HQ35" s="747">
        <f>VLOOKUP(HO35,'Ціни контур теплопостачання'!$AO$55:$AQ$63,3,0)</f>
        <v>355.5</v>
      </c>
      <c r="HR35" s="748">
        <f t="shared" si="126"/>
        <v>355.5</v>
      </c>
      <c r="HS35" s="745">
        <f t="shared" si="29"/>
        <v>25</v>
      </c>
      <c r="HT35" s="749">
        <v>1</v>
      </c>
      <c r="HU35" s="747">
        <f>VLOOKUP(HS35,'Ціни контур теплопостачання'!$K$62:$M$67,3,0)</f>
        <v>92.91</v>
      </c>
      <c r="HV35" s="765">
        <f t="shared" si="95"/>
        <v>92.91</v>
      </c>
      <c r="HW35" s="655" t="str">
        <f t="shared" si="138"/>
        <v>0-150</v>
      </c>
      <c r="HX35" s="720">
        <v>1</v>
      </c>
      <c r="HY35" s="747">
        <f>VLOOKUP(HW35,'Ціни контур мережний'!$I$79:$M$80,5,0)</f>
        <v>15.050156291498967</v>
      </c>
      <c r="HZ35" s="748">
        <f t="shared" si="96"/>
        <v>15.050156291498967</v>
      </c>
      <c r="IA35" s="758" t="s">
        <v>109</v>
      </c>
      <c r="IB35" s="749">
        <v>1</v>
      </c>
      <c r="IC35" s="747">
        <f>VLOOKUP(IA35,'Ціни контур мережний'!$I$79:$M$80,5,0)</f>
        <v>15.050156291498967</v>
      </c>
      <c r="ID35" s="765">
        <f t="shared" si="97"/>
        <v>15.050156291498967</v>
      </c>
      <c r="IE35" s="655" t="s">
        <v>108</v>
      </c>
      <c r="IF35" s="720">
        <v>3</v>
      </c>
      <c r="IG35" s="747">
        <f>VLOOKUP(IE35,'Ціни контур мережний'!$I$67:$M$69,5,0)</f>
        <v>4.4537969640631703</v>
      </c>
      <c r="IH35" s="748">
        <f t="shared" si="98"/>
        <v>13.361390892189512</v>
      </c>
      <c r="II35" s="655" t="s">
        <v>106</v>
      </c>
      <c r="IJ35" s="720">
        <f t="shared" si="136"/>
        <v>14</v>
      </c>
      <c r="IK35" s="747">
        <f>VLOOKUP(II35,'Ціни контур мережний'!$I$67:$M$69,5,0)</f>
        <v>4.4537969640631703</v>
      </c>
      <c r="IL35" s="748">
        <f t="shared" si="99"/>
        <v>62.353157496884386</v>
      </c>
      <c r="IM35" s="655" t="s">
        <v>1013</v>
      </c>
      <c r="IN35" s="720">
        <v>5</v>
      </c>
      <c r="IO35" s="747">
        <f>VLOOKUP(IM35,'Ціни контур мережний'!$I$64:$M$64,5,0)</f>
        <v>29.1312</v>
      </c>
      <c r="IP35" s="748">
        <f t="shared" si="100"/>
        <v>145.65600000000001</v>
      </c>
      <c r="IQ35" s="766" t="s">
        <v>1015</v>
      </c>
      <c r="IR35" s="749">
        <v>6</v>
      </c>
      <c r="IS35" s="747">
        <f>VLOOKUP(IQ35,'Ціни контур мережний'!$I$89:$M$89,5,0)</f>
        <v>79.523165325760516</v>
      </c>
      <c r="IT35" s="765">
        <f t="shared" si="101"/>
        <v>477.1389919545631</v>
      </c>
      <c r="IU35" s="778" t="s">
        <v>1016</v>
      </c>
      <c r="IV35" s="720">
        <f t="shared" si="117"/>
        <v>7</v>
      </c>
      <c r="IW35" s="747">
        <f>VLOOKUP(IU35,'Ціни контур мережний'!$I$88:$M$88,5,0)</f>
        <v>13.211568975967202</v>
      </c>
      <c r="IX35" s="768">
        <f t="shared" si="102"/>
        <v>92.480982831770419</v>
      </c>
      <c r="IY35" s="757" t="s">
        <v>383</v>
      </c>
      <c r="IZ35" s="720">
        <v>1</v>
      </c>
      <c r="JA35" s="747">
        <f>VLOOKUP(IY35,'Ціни контур мережний'!$I$87:$M$87,5,0)</f>
        <v>13.483972460007763</v>
      </c>
      <c r="JB35" s="748">
        <f t="shared" si="141"/>
        <v>13.483972460007763</v>
      </c>
      <c r="JC35" s="769">
        <f t="shared" si="31"/>
        <v>82</v>
      </c>
      <c r="JD35" s="770">
        <f t="shared" si="104"/>
        <v>10093.126860324215</v>
      </c>
      <c r="JE35" s="771">
        <f>$JE$46/'Ціни контур мережний'!$G$26</f>
        <v>681.00871010140213</v>
      </c>
      <c r="JF35" s="771">
        <f>$JE$45/'Ціни контур мережний'!$G$26</f>
        <v>578.85740358619182</v>
      </c>
      <c r="JG35" s="770">
        <f t="shared" si="112"/>
        <v>661.80181284518619</v>
      </c>
      <c r="JH35" s="770">
        <f t="shared" si="113"/>
        <v>487.81784379022207</v>
      </c>
      <c r="JI35" s="770">
        <f>$JI$43/'Ціни контур мережний'!$G$26</f>
        <v>323.47913729816605</v>
      </c>
      <c r="JJ35" s="770">
        <f t="shared" si="105"/>
        <v>66.611999999999995</v>
      </c>
      <c r="JK35" s="770">
        <f t="shared" si="139"/>
        <v>0</v>
      </c>
      <c r="JL35" s="772">
        <f t="shared" si="114"/>
        <v>62.86234247089866</v>
      </c>
      <c r="JM35" s="770">
        <f t="shared" si="140"/>
        <v>0</v>
      </c>
      <c r="JN35" s="770">
        <v>0</v>
      </c>
      <c r="JO35" s="1029">
        <f t="shared" si="32"/>
        <v>906.88962772913965</v>
      </c>
      <c r="JP35" s="770">
        <f t="shared" si="33"/>
        <v>1295.556611041628</v>
      </c>
      <c r="JQ35" s="1030">
        <f t="shared" si="34"/>
        <v>222.86792286823584</v>
      </c>
      <c r="JR35" s="1023">
        <f t="shared" si="115"/>
        <v>300.63036461094771</v>
      </c>
      <c r="JS35" s="777">
        <f t="shared" si="106"/>
        <v>15681.510636666229</v>
      </c>
      <c r="JU35" s="611">
        <f>[3]Расчеты!AX34/1.2</f>
        <v>5572.4481973529637</v>
      </c>
      <c r="JV35" s="611">
        <f t="shared" si="107"/>
        <v>21253.958834019191</v>
      </c>
      <c r="JW35" s="611" t="e">
        <f>JV35*1.2*#REF!</f>
        <v>#REF!</v>
      </c>
      <c r="JX35" s="611"/>
    </row>
    <row r="36" spans="2:284" ht="12.6" customHeight="1">
      <c r="B36" s="597">
        <v>83</v>
      </c>
      <c r="C36" s="1056" t="s">
        <v>795</v>
      </c>
      <c r="D36" s="892">
        <v>0.82</v>
      </c>
      <c r="E36" s="918">
        <v>0.7</v>
      </c>
      <c r="F36" s="742">
        <f t="shared" si="35"/>
        <v>32.541749134769866</v>
      </c>
      <c r="G36" s="743">
        <v>100</v>
      </c>
      <c r="H36" s="598">
        <f t="shared" si="36"/>
        <v>14.648088603072525</v>
      </c>
      <c r="I36" s="599">
        <v>65</v>
      </c>
      <c r="J36" s="598">
        <f t="shared" si="37"/>
        <v>34.095634095634097</v>
      </c>
      <c r="K36" s="599">
        <v>125</v>
      </c>
      <c r="L36" s="598">
        <f t="shared" si="38"/>
        <v>17.893660531697343</v>
      </c>
      <c r="M36" s="599">
        <v>80</v>
      </c>
      <c r="N36" s="598">
        <f t="shared" si="39"/>
        <v>14.198782961460447</v>
      </c>
      <c r="O36" s="599">
        <v>65</v>
      </c>
      <c r="P36" s="598">
        <f t="shared" si="108"/>
        <v>4.2596348884381339</v>
      </c>
      <c r="Q36" s="599">
        <v>40</v>
      </c>
      <c r="R36" s="598">
        <f t="shared" si="40"/>
        <v>20.715525565307928</v>
      </c>
      <c r="S36" s="600">
        <f t="shared" si="41"/>
        <v>25.305457404426548</v>
      </c>
      <c r="T36" s="744">
        <v>5</v>
      </c>
      <c r="U36" s="601">
        <f t="shared" si="42"/>
        <v>6.8191268191268195</v>
      </c>
      <c r="V36" s="601">
        <f t="shared" si="43"/>
        <v>9.6437016311512505</v>
      </c>
      <c r="W36" s="602">
        <v>50</v>
      </c>
      <c r="X36" s="1014">
        <v>16</v>
      </c>
      <c r="Y36" s="601">
        <f t="shared" si="44"/>
        <v>4.8</v>
      </c>
      <c r="Z36" s="992">
        <v>25</v>
      </c>
      <c r="AA36" s="1015">
        <v>9</v>
      </c>
      <c r="AB36" s="745">
        <f t="shared" si="0"/>
        <v>100</v>
      </c>
      <c r="AC36" s="746">
        <v>2</v>
      </c>
      <c r="AD36" s="747">
        <f>VLOOKUP(AB36,'Ціни контур мережний'!$Z$24:$AB$36,3,0)</f>
        <v>61.045620773489688</v>
      </c>
      <c r="AE36" s="748">
        <f t="shared" si="45"/>
        <v>122.09124154697938</v>
      </c>
      <c r="AF36" s="745">
        <f t="shared" si="1"/>
        <v>100</v>
      </c>
      <c r="AG36" s="749">
        <v>2</v>
      </c>
      <c r="AH36" s="747">
        <f>VLOOKUP(AF36,'Ціни контур мережний'!$Z$64:$AB$77,3,0)</f>
        <v>150.69360737123827</v>
      </c>
      <c r="AI36" s="748">
        <f t="shared" si="46"/>
        <v>301.38721474247654</v>
      </c>
      <c r="AJ36" s="745">
        <f t="shared" si="2"/>
        <v>100</v>
      </c>
      <c r="AK36" s="746">
        <v>1</v>
      </c>
      <c r="AL36" s="747">
        <f>VLOOKUP(AJ36,'Ціни контур мережний'!$Z$5:$AB$17,3,0)</f>
        <v>70.903000000000006</v>
      </c>
      <c r="AM36" s="748">
        <f t="shared" si="47"/>
        <v>70.903000000000006</v>
      </c>
      <c r="AN36" s="750">
        <f t="shared" si="3"/>
        <v>65</v>
      </c>
      <c r="AO36" s="746">
        <v>3</v>
      </c>
      <c r="AP36" s="747">
        <f>VLOOKUP(AN36,'Ціни контур мережний'!$Z$43:$AB$55,3,0)</f>
        <v>30.19184015363556</v>
      </c>
      <c r="AQ36" s="768">
        <f t="shared" si="48"/>
        <v>90.575520460906688</v>
      </c>
      <c r="AR36" s="749">
        <f t="shared" si="4"/>
        <v>80</v>
      </c>
      <c r="AS36" s="749">
        <v>4</v>
      </c>
      <c r="AT36" s="747">
        <f>VLOOKUP(AR36,'Ціни контур мережний'!$Z$43:$AB$55,3,0)</f>
        <v>37.693832104112609</v>
      </c>
      <c r="AU36" s="1016">
        <f t="shared" si="49"/>
        <v>150.77532841645044</v>
      </c>
      <c r="AV36" s="751" t="str">
        <f t="shared" si="50"/>
        <v>AMV20</v>
      </c>
      <c r="AW36" s="751">
        <v>1</v>
      </c>
      <c r="AX36" s="747">
        <f>VLOOKUP(AV36,'Ціни контур мережний'!$I$53:$M$57,5,0)</f>
        <v>110.39869654932889</v>
      </c>
      <c r="AY36" s="748">
        <f t="shared" si="51"/>
        <v>110.39869654932889</v>
      </c>
      <c r="AZ36" s="752">
        <f t="array" ref="AZ36">MIN(IF('Ціни контур мережний'!$Y$83:$Y$92&gt;(R36*1.2),'Ціни контур мережний'!$Y$83:$Y$92))</f>
        <v>25</v>
      </c>
      <c r="BA36" s="746">
        <f>VLOOKUP(AZ36,'Ціни контур мережний'!$Y$83:$Z$92,2,0)</f>
        <v>40</v>
      </c>
      <c r="BB36" s="746">
        <v>1</v>
      </c>
      <c r="BC36" s="747">
        <f>VLOOKUP(AZ36,'Ціни контур мережний'!$Y$83:$AB$92,4,0)</f>
        <v>156.6569554824606</v>
      </c>
      <c r="BD36" s="748">
        <f t="shared" si="52"/>
        <v>156.6569554824606</v>
      </c>
      <c r="BE36" s="1099">
        <f t="array" ref="BE36">MIN(IF('[1]Ціни контур мережний'!$Y$104:$Y$114&gt;(R36*1.2),'[1]Ціни контур мережний'!$Y$104:$Y$114))</f>
        <v>32</v>
      </c>
      <c r="BF36" s="1101">
        <f>VLOOKUP(BE36,'[1]Ціни контур мережний'!$Y$104:$Z$114,2,0)</f>
        <v>50</v>
      </c>
      <c r="BG36" s="753">
        <v>1</v>
      </c>
      <c r="BH36" s="754">
        <f>VLOOKUP(BE36,'Ціни контур мережний'!$Y$104:$AB$114,4,0)</f>
        <v>1081.5876151755979</v>
      </c>
      <c r="BI36" s="755">
        <f t="shared" si="53"/>
        <v>1081.5876151755979</v>
      </c>
      <c r="BJ36" s="751" t="s">
        <v>67</v>
      </c>
      <c r="BK36" s="749">
        <v>1</v>
      </c>
      <c r="BL36" s="747">
        <f>VLOOKUP(BJ36,'Ціни контур мережний'!$I$53:$M$57,5,0)</f>
        <v>157.67238032974441</v>
      </c>
      <c r="BM36" s="748">
        <f t="shared" si="54"/>
        <v>157.67238032974441</v>
      </c>
      <c r="BN36" s="896">
        <f t="array" ref="BN36">MIN(IF('Ціни контур мережний'!$Y$83:$Y$93&gt;(S36*1.2),'Ціни контур мережний'!$Y$83:$Y$93))</f>
        <v>40</v>
      </c>
      <c r="BO36" s="896">
        <f>VLOOKUP(BN36,'Ціни контур мережний'!$Y$83:$Z$93,2,0)</f>
        <v>50</v>
      </c>
      <c r="BP36" s="895">
        <v>1</v>
      </c>
      <c r="BQ36" s="896">
        <f>VLOOKUP(BN36,'Ціни контур мережний'!$Y$83:$AB$93,4,0)</f>
        <v>191.46963041657298</v>
      </c>
      <c r="BR36" s="897">
        <f t="shared" si="55"/>
        <v>191.46963041657298</v>
      </c>
      <c r="BS36" s="896">
        <f t="array" ref="BS36">MIN(IF('Ціни контур мережний'!$Y$104:$Y$114&gt;(S36*1.2),'Ціни контур мережний'!$Y$104:$Y$114))</f>
        <v>32</v>
      </c>
      <c r="BT36" s="896">
        <f>VLOOKUP(BS36,'Ціни контур мережний'!$Y$104:$Z$114,2,0)</f>
        <v>50</v>
      </c>
      <c r="BU36" s="895">
        <v>1</v>
      </c>
      <c r="BV36" s="896">
        <f>VLOOKUP(BS36,'Ціни контур мережний'!$Y$104:$AB$114,4,0)</f>
        <v>1081.5876151755979</v>
      </c>
      <c r="BW36" s="897">
        <f t="shared" si="56"/>
        <v>1081.5876151755979</v>
      </c>
      <c r="BX36" s="751">
        <f>VLOOKUP(BY36,'Ціни контур мережний'!$J$5:$L$12,3,0)</f>
        <v>50</v>
      </c>
      <c r="BY36" s="751">
        <f t="array" ref="BY36">MIN(IF('Ціни контур мережний'!$J$5:$J$12&gt;H36,'Ціни контур мережний'!$J$5:$J$12))</f>
        <v>15</v>
      </c>
      <c r="BZ36" s="746" t="str">
        <f>BZ8</f>
        <v>Pt500</v>
      </c>
      <c r="CA36" s="756">
        <v>1</v>
      </c>
      <c r="CB36" s="747">
        <f>VLOOKUP(BY36,'Ціни контур мережний'!$J$5:$N$12,5,0)</f>
        <v>366.74399999999997</v>
      </c>
      <c r="CC36" s="748">
        <f t="shared" si="57"/>
        <v>366.74399999999997</v>
      </c>
      <c r="CD36" s="758">
        <f>VLOOKUP(CE36,'Ціни контур мережний'!$J$5:$L$12,3,0)</f>
        <v>65</v>
      </c>
      <c r="CE36" s="747">
        <f t="array" ref="CE36">MIN(IF('Ціни контур мережний'!$J$5:$J$12&gt;L36,'Ціни контур мережний'!$J$5:$J$12))</f>
        <v>25</v>
      </c>
      <c r="CF36" s="746" t="s">
        <v>130</v>
      </c>
      <c r="CG36" s="749">
        <v>1</v>
      </c>
      <c r="CH36" s="747">
        <f>VLOOKUP(CE36,'Ціни контур мережний'!$J$5:$N$12,5,0)</f>
        <v>584.80799999999999</v>
      </c>
      <c r="CI36" s="748">
        <f t="shared" si="58"/>
        <v>584.80799999999999</v>
      </c>
      <c r="CJ36" s="899" t="s">
        <v>1396</v>
      </c>
      <c r="CK36" s="899">
        <v>1</v>
      </c>
      <c r="CL36" s="898">
        <v>2170</v>
      </c>
      <c r="CM36" s="901">
        <f t="shared" si="59"/>
        <v>2170</v>
      </c>
      <c r="CN36" s="898" t="s">
        <v>1334</v>
      </c>
      <c r="CO36" s="899">
        <v>1</v>
      </c>
      <c r="CP36" s="900">
        <v>1058</v>
      </c>
      <c r="CQ36" s="901">
        <f t="shared" si="60"/>
        <v>1058</v>
      </c>
      <c r="CR36" s="751">
        <f t="shared" si="5"/>
        <v>125</v>
      </c>
      <c r="CS36" s="746">
        <v>4</v>
      </c>
      <c r="CT36" s="747">
        <f>VLOOKUP(CR36,'Ціни контур теплопостачання'!$Y$5:$AA$17,3,0)</f>
        <v>89.509060820887896</v>
      </c>
      <c r="CU36" s="748">
        <f t="shared" si="61"/>
        <v>358.03624328355158</v>
      </c>
      <c r="CV36" s="750">
        <f t="shared" si="6"/>
        <v>65</v>
      </c>
      <c r="CW36" s="746">
        <v>6</v>
      </c>
      <c r="CX36" s="747">
        <f>VLOOKUP(CV36,'Ціни контур теплопостачання'!$AO$20:$AQ$29,3,0)</f>
        <v>42.675547020246391</v>
      </c>
      <c r="CY36" s="748">
        <f t="shared" si="62"/>
        <v>256.05328212147833</v>
      </c>
      <c r="CZ36" s="750">
        <f t="shared" si="7"/>
        <v>40</v>
      </c>
      <c r="DA36" s="746">
        <v>3</v>
      </c>
      <c r="DB36" s="747">
        <f>VLOOKUP(CZ36,'Ціни контур теплопостачання'!$AO$20:$AQ$29,3,0)</f>
        <v>37.980000000000004</v>
      </c>
      <c r="DC36" s="748">
        <f t="shared" si="63"/>
        <v>113.94000000000001</v>
      </c>
      <c r="DD36" s="757">
        <f t="shared" si="8"/>
        <v>50</v>
      </c>
      <c r="DE36" s="746">
        <f t="shared" si="9"/>
        <v>10</v>
      </c>
      <c r="DF36" s="747">
        <f>VLOOKUP(DD36,'Ціни контур теплопостачання'!$Y$5:$AA$17,3,0)</f>
        <v>23.2782130224622</v>
      </c>
      <c r="DG36" s="748">
        <f t="shared" si="64"/>
        <v>232.78213022462199</v>
      </c>
      <c r="DH36" s="745">
        <f t="shared" si="65"/>
        <v>50</v>
      </c>
      <c r="DI36" s="749">
        <f t="shared" si="66"/>
        <v>2</v>
      </c>
      <c r="DJ36" s="747">
        <f>VLOOKUP(DH36,'Ціни контур теплопостачання'!$Y$5:$AA$17,3,0)</f>
        <v>23.2782130224622</v>
      </c>
      <c r="DK36" s="765">
        <f t="shared" si="67"/>
        <v>46.5564260449244</v>
      </c>
      <c r="DL36" s="757">
        <f t="shared" si="10"/>
        <v>25</v>
      </c>
      <c r="DM36" s="746">
        <v>1</v>
      </c>
      <c r="DN36" s="747">
        <f>VLOOKUP(DL36,'Ціни контур мережний'!$Z$43:$AB$55,3,0)</f>
        <v>14.856886019572187</v>
      </c>
      <c r="DO36" s="748">
        <f t="shared" si="68"/>
        <v>14.856886019572187</v>
      </c>
      <c r="DP36" s="757">
        <f t="shared" si="11"/>
        <v>25</v>
      </c>
      <c r="DQ36" s="746">
        <v>2</v>
      </c>
      <c r="DR36" s="747">
        <f>VLOOKUP(DP36,'Ціни контур теплопостачання'!$Y$5:$AA$17,3,0)</f>
        <v>6.3070000000000004</v>
      </c>
      <c r="DS36" s="748">
        <f t="shared" si="69"/>
        <v>12.614000000000001</v>
      </c>
      <c r="DT36" s="745">
        <v>20</v>
      </c>
      <c r="DU36" s="749">
        <v>2</v>
      </c>
      <c r="DV36" s="747">
        <f>VLOOKUP(DT36,'Ціни контур теплопостачання'!$Y$5:$AA$17,3,0)</f>
        <v>3.577</v>
      </c>
      <c r="DW36" s="748">
        <f t="shared" si="70"/>
        <v>7.1539999999999999</v>
      </c>
      <c r="DX36" s="745">
        <v>15</v>
      </c>
      <c r="DY36" s="745">
        <v>10</v>
      </c>
      <c r="DZ36" s="758">
        <f>VLOOKUP(DX36,'Ціни контур теплопостачання'!$Y$5:$AA$17,3,0)</f>
        <v>2.464</v>
      </c>
      <c r="EA36" s="759">
        <f t="shared" si="71"/>
        <v>24.64</v>
      </c>
      <c r="EB36" s="745">
        <v>15</v>
      </c>
      <c r="EC36" s="745">
        <f t="shared" si="110"/>
        <v>41</v>
      </c>
      <c r="ED36" s="758">
        <f>VLOOKUP(EB36,'Ціни контур мережний'!$J$71:$M$71,4,0)</f>
        <v>3.3865201135922525</v>
      </c>
      <c r="EE36" s="759">
        <f t="shared" si="72"/>
        <v>138.84732465728234</v>
      </c>
      <c r="EF36" s="751">
        <f t="shared" si="12"/>
        <v>125</v>
      </c>
      <c r="EG36" s="746">
        <v>1</v>
      </c>
      <c r="EH36" s="747">
        <f>VLOOKUP(EF36,'Ціни контур теплопостачання'!$K$5:$M$17,3,0)</f>
        <v>106.351</v>
      </c>
      <c r="EI36" s="748">
        <f t="shared" si="73"/>
        <v>106.351</v>
      </c>
      <c r="EJ36" s="745">
        <f t="shared" si="13"/>
        <v>65</v>
      </c>
      <c r="EK36" s="749">
        <v>1</v>
      </c>
      <c r="EL36" s="747">
        <f>VLOOKUP(EJ36,'Ціни контур теплопостачання'!$K$5:$M$17,3,0)</f>
        <v>39.731999999999999</v>
      </c>
      <c r="EM36" s="748">
        <f t="shared" si="74"/>
        <v>39.731999999999999</v>
      </c>
      <c r="EN36" s="745">
        <f t="shared" si="14"/>
        <v>40</v>
      </c>
      <c r="EO36" s="745">
        <v>1</v>
      </c>
      <c r="EP36" s="758">
        <f>VLOOKUP(EN36,'Ціни контур теплопостачання'!$K$5:$M$17,3,0)</f>
        <v>23.225999999999999</v>
      </c>
      <c r="EQ36" s="759">
        <f t="shared" si="75"/>
        <v>23.225999999999999</v>
      </c>
      <c r="ER36" s="745">
        <f t="shared" si="15"/>
        <v>25</v>
      </c>
      <c r="ES36" s="745">
        <v>1</v>
      </c>
      <c r="ET36" s="758">
        <f>VLOOKUP(ER36,'Ціни контур теплопостачання'!$K$5:$M$17,3,0)</f>
        <v>4.78</v>
      </c>
      <c r="EU36" s="759">
        <f t="shared" si="76"/>
        <v>4.78</v>
      </c>
      <c r="EV36" s="751">
        <f t="shared" si="16"/>
        <v>125</v>
      </c>
      <c r="EW36" s="746">
        <v>2</v>
      </c>
      <c r="EX36" s="747">
        <f>VLOOKUP(EV36,'Ціни контур теплопостачання'!$Y$24:$AA$36,3,0)</f>
        <v>181.92850000000001</v>
      </c>
      <c r="EY36" s="748">
        <f t="shared" si="77"/>
        <v>363.85700000000003</v>
      </c>
      <c r="EZ36" s="745">
        <f t="shared" si="17"/>
        <v>65</v>
      </c>
      <c r="FA36" s="749">
        <v>1</v>
      </c>
      <c r="FB36" s="747">
        <f>VLOOKUP(EZ36,'Ціни контур теплопостачання'!$AO$38:$AQ$50,3,0)</f>
        <v>42.080999999999996</v>
      </c>
      <c r="FC36" s="748">
        <f t="shared" si="78"/>
        <v>42.080999999999996</v>
      </c>
      <c r="FD36" s="745">
        <f t="shared" si="18"/>
        <v>40</v>
      </c>
      <c r="FE36" s="745">
        <v>1</v>
      </c>
      <c r="FF36" s="758">
        <f>VLOOKUP(FD36,'Ціни контур теплопостачання'!$AO$38:$AQ$50,3,0)</f>
        <v>20.3645</v>
      </c>
      <c r="FG36" s="759">
        <f t="shared" si="79"/>
        <v>20.3645</v>
      </c>
      <c r="FH36" s="745">
        <f t="shared" si="19"/>
        <v>25</v>
      </c>
      <c r="FI36" s="745">
        <v>1</v>
      </c>
      <c r="FJ36" s="758">
        <f>VLOOKUP(FH36,'Ціни контур теплопостачання'!$Y$24:$AA$36,3,0)</f>
        <v>6.9659999999999993</v>
      </c>
      <c r="FK36" s="759">
        <f t="shared" si="80"/>
        <v>6.9659999999999993</v>
      </c>
      <c r="FL36" s="745">
        <f t="shared" si="20"/>
        <v>50</v>
      </c>
      <c r="FM36" s="745">
        <f t="shared" si="21"/>
        <v>10</v>
      </c>
      <c r="FN36" s="758">
        <f>VLOOKUP(FL36,'Ціни контур теплопостачання'!$Y$76:$AA$88,3,0)</f>
        <v>20.6</v>
      </c>
      <c r="FO36" s="759">
        <f t="shared" si="81"/>
        <v>206</v>
      </c>
      <c r="FP36" s="745">
        <f t="shared" si="22"/>
        <v>65</v>
      </c>
      <c r="FQ36" s="745">
        <v>1</v>
      </c>
      <c r="FR36" s="758">
        <f>VLOOKUP(FP36,'Ціни контур теплопостачання'!$Y$76:$AA$88,3,0)</f>
        <v>26.33</v>
      </c>
      <c r="FS36" s="759">
        <f t="shared" si="82"/>
        <v>26.33</v>
      </c>
      <c r="FT36" s="745">
        <f t="shared" si="23"/>
        <v>40</v>
      </c>
      <c r="FU36" s="745">
        <v>1</v>
      </c>
      <c r="FV36" s="758">
        <f>VLOOKUP(FT36,'Ціни контур теплопостачання'!$Y$76:$AA$88,3,0)</f>
        <v>16.809999999999999</v>
      </c>
      <c r="FW36" s="759">
        <f t="shared" si="83"/>
        <v>16.809999999999999</v>
      </c>
      <c r="FX36" s="758">
        <f t="shared" si="24"/>
        <v>45.995651968419793</v>
      </c>
      <c r="FY36" s="760">
        <v>50</v>
      </c>
      <c r="FZ36" s="719">
        <v>2</v>
      </c>
      <c r="GA36" s="747">
        <f>VLOOKUP(FY36,'Ціни контур теплопостачання'!$K$74:$M$79,3,0)</f>
        <v>48.94</v>
      </c>
      <c r="GB36" s="761">
        <f t="shared" si="84"/>
        <v>97.88</v>
      </c>
      <c r="GC36" s="762">
        <f t="shared" si="85"/>
        <v>34.095634095634097</v>
      </c>
      <c r="GD36" s="902">
        <v>9</v>
      </c>
      <c r="GE36" s="1017">
        <v>9</v>
      </c>
      <c r="GF36" s="1018" t="s">
        <v>126</v>
      </c>
      <c r="GG36" s="713">
        <v>2</v>
      </c>
      <c r="GH36" s="709">
        <f>VLOOKUP(GF36,'Ціни контур теплопостачання'!$C$89:$M$105,11,0)</f>
        <v>682.99199999999996</v>
      </c>
      <c r="GI36" s="764">
        <f t="shared" si="86"/>
        <v>1365.9839999999999</v>
      </c>
      <c r="GJ36" s="912">
        <f t="shared" si="87"/>
        <v>4.2596348884381339</v>
      </c>
      <c r="GK36" s="902">
        <v>9</v>
      </c>
      <c r="GL36" s="1017">
        <v>9</v>
      </c>
      <c r="GM36" s="1019" t="s">
        <v>1097</v>
      </c>
      <c r="GN36" s="749">
        <v>1</v>
      </c>
      <c r="GO36" s="747">
        <f>VLOOKUP(GM36,'Ціни контур теплопостачання'!$C$89:$M$105,11,0)</f>
        <v>241.2</v>
      </c>
      <c r="GP36" s="904">
        <f t="shared" si="88"/>
        <v>241.2</v>
      </c>
      <c r="GQ36" s="758">
        <f t="shared" si="25"/>
        <v>1691.4172072859988</v>
      </c>
      <c r="GR36" s="955">
        <v>1000</v>
      </c>
      <c r="GS36" s="749">
        <f>VLOOKUP(GR36,'Ціни контур теплопостачання'!$J$43:$K$55,2,0)</f>
        <v>50</v>
      </c>
      <c r="GT36" s="1020">
        <v>2</v>
      </c>
      <c r="GU36" s="747">
        <f>VLOOKUP(GR36,'Ціни контур теплопостачання'!$J$43:$M$55,4,0)</f>
        <v>603.23</v>
      </c>
      <c r="GV36" s="748">
        <f t="shared" si="89"/>
        <v>1206.46</v>
      </c>
      <c r="GW36" s="758">
        <f t="array" ref="GW36">MIN(IF('Ціни контур теплопостачання'!$AN$68:$AN$77&gt;(V36*1.2),'Ціни контур теплопостачання'!$AN$68:$AN$77))</f>
        <v>22.36</v>
      </c>
      <c r="GX36" s="749">
        <f>VLOOKUP(GW36,'Ціни контур теплопостачання'!$AN$68:$AO$77,2,0)</f>
        <v>40</v>
      </c>
      <c r="GY36" s="749">
        <f t="shared" si="26"/>
        <v>5</v>
      </c>
      <c r="GZ36" s="747">
        <f>VLOOKUP(GX36,'Ціни контур теплопостачання'!$AO$68:$AQ$77,3,0)</f>
        <v>43.225000000000001</v>
      </c>
      <c r="HA36" s="759">
        <f t="shared" si="90"/>
        <v>216.125</v>
      </c>
      <c r="HB36" s="751">
        <v>15</v>
      </c>
      <c r="HC36" s="746">
        <v>2</v>
      </c>
      <c r="HD36" s="747">
        <f>VLOOKUP(HB36,'Ціни контур мережний'!$J$73:$M$73,4,0)</f>
        <v>3.4649999999999999</v>
      </c>
      <c r="HE36" s="748">
        <f t="shared" si="91"/>
        <v>6.93</v>
      </c>
      <c r="HF36" s="749">
        <f t="shared" si="27"/>
        <v>25</v>
      </c>
      <c r="HG36" s="749">
        <v>1</v>
      </c>
      <c r="HH36" s="747">
        <f>VLOOKUP(HF36,'Ціни контур теплопостачання'!$Y$62:$AA$69,3,0)</f>
        <v>89.924040000000005</v>
      </c>
      <c r="HI36" s="765">
        <f t="shared" si="92"/>
        <v>89.924040000000005</v>
      </c>
      <c r="HJ36" s="750">
        <f>VLOOKUP(HK36,'Ціни контур теплопостачання'!$AN$6:$AO$13,2,0)</f>
        <v>40</v>
      </c>
      <c r="HK36" s="751">
        <f t="array" ref="HK36">MIN(IF('Ціни контур теплопостачання'!$AN$6:$AN$13&gt;N36,'Ціни контур теплопостачання'!$AN$6:$AN$13))</f>
        <v>15</v>
      </c>
      <c r="HL36" s="751">
        <v>1</v>
      </c>
      <c r="HM36" s="747">
        <f>VLOOKUP(HJ36,'Ціни контур теплопостачання'!$AO$6:$AQ$13,3,0)</f>
        <v>140.82444000000001</v>
      </c>
      <c r="HN36" s="748">
        <f t="shared" si="93"/>
        <v>140.82444000000001</v>
      </c>
      <c r="HO36" s="750">
        <f t="shared" si="28"/>
        <v>65</v>
      </c>
      <c r="HP36" s="746">
        <v>1</v>
      </c>
      <c r="HQ36" s="747">
        <f>VLOOKUP(HO36,'Ціни контур теплопостачання'!$AO$55:$AQ$63,3,0)</f>
        <v>426.6</v>
      </c>
      <c r="HR36" s="748">
        <f t="shared" si="126"/>
        <v>426.6</v>
      </c>
      <c r="HS36" s="745">
        <f t="shared" si="29"/>
        <v>25</v>
      </c>
      <c r="HT36" s="749">
        <v>1</v>
      </c>
      <c r="HU36" s="747">
        <f>VLOOKUP(HS36,'Ціни контур теплопостачання'!$K$62:$M$67,3,0)</f>
        <v>92.91</v>
      </c>
      <c r="HV36" s="765">
        <f t="shared" si="95"/>
        <v>92.91</v>
      </c>
      <c r="HW36" s="655" t="str">
        <f t="shared" si="138"/>
        <v>0-150</v>
      </c>
      <c r="HX36" s="720">
        <v>1</v>
      </c>
      <c r="HY36" s="747">
        <f>VLOOKUP(HW36,'Ціни контур мережний'!$I$79:$M$80,5,0)</f>
        <v>15.050156291498967</v>
      </c>
      <c r="HZ36" s="748">
        <f t="shared" si="96"/>
        <v>15.050156291498967</v>
      </c>
      <c r="IA36" s="758" t="s">
        <v>109</v>
      </c>
      <c r="IB36" s="749">
        <v>5</v>
      </c>
      <c r="IC36" s="747">
        <f>VLOOKUP(IA36,'Ціни контур мережний'!$I$79:$M$80,5,0)</f>
        <v>15.050156291498967</v>
      </c>
      <c r="ID36" s="765">
        <f t="shared" si="97"/>
        <v>75.250781457494838</v>
      </c>
      <c r="IE36" s="655" t="s">
        <v>108</v>
      </c>
      <c r="IF36" s="720">
        <v>5</v>
      </c>
      <c r="IG36" s="747">
        <f>VLOOKUP(IE36,'Ціни контур мережний'!$I$67:$M$69,5,0)</f>
        <v>4.4537969640631703</v>
      </c>
      <c r="IH36" s="748">
        <f t="shared" si="98"/>
        <v>22.26898482031585</v>
      </c>
      <c r="II36" s="655" t="s">
        <v>106</v>
      </c>
      <c r="IJ36" s="720">
        <f t="shared" si="136"/>
        <v>16</v>
      </c>
      <c r="IK36" s="747">
        <f>VLOOKUP(II36,'Ціни контур мережний'!$I$67:$M$69,5,0)</f>
        <v>4.4537969640631703</v>
      </c>
      <c r="IL36" s="748">
        <f t="shared" si="99"/>
        <v>71.260751425010724</v>
      </c>
      <c r="IM36" s="655" t="s">
        <v>1013</v>
      </c>
      <c r="IN36" s="720">
        <v>5</v>
      </c>
      <c r="IO36" s="747">
        <f>VLOOKUP(IM36,'Ціни контур мережний'!$I$64:$M$64,5,0)</f>
        <v>29.1312</v>
      </c>
      <c r="IP36" s="748">
        <f t="shared" si="100"/>
        <v>145.65600000000001</v>
      </c>
      <c r="IQ36" s="766" t="s">
        <v>1015</v>
      </c>
      <c r="IR36" s="749">
        <v>6</v>
      </c>
      <c r="IS36" s="747">
        <f>VLOOKUP(IQ36,'Ціни контур мережний'!$I$89:$M$89,5,0)</f>
        <v>79.523165325760516</v>
      </c>
      <c r="IT36" s="765">
        <f t="shared" si="101"/>
        <v>477.1389919545631</v>
      </c>
      <c r="IU36" s="767" t="s">
        <v>1016</v>
      </c>
      <c r="IV36" s="720">
        <f t="shared" si="117"/>
        <v>7</v>
      </c>
      <c r="IW36" s="747">
        <f>VLOOKUP(IU36,'Ціни контур мережний'!$I$88:$M$88,5,0)</f>
        <v>13.211568975967202</v>
      </c>
      <c r="IX36" s="768">
        <f t="shared" si="102"/>
        <v>92.480982831770419</v>
      </c>
      <c r="IY36" s="767" t="s">
        <v>383</v>
      </c>
      <c r="IZ36" s="720">
        <v>1</v>
      </c>
      <c r="JA36" s="747">
        <f>VLOOKUP(IY36,'Ціни контур мережний'!$I$87:$M$87,5,0)</f>
        <v>13.483972460007763</v>
      </c>
      <c r="JB36" s="748">
        <f t="shared" si="141"/>
        <v>13.483972460007763</v>
      </c>
      <c r="JC36" s="769">
        <f t="shared" si="31"/>
        <v>83</v>
      </c>
      <c r="JD36" s="770">
        <f t="shared" si="104"/>
        <v>14554.063091888213</v>
      </c>
      <c r="JE36" s="771">
        <f>$JE$46/'Ціни контур мережний'!$G$26</f>
        <v>681.00871010140213</v>
      </c>
      <c r="JF36" s="771">
        <f>$JE$46/'Ціни контур мережний'!$G$26</f>
        <v>681.00871010140213</v>
      </c>
      <c r="JG36" s="770">
        <f t="shared" si="112"/>
        <v>661.80181284518619</v>
      </c>
      <c r="JH36" s="770">
        <f t="shared" si="113"/>
        <v>487.81784379022207</v>
      </c>
      <c r="JI36" s="770">
        <f>$JI$43/'Ціни контур мережний'!$G$26</f>
        <v>323.47913729816605</v>
      </c>
      <c r="JJ36" s="770">
        <f t="shared" si="105"/>
        <v>66.611999999999995</v>
      </c>
      <c r="JK36" s="770">
        <f t="shared" si="139"/>
        <v>0</v>
      </c>
      <c r="JL36" s="772">
        <f t="shared" si="114"/>
        <v>62.86234247089866</v>
      </c>
      <c r="JM36" s="770">
        <f t="shared" si="140"/>
        <v>0</v>
      </c>
      <c r="JN36" s="770">
        <v>0</v>
      </c>
      <c r="JO36" s="662">
        <f t="shared" si="32"/>
        <v>1226.3057553946846</v>
      </c>
      <c r="JP36" s="1022">
        <f t="shared" si="33"/>
        <v>1751.8653648495492</v>
      </c>
      <c r="JQ36" s="1023">
        <f t="shared" si="34"/>
        <v>301.36436469180262</v>
      </c>
      <c r="JR36" s="1023">
        <f t="shared" si="115"/>
        <v>300.63036461094771</v>
      </c>
      <c r="JS36" s="777">
        <f t="shared" si="106"/>
        <v>21098.819498042478</v>
      </c>
      <c r="JU36" s="616">
        <f>[3]Расчеты!AX35/1.2</f>
        <v>5572.4481973529637</v>
      </c>
      <c r="JV36" s="616">
        <f t="shared" si="107"/>
        <v>26671.267695395443</v>
      </c>
      <c r="JW36" s="616" t="e">
        <f>JV36*1.2*#REF!</f>
        <v>#REF!</v>
      </c>
      <c r="JX36" s="616"/>
    </row>
    <row r="37" spans="2:284" ht="12.6" customHeight="1">
      <c r="B37" s="597">
        <v>84</v>
      </c>
      <c r="C37" s="1056" t="s">
        <v>796</v>
      </c>
      <c r="D37" s="906">
        <v>0.51778000000000002</v>
      </c>
      <c r="E37" s="907">
        <v>0.66400000000000003</v>
      </c>
      <c r="F37" s="908">
        <f t="shared" si="35"/>
        <v>26.222789909630301</v>
      </c>
      <c r="G37" s="909">
        <v>100</v>
      </c>
      <c r="H37" s="598">
        <f t="shared" si="36"/>
        <v>9.2493747767059649</v>
      </c>
      <c r="I37" s="599">
        <v>65</v>
      </c>
      <c r="J37" s="598">
        <f t="shared" si="37"/>
        <v>21.529313929313929</v>
      </c>
      <c r="K37" s="599">
        <v>100</v>
      </c>
      <c r="L37" s="598">
        <f t="shared" si="38"/>
        <v>16.973415132924337</v>
      </c>
      <c r="M37" s="599">
        <v>80</v>
      </c>
      <c r="N37" s="598">
        <f t="shared" si="39"/>
        <v>13.468559837728195</v>
      </c>
      <c r="O37" s="599">
        <v>65</v>
      </c>
      <c r="P37" s="598">
        <f t="shared" si="108"/>
        <v>4.040567951318458</v>
      </c>
      <c r="Q37" s="599">
        <v>40</v>
      </c>
      <c r="R37" s="598">
        <f t="shared" si="40"/>
        <v>13.080591252689192</v>
      </c>
      <c r="S37" s="600">
        <f t="shared" si="41"/>
        <v>24.004033880770326</v>
      </c>
      <c r="T37" s="910">
        <v>4</v>
      </c>
      <c r="U37" s="601">
        <f t="shared" si="42"/>
        <v>5.3823284823284823</v>
      </c>
      <c r="V37" s="601">
        <f t="shared" si="43"/>
        <v>7.6117619368559364</v>
      </c>
      <c r="W37" s="602">
        <v>50</v>
      </c>
      <c r="X37" s="1027">
        <v>10.1</v>
      </c>
      <c r="Y37" s="601">
        <f t="shared" si="44"/>
        <v>3.03</v>
      </c>
      <c r="Z37" s="992">
        <v>25</v>
      </c>
      <c r="AA37" s="1028">
        <v>9</v>
      </c>
      <c r="AB37" s="745">
        <f t="shared" si="0"/>
        <v>100</v>
      </c>
      <c r="AC37" s="746">
        <v>2</v>
      </c>
      <c r="AD37" s="747">
        <f>VLOOKUP(AB37,'Ціни контур мережний'!$Z$24:$AB$36,3,0)</f>
        <v>61.045620773489688</v>
      </c>
      <c r="AE37" s="748">
        <f t="shared" si="45"/>
        <v>122.09124154697938</v>
      </c>
      <c r="AF37" s="745">
        <f t="shared" si="1"/>
        <v>100</v>
      </c>
      <c r="AG37" s="749">
        <v>2</v>
      </c>
      <c r="AH37" s="747">
        <f>VLOOKUP(AF37,'Ціни контур мережний'!$Z$64:$AB$77,3,0)</f>
        <v>150.69360737123827</v>
      </c>
      <c r="AI37" s="748">
        <f t="shared" si="46"/>
        <v>301.38721474247654</v>
      </c>
      <c r="AJ37" s="745">
        <f t="shared" si="2"/>
        <v>100</v>
      </c>
      <c r="AK37" s="746">
        <v>0</v>
      </c>
      <c r="AL37" s="747">
        <f>VLOOKUP(AJ37,'Ціни контур мережний'!$Z$5:$AB$17,3,0)</f>
        <v>70.903000000000006</v>
      </c>
      <c r="AM37" s="748">
        <f t="shared" si="47"/>
        <v>0</v>
      </c>
      <c r="AN37" s="750">
        <f t="shared" si="3"/>
        <v>65</v>
      </c>
      <c r="AO37" s="746">
        <v>1</v>
      </c>
      <c r="AP37" s="747">
        <f>VLOOKUP(AN37,'Ціни контур мережний'!$Z$43:$AB$55,3,0)</f>
        <v>30.19184015363556</v>
      </c>
      <c r="AQ37" s="768">
        <f t="shared" si="48"/>
        <v>30.19184015363556</v>
      </c>
      <c r="AR37" s="749">
        <f t="shared" si="4"/>
        <v>80</v>
      </c>
      <c r="AS37" s="749">
        <v>4</v>
      </c>
      <c r="AT37" s="747">
        <f>VLOOKUP(AR37,'Ціни контур мережний'!$Z$43:$AB$55,3,0)</f>
        <v>37.693832104112609</v>
      </c>
      <c r="AU37" s="1016">
        <f t="shared" si="49"/>
        <v>150.77532841645044</v>
      </c>
      <c r="AV37" s="751" t="str">
        <f t="shared" si="50"/>
        <v>AMV20</v>
      </c>
      <c r="AW37" s="751">
        <v>1</v>
      </c>
      <c r="AX37" s="747">
        <f>VLOOKUP(AV37,'Ціни контур мережний'!$I$53:$M$57,5,0)</f>
        <v>110.39869654932889</v>
      </c>
      <c r="AY37" s="748">
        <f t="shared" si="51"/>
        <v>110.39869654932889</v>
      </c>
      <c r="AZ37" s="752">
        <f t="array" ref="AZ37">MIN(IF('Ціни контур мережний'!$Y$83:$Y$92&gt;(R37*1.2),'Ціни контур мережний'!$Y$83:$Y$92))</f>
        <v>16</v>
      </c>
      <c r="BA37" s="746">
        <f>VLOOKUP(AZ37,'Ціни контур мережний'!$Y$83:$Z$92,2,0)</f>
        <v>32</v>
      </c>
      <c r="BB37" s="746">
        <v>1</v>
      </c>
      <c r="BC37" s="747">
        <f>VLOOKUP(AZ37,'Ціни контур мережний'!$Y$83:$AB$92,4,0)</f>
        <v>130.5392363168325</v>
      </c>
      <c r="BD37" s="748">
        <f t="shared" si="52"/>
        <v>130.5392363168325</v>
      </c>
      <c r="BE37" s="1099">
        <v>20</v>
      </c>
      <c r="BF37" s="1101">
        <f>VLOOKUP(BE37,'[1]Ціни контур мережний'!$Y$104:$Z$114,2,0)</f>
        <v>50</v>
      </c>
      <c r="BG37" s="753">
        <v>1</v>
      </c>
      <c r="BH37" s="754">
        <f>VLOOKUP(BE37,'Ціни контур мережний'!$Y$104:$AB$114,4,0)</f>
        <v>448.22326189551967</v>
      </c>
      <c r="BI37" s="755">
        <f t="shared" si="53"/>
        <v>448.22326189551967</v>
      </c>
      <c r="BJ37" s="751" t="s">
        <v>67</v>
      </c>
      <c r="BK37" s="749">
        <v>1</v>
      </c>
      <c r="BL37" s="747">
        <f>VLOOKUP(BJ37,'Ціни контур мережний'!$I$53:$M$57,5,0)</f>
        <v>157.67238032974441</v>
      </c>
      <c r="BM37" s="748">
        <f t="shared" si="54"/>
        <v>157.67238032974441</v>
      </c>
      <c r="BN37" s="896">
        <f t="array" ref="BN37">MIN(IF('Ціни контур мережний'!$Y$83:$Y$93&gt;(S37*1.2),'Ціни контур мережний'!$Y$83:$Y$93))</f>
        <v>40</v>
      </c>
      <c r="BO37" s="896">
        <f>VLOOKUP(BN37,'Ціни контур мережний'!$Y$83:$Z$93,2,0)</f>
        <v>50</v>
      </c>
      <c r="BP37" s="895">
        <v>1</v>
      </c>
      <c r="BQ37" s="896">
        <f>VLOOKUP(BN37,'Ціни контур мережний'!$Y$83:$AB$93,4,0)</f>
        <v>191.46963041657298</v>
      </c>
      <c r="BR37" s="897">
        <f t="shared" si="55"/>
        <v>191.46963041657298</v>
      </c>
      <c r="BS37" s="896">
        <f t="array" ref="BS37">MIN(IF('Ціни контур мережний'!$Y$104:$Y$114&gt;(S37*1.2),'Ціни контур мережний'!$Y$104:$Y$114))</f>
        <v>32</v>
      </c>
      <c r="BT37" s="896">
        <f>VLOOKUP(BS37,'Ціни контур мережний'!$Y$104:$Z$114,2,0)</f>
        <v>50</v>
      </c>
      <c r="BU37" s="895">
        <v>1</v>
      </c>
      <c r="BV37" s="896">
        <f>VLOOKUP(BS37,'Ціни контур мережний'!$Y$104:$AB$114,4,0)</f>
        <v>1081.5876151755979</v>
      </c>
      <c r="BW37" s="897">
        <f t="shared" si="56"/>
        <v>1081.5876151755979</v>
      </c>
      <c r="BX37" s="751" t="s">
        <v>115</v>
      </c>
      <c r="BY37" s="751" t="s">
        <v>115</v>
      </c>
      <c r="BZ37" s="746" t="s">
        <v>1025</v>
      </c>
      <c r="CA37" s="756">
        <v>0</v>
      </c>
      <c r="CB37" s="747">
        <v>0</v>
      </c>
      <c r="CC37" s="748">
        <f t="shared" si="57"/>
        <v>0</v>
      </c>
      <c r="CD37" s="758">
        <f>VLOOKUP(CE37,'Ціни контур мережний'!$J$5:$L$12,3,0)</f>
        <v>65</v>
      </c>
      <c r="CE37" s="747">
        <f t="array" ref="CE37">MIN(IF('Ціни контур мережний'!$J$5:$J$12&gt;L37,'Ціни контур мережний'!$J$5:$J$12))</f>
        <v>25</v>
      </c>
      <c r="CF37" s="746" t="s">
        <v>130</v>
      </c>
      <c r="CG37" s="749">
        <v>1</v>
      </c>
      <c r="CH37" s="747">
        <f>VLOOKUP(CE37,'Ціни контур мережний'!$J$5:$N$12,5,0)</f>
        <v>584.80799999999999</v>
      </c>
      <c r="CI37" s="748">
        <f t="shared" si="58"/>
        <v>584.80799999999999</v>
      </c>
      <c r="CJ37" s="899" t="s">
        <v>1312</v>
      </c>
      <c r="CK37" s="899">
        <v>1</v>
      </c>
      <c r="CL37" s="898">
        <v>1344</v>
      </c>
      <c r="CM37" s="901">
        <f t="shared" si="59"/>
        <v>1344</v>
      </c>
      <c r="CN37" s="898" t="s">
        <v>1335</v>
      </c>
      <c r="CO37" s="899">
        <v>1</v>
      </c>
      <c r="CP37" s="900">
        <v>1027</v>
      </c>
      <c r="CQ37" s="901">
        <f t="shared" si="60"/>
        <v>1027</v>
      </c>
      <c r="CR37" s="751">
        <f t="shared" si="5"/>
        <v>100</v>
      </c>
      <c r="CS37" s="746">
        <v>4</v>
      </c>
      <c r="CT37" s="747">
        <f>VLOOKUP(CR37,'Ціни контур теплопостачання'!$Y$5:$AA$17,3,0)</f>
        <v>61.045620773489688</v>
      </c>
      <c r="CU37" s="748">
        <f t="shared" si="61"/>
        <v>244.18248309395875</v>
      </c>
      <c r="CV37" s="750">
        <f t="shared" si="6"/>
        <v>65</v>
      </c>
      <c r="CW37" s="746">
        <v>6</v>
      </c>
      <c r="CX37" s="747">
        <f>VLOOKUP(CV37,'Ціни контур теплопостачання'!$AO$20:$AQ$29,3,0)</f>
        <v>42.675547020246391</v>
      </c>
      <c r="CY37" s="748">
        <f t="shared" si="62"/>
        <v>256.05328212147833</v>
      </c>
      <c r="CZ37" s="750">
        <f t="shared" si="7"/>
        <v>40</v>
      </c>
      <c r="DA37" s="746">
        <v>3</v>
      </c>
      <c r="DB37" s="747">
        <f>VLOOKUP(CZ37,'Ціни контур теплопостачання'!$AO$20:$AQ$29,3,0)</f>
        <v>37.980000000000004</v>
      </c>
      <c r="DC37" s="748">
        <f t="shared" si="63"/>
        <v>113.94000000000001</v>
      </c>
      <c r="DD37" s="757">
        <f t="shared" si="8"/>
        <v>50</v>
      </c>
      <c r="DE37" s="746">
        <f t="shared" si="9"/>
        <v>8</v>
      </c>
      <c r="DF37" s="747">
        <f>VLOOKUP(DD37,'Ціни контур теплопостачання'!$Y$5:$AA$17,3,0)</f>
        <v>23.2782130224622</v>
      </c>
      <c r="DG37" s="748">
        <f t="shared" si="64"/>
        <v>186.2257041796976</v>
      </c>
      <c r="DH37" s="745">
        <f t="shared" si="65"/>
        <v>50</v>
      </c>
      <c r="DI37" s="749">
        <f t="shared" si="66"/>
        <v>1</v>
      </c>
      <c r="DJ37" s="747">
        <f>VLOOKUP(DH37,'Ціни контур теплопостачання'!$Y$5:$AA$17,3,0)</f>
        <v>23.2782130224622</v>
      </c>
      <c r="DK37" s="765">
        <f t="shared" si="67"/>
        <v>23.2782130224622</v>
      </c>
      <c r="DL37" s="757">
        <f t="shared" si="10"/>
        <v>25</v>
      </c>
      <c r="DM37" s="746">
        <v>1</v>
      </c>
      <c r="DN37" s="747">
        <f>VLOOKUP(DL37,'Ціни контур мережний'!$Z$43:$AB$55,3,0)</f>
        <v>14.856886019572187</v>
      </c>
      <c r="DO37" s="748">
        <f t="shared" si="68"/>
        <v>14.856886019572187</v>
      </c>
      <c r="DP37" s="757">
        <f t="shared" si="11"/>
        <v>25</v>
      </c>
      <c r="DQ37" s="746">
        <v>2</v>
      </c>
      <c r="DR37" s="747">
        <f>VLOOKUP(DP37,'Ціни контур теплопостачання'!$Y$5:$AA$17,3,0)</f>
        <v>6.3070000000000004</v>
      </c>
      <c r="DS37" s="748">
        <f t="shared" si="69"/>
        <v>12.614000000000001</v>
      </c>
      <c r="DT37" s="745">
        <v>20</v>
      </c>
      <c r="DU37" s="749">
        <v>2</v>
      </c>
      <c r="DV37" s="747">
        <f>VLOOKUP(DT37,'Ціни контур теплопостачання'!$Y$5:$AA$17,3,0)</f>
        <v>3.577</v>
      </c>
      <c r="DW37" s="748">
        <f t="shared" si="70"/>
        <v>7.1539999999999999</v>
      </c>
      <c r="DX37" s="745">
        <v>15</v>
      </c>
      <c r="DY37" s="745">
        <v>10</v>
      </c>
      <c r="DZ37" s="758">
        <f>VLOOKUP(DX37,'Ціни контур теплопостачання'!$Y$5:$AA$17,3,0)</f>
        <v>2.464</v>
      </c>
      <c r="EA37" s="759">
        <f t="shared" si="71"/>
        <v>24.64</v>
      </c>
      <c r="EB37" s="745">
        <v>15</v>
      </c>
      <c r="EC37" s="745">
        <f t="shared" si="110"/>
        <v>40</v>
      </c>
      <c r="ED37" s="758">
        <f>VLOOKUP(EB37,'Ціни контур мережний'!$J$71:$M$71,4,0)</f>
        <v>3.3865201135922525</v>
      </c>
      <c r="EE37" s="759">
        <f t="shared" si="72"/>
        <v>135.4608045436901</v>
      </c>
      <c r="EF37" s="751">
        <f t="shared" si="12"/>
        <v>100</v>
      </c>
      <c r="EG37" s="746">
        <v>1</v>
      </c>
      <c r="EH37" s="747">
        <f>VLOOKUP(EF37,'Ціни контур теплопостачання'!$K$5:$M$17,3,0)</f>
        <v>70.903000000000006</v>
      </c>
      <c r="EI37" s="748">
        <f t="shared" si="73"/>
        <v>70.903000000000006</v>
      </c>
      <c r="EJ37" s="745">
        <f t="shared" si="13"/>
        <v>65</v>
      </c>
      <c r="EK37" s="749">
        <v>1</v>
      </c>
      <c r="EL37" s="747">
        <f>VLOOKUP(EJ37,'Ціни контур теплопостачання'!$K$5:$M$17,3,0)</f>
        <v>39.731999999999999</v>
      </c>
      <c r="EM37" s="748">
        <f t="shared" si="74"/>
        <v>39.731999999999999</v>
      </c>
      <c r="EN37" s="745">
        <f t="shared" si="14"/>
        <v>40</v>
      </c>
      <c r="EO37" s="745">
        <v>1</v>
      </c>
      <c r="EP37" s="758">
        <f>VLOOKUP(EN37,'Ціни контур теплопостачання'!$K$5:$M$17,3,0)</f>
        <v>23.225999999999999</v>
      </c>
      <c r="EQ37" s="759">
        <f t="shared" si="75"/>
        <v>23.225999999999999</v>
      </c>
      <c r="ER37" s="745">
        <f t="shared" si="15"/>
        <v>25</v>
      </c>
      <c r="ES37" s="745">
        <v>1</v>
      </c>
      <c r="ET37" s="758">
        <f>VLOOKUP(ER37,'Ціни контур теплопостачання'!$K$5:$M$17,3,0)</f>
        <v>4.78</v>
      </c>
      <c r="EU37" s="759">
        <f t="shared" si="76"/>
        <v>4.78</v>
      </c>
      <c r="EV37" s="751">
        <f t="shared" si="16"/>
        <v>100</v>
      </c>
      <c r="EW37" s="746">
        <v>2</v>
      </c>
      <c r="EX37" s="747">
        <f>VLOOKUP(EV37,'Ціни контур теплопостачання'!$Y$24:$AA$36,3,0)</f>
        <v>87.795500000000004</v>
      </c>
      <c r="EY37" s="748">
        <f t="shared" si="77"/>
        <v>175.59100000000001</v>
      </c>
      <c r="EZ37" s="745">
        <f t="shared" si="17"/>
        <v>65</v>
      </c>
      <c r="FA37" s="749">
        <v>1</v>
      </c>
      <c r="FB37" s="747">
        <f>VLOOKUP(EZ37,'Ціни контур теплопостачання'!$AO$38:$AQ$50,3,0)</f>
        <v>42.080999999999996</v>
      </c>
      <c r="FC37" s="748">
        <f t="shared" si="78"/>
        <v>42.080999999999996</v>
      </c>
      <c r="FD37" s="745">
        <f t="shared" si="18"/>
        <v>40</v>
      </c>
      <c r="FE37" s="745">
        <v>1</v>
      </c>
      <c r="FF37" s="758">
        <f>VLOOKUP(FD37,'Ціни контур теплопостачання'!$AO$38:$AQ$50,3,0)</f>
        <v>20.3645</v>
      </c>
      <c r="FG37" s="759">
        <f t="shared" si="79"/>
        <v>20.3645</v>
      </c>
      <c r="FH37" s="745">
        <f t="shared" si="19"/>
        <v>25</v>
      </c>
      <c r="FI37" s="745">
        <v>1</v>
      </c>
      <c r="FJ37" s="758">
        <f>VLOOKUP(FH37,'Ціни контур теплопостачання'!$Y$24:$AA$36,3,0)</f>
        <v>6.9659999999999993</v>
      </c>
      <c r="FK37" s="759">
        <f t="shared" si="80"/>
        <v>6.9659999999999993</v>
      </c>
      <c r="FL37" s="745">
        <f t="shared" si="20"/>
        <v>50</v>
      </c>
      <c r="FM37" s="745">
        <f t="shared" si="21"/>
        <v>8</v>
      </c>
      <c r="FN37" s="758">
        <f>VLOOKUP(FL37,'Ціни контур теплопостачання'!$Y$76:$AA$88,3,0)</f>
        <v>20.6</v>
      </c>
      <c r="FO37" s="759">
        <f t="shared" si="81"/>
        <v>164.8</v>
      </c>
      <c r="FP37" s="745">
        <f t="shared" si="22"/>
        <v>65</v>
      </c>
      <c r="FQ37" s="745">
        <v>1</v>
      </c>
      <c r="FR37" s="758">
        <f>VLOOKUP(FP37,'Ціни контур теплопостачання'!$Y$76:$AA$88,3,0)</f>
        <v>26.33</v>
      </c>
      <c r="FS37" s="759">
        <f t="shared" si="82"/>
        <v>26.33</v>
      </c>
      <c r="FT37" s="745">
        <f t="shared" si="23"/>
        <v>40</v>
      </c>
      <c r="FU37" s="745">
        <v>1</v>
      </c>
      <c r="FV37" s="758">
        <f>VLOOKUP(FT37,'Ціни контур теплопостачання'!$Y$76:$AA$88,3,0)</f>
        <v>16.809999999999999</v>
      </c>
      <c r="FW37" s="759">
        <f t="shared" si="83"/>
        <v>16.809999999999999</v>
      </c>
      <c r="FX37" s="758">
        <f t="shared" si="24"/>
        <v>36.549588232974664</v>
      </c>
      <c r="FY37" s="760">
        <v>40</v>
      </c>
      <c r="FZ37" s="719">
        <v>2</v>
      </c>
      <c r="GA37" s="747">
        <f>VLOOKUP(FY37,'Ціни контур теплопостачання'!$K$74:$M$79,3,0)</f>
        <v>43.19</v>
      </c>
      <c r="GB37" s="761">
        <f t="shared" si="84"/>
        <v>86.38</v>
      </c>
      <c r="GC37" s="762">
        <f t="shared" si="85"/>
        <v>21.529313929313929</v>
      </c>
      <c r="GD37" s="911">
        <v>9</v>
      </c>
      <c r="GE37" s="1017">
        <v>9</v>
      </c>
      <c r="GF37" s="1032" t="s">
        <v>124</v>
      </c>
      <c r="GG37" s="713">
        <v>2</v>
      </c>
      <c r="GH37" s="709">
        <f>VLOOKUP(GF37,'Ціни контур теплопостачання'!$C$89:$M$105,11,0)</f>
        <v>678</v>
      </c>
      <c r="GI37" s="764">
        <f t="shared" si="86"/>
        <v>1356</v>
      </c>
      <c r="GJ37" s="912">
        <f t="shared" si="87"/>
        <v>4.040567951318458</v>
      </c>
      <c r="GK37" s="911">
        <v>9</v>
      </c>
      <c r="GL37" s="1017">
        <v>9</v>
      </c>
      <c r="GM37" s="1019" t="s">
        <v>1097</v>
      </c>
      <c r="GN37" s="749">
        <v>1</v>
      </c>
      <c r="GO37" s="747">
        <f>VLOOKUP(GM37,'Ціни контур теплопостачання'!$C$89:$M$105,11,0)</f>
        <v>241.2</v>
      </c>
      <c r="GP37" s="904">
        <f t="shared" si="88"/>
        <v>241.2</v>
      </c>
      <c r="GQ37" s="758">
        <f t="shared" si="25"/>
        <v>1067.7071120992869</v>
      </c>
      <c r="GR37" s="955">
        <v>1000</v>
      </c>
      <c r="GS37" s="749">
        <f>VLOOKUP(GR37,'Ціни контур теплопостачання'!$J$43:$K$55,2,0)</f>
        <v>50</v>
      </c>
      <c r="GT37" s="1020">
        <v>1</v>
      </c>
      <c r="GU37" s="747">
        <f>VLOOKUP(GR37,'Ціни контур теплопостачання'!$J$43:$M$55,4,0)</f>
        <v>603.23</v>
      </c>
      <c r="GV37" s="748">
        <f t="shared" si="89"/>
        <v>603.23</v>
      </c>
      <c r="GW37" s="758">
        <f t="array" ref="GW37">MIN(IF('Ціни контур теплопостачання'!$AN$68:$AN$77&gt;(V37*1.2),'Ціни контур теплопостачання'!$AN$68:$AN$77))</f>
        <v>11.13</v>
      </c>
      <c r="GX37" s="749">
        <f>VLOOKUP(GW37,'Ціни контур теплопостачання'!$AN$68:$AO$77,2,0)</f>
        <v>32</v>
      </c>
      <c r="GY37" s="749">
        <f t="shared" si="26"/>
        <v>4</v>
      </c>
      <c r="GZ37" s="747">
        <f>VLOOKUP(GX37,'Ціни контур теплопостачання'!$AO$68:$AQ$77,3,0)</f>
        <v>37.183999999999997</v>
      </c>
      <c r="HA37" s="759">
        <f t="shared" si="90"/>
        <v>148.73599999999999</v>
      </c>
      <c r="HB37" s="751">
        <v>15</v>
      </c>
      <c r="HC37" s="746">
        <v>2</v>
      </c>
      <c r="HD37" s="747">
        <f>VLOOKUP(HB37,'Ціни контур мережний'!$J$73:$M$73,4,0)</f>
        <v>3.4649999999999999</v>
      </c>
      <c r="HE37" s="748">
        <f t="shared" si="91"/>
        <v>6.93</v>
      </c>
      <c r="HF37" s="749">
        <f t="shared" si="27"/>
        <v>25</v>
      </c>
      <c r="HG37" s="749">
        <v>1</v>
      </c>
      <c r="HH37" s="747">
        <f>VLOOKUP(HF37,'Ціни контур теплопостачання'!$Y$62:$AA$69,3,0)</f>
        <v>89.924040000000005</v>
      </c>
      <c r="HI37" s="765">
        <f t="shared" si="92"/>
        <v>89.924040000000005</v>
      </c>
      <c r="HJ37" s="750">
        <f>VLOOKUP(HK37,'Ціни контур теплопостачання'!$AN$6:$AO$13,2,0)</f>
        <v>40</v>
      </c>
      <c r="HK37" s="751">
        <f t="array" ref="HK37">MIN(IF('Ціни контур теплопостачання'!$AN$6:$AN$13&gt;N37,'Ціни контур теплопостачання'!$AN$6:$AN$13))</f>
        <v>15</v>
      </c>
      <c r="HL37" s="751">
        <v>1</v>
      </c>
      <c r="HM37" s="747">
        <f>VLOOKUP(HJ37,'Ціни контур теплопостачання'!$AO$6:$AQ$13,3,0)</f>
        <v>140.82444000000001</v>
      </c>
      <c r="HN37" s="748">
        <f t="shared" si="93"/>
        <v>140.82444000000001</v>
      </c>
      <c r="HO37" s="750">
        <f t="shared" si="28"/>
        <v>65</v>
      </c>
      <c r="HP37" s="746">
        <v>1</v>
      </c>
      <c r="HQ37" s="747">
        <f>VLOOKUP(HO37,'Ціни контур теплопостачання'!$AO$55:$AQ$63,3,0)</f>
        <v>426.6</v>
      </c>
      <c r="HR37" s="748">
        <f t="shared" si="126"/>
        <v>426.6</v>
      </c>
      <c r="HS37" s="745">
        <f t="shared" si="29"/>
        <v>25</v>
      </c>
      <c r="HT37" s="749">
        <v>1</v>
      </c>
      <c r="HU37" s="747">
        <f>VLOOKUP(HS37,'Ціни контур теплопостачання'!$K$62:$M$67,3,0)</f>
        <v>92.91</v>
      </c>
      <c r="HV37" s="765">
        <f t="shared" si="95"/>
        <v>92.91</v>
      </c>
      <c r="HW37" s="655" t="str">
        <f t="shared" si="138"/>
        <v>0-150</v>
      </c>
      <c r="HX37" s="720">
        <v>1</v>
      </c>
      <c r="HY37" s="747">
        <f>VLOOKUP(HW37,'Ціни контур мережний'!$I$79:$M$80,5,0)</f>
        <v>15.050156291498967</v>
      </c>
      <c r="HZ37" s="748">
        <f t="shared" si="96"/>
        <v>15.050156291498967</v>
      </c>
      <c r="IA37" s="758" t="s">
        <v>109</v>
      </c>
      <c r="IB37" s="749">
        <v>1</v>
      </c>
      <c r="IC37" s="747">
        <f>VLOOKUP(IA37,'Ціни контур мережний'!$I$79:$M$80,5,0)</f>
        <v>15.050156291498967</v>
      </c>
      <c r="ID37" s="765">
        <f t="shared" si="97"/>
        <v>15.050156291498967</v>
      </c>
      <c r="IE37" s="655" t="s">
        <v>108</v>
      </c>
      <c r="IF37" s="720">
        <v>3</v>
      </c>
      <c r="IG37" s="747">
        <f>VLOOKUP(IE37,'Ціни контур мережний'!$I$67:$M$69,5,0)</f>
        <v>4.4537969640631703</v>
      </c>
      <c r="IH37" s="748">
        <f t="shared" si="98"/>
        <v>13.361390892189512</v>
      </c>
      <c r="II37" s="655" t="s">
        <v>106</v>
      </c>
      <c r="IJ37" s="720">
        <f t="shared" si="136"/>
        <v>15</v>
      </c>
      <c r="IK37" s="747">
        <f>VLOOKUP(II37,'Ціни контур мережний'!$I$67:$M$69,5,0)</f>
        <v>4.4537969640631703</v>
      </c>
      <c r="IL37" s="748">
        <f t="shared" si="99"/>
        <v>66.806954460947551</v>
      </c>
      <c r="IM37" s="655" t="s">
        <v>1013</v>
      </c>
      <c r="IN37" s="720">
        <v>5</v>
      </c>
      <c r="IO37" s="747">
        <f>VLOOKUP(IM37,'Ціни контур мережний'!$I$64:$M$64,5,0)</f>
        <v>29.1312</v>
      </c>
      <c r="IP37" s="748">
        <f t="shared" si="100"/>
        <v>145.65600000000001</v>
      </c>
      <c r="IQ37" s="766" t="s">
        <v>1015</v>
      </c>
      <c r="IR37" s="749">
        <v>6</v>
      </c>
      <c r="IS37" s="747">
        <f>VLOOKUP(IQ37,'Ціни контур мережний'!$I$89:$M$89,5,0)</f>
        <v>79.523165325760516</v>
      </c>
      <c r="IT37" s="765">
        <f t="shared" si="101"/>
        <v>477.1389919545631</v>
      </c>
      <c r="IU37" s="778" t="s">
        <v>1016</v>
      </c>
      <c r="IV37" s="720">
        <f t="shared" si="117"/>
        <v>7</v>
      </c>
      <c r="IW37" s="747">
        <f>VLOOKUP(IU37,'Ціни контур мережний'!$I$88:$M$88,5,0)</f>
        <v>13.211568975967202</v>
      </c>
      <c r="IX37" s="768">
        <f t="shared" si="102"/>
        <v>92.480982831770419</v>
      </c>
      <c r="IY37" s="757" t="s">
        <v>383</v>
      </c>
      <c r="IZ37" s="720">
        <v>1</v>
      </c>
      <c r="JA37" s="747">
        <f>VLOOKUP(IY37,'Ціни контур мережний'!$I$87:$M$87,5,0)</f>
        <v>13.483972460007763</v>
      </c>
      <c r="JB37" s="748">
        <f t="shared" si="141"/>
        <v>13.483972460007763</v>
      </c>
      <c r="JC37" s="769">
        <f t="shared" si="31"/>
        <v>84</v>
      </c>
      <c r="JD37" s="770">
        <f t="shared" si="104"/>
        <v>11321.896403706478</v>
      </c>
      <c r="JE37" s="771">
        <f>$JE$44/'Ціни контур мережний'!$G$26</f>
        <v>476.70609707098151</v>
      </c>
      <c r="JF37" s="771">
        <f>$JE$46/'Ціни контур мережний'!$G$26</f>
        <v>681.00871010140213</v>
      </c>
      <c r="JG37" s="770">
        <f t="shared" si="112"/>
        <v>661.80181284518619</v>
      </c>
      <c r="JH37" s="770">
        <f t="shared" si="113"/>
        <v>487.81784379022207</v>
      </c>
      <c r="JI37" s="770">
        <f>$JI$43/'Ціни контур мережний'!$G$26</f>
        <v>323.47913729816605</v>
      </c>
      <c r="JJ37" s="770">
        <f t="shared" si="105"/>
        <v>66.611999999999995</v>
      </c>
      <c r="JK37" s="770">
        <f t="shared" si="139"/>
        <v>0</v>
      </c>
      <c r="JL37" s="772">
        <f t="shared" si="114"/>
        <v>62.86234247089866</v>
      </c>
      <c r="JM37" s="770">
        <f t="shared" si="140"/>
        <v>0</v>
      </c>
      <c r="JN37" s="770">
        <v>0</v>
      </c>
      <c r="JO37" s="1029">
        <f t="shared" si="32"/>
        <v>985.7529043098333</v>
      </c>
      <c r="JP37" s="770">
        <f t="shared" si="33"/>
        <v>1408.2184347283332</v>
      </c>
      <c r="JQ37" s="1030">
        <f t="shared" si="34"/>
        <v>242.24855542231307</v>
      </c>
      <c r="JR37" s="1023">
        <f t="shared" si="115"/>
        <v>300.63036461094771</v>
      </c>
      <c r="JS37" s="777">
        <f t="shared" si="106"/>
        <v>17019.034606354759</v>
      </c>
      <c r="JU37" s="611">
        <f>[3]Расчеты!AX36/1.2</f>
        <v>5572.4481973529637</v>
      </c>
      <c r="JV37" s="611">
        <f t="shared" si="107"/>
        <v>22591.482803707724</v>
      </c>
      <c r="JW37" s="611" t="e">
        <f>JV37*1.2*#REF!</f>
        <v>#REF!</v>
      </c>
      <c r="JX37" s="611"/>
    </row>
    <row r="38" spans="2:284" ht="12.6" customHeight="1">
      <c r="B38" s="597">
        <v>85</v>
      </c>
      <c r="C38" s="1056" t="s">
        <v>797</v>
      </c>
      <c r="D38" s="906">
        <v>0.26029999999999998</v>
      </c>
      <c r="E38" s="907">
        <v>0.2666</v>
      </c>
      <c r="F38" s="908">
        <f t="shared" si="35"/>
        <v>11.464803380699067</v>
      </c>
      <c r="G38" s="909">
        <v>65</v>
      </c>
      <c r="H38" s="598">
        <f t="shared" si="36"/>
        <v>4.6498749553411924</v>
      </c>
      <c r="I38" s="599">
        <v>40</v>
      </c>
      <c r="J38" s="598">
        <f t="shared" si="37"/>
        <v>10.823284823284821</v>
      </c>
      <c r="K38" s="599">
        <v>65</v>
      </c>
      <c r="L38" s="598">
        <f t="shared" si="38"/>
        <v>6.8149284253578744</v>
      </c>
      <c r="M38" s="599">
        <v>50</v>
      </c>
      <c r="N38" s="598">
        <f t="shared" si="39"/>
        <v>5.4077079107505082</v>
      </c>
      <c r="O38" s="599">
        <v>40</v>
      </c>
      <c r="P38" s="598">
        <f t="shared" si="108"/>
        <v>1.6223123732251523</v>
      </c>
      <c r="Q38" s="599">
        <v>25</v>
      </c>
      <c r="R38" s="598">
        <f t="shared" si="40"/>
        <v>6.5759162251825032</v>
      </c>
      <c r="S38" s="600">
        <f t="shared" si="41"/>
        <v>9.6377642057430268</v>
      </c>
      <c r="T38" s="910">
        <v>2</v>
      </c>
      <c r="U38" s="601">
        <f t="shared" si="42"/>
        <v>5.4116424116424104</v>
      </c>
      <c r="V38" s="601">
        <f t="shared" si="43"/>
        <v>7.6532180932581397</v>
      </c>
      <c r="W38" s="602">
        <v>50</v>
      </c>
      <c r="X38" s="1027">
        <v>5.08</v>
      </c>
      <c r="Y38" s="601">
        <f t="shared" si="44"/>
        <v>1.524</v>
      </c>
      <c r="Z38" s="992">
        <v>25</v>
      </c>
      <c r="AA38" s="1028">
        <v>9</v>
      </c>
      <c r="AB38" s="745">
        <f t="shared" si="0"/>
        <v>65</v>
      </c>
      <c r="AC38" s="746">
        <v>2</v>
      </c>
      <c r="AD38" s="747">
        <f>VLOOKUP(AB38,'Ціни контур мережний'!$Z$24:$AB$36,3,0)</f>
        <v>30.19184015363556</v>
      </c>
      <c r="AE38" s="748">
        <f t="shared" si="45"/>
        <v>60.383680307271121</v>
      </c>
      <c r="AF38" s="745">
        <f t="shared" si="1"/>
        <v>65</v>
      </c>
      <c r="AG38" s="749">
        <v>2</v>
      </c>
      <c r="AH38" s="747">
        <f>VLOOKUP(AF38,'Ціни контур мережний'!$Z$64:$AB$77,3,0)</f>
        <v>105.883234246566</v>
      </c>
      <c r="AI38" s="748">
        <f t="shared" si="46"/>
        <v>211.76646849313201</v>
      </c>
      <c r="AJ38" s="745">
        <f t="shared" si="2"/>
        <v>65</v>
      </c>
      <c r="AK38" s="746">
        <v>0</v>
      </c>
      <c r="AL38" s="747">
        <f>VLOOKUP(AJ38,'Ціни контур мережний'!$Z$5:$AB$17,3,0)</f>
        <v>39.731999999999999</v>
      </c>
      <c r="AM38" s="748">
        <f t="shared" si="47"/>
        <v>0</v>
      </c>
      <c r="AN38" s="750">
        <f t="shared" si="3"/>
        <v>40</v>
      </c>
      <c r="AO38" s="746">
        <v>1</v>
      </c>
      <c r="AP38" s="747">
        <f>VLOOKUP(AN38,'Ціни контур мережний'!$Z$43:$AB$55,3,0)</f>
        <v>18.42400964308333</v>
      </c>
      <c r="AQ38" s="768">
        <f t="shared" si="48"/>
        <v>18.42400964308333</v>
      </c>
      <c r="AR38" s="749">
        <f t="shared" si="4"/>
        <v>50</v>
      </c>
      <c r="AS38" s="749">
        <v>4</v>
      </c>
      <c r="AT38" s="747">
        <f>VLOOKUP(AR38,'Ціни контур мережний'!$Z$43:$AB$55,3,0)</f>
        <v>23.2782130224622</v>
      </c>
      <c r="AU38" s="1016">
        <f t="shared" si="49"/>
        <v>93.112852089848801</v>
      </c>
      <c r="AV38" s="751" t="str">
        <f t="shared" si="50"/>
        <v>AMV20</v>
      </c>
      <c r="AW38" s="751">
        <v>1</v>
      </c>
      <c r="AX38" s="747">
        <f>VLOOKUP(AV38,'Ціни контур мережний'!$I$53:$M$57,5,0)</f>
        <v>110.39869654932889</v>
      </c>
      <c r="AY38" s="748">
        <f t="shared" si="51"/>
        <v>110.39869654932889</v>
      </c>
      <c r="AZ38" s="752">
        <f t="array" ref="AZ38">MIN(IF('Ціни контур мережний'!$Y$83:$Y$92&gt;(R38*1.2),'Ціни контур мережний'!$Y$83:$Y$92))</f>
        <v>10</v>
      </c>
      <c r="BA38" s="746">
        <f>VLOOKUP(AZ38,'Ціни контур мережний'!$Y$83:$Z$92,2,0)</f>
        <v>25</v>
      </c>
      <c r="BB38" s="746">
        <v>1</v>
      </c>
      <c r="BC38" s="747">
        <f>VLOOKUP(AZ38,'Ціни контур мережний'!$Y$83:$AB$92,4,0)</f>
        <v>117.50505648967251</v>
      </c>
      <c r="BD38" s="748">
        <f t="shared" si="52"/>
        <v>117.50505648967251</v>
      </c>
      <c r="BE38" s="1099">
        <f t="array" ref="BE38">MIN(IF('[1]Ціни контур мережний'!$Y$104:$Y$114&gt;(R38*1.2),'[1]Ціни контур мережний'!$Y$104:$Y$114))</f>
        <v>8</v>
      </c>
      <c r="BF38" s="1101">
        <f>VLOOKUP(BE38,'[1]Ціни контур мережний'!$Y$104:$Z$114,2,0)</f>
        <v>25</v>
      </c>
      <c r="BG38" s="753">
        <v>1</v>
      </c>
      <c r="BH38" s="754">
        <f>VLOOKUP(BE38,'Ціни контур мережний'!$Y$104:$AB$114,4,0)</f>
        <v>278.09338672441618</v>
      </c>
      <c r="BI38" s="755">
        <f t="shared" si="53"/>
        <v>278.09338672441618</v>
      </c>
      <c r="BJ38" s="751" t="s">
        <v>67</v>
      </c>
      <c r="BK38" s="749">
        <v>1</v>
      </c>
      <c r="BL38" s="747">
        <f>VLOOKUP(BJ38,'Ціни контур мережний'!$I$53:$M$57,5,0)</f>
        <v>157.67238032974441</v>
      </c>
      <c r="BM38" s="748">
        <f t="shared" si="54"/>
        <v>157.67238032974441</v>
      </c>
      <c r="BN38" s="896">
        <f t="array" ref="BN38">MIN(IF('Ціни контур мережний'!$Y$83:$Y$93&gt;(S38*1.2),'Ціни контур мережний'!$Y$83:$Y$93))</f>
        <v>16</v>
      </c>
      <c r="BO38" s="896">
        <f>VLOOKUP(BN38,'Ціни контур мережний'!$Y$83:$Z$93,2,0)</f>
        <v>32</v>
      </c>
      <c r="BP38" s="895">
        <v>1</v>
      </c>
      <c r="BQ38" s="896">
        <f>VLOOKUP(BN38,'Ціни контур мережний'!$Y$83:$AB$93,4,0)</f>
        <v>130.5392363168325</v>
      </c>
      <c r="BR38" s="897">
        <f t="shared" si="55"/>
        <v>130.5392363168325</v>
      </c>
      <c r="BS38" s="896">
        <f t="array" ref="BS38">MIN(IF('Ціни контур мережний'!$Y$104:$Y$114&gt;(S38*1.2),'Ціни контур мережний'!$Y$104:$Y$114))</f>
        <v>12.5</v>
      </c>
      <c r="BT38" s="896">
        <f>VLOOKUP(BS38,'Ціни контур мережний'!$Y$104:$Z$114,2,0)</f>
        <v>32</v>
      </c>
      <c r="BU38" s="895">
        <v>1</v>
      </c>
      <c r="BV38" s="896">
        <f>VLOOKUP(BS38,'Ціни контур мережний'!$Y$104:$AB$114,4,0)</f>
        <v>435.76049604674444</v>
      </c>
      <c r="BW38" s="897">
        <f t="shared" si="56"/>
        <v>435.76049604674444</v>
      </c>
      <c r="BX38" s="751" t="s">
        <v>115</v>
      </c>
      <c r="BY38" s="751" t="s">
        <v>115</v>
      </c>
      <c r="BZ38" s="746" t="s">
        <v>1025</v>
      </c>
      <c r="CA38" s="756">
        <v>0</v>
      </c>
      <c r="CB38" s="747">
        <v>0</v>
      </c>
      <c r="CC38" s="748">
        <f t="shared" si="57"/>
        <v>0</v>
      </c>
      <c r="CD38" s="758">
        <f>VLOOKUP(CE38,'Ціни контур мережний'!$J$5:$L$12,3,0)</f>
        <v>40</v>
      </c>
      <c r="CE38" s="747">
        <f t="array" ref="CE38">MIN(IF('Ціни контур мережний'!$J$5:$J$12&gt;L38,'Ціни контур мережний'!$J$5:$J$12))</f>
        <v>10</v>
      </c>
      <c r="CF38" s="746" t="s">
        <v>130</v>
      </c>
      <c r="CG38" s="749">
        <v>1</v>
      </c>
      <c r="CH38" s="747">
        <f>VLOOKUP(CE38,'Ціни контур мережний'!$J$5:$N$12,5,0)</f>
        <v>375.23999999999995</v>
      </c>
      <c r="CI38" s="748">
        <f t="shared" si="58"/>
        <v>375.23999999999995</v>
      </c>
      <c r="CJ38" s="899" t="s">
        <v>1313</v>
      </c>
      <c r="CK38" s="899">
        <v>1</v>
      </c>
      <c r="CL38" s="898">
        <v>804</v>
      </c>
      <c r="CM38" s="901">
        <f t="shared" si="59"/>
        <v>804</v>
      </c>
      <c r="CN38" s="898" t="s">
        <v>1336</v>
      </c>
      <c r="CO38" s="899">
        <v>1</v>
      </c>
      <c r="CP38" s="900">
        <v>645</v>
      </c>
      <c r="CQ38" s="901">
        <f t="shared" si="60"/>
        <v>645</v>
      </c>
      <c r="CR38" s="751">
        <f t="shared" si="5"/>
        <v>65</v>
      </c>
      <c r="CS38" s="746">
        <v>4</v>
      </c>
      <c r="CT38" s="747">
        <f>VLOOKUP(CR38,'Ціни контур теплопостачання'!$Y$5:$AA$17,3,0)</f>
        <v>30.19184015363556</v>
      </c>
      <c r="CU38" s="748">
        <f t="shared" si="61"/>
        <v>120.76736061454224</v>
      </c>
      <c r="CV38" s="750">
        <f t="shared" si="6"/>
        <v>40</v>
      </c>
      <c r="CW38" s="746">
        <v>6</v>
      </c>
      <c r="CX38" s="747">
        <f>VLOOKUP(CV38,'Ціни контур теплопостачання'!$AO$20:$AQ$29,3,0)</f>
        <v>37.980000000000004</v>
      </c>
      <c r="CY38" s="748">
        <f t="shared" si="62"/>
        <v>227.88000000000002</v>
      </c>
      <c r="CZ38" s="750">
        <f t="shared" si="7"/>
        <v>25</v>
      </c>
      <c r="DA38" s="746">
        <v>3</v>
      </c>
      <c r="DB38" s="747">
        <f>VLOOKUP(CZ38,'Ціни контур теплопостачання'!$AO$20:$AQ$29,3,0)</f>
        <v>6.3070000000000004</v>
      </c>
      <c r="DC38" s="748">
        <f t="shared" si="63"/>
        <v>18.920999999999999</v>
      </c>
      <c r="DD38" s="757">
        <f t="shared" si="8"/>
        <v>50</v>
      </c>
      <c r="DE38" s="746">
        <f t="shared" si="9"/>
        <v>4</v>
      </c>
      <c r="DF38" s="747">
        <f>VLOOKUP(DD38,'Ціни контур теплопостачання'!$Y$5:$AA$17,3,0)</f>
        <v>23.2782130224622</v>
      </c>
      <c r="DG38" s="748">
        <f t="shared" si="64"/>
        <v>93.112852089848801</v>
      </c>
      <c r="DH38" s="745">
        <f t="shared" si="65"/>
        <v>32</v>
      </c>
      <c r="DI38" s="749">
        <f t="shared" si="66"/>
        <v>1</v>
      </c>
      <c r="DJ38" s="747">
        <f>VLOOKUP(DH38,'Ціни контур теплопостачання'!$Y$5:$AA$17,3,0)</f>
        <v>10.381</v>
      </c>
      <c r="DK38" s="765">
        <f t="shared" si="67"/>
        <v>10.381</v>
      </c>
      <c r="DL38" s="757">
        <f t="shared" si="10"/>
        <v>25</v>
      </c>
      <c r="DM38" s="746">
        <v>1</v>
      </c>
      <c r="DN38" s="747">
        <f>VLOOKUP(DL38,'Ціни контур мережний'!$Z$43:$AB$55,3,0)</f>
        <v>14.856886019572187</v>
      </c>
      <c r="DO38" s="748">
        <f t="shared" si="68"/>
        <v>14.856886019572187</v>
      </c>
      <c r="DP38" s="757">
        <f t="shared" si="11"/>
        <v>25</v>
      </c>
      <c r="DQ38" s="746">
        <v>2</v>
      </c>
      <c r="DR38" s="747">
        <f>VLOOKUP(DP38,'Ціни контур теплопостачання'!$Y$5:$AA$17,3,0)</f>
        <v>6.3070000000000004</v>
      </c>
      <c r="DS38" s="748">
        <f t="shared" si="69"/>
        <v>12.614000000000001</v>
      </c>
      <c r="DT38" s="745">
        <v>20</v>
      </c>
      <c r="DU38" s="749">
        <v>2</v>
      </c>
      <c r="DV38" s="747">
        <f>VLOOKUP(DT38,'Ціни контур теплопостачання'!$Y$5:$AA$17,3,0)</f>
        <v>3.577</v>
      </c>
      <c r="DW38" s="748">
        <f t="shared" si="70"/>
        <v>7.1539999999999999</v>
      </c>
      <c r="DX38" s="745">
        <v>15</v>
      </c>
      <c r="DY38" s="745">
        <v>10</v>
      </c>
      <c r="DZ38" s="758">
        <f>VLOOKUP(DX38,'Ціни контур теплопостачання'!$Y$5:$AA$17,3,0)</f>
        <v>2.464</v>
      </c>
      <c r="EA38" s="759">
        <f t="shared" si="71"/>
        <v>24.64</v>
      </c>
      <c r="EB38" s="745">
        <v>15</v>
      </c>
      <c r="EC38" s="745">
        <f t="shared" si="110"/>
        <v>38</v>
      </c>
      <c r="ED38" s="758">
        <f>VLOOKUP(EB38,'Ціни контур мережний'!$J$71:$M$71,4,0)</f>
        <v>3.3865201135922525</v>
      </c>
      <c r="EE38" s="759">
        <f t="shared" si="72"/>
        <v>128.68776431650559</v>
      </c>
      <c r="EF38" s="751">
        <f t="shared" si="12"/>
        <v>65</v>
      </c>
      <c r="EG38" s="746">
        <v>1</v>
      </c>
      <c r="EH38" s="747">
        <f>VLOOKUP(EF38,'Ціни контур теплопостачання'!$K$5:$M$17,3,0)</f>
        <v>39.731999999999999</v>
      </c>
      <c r="EI38" s="748">
        <f t="shared" si="73"/>
        <v>39.731999999999999</v>
      </c>
      <c r="EJ38" s="745">
        <f t="shared" si="13"/>
        <v>40</v>
      </c>
      <c r="EK38" s="749">
        <v>1</v>
      </c>
      <c r="EL38" s="747">
        <f>VLOOKUP(EJ38,'Ціни контур теплопостачання'!$K$5:$M$17,3,0)</f>
        <v>23.225999999999999</v>
      </c>
      <c r="EM38" s="748">
        <f t="shared" si="74"/>
        <v>23.225999999999999</v>
      </c>
      <c r="EN38" s="745">
        <f t="shared" si="14"/>
        <v>25</v>
      </c>
      <c r="EO38" s="745">
        <v>1</v>
      </c>
      <c r="EP38" s="758">
        <f>VLOOKUP(EN38,'Ціни контур теплопостачання'!$K$5:$M$17,3,0)</f>
        <v>4.78</v>
      </c>
      <c r="EQ38" s="759">
        <f t="shared" si="75"/>
        <v>4.78</v>
      </c>
      <c r="ER38" s="745">
        <f t="shared" si="15"/>
        <v>25</v>
      </c>
      <c r="ES38" s="745">
        <v>1</v>
      </c>
      <c r="ET38" s="758">
        <f>VLOOKUP(ER38,'Ціни контур теплопостачання'!$K$5:$M$17,3,0)</f>
        <v>4.78</v>
      </c>
      <c r="EU38" s="759">
        <f t="shared" si="76"/>
        <v>4.78</v>
      </c>
      <c r="EV38" s="751">
        <f t="shared" si="16"/>
        <v>65</v>
      </c>
      <c r="EW38" s="746">
        <v>2</v>
      </c>
      <c r="EX38" s="747">
        <f>VLOOKUP(EV38,'Ціни контур теплопостачання'!$Y$24:$AA$36,3,0)</f>
        <v>42.080999999999996</v>
      </c>
      <c r="EY38" s="748">
        <f t="shared" si="77"/>
        <v>84.161999999999992</v>
      </c>
      <c r="EZ38" s="745">
        <f t="shared" si="17"/>
        <v>40</v>
      </c>
      <c r="FA38" s="749">
        <v>1</v>
      </c>
      <c r="FB38" s="747">
        <f>VLOOKUP(EZ38,'Ціни контур теплопостачання'!$AO$38:$AQ$50,3,0)</f>
        <v>20.3645</v>
      </c>
      <c r="FC38" s="748">
        <f t="shared" si="78"/>
        <v>20.3645</v>
      </c>
      <c r="FD38" s="745">
        <f t="shared" si="18"/>
        <v>25</v>
      </c>
      <c r="FE38" s="745">
        <v>1</v>
      </c>
      <c r="FF38" s="758">
        <f>VLOOKUP(FD38,'Ціни контур теплопостачання'!$AO$38:$AQ$50,3,0)</f>
        <v>6.9659999999999993</v>
      </c>
      <c r="FG38" s="759">
        <f t="shared" si="79"/>
        <v>6.9659999999999993</v>
      </c>
      <c r="FH38" s="745">
        <f t="shared" si="19"/>
        <v>25</v>
      </c>
      <c r="FI38" s="745">
        <v>1</v>
      </c>
      <c r="FJ38" s="758">
        <f>VLOOKUP(FH38,'Ціни контур теплопостачання'!$Y$24:$AA$36,3,0)</f>
        <v>6.9659999999999993</v>
      </c>
      <c r="FK38" s="759">
        <f t="shared" si="80"/>
        <v>6.9659999999999993</v>
      </c>
      <c r="FL38" s="745">
        <f t="shared" si="20"/>
        <v>50</v>
      </c>
      <c r="FM38" s="745">
        <f t="shared" si="21"/>
        <v>4</v>
      </c>
      <c r="FN38" s="758">
        <f>VLOOKUP(FL38,'Ціни контур теплопостачання'!$Y$76:$AA$88,3,0)</f>
        <v>20.6</v>
      </c>
      <c r="FO38" s="759">
        <f t="shared" si="81"/>
        <v>82.4</v>
      </c>
      <c r="FP38" s="745">
        <f t="shared" si="22"/>
        <v>40</v>
      </c>
      <c r="FQ38" s="745">
        <v>1</v>
      </c>
      <c r="FR38" s="758">
        <f>VLOOKUP(FP38,'Ціни контур теплопостачання'!$Y$76:$AA$88,3,0)</f>
        <v>16.809999999999999</v>
      </c>
      <c r="FS38" s="759">
        <f t="shared" si="82"/>
        <v>16.809999999999999</v>
      </c>
      <c r="FT38" s="745">
        <f t="shared" si="23"/>
        <v>25</v>
      </c>
      <c r="FU38" s="745">
        <v>1</v>
      </c>
      <c r="FV38" s="758">
        <f>VLOOKUP(FT38,'Ціни контур теплопостачання'!$Y$76:$AA$88,3,0)</f>
        <v>11.45</v>
      </c>
      <c r="FW38" s="759">
        <f t="shared" si="83"/>
        <v>11.45</v>
      </c>
      <c r="FX38" s="758">
        <f t="shared" si="24"/>
        <v>25.914744837640207</v>
      </c>
      <c r="FY38" s="760">
        <v>25</v>
      </c>
      <c r="FZ38" s="719">
        <v>2</v>
      </c>
      <c r="GA38" s="747">
        <f>VLOOKUP(FY38,'Ціни контур теплопостачання'!$K$74:$M$79,3,0)</f>
        <v>22.22</v>
      </c>
      <c r="GB38" s="761">
        <f t="shared" si="84"/>
        <v>44.44</v>
      </c>
      <c r="GC38" s="762">
        <f t="shared" si="85"/>
        <v>10.823284823284821</v>
      </c>
      <c r="GD38" s="911">
        <v>9</v>
      </c>
      <c r="GE38" s="1017">
        <v>9</v>
      </c>
      <c r="GF38" s="1018" t="s">
        <v>119</v>
      </c>
      <c r="GG38" s="713">
        <v>2</v>
      </c>
      <c r="GH38" s="709">
        <f>VLOOKUP(GF38,'Ціни контур теплопостачання'!$C$89:$M$105,11,0)</f>
        <v>391.06799999999998</v>
      </c>
      <c r="GI38" s="764">
        <f t="shared" si="86"/>
        <v>782.13599999999997</v>
      </c>
      <c r="GJ38" s="912">
        <f t="shared" si="87"/>
        <v>1.6223123732251523</v>
      </c>
      <c r="GK38" s="911">
        <v>9</v>
      </c>
      <c r="GL38" s="1017">
        <v>9</v>
      </c>
      <c r="GM38" s="1019" t="s">
        <v>1097</v>
      </c>
      <c r="GN38" s="749">
        <v>1</v>
      </c>
      <c r="GO38" s="747">
        <f>VLOOKUP(GM38,'Ціни контур теплопостачання'!$C$89:$M$105,11,0)</f>
        <v>241.2</v>
      </c>
      <c r="GP38" s="904">
        <f t="shared" si="88"/>
        <v>241.2</v>
      </c>
      <c r="GQ38" s="758">
        <f t="shared" si="25"/>
        <v>537.02496331330474</v>
      </c>
      <c r="GR38" s="955">
        <v>500</v>
      </c>
      <c r="GS38" s="749">
        <f>VLOOKUP(GR38,'Ціни контур теплопостачання'!$J$43:$K$55,2,0)</f>
        <v>32</v>
      </c>
      <c r="GT38" s="1020">
        <v>1</v>
      </c>
      <c r="GU38" s="747">
        <f>VLOOKUP(GR38,'Ціни контур теплопостачання'!$J$43:$M$55,4,0)</f>
        <v>249.72</v>
      </c>
      <c r="GV38" s="748">
        <f t="shared" si="89"/>
        <v>249.72</v>
      </c>
      <c r="GW38" s="758">
        <f t="array" ref="GW38">MIN(IF('Ціни контур теплопостачання'!$AN$68:$AN$77&gt;(V38*1.2),'Ціни контур теплопостачання'!$AN$68:$AN$77))</f>
        <v>11.13</v>
      </c>
      <c r="GX38" s="749">
        <f>VLOOKUP(GW38,'Ціни контур теплопостачання'!$AN$68:$AO$77,2,0)</f>
        <v>32</v>
      </c>
      <c r="GY38" s="749">
        <f t="shared" si="26"/>
        <v>2</v>
      </c>
      <c r="GZ38" s="747">
        <f>VLOOKUP(GX38,'Ціни контур теплопостачання'!$AO$68:$AQ$77,3,0)</f>
        <v>37.183999999999997</v>
      </c>
      <c r="HA38" s="759">
        <f t="shared" si="90"/>
        <v>74.367999999999995</v>
      </c>
      <c r="HB38" s="751">
        <v>15</v>
      </c>
      <c r="HC38" s="746">
        <v>2</v>
      </c>
      <c r="HD38" s="747">
        <f>VLOOKUP(HB38,'Ціни контур мережний'!$J$73:$M$73,4,0)</f>
        <v>3.4649999999999999</v>
      </c>
      <c r="HE38" s="748">
        <f t="shared" si="91"/>
        <v>6.93</v>
      </c>
      <c r="HF38" s="749">
        <f t="shared" si="27"/>
        <v>25</v>
      </c>
      <c r="HG38" s="749">
        <v>1</v>
      </c>
      <c r="HH38" s="747">
        <f>VLOOKUP(HF38,'Ціни контур теплопостачання'!$Y$62:$AA$69,3,0)</f>
        <v>89.924040000000005</v>
      </c>
      <c r="HI38" s="765">
        <f t="shared" si="92"/>
        <v>89.924040000000005</v>
      </c>
      <c r="HJ38" s="750">
        <f>VLOOKUP(HK38,'Ціни контур теплопостачання'!$AN$6:$AO$13,2,0)</f>
        <v>32</v>
      </c>
      <c r="HK38" s="751">
        <f t="array" ref="HK38">MIN(IF('Ціни контур теплопостачання'!$AN$6:$AN$13&gt;N38,'Ціни контур теплопостачання'!$AN$6:$AN$13))</f>
        <v>6</v>
      </c>
      <c r="HL38" s="751">
        <v>1</v>
      </c>
      <c r="HM38" s="747">
        <f>VLOOKUP(HJ38,'Ціни контур теплопостачання'!$AO$6:$AQ$13,3,0)</f>
        <v>85.682340000000011</v>
      </c>
      <c r="HN38" s="748">
        <f t="shared" si="93"/>
        <v>85.682340000000011</v>
      </c>
      <c r="HO38" s="750">
        <f t="shared" si="28"/>
        <v>40</v>
      </c>
      <c r="HP38" s="746">
        <v>1</v>
      </c>
      <c r="HQ38" s="747">
        <f>VLOOKUP(HO38,'Ціни контур теплопостачання'!$AO$55:$AQ$63,3,0)</f>
        <v>193.55</v>
      </c>
      <c r="HR38" s="748">
        <f t="shared" si="126"/>
        <v>193.55</v>
      </c>
      <c r="HS38" s="745">
        <f t="shared" si="29"/>
        <v>25</v>
      </c>
      <c r="HT38" s="749">
        <v>1</v>
      </c>
      <c r="HU38" s="747">
        <f>VLOOKUP(HS38,'Ціни контур теплопостачання'!$K$62:$M$67,3,0)</f>
        <v>92.91</v>
      </c>
      <c r="HV38" s="765">
        <f t="shared" si="95"/>
        <v>92.91</v>
      </c>
      <c r="HW38" s="655" t="str">
        <f t="shared" si="138"/>
        <v>0-150</v>
      </c>
      <c r="HX38" s="720">
        <v>1</v>
      </c>
      <c r="HY38" s="747">
        <f>VLOOKUP(HW38,'Ціни контур мережний'!$I$79:$M$80,5,0)</f>
        <v>15.050156291498967</v>
      </c>
      <c r="HZ38" s="748">
        <f t="shared" si="96"/>
        <v>15.050156291498967</v>
      </c>
      <c r="IA38" s="758" t="s">
        <v>109</v>
      </c>
      <c r="IB38" s="749">
        <v>1</v>
      </c>
      <c r="IC38" s="747">
        <f>VLOOKUP(IA38,'Ціни контур мережний'!$I$79:$M$80,5,0)</f>
        <v>15.050156291498967</v>
      </c>
      <c r="ID38" s="765">
        <f t="shared" si="97"/>
        <v>15.050156291498967</v>
      </c>
      <c r="IE38" s="655" t="s">
        <v>108</v>
      </c>
      <c r="IF38" s="720">
        <v>3</v>
      </c>
      <c r="IG38" s="747">
        <f>VLOOKUP(IE38,'Ціни контур мережний'!$I$67:$M$69,5,0)</f>
        <v>4.4537969640631703</v>
      </c>
      <c r="IH38" s="748">
        <f t="shared" si="98"/>
        <v>13.361390892189512</v>
      </c>
      <c r="II38" s="655" t="s">
        <v>106</v>
      </c>
      <c r="IJ38" s="720">
        <f t="shared" si="136"/>
        <v>13</v>
      </c>
      <c r="IK38" s="747">
        <f>VLOOKUP(II38,'Ціни контур мережний'!$I$67:$M$69,5,0)</f>
        <v>4.4537969640631703</v>
      </c>
      <c r="IL38" s="748">
        <f t="shared" si="99"/>
        <v>57.899360532821213</v>
      </c>
      <c r="IM38" s="655" t="s">
        <v>1013</v>
      </c>
      <c r="IN38" s="720">
        <v>5</v>
      </c>
      <c r="IO38" s="747">
        <f>VLOOKUP(IM38,'Ціни контур мережний'!$I$64:$M$64,5,0)</f>
        <v>29.1312</v>
      </c>
      <c r="IP38" s="748">
        <f t="shared" si="100"/>
        <v>145.65600000000001</v>
      </c>
      <c r="IQ38" s="766" t="s">
        <v>1015</v>
      </c>
      <c r="IR38" s="749">
        <v>6</v>
      </c>
      <c r="IS38" s="747">
        <f>VLOOKUP(IQ38,'Ціни контур мережний'!$I$89:$M$89,5,0)</f>
        <v>79.523165325760516</v>
      </c>
      <c r="IT38" s="765">
        <f t="shared" si="101"/>
        <v>477.1389919545631</v>
      </c>
      <c r="IU38" s="917" t="s">
        <v>1016</v>
      </c>
      <c r="IV38" s="720">
        <f t="shared" si="117"/>
        <v>7</v>
      </c>
      <c r="IW38" s="747">
        <f>VLOOKUP(IU38,'Ціни контур мережний'!$I$88:$M$88,5,0)</f>
        <v>13.211568975967202</v>
      </c>
      <c r="IX38" s="768">
        <f t="shared" si="102"/>
        <v>92.480982831770419</v>
      </c>
      <c r="IY38" s="917" t="s">
        <v>383</v>
      </c>
      <c r="IZ38" s="720">
        <v>1</v>
      </c>
      <c r="JA38" s="747">
        <f>VLOOKUP(IY38,'Ціни контур мережний'!$I$87:$M$87,5,0)</f>
        <v>13.483972460007763</v>
      </c>
      <c r="JB38" s="748">
        <f t="shared" si="141"/>
        <v>13.483972460007763</v>
      </c>
      <c r="JC38" s="769">
        <f t="shared" si="31"/>
        <v>85</v>
      </c>
      <c r="JD38" s="770">
        <f t="shared" si="104"/>
        <v>7089.5290172848918</v>
      </c>
      <c r="JE38" s="771">
        <f>$JE$44/'Ціни контур мережний'!$G$26</f>
        <v>476.70609707098151</v>
      </c>
      <c r="JF38" s="771">
        <f>$JE$45/'Ціни контур мережний'!$G$26</f>
        <v>578.85740358619182</v>
      </c>
      <c r="JG38" s="770">
        <f t="shared" si="112"/>
        <v>661.80181284518619</v>
      </c>
      <c r="JH38" s="770">
        <f t="shared" si="113"/>
        <v>487.81784379022207</v>
      </c>
      <c r="JI38" s="770">
        <f>$JI$43/'Ціни контур мережний'!$G$26</f>
        <v>323.47913729816605</v>
      </c>
      <c r="JJ38" s="770">
        <f t="shared" si="105"/>
        <v>66.611999999999995</v>
      </c>
      <c r="JK38" s="770">
        <f t="shared" si="139"/>
        <v>0</v>
      </c>
      <c r="JL38" s="772">
        <f t="shared" si="114"/>
        <v>62.86234247089866</v>
      </c>
      <c r="JM38" s="770">
        <f t="shared" si="140"/>
        <v>0</v>
      </c>
      <c r="JN38" s="770">
        <v>0</v>
      </c>
      <c r="JO38" s="1029">
        <f t="shared" si="32"/>
        <v>682.33659580425774</v>
      </c>
      <c r="JP38" s="770">
        <f t="shared" si="33"/>
        <v>974.76656543465378</v>
      </c>
      <c r="JQ38" s="1030">
        <f t="shared" si="34"/>
        <v>167.68406557329945</v>
      </c>
      <c r="JR38" s="1023">
        <f t="shared" si="115"/>
        <v>300.63036461094771</v>
      </c>
      <c r="JS38" s="777">
        <f t="shared" si="106"/>
        <v>11873.083245769696</v>
      </c>
      <c r="JU38" s="611">
        <f>[3]Расчеты!AX37/1.2</f>
        <v>4503.8297395772552</v>
      </c>
      <c r="JV38" s="611">
        <f t="shared" si="107"/>
        <v>16376.912985346951</v>
      </c>
      <c r="JW38" s="611" t="e">
        <f>JV38*1.2*#REF!</f>
        <v>#REF!</v>
      </c>
      <c r="JX38" s="611"/>
    </row>
    <row r="39" spans="2:284" ht="12.6" customHeight="1">
      <c r="B39" s="597">
        <v>86</v>
      </c>
      <c r="C39" s="1056" t="s">
        <v>798</v>
      </c>
      <c r="D39" s="906">
        <v>0.12886</v>
      </c>
      <c r="E39" s="907">
        <v>9.7689999999999999E-2</v>
      </c>
      <c r="F39" s="908">
        <f t="shared" si="35"/>
        <v>4.7990816724640926</v>
      </c>
      <c r="G39" s="909">
        <v>50</v>
      </c>
      <c r="H39" s="598">
        <f t="shared" si="36"/>
        <v>2.3018935334047876</v>
      </c>
      <c r="I39" s="599">
        <v>32</v>
      </c>
      <c r="J39" s="598">
        <f t="shared" si="37"/>
        <v>5.3580041580041584</v>
      </c>
      <c r="K39" s="599">
        <v>50</v>
      </c>
      <c r="L39" s="598">
        <f t="shared" si="38"/>
        <v>2.4971881390593049</v>
      </c>
      <c r="M39" s="599">
        <v>32</v>
      </c>
      <c r="N39" s="598">
        <f t="shared" si="39"/>
        <v>1.9815415821501015</v>
      </c>
      <c r="O39" s="599">
        <v>32</v>
      </c>
      <c r="P39" s="598">
        <f t="shared" si="108"/>
        <v>0.59446247464503044</v>
      </c>
      <c r="Q39" s="599">
        <v>20</v>
      </c>
      <c r="R39" s="598">
        <f t="shared" si="40"/>
        <v>3.2553690540799756</v>
      </c>
      <c r="S39" s="600">
        <f t="shared" si="41"/>
        <v>3.5315573340548991</v>
      </c>
      <c r="T39" s="910">
        <v>1</v>
      </c>
      <c r="U39" s="601">
        <f t="shared" si="42"/>
        <v>5.3580041580041584</v>
      </c>
      <c r="V39" s="601">
        <f t="shared" si="43"/>
        <v>7.5773621475009163</v>
      </c>
      <c r="W39" s="602">
        <v>50</v>
      </c>
      <c r="X39" s="1027">
        <v>2.52</v>
      </c>
      <c r="Y39" s="601">
        <f t="shared" si="44"/>
        <v>0.75600000000000001</v>
      </c>
      <c r="Z39" s="992">
        <v>20</v>
      </c>
      <c r="AA39" s="1028">
        <v>9</v>
      </c>
      <c r="AB39" s="745">
        <f t="shared" si="0"/>
        <v>50</v>
      </c>
      <c r="AC39" s="746">
        <v>2</v>
      </c>
      <c r="AD39" s="747">
        <f>VLOOKUP(AB39,'Ціни контур мережний'!$Z$24:$AB$36,3,0)</f>
        <v>23.2782130224622</v>
      </c>
      <c r="AE39" s="748">
        <f t="shared" si="45"/>
        <v>46.5564260449244</v>
      </c>
      <c r="AF39" s="745">
        <f t="shared" si="1"/>
        <v>50</v>
      </c>
      <c r="AG39" s="749">
        <v>2</v>
      </c>
      <c r="AH39" s="747">
        <f>VLOOKUP(AF39,'Ціни контур мережний'!$Z$64:$AB$77,3,0)</f>
        <v>80.03214361111678</v>
      </c>
      <c r="AI39" s="748">
        <f t="shared" si="46"/>
        <v>160.06428722223356</v>
      </c>
      <c r="AJ39" s="745">
        <f t="shared" si="2"/>
        <v>50</v>
      </c>
      <c r="AK39" s="746">
        <v>1</v>
      </c>
      <c r="AL39" s="747">
        <f>VLOOKUP(AJ39,'Ціни контур мережний'!$Z$5:$AB$17,3,0)</f>
        <v>26.284999999999997</v>
      </c>
      <c r="AM39" s="748">
        <f t="shared" si="47"/>
        <v>26.284999999999997</v>
      </c>
      <c r="AN39" s="750">
        <f t="shared" si="3"/>
        <v>32</v>
      </c>
      <c r="AO39" s="746">
        <v>3</v>
      </c>
      <c r="AP39" s="747">
        <f>VLOOKUP(AN39,'Ціни контур мережний'!$Z$43:$AB$55,3,0)</f>
        <v>16.107218011318363</v>
      </c>
      <c r="AQ39" s="768">
        <f t="shared" si="48"/>
        <v>48.321654033955085</v>
      </c>
      <c r="AR39" s="749">
        <f t="shared" si="4"/>
        <v>32</v>
      </c>
      <c r="AS39" s="749">
        <v>4</v>
      </c>
      <c r="AT39" s="747">
        <f>VLOOKUP(AR39,'Ціни контур мережний'!$Z$43:$AB$55,3,0)</f>
        <v>16.107218011318363</v>
      </c>
      <c r="AU39" s="1016">
        <f t="shared" si="49"/>
        <v>64.428872045273451</v>
      </c>
      <c r="AV39" s="751" t="str">
        <f t="shared" si="50"/>
        <v>AMV20</v>
      </c>
      <c r="AW39" s="751">
        <v>1</v>
      </c>
      <c r="AX39" s="747">
        <f>VLOOKUP(AV39,'Ціни контур мережний'!$I$53:$M$57,5,0)</f>
        <v>110.39869654932889</v>
      </c>
      <c r="AY39" s="748">
        <f t="shared" si="51"/>
        <v>110.39869654932889</v>
      </c>
      <c r="AZ39" s="752">
        <f t="array" ref="AZ39">MIN(IF('Ціни контур мережний'!$Y$83:$Y$92&gt;(R39*1.2),'Ціни контур мережний'!$Y$83:$Y$92))</f>
        <v>4</v>
      </c>
      <c r="BA39" s="746">
        <f>VLOOKUP(AZ39,'Ціни контур мережний'!$Y$83:$Z$92,2,0)</f>
        <v>15</v>
      </c>
      <c r="BB39" s="746">
        <v>1</v>
      </c>
      <c r="BC39" s="747">
        <f>VLOOKUP(AZ39,'Ціни контур мережний'!$Y$83:$AB$92,4,0)</f>
        <v>104.44472592804462</v>
      </c>
      <c r="BD39" s="748">
        <f t="shared" si="52"/>
        <v>104.44472592804462</v>
      </c>
      <c r="BE39" s="1099">
        <f t="array" ref="BE39">MIN(IF('[1]Ціни контур мережний'!$Y$104:$Y$114&gt;(R39*1.2),'[1]Ціни контур мережний'!$Y$104:$Y$114))</f>
        <v>4</v>
      </c>
      <c r="BF39" s="1101">
        <f>VLOOKUP(BE39,'[1]Ціни контур мережний'!$Y$104:$Z$114,2,0)</f>
        <v>15</v>
      </c>
      <c r="BG39" s="753">
        <v>1</v>
      </c>
      <c r="BH39" s="754">
        <f>VLOOKUP(BE39,'Ціни контур мережний'!$Y$104:$AB$114,4,0)</f>
        <v>251.13923223078018</v>
      </c>
      <c r="BI39" s="755">
        <f t="shared" si="53"/>
        <v>251.13923223078018</v>
      </c>
      <c r="BJ39" s="751" t="s">
        <v>67</v>
      </c>
      <c r="BK39" s="749">
        <v>1</v>
      </c>
      <c r="BL39" s="747">
        <f>VLOOKUP(BJ39,'Ціни контур мережний'!$I$53:$M$57,5,0)</f>
        <v>157.67238032974441</v>
      </c>
      <c r="BM39" s="748">
        <f t="shared" si="54"/>
        <v>157.67238032974441</v>
      </c>
      <c r="BN39" s="896">
        <f t="array" ref="BN39">MIN(IF('Ціни контур мережний'!$Y$83:$Y$93&gt;(S39*1.2),'Ціни контур мережний'!$Y$83:$Y$93))</f>
        <v>6.3</v>
      </c>
      <c r="BO39" s="896">
        <f>VLOOKUP(BN39,'Ціни контур мережний'!$Y$83:$Z$93,2,0)</f>
        <v>20</v>
      </c>
      <c r="BP39" s="895">
        <v>1</v>
      </c>
      <c r="BQ39" s="896">
        <f>VLOOKUP(BN39,'Ціни контур мережний'!$Y$83:$AB$93,4,0)</f>
        <v>113.14115267534271</v>
      </c>
      <c r="BR39" s="897">
        <f t="shared" si="55"/>
        <v>113.14115267534271</v>
      </c>
      <c r="BS39" s="896">
        <f t="array" ref="BS39">MIN(IF('Ціни контур мережний'!$Y$104:$Y$114&gt;(S39*1.2),'Ціни контур мережний'!$Y$104:$Y$114))</f>
        <v>6.3</v>
      </c>
      <c r="BT39" s="896">
        <f>VLOOKUP(BS39,'Ціни контур мережний'!$Y$104:$Z$114,2,0)</f>
        <v>20</v>
      </c>
      <c r="BU39" s="895">
        <v>1</v>
      </c>
      <c r="BV39" s="896">
        <f>VLOOKUP(BS39,'Ціни контур мережний'!$Y$104:$AB$114,4,0)</f>
        <v>259.83406541769665</v>
      </c>
      <c r="BW39" s="897">
        <f t="shared" si="56"/>
        <v>259.83406541769665</v>
      </c>
      <c r="BX39" s="751">
        <f>VLOOKUP(BY39,'Ціни контур мережний'!$J$5:$L$12,3,0)</f>
        <v>20</v>
      </c>
      <c r="BY39" s="751">
        <f t="array" ref="BY39">MIN(IF('Ціни контур мережний'!$J$5:$J$12&gt;H39,'Ціни контур мережний'!$J$5:$J$12))</f>
        <v>2.5</v>
      </c>
      <c r="BZ39" s="746" t="str">
        <f>BZ8</f>
        <v>Pt500</v>
      </c>
      <c r="CA39" s="756">
        <v>1</v>
      </c>
      <c r="CB39" s="747">
        <f>VLOOKUP(BY39,'Ціни контур мережний'!$J$5:$N$12,5,0)</f>
        <v>277.536</v>
      </c>
      <c r="CC39" s="748">
        <f t="shared" si="57"/>
        <v>277.536</v>
      </c>
      <c r="CD39" s="758">
        <f>VLOOKUP(CE39,'Ціни контур мережний'!$J$5:$L$12,3,0)</f>
        <v>20</v>
      </c>
      <c r="CE39" s="747">
        <f t="array" ref="CE39">MIN(IF('Ціни контур мережний'!$J$5:$J$12&gt;L39,'Ціни контур мережний'!$J$5:$J$12))</f>
        <v>2.5</v>
      </c>
      <c r="CF39" s="746" t="s">
        <v>130</v>
      </c>
      <c r="CG39" s="749">
        <v>1</v>
      </c>
      <c r="CH39" s="747">
        <f>VLOOKUP(CE39,'Ціни контур мережний'!$J$5:$N$12,5,0)</f>
        <v>277.536</v>
      </c>
      <c r="CI39" s="748">
        <f t="shared" si="58"/>
        <v>277.536</v>
      </c>
      <c r="CJ39" s="899" t="s">
        <v>1314</v>
      </c>
      <c r="CK39" s="899">
        <v>1</v>
      </c>
      <c r="CL39" s="898">
        <v>613</v>
      </c>
      <c r="CM39" s="901">
        <f t="shared" si="59"/>
        <v>613</v>
      </c>
      <c r="CN39" s="898" t="s">
        <v>1337</v>
      </c>
      <c r="CO39" s="899">
        <v>1</v>
      </c>
      <c r="CP39" s="900">
        <v>385</v>
      </c>
      <c r="CQ39" s="901">
        <f t="shared" si="60"/>
        <v>385</v>
      </c>
      <c r="CR39" s="751">
        <f t="shared" si="5"/>
        <v>50</v>
      </c>
      <c r="CS39" s="746">
        <v>4</v>
      </c>
      <c r="CT39" s="747">
        <f>VLOOKUP(CR39,'Ціни контур теплопостачання'!$Y$5:$AA$17,3,0)</f>
        <v>23.2782130224622</v>
      </c>
      <c r="CU39" s="748">
        <f t="shared" si="61"/>
        <v>93.112852089848801</v>
      </c>
      <c r="CV39" s="750">
        <f t="shared" si="6"/>
        <v>32</v>
      </c>
      <c r="CW39" s="746">
        <v>6</v>
      </c>
      <c r="CX39" s="747">
        <f>VLOOKUP(CV39,'Ціни контур теплопостачання'!$AO$20:$AQ$29,3,0)</f>
        <v>10.381</v>
      </c>
      <c r="CY39" s="748">
        <f t="shared" si="62"/>
        <v>62.286000000000001</v>
      </c>
      <c r="CZ39" s="750">
        <f t="shared" si="7"/>
        <v>20</v>
      </c>
      <c r="DA39" s="746">
        <v>3</v>
      </c>
      <c r="DB39" s="747">
        <f>VLOOKUP(CZ39,'Ціни контур теплопостачання'!$AO$20:$AQ$29,3,0)</f>
        <v>3.577</v>
      </c>
      <c r="DC39" s="748">
        <f t="shared" si="63"/>
        <v>10.731</v>
      </c>
      <c r="DD39" s="757">
        <f t="shared" si="8"/>
        <v>50</v>
      </c>
      <c r="DE39" s="746">
        <f t="shared" si="9"/>
        <v>2</v>
      </c>
      <c r="DF39" s="747">
        <f>VLOOKUP(DD39,'Ціни контур теплопостачання'!$Y$5:$AA$17,3,0)</f>
        <v>23.2782130224622</v>
      </c>
      <c r="DG39" s="748">
        <f t="shared" si="64"/>
        <v>46.5564260449244</v>
      </c>
      <c r="DH39" s="745">
        <f t="shared" si="65"/>
        <v>32</v>
      </c>
      <c r="DI39" s="749">
        <f t="shared" si="66"/>
        <v>1</v>
      </c>
      <c r="DJ39" s="747">
        <f>VLOOKUP(DH39,'Ціни контур теплопостачання'!$Y$5:$AA$17,3,0)</f>
        <v>10.381</v>
      </c>
      <c r="DK39" s="765">
        <f t="shared" si="67"/>
        <v>10.381</v>
      </c>
      <c r="DL39" s="757">
        <f t="shared" si="10"/>
        <v>20</v>
      </c>
      <c r="DM39" s="746">
        <v>1</v>
      </c>
      <c r="DN39" s="747">
        <f>VLOOKUP(DL39,'Ціни контур мережний'!$Z$43:$AB$55,3,0)</f>
        <v>14.562690256808384</v>
      </c>
      <c r="DO39" s="748">
        <f t="shared" si="68"/>
        <v>14.562690256808384</v>
      </c>
      <c r="DP39" s="757">
        <f t="shared" si="11"/>
        <v>20</v>
      </c>
      <c r="DQ39" s="746">
        <v>2</v>
      </c>
      <c r="DR39" s="747">
        <f>VLOOKUP(DP39,'Ціни контур теплопостачання'!$Y$5:$AA$17,3,0)</f>
        <v>3.577</v>
      </c>
      <c r="DS39" s="748">
        <f t="shared" si="69"/>
        <v>7.1539999999999999</v>
      </c>
      <c r="DT39" s="745">
        <v>20</v>
      </c>
      <c r="DU39" s="749">
        <v>2</v>
      </c>
      <c r="DV39" s="747">
        <f>VLOOKUP(DT39,'Ціни контур теплопостачання'!$Y$5:$AA$17,3,0)</f>
        <v>3.577</v>
      </c>
      <c r="DW39" s="748">
        <f t="shared" si="70"/>
        <v>7.1539999999999999</v>
      </c>
      <c r="DX39" s="745">
        <v>15</v>
      </c>
      <c r="DY39" s="745">
        <v>10</v>
      </c>
      <c r="DZ39" s="758">
        <f>VLOOKUP(DX39,'Ціни контур теплопостачання'!$Y$5:$AA$17,3,0)</f>
        <v>2.464</v>
      </c>
      <c r="EA39" s="759">
        <f t="shared" si="71"/>
        <v>24.64</v>
      </c>
      <c r="EB39" s="745">
        <v>15</v>
      </c>
      <c r="EC39" s="745">
        <f>36</f>
        <v>36</v>
      </c>
      <c r="ED39" s="758">
        <f>VLOOKUP(EB39,'Ціни контур мережний'!$J$71:$M$71,4,0)</f>
        <v>3.3865201135922525</v>
      </c>
      <c r="EE39" s="759">
        <f t="shared" si="72"/>
        <v>121.91472408932108</v>
      </c>
      <c r="EF39" s="751">
        <f t="shared" si="12"/>
        <v>50</v>
      </c>
      <c r="EG39" s="746">
        <v>1</v>
      </c>
      <c r="EH39" s="747">
        <f>VLOOKUP(EF39,'Ціни контур теплопостачання'!$K$5:$M$17,3,0)</f>
        <v>26.284999999999997</v>
      </c>
      <c r="EI39" s="748">
        <f t="shared" si="73"/>
        <v>26.284999999999997</v>
      </c>
      <c r="EJ39" s="745">
        <f t="shared" si="13"/>
        <v>32</v>
      </c>
      <c r="EK39" s="749">
        <v>1</v>
      </c>
      <c r="EL39" s="747">
        <f>VLOOKUP(EJ39,'Ціни контур теплопостачання'!$K$5:$M$17,3,0)</f>
        <v>9.48</v>
      </c>
      <c r="EM39" s="748">
        <f t="shared" si="74"/>
        <v>9.48</v>
      </c>
      <c r="EN39" s="745">
        <f t="shared" si="14"/>
        <v>20</v>
      </c>
      <c r="EO39" s="745">
        <v>1</v>
      </c>
      <c r="EP39" s="758">
        <f>VLOOKUP(EN39,'Ціни контур теплопостачання'!$K$5:$M$17,3,0)</f>
        <v>3.48</v>
      </c>
      <c r="EQ39" s="759">
        <f t="shared" si="75"/>
        <v>3.48</v>
      </c>
      <c r="ER39" s="745">
        <f t="shared" si="15"/>
        <v>20</v>
      </c>
      <c r="ES39" s="745">
        <v>1</v>
      </c>
      <c r="ET39" s="758">
        <f>VLOOKUP(ER39,'Ціни контур теплопостачання'!$K$5:$M$17,3,0)</f>
        <v>3.48</v>
      </c>
      <c r="EU39" s="759">
        <f t="shared" si="76"/>
        <v>3.48</v>
      </c>
      <c r="EV39" s="751">
        <f t="shared" si="16"/>
        <v>50</v>
      </c>
      <c r="EW39" s="746">
        <v>2</v>
      </c>
      <c r="EX39" s="747">
        <f>VLOOKUP(EV39,'Ціни контур теплопостачання'!$Y$24:$AA$36,3,0)</f>
        <v>28.560999999999996</v>
      </c>
      <c r="EY39" s="748">
        <f t="shared" si="77"/>
        <v>57.121999999999993</v>
      </c>
      <c r="EZ39" s="745">
        <f t="shared" si="17"/>
        <v>32</v>
      </c>
      <c r="FA39" s="749">
        <v>1</v>
      </c>
      <c r="FB39" s="747">
        <f>VLOOKUP(EZ39,'Ціни контур теплопостачання'!$AO$38:$AQ$50,3,0)</f>
        <v>10.773</v>
      </c>
      <c r="FC39" s="748">
        <f t="shared" si="78"/>
        <v>10.773</v>
      </c>
      <c r="FD39" s="745">
        <f t="shared" si="18"/>
        <v>20</v>
      </c>
      <c r="FE39" s="745">
        <v>1</v>
      </c>
      <c r="FF39" s="758">
        <f>VLOOKUP(FD39,'Ціни контур теплопостачання'!$AO$38:$AQ$50,3,0)</f>
        <v>4.5359999999999996</v>
      </c>
      <c r="FG39" s="759">
        <f t="shared" si="79"/>
        <v>4.5359999999999996</v>
      </c>
      <c r="FH39" s="745">
        <f t="shared" si="19"/>
        <v>20</v>
      </c>
      <c r="FI39" s="745">
        <v>1</v>
      </c>
      <c r="FJ39" s="758">
        <f>VLOOKUP(FH39,'Ціни контур теплопостачання'!$Y$24:$AA$36,3,0)</f>
        <v>4.5359999999999996</v>
      </c>
      <c r="FK39" s="759">
        <f t="shared" si="80"/>
        <v>4.5359999999999996</v>
      </c>
      <c r="FL39" s="745">
        <f t="shared" si="20"/>
        <v>50</v>
      </c>
      <c r="FM39" s="745">
        <f t="shared" si="21"/>
        <v>2</v>
      </c>
      <c r="FN39" s="758">
        <f>VLOOKUP(FL39,'Ціни контур теплопостачання'!$Y$76:$AA$88,3,0)</f>
        <v>20.6</v>
      </c>
      <c r="FO39" s="759">
        <f t="shared" si="81"/>
        <v>41.2</v>
      </c>
      <c r="FP39" s="745">
        <f t="shared" si="22"/>
        <v>32</v>
      </c>
      <c r="FQ39" s="745">
        <v>1</v>
      </c>
      <c r="FR39" s="758">
        <f>VLOOKUP(FP39,'Ціни контур теплопостачання'!$Y$76:$AA$88,3,0)</f>
        <v>13.15</v>
      </c>
      <c r="FS39" s="759">
        <f t="shared" si="82"/>
        <v>13.15</v>
      </c>
      <c r="FT39" s="745">
        <f t="shared" si="23"/>
        <v>20</v>
      </c>
      <c r="FU39" s="745">
        <v>1</v>
      </c>
      <c r="FV39" s="758">
        <f>VLOOKUP(FT39,'Ціни контур теплопостачання'!$Y$76:$AA$88,3,0)</f>
        <v>11.45</v>
      </c>
      <c r="FW39" s="759">
        <f t="shared" si="83"/>
        <v>11.45</v>
      </c>
      <c r="FX39" s="758">
        <f t="shared" si="24"/>
        <v>18.233452772308375</v>
      </c>
      <c r="FY39" s="760">
        <v>20</v>
      </c>
      <c r="FZ39" s="719">
        <v>2</v>
      </c>
      <c r="GA39" s="747">
        <f>VLOOKUP(FY39,'Ціни контур теплопостачання'!$K$74:$M$79,3,0)</f>
        <v>16.440000000000001</v>
      </c>
      <c r="GB39" s="761">
        <f t="shared" si="84"/>
        <v>32.880000000000003</v>
      </c>
      <c r="GC39" s="762">
        <f t="shared" si="85"/>
        <v>5.3580041580041584</v>
      </c>
      <c r="GD39" s="911">
        <v>9</v>
      </c>
      <c r="GE39" s="1017">
        <v>9</v>
      </c>
      <c r="GF39" s="1018" t="s">
        <v>122</v>
      </c>
      <c r="GG39" s="713">
        <v>2</v>
      </c>
      <c r="GH39" s="709">
        <f>VLOOKUP(GF39,'Ціни контур теплопостачання'!$C$89:$M$105,11,0)</f>
        <v>260.71199999999999</v>
      </c>
      <c r="GI39" s="764">
        <f t="shared" si="86"/>
        <v>521.42399999999998</v>
      </c>
      <c r="GJ39" s="912">
        <f t="shared" si="87"/>
        <v>0.59446247464503044</v>
      </c>
      <c r="GK39" s="911">
        <v>9</v>
      </c>
      <c r="GL39" s="1017">
        <v>9</v>
      </c>
      <c r="GM39" s="1019" t="s">
        <v>1097</v>
      </c>
      <c r="GN39" s="749">
        <v>1</v>
      </c>
      <c r="GO39" s="747">
        <f>VLOOKUP(GM39,'Ціни контур теплопостачання'!$C$89:$M$105,11,0)</f>
        <v>241.2</v>
      </c>
      <c r="GP39" s="904">
        <f t="shared" si="88"/>
        <v>241.2</v>
      </c>
      <c r="GQ39" s="758">
        <f t="shared" si="25"/>
        <v>266.39821014754489</v>
      </c>
      <c r="GR39" s="955">
        <v>300</v>
      </c>
      <c r="GS39" s="749">
        <f>VLOOKUP(GR39,'Ціни контур теплопостачання'!$J$43:$K$55,2,0)</f>
        <v>32</v>
      </c>
      <c r="GT39" s="1020">
        <v>1</v>
      </c>
      <c r="GU39" s="747">
        <f>VLOOKUP(GR39,'Ціни контур теплопостачання'!$J$43:$M$55,4,0)</f>
        <v>152.54</v>
      </c>
      <c r="GV39" s="748">
        <f t="shared" si="89"/>
        <v>152.54</v>
      </c>
      <c r="GW39" s="758">
        <f t="array" ref="GW39">MIN(IF('Ціни контур теплопостачання'!$AN$68:$AN$77&gt;(V39*1.2),'Ціни контур теплопостачання'!$AN$68:$AN$77))</f>
        <v>11.13</v>
      </c>
      <c r="GX39" s="749">
        <f>VLOOKUP(GW39,'Ціни контур теплопостачання'!$AN$68:$AO$77,2,0)</f>
        <v>32</v>
      </c>
      <c r="GY39" s="749">
        <v>0</v>
      </c>
      <c r="GZ39" s="747">
        <f>VLOOKUP(GX39,'Ціни контур теплопостачання'!$AO$68:$AQ$77,3,0)</f>
        <v>37.183999999999997</v>
      </c>
      <c r="HA39" s="759">
        <f t="shared" si="90"/>
        <v>0</v>
      </c>
      <c r="HB39" s="751">
        <v>15</v>
      </c>
      <c r="HC39" s="746">
        <v>2</v>
      </c>
      <c r="HD39" s="747">
        <f>VLOOKUP(HB39,'Ціни контур мережний'!$J$73:$M$73,4,0)</f>
        <v>3.4649999999999999</v>
      </c>
      <c r="HE39" s="748">
        <f t="shared" si="91"/>
        <v>6.93</v>
      </c>
      <c r="HF39" s="749">
        <f t="shared" si="27"/>
        <v>20</v>
      </c>
      <c r="HG39" s="749">
        <v>1</v>
      </c>
      <c r="HH39" s="747">
        <f>VLOOKUP(HF39,'Ціни контур теплопостачання'!$Y$62:$AA$69,3,0)</f>
        <v>23.753519999999998</v>
      </c>
      <c r="HI39" s="765">
        <f t="shared" si="92"/>
        <v>23.753519999999998</v>
      </c>
      <c r="HJ39" s="750">
        <f>VLOOKUP(HK39,'Ціни контур теплопостачання'!$AN$6:$AO$13,2,0)</f>
        <v>20</v>
      </c>
      <c r="HK39" s="751">
        <f t="array" ref="HK39">MIN(IF('Ціни контур теплопостачання'!$AN$6:$AN$13&gt;N39,'Ціни контур теплопостачання'!$AN$6:$AN$13))</f>
        <v>2.5</v>
      </c>
      <c r="HL39" s="751">
        <v>1</v>
      </c>
      <c r="HM39" s="747">
        <f>VLOOKUP(HJ39,'Ціни контур теплопостачання'!$AO$6:$AQ$13,3,0)</f>
        <v>23.753519999999998</v>
      </c>
      <c r="HN39" s="748">
        <f t="shared" si="93"/>
        <v>23.753519999999998</v>
      </c>
      <c r="HO39" s="750">
        <f t="shared" si="28"/>
        <v>32</v>
      </c>
      <c r="HP39" s="746">
        <v>1</v>
      </c>
      <c r="HQ39" s="747">
        <f>VLOOKUP(HO39,'Ціни контур теплопостачання'!$AO$55:$AQ$63,3,0)</f>
        <v>150.1</v>
      </c>
      <c r="HR39" s="748">
        <f t="shared" si="126"/>
        <v>150.1</v>
      </c>
      <c r="HS39" s="745">
        <f t="shared" si="29"/>
        <v>20</v>
      </c>
      <c r="HT39" s="749">
        <v>1</v>
      </c>
      <c r="HU39" s="747">
        <f>VLOOKUP(HS39,'Ціни контур теплопостачання'!$K$62:$M$67,3,0)</f>
        <v>91.13</v>
      </c>
      <c r="HV39" s="765">
        <f t="shared" si="95"/>
        <v>91.13</v>
      </c>
      <c r="HW39" s="655" t="str">
        <f t="shared" si="138"/>
        <v>0-150</v>
      </c>
      <c r="HX39" s="720">
        <v>1</v>
      </c>
      <c r="HY39" s="747">
        <f>VLOOKUP(HW39,'Ціни контур мережний'!$I$79:$M$80,5,0)</f>
        <v>15.050156291498967</v>
      </c>
      <c r="HZ39" s="748">
        <f t="shared" si="96"/>
        <v>15.050156291498967</v>
      </c>
      <c r="IA39" s="758" t="s">
        <v>109</v>
      </c>
      <c r="IB39" s="749">
        <v>5</v>
      </c>
      <c r="IC39" s="747">
        <f>VLOOKUP(IA39,'Ціни контур мережний'!$I$79:$M$80,5,0)</f>
        <v>15.050156291498967</v>
      </c>
      <c r="ID39" s="765">
        <f t="shared" si="97"/>
        <v>75.250781457494838</v>
      </c>
      <c r="IE39" s="655" t="s">
        <v>108</v>
      </c>
      <c r="IF39" s="720">
        <v>5</v>
      </c>
      <c r="IG39" s="747">
        <f>VLOOKUP(IE39,'Ціни контур мережний'!$I$67:$M$69,5,0)</f>
        <v>4.4537969640631703</v>
      </c>
      <c r="IH39" s="748">
        <f t="shared" si="98"/>
        <v>22.26898482031585</v>
      </c>
      <c r="II39" s="655" t="s">
        <v>106</v>
      </c>
      <c r="IJ39" s="720">
        <f>11</f>
        <v>11</v>
      </c>
      <c r="IK39" s="747">
        <f>VLOOKUP(II39,'Ціни контур мережний'!$I$67:$M$69,5,0)</f>
        <v>4.4537969640631703</v>
      </c>
      <c r="IL39" s="748">
        <f t="shared" si="99"/>
        <v>48.991766604694874</v>
      </c>
      <c r="IM39" s="655" t="s">
        <v>1013</v>
      </c>
      <c r="IN39" s="720">
        <v>5</v>
      </c>
      <c r="IO39" s="747">
        <f>VLOOKUP(IM39,'Ціни контур мережний'!$I$64:$M$64,5,0)</f>
        <v>29.1312</v>
      </c>
      <c r="IP39" s="748">
        <f t="shared" si="100"/>
        <v>145.65600000000001</v>
      </c>
      <c r="IQ39" s="766" t="s">
        <v>1015</v>
      </c>
      <c r="IR39" s="749">
        <v>6</v>
      </c>
      <c r="IS39" s="747">
        <f>VLOOKUP(IQ39,'Ціни контур мережний'!$I$89:$M$89,5,0)</f>
        <v>79.523165325760516</v>
      </c>
      <c r="IT39" s="765">
        <f t="shared" si="101"/>
        <v>477.1389919545631</v>
      </c>
      <c r="IU39" s="778" t="s">
        <v>1016</v>
      </c>
      <c r="IV39" s="720">
        <f t="shared" si="117"/>
        <v>7</v>
      </c>
      <c r="IW39" s="747">
        <f>VLOOKUP(IU39,'Ціни контур мережний'!$I$88:$M$88,5,0)</f>
        <v>13.211568975967202</v>
      </c>
      <c r="IX39" s="768">
        <f t="shared" si="102"/>
        <v>92.480982831770419</v>
      </c>
      <c r="IY39" s="779" t="s">
        <v>383</v>
      </c>
      <c r="IZ39" s="720">
        <v>1</v>
      </c>
      <c r="JA39" s="747">
        <f>VLOOKUP(IY39,'Ціни контур мережний'!$I$87:$M$87,5,0)</f>
        <v>13.483972460007763</v>
      </c>
      <c r="JB39" s="748">
        <f t="shared" si="141"/>
        <v>13.483972460007763</v>
      </c>
      <c r="JC39" s="769">
        <f t="shared" si="31"/>
        <v>86</v>
      </c>
      <c r="JD39" s="770">
        <f t="shared" si="104"/>
        <v>5613.3758613785731</v>
      </c>
      <c r="JE39" s="771">
        <f>$JE$44/'Ціни контур мережний'!$G$26</f>
        <v>476.70609707098151</v>
      </c>
      <c r="JF39" s="771">
        <f>$JE$44/'Ціни контур мережний'!$G$26</f>
        <v>476.70609707098151</v>
      </c>
      <c r="JG39" s="770">
        <f t="shared" si="112"/>
        <v>661.80181284518619</v>
      </c>
      <c r="JH39" s="770">
        <f t="shared" si="113"/>
        <v>487.81784379022207</v>
      </c>
      <c r="JI39" s="770">
        <f>$JI$43/'Ціни контур мережний'!$G$26</f>
        <v>323.47913729816605</v>
      </c>
      <c r="JJ39" s="770">
        <f t="shared" si="105"/>
        <v>66.611999999999995</v>
      </c>
      <c r="JK39" s="770">
        <f t="shared" si="139"/>
        <v>0</v>
      </c>
      <c r="JL39" s="772">
        <f t="shared" si="114"/>
        <v>62.86234247089866</v>
      </c>
      <c r="JM39" s="770">
        <f t="shared" si="140"/>
        <v>0</v>
      </c>
      <c r="JN39" s="770">
        <v>0</v>
      </c>
      <c r="JO39" s="1029">
        <f t="shared" si="32"/>
        <v>571.85528343475073</v>
      </c>
      <c r="JP39" s="770">
        <f t="shared" si="33"/>
        <v>816.936119192501</v>
      </c>
      <c r="JQ39" s="1030">
        <f t="shared" si="34"/>
        <v>140.53330780666329</v>
      </c>
      <c r="JR39" s="1023">
        <f t="shared" si="115"/>
        <v>300.63036461094771</v>
      </c>
      <c r="JS39" s="777">
        <f t="shared" si="106"/>
        <v>9999.3162669698741</v>
      </c>
      <c r="JU39" s="611">
        <f>[3]Расчеты!AX38/1.2</f>
        <v>4503.8297395772552</v>
      </c>
      <c r="JV39" s="611">
        <f t="shared" si="107"/>
        <v>14503.146006547129</v>
      </c>
      <c r="JW39" s="611" t="e">
        <f>JV39*1.2*#REF!</f>
        <v>#REF!</v>
      </c>
      <c r="JX39" s="611"/>
    </row>
    <row r="40" spans="2:284" ht="12.6" customHeight="1" thickBot="1">
      <c r="B40" s="603">
        <v>87</v>
      </c>
      <c r="C40" s="1057" t="s">
        <v>799</v>
      </c>
      <c r="D40" s="1033">
        <v>1.02528</v>
      </c>
      <c r="E40" s="1034">
        <v>1.4665699999999999</v>
      </c>
      <c r="F40" s="783">
        <f t="shared" si="35"/>
        <v>55.804120720152028</v>
      </c>
      <c r="G40" s="784">
        <v>125</v>
      </c>
      <c r="H40" s="604">
        <f t="shared" si="36"/>
        <v>18.315112540192924</v>
      </c>
      <c r="I40" s="605">
        <v>80</v>
      </c>
      <c r="J40" s="604">
        <f t="shared" si="37"/>
        <v>42.631185031185026</v>
      </c>
      <c r="K40" s="605">
        <v>125</v>
      </c>
      <c r="L40" s="604">
        <f t="shared" si="38"/>
        <v>37.4890081799591</v>
      </c>
      <c r="M40" s="605">
        <v>100</v>
      </c>
      <c r="N40" s="604">
        <f t="shared" si="39"/>
        <v>29.747870182555783</v>
      </c>
      <c r="O40" s="605">
        <v>100</v>
      </c>
      <c r="P40" s="604">
        <f t="shared" si="108"/>
        <v>8.9243610547667345</v>
      </c>
      <c r="Q40" s="605">
        <v>65</v>
      </c>
      <c r="R40" s="604">
        <f t="shared" si="40"/>
        <v>25.90148055073038</v>
      </c>
      <c r="S40" s="606">
        <f>L40/SQRT(0.6)</f>
        <v>48.398101448938405</v>
      </c>
      <c r="T40" s="785">
        <v>6</v>
      </c>
      <c r="U40" s="607">
        <f t="shared" si="42"/>
        <v>7.1051975051975047</v>
      </c>
      <c r="V40" s="607">
        <f t="shared" si="43"/>
        <v>10.04826667518979</v>
      </c>
      <c r="W40" s="608">
        <v>50</v>
      </c>
      <c r="X40" s="1035">
        <v>20</v>
      </c>
      <c r="Y40" s="607">
        <f t="shared" si="44"/>
        <v>6</v>
      </c>
      <c r="Z40" s="993">
        <v>25</v>
      </c>
      <c r="AA40" s="1036">
        <v>9</v>
      </c>
      <c r="AB40" s="790">
        <f t="shared" si="0"/>
        <v>125</v>
      </c>
      <c r="AC40" s="787">
        <v>2</v>
      </c>
      <c r="AD40" s="788">
        <f>VLOOKUP(AB40,'Ціни контур мережний'!$Z$24:$AB$36,3,0)</f>
        <v>89.509060820887896</v>
      </c>
      <c r="AE40" s="789">
        <f t="shared" si="45"/>
        <v>179.01812164177579</v>
      </c>
      <c r="AF40" s="786">
        <f t="shared" si="1"/>
        <v>125</v>
      </c>
      <c r="AG40" s="791">
        <v>2</v>
      </c>
      <c r="AH40" s="788">
        <f>VLOOKUP(AF40,'Ціни контур мережний'!$Z$64:$AB$77,3,0)</f>
        <v>161.83490986849722</v>
      </c>
      <c r="AI40" s="789">
        <f t="shared" si="46"/>
        <v>323.66981973699444</v>
      </c>
      <c r="AJ40" s="786">
        <f t="shared" si="2"/>
        <v>125</v>
      </c>
      <c r="AK40" s="787">
        <v>1</v>
      </c>
      <c r="AL40" s="788">
        <f>VLOOKUP(AJ40,'Ціни контур мережний'!$Z$5:$AB$17,3,0)</f>
        <v>106.351</v>
      </c>
      <c r="AM40" s="789">
        <f t="shared" si="47"/>
        <v>106.351</v>
      </c>
      <c r="AN40" s="792">
        <f t="shared" si="3"/>
        <v>80</v>
      </c>
      <c r="AO40" s="787">
        <v>3</v>
      </c>
      <c r="AP40" s="788">
        <f>VLOOKUP(AN40,'Ціни контур мережний'!$Z$43:$AB$55,3,0)</f>
        <v>37.693832104112609</v>
      </c>
      <c r="AQ40" s="814">
        <f t="shared" si="48"/>
        <v>113.08149631233783</v>
      </c>
      <c r="AR40" s="791">
        <f t="shared" si="4"/>
        <v>100</v>
      </c>
      <c r="AS40" s="791">
        <v>4</v>
      </c>
      <c r="AT40" s="788">
        <f>VLOOKUP(AR40,'Ціни контур мережний'!$Z$43:$AB$55,3,0)</f>
        <v>61.045620773489688</v>
      </c>
      <c r="AU40" s="1037">
        <f t="shared" si="49"/>
        <v>244.18248309395875</v>
      </c>
      <c r="AV40" s="793" t="str">
        <f t="shared" si="50"/>
        <v>AMV20</v>
      </c>
      <c r="AW40" s="793">
        <v>1</v>
      </c>
      <c r="AX40" s="788">
        <f>VLOOKUP(AV40,'Ціни контур мережний'!$I$53:$M$57,5,0)</f>
        <v>110.39869654932889</v>
      </c>
      <c r="AY40" s="789">
        <f t="shared" si="51"/>
        <v>110.39869654932889</v>
      </c>
      <c r="AZ40" s="794">
        <f t="array" ref="AZ40">MIN(IF('Ціни контур мережний'!$Y$83:$Y$92&gt;(R40*1.2),'Ціни контур мережний'!$Y$83:$Y$92))</f>
        <v>40</v>
      </c>
      <c r="BA40" s="787">
        <f>VLOOKUP(AZ40,'Ціни контур мережний'!$Y$83:$Z$92,2,0)</f>
        <v>50</v>
      </c>
      <c r="BB40" s="787">
        <v>1</v>
      </c>
      <c r="BC40" s="788">
        <f>VLOOKUP(AZ40,'Ціни контур мережний'!$Y$83:$AB$92,4,0)</f>
        <v>191.46963041657298</v>
      </c>
      <c r="BD40" s="789">
        <f t="shared" si="52"/>
        <v>191.46963041657298</v>
      </c>
      <c r="BE40" s="1100">
        <f t="array" ref="BE40">MIN(IF('[1]Ціни контур мережний'!$Y$104:$Y$114&gt;(R40*1.2),'[1]Ціни контур мережний'!$Y$104:$Y$114))</f>
        <v>32</v>
      </c>
      <c r="BF40" s="1102">
        <f>VLOOKUP(BE40,'[1]Ціни контур мережний'!$Y$104:$Z$114,2,0)</f>
        <v>50</v>
      </c>
      <c r="BG40" s="795">
        <v>1</v>
      </c>
      <c r="BH40" s="796">
        <f>VLOOKUP(BE40,'Ціни контур мережний'!$Y$104:$AB$114,4,0)</f>
        <v>1081.5876151755979</v>
      </c>
      <c r="BI40" s="797">
        <f t="shared" si="53"/>
        <v>1081.5876151755979</v>
      </c>
      <c r="BJ40" s="793" t="s">
        <v>1019</v>
      </c>
      <c r="BK40" s="791">
        <v>1</v>
      </c>
      <c r="BL40" s="788">
        <f>VLOOKUP(BJ40,'Ціни контур мережний'!$I$53:$M$57,5,0)</f>
        <v>0</v>
      </c>
      <c r="BM40" s="789">
        <f t="shared" si="54"/>
        <v>0</v>
      </c>
      <c r="BN40" s="965">
        <f t="array" ref="BN40">MIN(IF('Ціни контур мережний'!$Y$83:$Y$93&gt;(S40*1.2),'Ціни контур мережний'!$Y$83:$Y$93))</f>
        <v>63</v>
      </c>
      <c r="BO40" s="965">
        <f>VLOOKUP(BN40,'Ціни контур мережний'!$Y$83:$Z$93,2,0)</f>
        <v>65</v>
      </c>
      <c r="BP40" s="964">
        <v>1</v>
      </c>
      <c r="BQ40" s="965">
        <f>VLOOKUP(BN40,'Ціни контур мережний'!$Y$83:$AB$93,4,0)</f>
        <v>680</v>
      </c>
      <c r="BR40" s="967">
        <f t="shared" si="55"/>
        <v>680</v>
      </c>
      <c r="BS40" s="965">
        <f t="array" ref="BS40">MIN(IF('Ціни контур мережний'!$Y$104:$Y$114&gt;S40,'Ціни контур мережний'!$Y$104:$Y$114))</f>
        <v>50</v>
      </c>
      <c r="BT40" s="965">
        <f>VLOOKUP(BS40,'Ціни контур мережний'!$Y$104:$Z$114,2,0)</f>
        <v>65</v>
      </c>
      <c r="BU40" s="963">
        <v>1</v>
      </c>
      <c r="BV40" s="965">
        <f>VLOOKUP(BS40,'Ціни контур мережний'!$Y$104:$AB$114,4,0)</f>
        <v>1081.5876151755979</v>
      </c>
      <c r="BW40" s="967">
        <f t="shared" si="56"/>
        <v>1081.5876151755979</v>
      </c>
      <c r="BX40" s="792">
        <f>VLOOKUP(BY40,'Ціни контур мережний'!$J$5:$L$12,3,0)</f>
        <v>65</v>
      </c>
      <c r="BY40" s="793">
        <f t="array" ref="BY40">MIN(IF('Ціни контур мережний'!$J$5:$J$12&gt;H40,'Ціни контур мережний'!$J$5:$J$12))</f>
        <v>25</v>
      </c>
      <c r="BZ40" s="787" t="str">
        <f>BZ8</f>
        <v>Pt500</v>
      </c>
      <c r="CA40" s="798">
        <v>1</v>
      </c>
      <c r="CB40" s="788">
        <f>VLOOKUP(BY40,'Ціни контур мережний'!$J$5:$N$12,5,0)</f>
        <v>584.80799999999999</v>
      </c>
      <c r="CC40" s="789">
        <f t="shared" si="57"/>
        <v>584.80799999999999</v>
      </c>
      <c r="CD40" s="800">
        <f>VLOOKUP(CE40,'Ціни контур мережний'!$J$5:$L$12,3,0)</f>
        <v>80</v>
      </c>
      <c r="CE40" s="788">
        <f t="array" ref="CE40">MIN(IF('Ціни контур мережний'!$J$5:$J$12&gt;L40,'Ціни контур мережний'!$J$5:$J$12))</f>
        <v>40</v>
      </c>
      <c r="CF40" s="787" t="s">
        <v>130</v>
      </c>
      <c r="CG40" s="791">
        <v>1</v>
      </c>
      <c r="CH40" s="788">
        <f>VLOOKUP(CE40,'Ціни контур мережний'!$J$5:$N$12,5,0)</f>
        <v>635.78399999999999</v>
      </c>
      <c r="CI40" s="789">
        <f t="shared" si="58"/>
        <v>635.78399999999999</v>
      </c>
      <c r="CJ40" s="969" t="s">
        <v>1315</v>
      </c>
      <c r="CK40" s="969">
        <v>1</v>
      </c>
      <c r="CL40" s="968">
        <v>2430</v>
      </c>
      <c r="CM40" s="971">
        <f t="shared" si="59"/>
        <v>2430</v>
      </c>
      <c r="CN40" s="968" t="s">
        <v>1338</v>
      </c>
      <c r="CO40" s="969">
        <v>1</v>
      </c>
      <c r="CP40" s="970">
        <v>1837</v>
      </c>
      <c r="CQ40" s="971">
        <f t="shared" si="60"/>
        <v>1837</v>
      </c>
      <c r="CR40" s="793">
        <f t="shared" si="5"/>
        <v>125</v>
      </c>
      <c r="CS40" s="787">
        <v>4</v>
      </c>
      <c r="CT40" s="788">
        <f>VLOOKUP(CR40,'Ціни контур теплопостачання'!$Y$5:$AA$17,3,0)</f>
        <v>89.509060820887896</v>
      </c>
      <c r="CU40" s="789">
        <f t="shared" si="61"/>
        <v>358.03624328355158</v>
      </c>
      <c r="CV40" s="792">
        <f t="shared" si="6"/>
        <v>100</v>
      </c>
      <c r="CW40" s="787">
        <v>6</v>
      </c>
      <c r="CX40" s="788">
        <f>VLOOKUP(CV40,'Ціни контур теплопостачання'!$AO$20:$AQ$29,3,0)</f>
        <v>105.41687948188857</v>
      </c>
      <c r="CY40" s="789">
        <f t="shared" si="62"/>
        <v>632.50127689133137</v>
      </c>
      <c r="CZ40" s="792">
        <f t="shared" si="7"/>
        <v>65</v>
      </c>
      <c r="DA40" s="787">
        <v>3</v>
      </c>
      <c r="DB40" s="788">
        <f>VLOOKUP(CZ40,'Ціни контур теплопостачання'!$AO$20:$AQ$29,3,0)</f>
        <v>42.675547020246391</v>
      </c>
      <c r="DC40" s="789">
        <f t="shared" si="63"/>
        <v>128.02664106073917</v>
      </c>
      <c r="DD40" s="799">
        <f t="shared" si="8"/>
        <v>50</v>
      </c>
      <c r="DE40" s="787">
        <f t="shared" si="9"/>
        <v>12</v>
      </c>
      <c r="DF40" s="788">
        <f>VLOOKUP(DD40,'Ціни контур теплопостачання'!$Y$5:$AA$17,3,0)</f>
        <v>23.2782130224622</v>
      </c>
      <c r="DG40" s="789">
        <f t="shared" si="64"/>
        <v>279.33855626954642</v>
      </c>
      <c r="DH40" s="786">
        <f t="shared" si="65"/>
        <v>50</v>
      </c>
      <c r="DI40" s="791">
        <f t="shared" si="66"/>
        <v>2</v>
      </c>
      <c r="DJ40" s="788">
        <f>VLOOKUP(DH40,'Ціни контур теплопостачання'!$Y$5:$AA$17,3,0)</f>
        <v>23.2782130224622</v>
      </c>
      <c r="DK40" s="810">
        <f t="shared" si="67"/>
        <v>46.5564260449244</v>
      </c>
      <c r="DL40" s="799">
        <f t="shared" si="10"/>
        <v>25</v>
      </c>
      <c r="DM40" s="787">
        <v>1</v>
      </c>
      <c r="DN40" s="788">
        <f>VLOOKUP(DL40,'Ціни контур мережний'!$Z$43:$AB$55,3,0)</f>
        <v>14.856886019572187</v>
      </c>
      <c r="DO40" s="789">
        <f t="shared" si="68"/>
        <v>14.856886019572187</v>
      </c>
      <c r="DP40" s="799">
        <f t="shared" si="11"/>
        <v>25</v>
      </c>
      <c r="DQ40" s="787">
        <v>2</v>
      </c>
      <c r="DR40" s="788">
        <f>VLOOKUP(DP40,'Ціни контур теплопостачання'!$Y$5:$AA$17,3,0)</f>
        <v>6.3070000000000004</v>
      </c>
      <c r="DS40" s="789">
        <f t="shared" si="69"/>
        <v>12.614000000000001</v>
      </c>
      <c r="DT40" s="790">
        <v>20</v>
      </c>
      <c r="DU40" s="791">
        <v>2</v>
      </c>
      <c r="DV40" s="788">
        <f>VLOOKUP(DT40,'Ціни контур теплопостачання'!$Y$5:$AA$17,3,0)</f>
        <v>3.577</v>
      </c>
      <c r="DW40" s="789">
        <f t="shared" si="70"/>
        <v>7.1539999999999999</v>
      </c>
      <c r="DX40" s="786">
        <v>15</v>
      </c>
      <c r="DY40" s="786">
        <v>10</v>
      </c>
      <c r="DZ40" s="800">
        <f>VLOOKUP(DX40,'Ціни контур теплопостачання'!$Y$5:$AA$17,3,0)</f>
        <v>2.464</v>
      </c>
      <c r="EA40" s="801">
        <f t="shared" si="71"/>
        <v>24.64</v>
      </c>
      <c r="EB40" s="786">
        <v>15</v>
      </c>
      <c r="EC40" s="786">
        <f t="shared" si="110"/>
        <v>42</v>
      </c>
      <c r="ED40" s="800">
        <f>VLOOKUP(EB40,'Ціни контур мережний'!$J$71:$M$71,4,0)</f>
        <v>3.3865201135922525</v>
      </c>
      <c r="EE40" s="801">
        <f t="shared" si="72"/>
        <v>142.23384477087461</v>
      </c>
      <c r="EF40" s="793">
        <f t="shared" si="12"/>
        <v>125</v>
      </c>
      <c r="EG40" s="787">
        <v>1</v>
      </c>
      <c r="EH40" s="788">
        <f>VLOOKUP(EF40,'Ціни контур теплопостачання'!$K$5:$M$17,3,0)</f>
        <v>106.351</v>
      </c>
      <c r="EI40" s="789">
        <f t="shared" si="73"/>
        <v>106.351</v>
      </c>
      <c r="EJ40" s="786">
        <f t="shared" si="13"/>
        <v>100</v>
      </c>
      <c r="EK40" s="791">
        <v>1</v>
      </c>
      <c r="EL40" s="788">
        <f>VLOOKUP(EJ40,'Ціни контур теплопостачання'!$K$5:$M$17,3,0)</f>
        <v>70.903000000000006</v>
      </c>
      <c r="EM40" s="789">
        <f t="shared" si="74"/>
        <v>70.903000000000006</v>
      </c>
      <c r="EN40" s="786">
        <f t="shared" si="14"/>
        <v>65</v>
      </c>
      <c r="EO40" s="786">
        <v>1</v>
      </c>
      <c r="EP40" s="800">
        <f>VLOOKUP(EN40,'Ціни контур теплопостачання'!$K$5:$M$17,3,0)</f>
        <v>39.731999999999999</v>
      </c>
      <c r="EQ40" s="801">
        <f t="shared" si="75"/>
        <v>39.731999999999999</v>
      </c>
      <c r="ER40" s="786">
        <f t="shared" si="15"/>
        <v>25</v>
      </c>
      <c r="ES40" s="786">
        <v>1</v>
      </c>
      <c r="ET40" s="800">
        <f>VLOOKUP(ER40,'Ціни контур теплопостачання'!$K$5:$M$17,3,0)</f>
        <v>4.78</v>
      </c>
      <c r="EU40" s="801">
        <f t="shared" si="76"/>
        <v>4.78</v>
      </c>
      <c r="EV40" s="792">
        <f t="shared" si="16"/>
        <v>125</v>
      </c>
      <c r="EW40" s="787">
        <v>2</v>
      </c>
      <c r="EX40" s="788">
        <f>VLOOKUP(EV40,'Ціни контур теплопостачання'!$Y$24:$AA$36,3,0)</f>
        <v>181.92850000000001</v>
      </c>
      <c r="EY40" s="789">
        <f t="shared" si="77"/>
        <v>363.85700000000003</v>
      </c>
      <c r="EZ40" s="786">
        <f t="shared" si="17"/>
        <v>100</v>
      </c>
      <c r="FA40" s="791">
        <v>1</v>
      </c>
      <c r="FB40" s="788">
        <f>VLOOKUP(EZ40,'Ціни контур теплопостачання'!$AO$38:$AQ$50,3,0)</f>
        <v>87.795500000000004</v>
      </c>
      <c r="FC40" s="789">
        <f t="shared" si="78"/>
        <v>87.795500000000004</v>
      </c>
      <c r="FD40" s="786">
        <f t="shared" si="18"/>
        <v>65</v>
      </c>
      <c r="FE40" s="786">
        <v>1</v>
      </c>
      <c r="FF40" s="800">
        <f>VLOOKUP(FD40,'Ціни контур теплопостачання'!$AO$38:$AQ$50,3,0)</f>
        <v>42.080999999999996</v>
      </c>
      <c r="FG40" s="801">
        <f t="shared" si="79"/>
        <v>42.080999999999996</v>
      </c>
      <c r="FH40" s="786">
        <f t="shared" si="19"/>
        <v>25</v>
      </c>
      <c r="FI40" s="786">
        <v>1</v>
      </c>
      <c r="FJ40" s="800">
        <f>VLOOKUP(FH40,'Ціни контур теплопостачання'!$Y$24:$AA$36,3,0)</f>
        <v>6.9659999999999993</v>
      </c>
      <c r="FK40" s="801">
        <f t="shared" si="80"/>
        <v>6.9659999999999993</v>
      </c>
      <c r="FL40" s="786">
        <f t="shared" si="20"/>
        <v>50</v>
      </c>
      <c r="FM40" s="786">
        <f t="shared" si="21"/>
        <v>12</v>
      </c>
      <c r="FN40" s="800">
        <f>VLOOKUP(FL40,'Ціни контур теплопостачання'!$Y$76:$AA$88,3,0)</f>
        <v>20.6</v>
      </c>
      <c r="FO40" s="801">
        <f t="shared" si="81"/>
        <v>247.20000000000002</v>
      </c>
      <c r="FP40" s="786">
        <f t="shared" si="22"/>
        <v>100</v>
      </c>
      <c r="FQ40" s="786">
        <v>1</v>
      </c>
      <c r="FR40" s="800">
        <f>VLOOKUP(FP40,'Ціни контур теплопостачання'!$Y$76:$AA$88,3,0)</f>
        <v>40.590000000000003</v>
      </c>
      <c r="FS40" s="801">
        <f t="shared" si="82"/>
        <v>40.590000000000003</v>
      </c>
      <c r="FT40" s="786">
        <f t="shared" si="23"/>
        <v>65</v>
      </c>
      <c r="FU40" s="786">
        <v>1</v>
      </c>
      <c r="FV40" s="800">
        <f>VLOOKUP(FT40,'Ціни контур теплопостачання'!$Y$76:$AA$88,3,0)</f>
        <v>26.33</v>
      </c>
      <c r="FW40" s="801">
        <f t="shared" si="83"/>
        <v>26.33</v>
      </c>
      <c r="FX40" s="1038">
        <f t="shared" si="24"/>
        <v>51.431725617560218</v>
      </c>
      <c r="FY40" s="1039">
        <v>50</v>
      </c>
      <c r="FZ40" s="973">
        <v>2</v>
      </c>
      <c r="GA40" s="788">
        <f>VLOOKUP(FY40,'Ціни контур теплопостачання'!$K$74:$M$79,3,0)</f>
        <v>48.94</v>
      </c>
      <c r="GB40" s="1040">
        <f t="shared" si="84"/>
        <v>97.88</v>
      </c>
      <c r="GC40" s="1041">
        <f t="shared" si="85"/>
        <v>42.631185031185026</v>
      </c>
      <c r="GD40" s="1042">
        <v>9</v>
      </c>
      <c r="GE40" s="1043">
        <v>9</v>
      </c>
      <c r="GF40" s="1044" t="s">
        <v>126</v>
      </c>
      <c r="GG40" s="1045">
        <v>2</v>
      </c>
      <c r="GH40" s="709">
        <f>VLOOKUP(GF40,'Ціни контур теплопостачання'!$C$89:$M$105,11,0)</f>
        <v>682.99199999999996</v>
      </c>
      <c r="GI40" s="789">
        <f t="shared" si="86"/>
        <v>1365.9839999999999</v>
      </c>
      <c r="GJ40" s="976">
        <f t="shared" si="87"/>
        <v>8.9243610547667345</v>
      </c>
      <c r="GK40" s="1042">
        <v>9</v>
      </c>
      <c r="GL40" s="1043">
        <v>9</v>
      </c>
      <c r="GM40" s="1046" t="s">
        <v>1095</v>
      </c>
      <c r="GN40" s="791">
        <v>1</v>
      </c>
      <c r="GO40" s="747">
        <f>VLOOKUP(GM40,'Ціни контур теплопостачання'!$C$89:$M$105,11,0)</f>
        <v>585.6</v>
      </c>
      <c r="GP40" s="977">
        <f t="shared" si="88"/>
        <v>585.6</v>
      </c>
      <c r="GQ40" s="1038">
        <f t="shared" si="25"/>
        <v>2114.2715091074988</v>
      </c>
      <c r="GR40" s="972">
        <v>1000</v>
      </c>
      <c r="GS40" s="791">
        <f>VLOOKUP(GR40,'Ціни контур теплопостачання'!$J$43:$K$55,2,0)</f>
        <v>50</v>
      </c>
      <c r="GT40" s="1047">
        <v>2</v>
      </c>
      <c r="GU40" s="788">
        <f>VLOOKUP(GR40,'Ціни контур теплопостачання'!$J$43:$M$55,4,0)</f>
        <v>603.23</v>
      </c>
      <c r="GV40" s="789">
        <f t="shared" si="89"/>
        <v>1206.46</v>
      </c>
      <c r="GW40" s="800">
        <f t="array" ref="GW40">MIN(IF('Ціни контур теплопостачання'!$AN$68:$AN$77&gt;(V40*1.2),'Ціни контур теплопостачання'!$AN$68:$AN$77))</f>
        <v>22.36</v>
      </c>
      <c r="GX40" s="791">
        <f>VLOOKUP(GW40,'Ціни контур теплопостачання'!$AN$68:$AO$77,2,0)</f>
        <v>40</v>
      </c>
      <c r="GY40" s="791">
        <f t="shared" si="26"/>
        <v>6</v>
      </c>
      <c r="GZ40" s="788">
        <f>VLOOKUP(GX40,'Ціни контур теплопостачання'!$AO$68:$AQ$77,3,0)</f>
        <v>43.225000000000001</v>
      </c>
      <c r="HA40" s="801">
        <f t="shared" si="90"/>
        <v>259.35000000000002</v>
      </c>
      <c r="HB40" s="793">
        <v>15</v>
      </c>
      <c r="HC40" s="787">
        <v>2</v>
      </c>
      <c r="HD40" s="788">
        <f>VLOOKUP(HB40,'Ціни контур мережний'!$J$73:$M$73,4,0)</f>
        <v>3.4649999999999999</v>
      </c>
      <c r="HE40" s="789">
        <f t="shared" si="91"/>
        <v>6.93</v>
      </c>
      <c r="HF40" s="791">
        <f t="shared" si="27"/>
        <v>25</v>
      </c>
      <c r="HG40" s="791">
        <v>1</v>
      </c>
      <c r="HH40" s="788">
        <f>VLOOKUP(HF40,'Ціни контур теплопостачання'!$Y$62:$AA$69,3,0)</f>
        <v>89.924040000000005</v>
      </c>
      <c r="HI40" s="810">
        <f t="shared" si="92"/>
        <v>89.924040000000005</v>
      </c>
      <c r="HJ40" s="792">
        <f>VLOOKUP(HK40,'Ціни контур теплопостачання'!$AN$6:$AO$13,2,0)</f>
        <v>80</v>
      </c>
      <c r="HK40" s="793">
        <f t="array" ref="HK40">MIN(IF('Ціни контур теплопостачання'!$AN$6:$AN$13&gt;N40,'Ціни контур теплопостачання'!$AN$6:$AN$13))</f>
        <v>40</v>
      </c>
      <c r="HL40" s="793">
        <v>1</v>
      </c>
      <c r="HM40" s="788">
        <f>VLOOKUP(HJ40,'Ціни контур теплопостачання'!$AO$6:$AQ$13,3,0)</f>
        <v>162.88128</v>
      </c>
      <c r="HN40" s="789">
        <f t="shared" si="93"/>
        <v>162.88128</v>
      </c>
      <c r="HO40" s="792">
        <f t="shared" si="28"/>
        <v>100</v>
      </c>
      <c r="HP40" s="787">
        <v>1</v>
      </c>
      <c r="HQ40" s="788">
        <f>VLOOKUP(HO40,'Ціни контур теплопостачання'!$AO$55:$AQ$63,3,0)</f>
        <v>1204.75</v>
      </c>
      <c r="HR40" s="789">
        <f t="shared" si="126"/>
        <v>1204.75</v>
      </c>
      <c r="HS40" s="790">
        <f t="shared" si="29"/>
        <v>25</v>
      </c>
      <c r="HT40" s="791">
        <v>1</v>
      </c>
      <c r="HU40" s="788">
        <f>VLOOKUP(HS40,'Ціни контур теплопостачання'!$K$62:$M$67,3,0)</f>
        <v>92.91</v>
      </c>
      <c r="HV40" s="810">
        <f t="shared" si="95"/>
        <v>92.91</v>
      </c>
      <c r="HW40" s="811" t="str">
        <f t="shared" si="138"/>
        <v>0-150</v>
      </c>
      <c r="HX40" s="687">
        <v>1</v>
      </c>
      <c r="HY40" s="788">
        <f>VLOOKUP(HW40,'Ціни контур мережний'!$I$79:$M$80,5,0)</f>
        <v>15.050156291498967</v>
      </c>
      <c r="HZ40" s="789">
        <f t="shared" si="96"/>
        <v>15.050156291498967</v>
      </c>
      <c r="IA40" s="800" t="s">
        <v>109</v>
      </c>
      <c r="IB40" s="791">
        <v>5</v>
      </c>
      <c r="IC40" s="788">
        <f>VLOOKUP(IA40,'Ціни контур мережний'!$I$79:$M$80,5,0)</f>
        <v>15.050156291498967</v>
      </c>
      <c r="ID40" s="810">
        <f t="shared" si="97"/>
        <v>75.250781457494838</v>
      </c>
      <c r="IE40" s="811" t="s">
        <v>108</v>
      </c>
      <c r="IF40" s="687">
        <v>5</v>
      </c>
      <c r="IG40" s="788">
        <f>VLOOKUP(IE40,'Ціни контур мережний'!$I$67:$M$69,5,0)</f>
        <v>4.4537969640631703</v>
      </c>
      <c r="IH40" s="789">
        <f t="shared" si="98"/>
        <v>22.26898482031585</v>
      </c>
      <c r="II40" s="811" t="s">
        <v>106</v>
      </c>
      <c r="IJ40" s="687">
        <f>11+T40</f>
        <v>17</v>
      </c>
      <c r="IK40" s="788">
        <f>VLOOKUP(II40,'Ціни контур мережний'!$I$67:$M$69,5,0)</f>
        <v>4.4537969640631703</v>
      </c>
      <c r="IL40" s="789">
        <f t="shared" si="99"/>
        <v>75.714548389073897</v>
      </c>
      <c r="IM40" s="811" t="s">
        <v>1013</v>
      </c>
      <c r="IN40" s="687">
        <v>5</v>
      </c>
      <c r="IO40" s="788">
        <f>VLOOKUP(IM40,'Ціни контур мережний'!$I$64:$M$64,5,0)</f>
        <v>29.1312</v>
      </c>
      <c r="IP40" s="789">
        <f t="shared" si="100"/>
        <v>145.65600000000001</v>
      </c>
      <c r="IQ40" s="978" t="s">
        <v>1015</v>
      </c>
      <c r="IR40" s="791">
        <v>6</v>
      </c>
      <c r="IS40" s="788">
        <f>VLOOKUP(IQ40,'Ціни контур мережний'!$I$89:$M$89,5,0)</f>
        <v>79.523165325760516</v>
      </c>
      <c r="IT40" s="810">
        <f t="shared" si="101"/>
        <v>477.1389919545631</v>
      </c>
      <c r="IU40" s="1048" t="s">
        <v>1016</v>
      </c>
      <c r="IV40" s="687">
        <f t="shared" si="117"/>
        <v>7</v>
      </c>
      <c r="IW40" s="788">
        <f>VLOOKUP(IU40,'Ціни контур мережний'!$I$88:$M$88,5,0)</f>
        <v>13.211568975967202</v>
      </c>
      <c r="IX40" s="814">
        <f t="shared" si="102"/>
        <v>92.480982831770419</v>
      </c>
      <c r="IY40" s="1048" t="s">
        <v>383</v>
      </c>
      <c r="IZ40" s="687">
        <v>1</v>
      </c>
      <c r="JA40" s="788">
        <f>VLOOKUP(IY40,'Ціни контур мережний'!$I$87:$M$87,5,0)</f>
        <v>13.483972460007763</v>
      </c>
      <c r="JB40" s="789">
        <f t="shared" si="141"/>
        <v>13.483972460007763</v>
      </c>
      <c r="JC40" s="981">
        <f t="shared" si="31"/>
        <v>87</v>
      </c>
      <c r="JD40" s="982">
        <f t="shared" si="104"/>
        <v>18271.195590647429</v>
      </c>
      <c r="JE40" s="771">
        <f>$JE$46/'Ціни контур мережний'!$G$26</f>
        <v>681.00871010140213</v>
      </c>
      <c r="JF40" s="771">
        <f>$JE$46/'Ціни контур мережний'!$G$26</f>
        <v>681.00871010140213</v>
      </c>
      <c r="JG40" s="770">
        <f t="shared" si="112"/>
        <v>661.80181284518619</v>
      </c>
      <c r="JH40" s="770">
        <f t="shared" si="113"/>
        <v>487.81784379022207</v>
      </c>
      <c r="JI40" s="770">
        <f>$JI$43/'Ціни контур мережний'!$G$26</f>
        <v>323.47913729816605</v>
      </c>
      <c r="JJ40" s="770">
        <f t="shared" si="105"/>
        <v>66.611999999999995</v>
      </c>
      <c r="JK40" s="770">
        <f t="shared" si="139"/>
        <v>0</v>
      </c>
      <c r="JL40" s="772">
        <f t="shared" si="114"/>
        <v>62.86234247089866</v>
      </c>
      <c r="JM40" s="770">
        <f t="shared" si="140"/>
        <v>0</v>
      </c>
      <c r="JN40" s="770">
        <v>0</v>
      </c>
      <c r="JO40" s="1049">
        <f t="shared" si="32"/>
        <v>1486.5050303078299</v>
      </c>
      <c r="JP40" s="1050">
        <f t="shared" si="33"/>
        <v>2123.5786147254712</v>
      </c>
      <c r="JQ40" s="1051">
        <f t="shared" si="34"/>
        <v>365.30827821623097</v>
      </c>
      <c r="JR40" s="1051">
        <f t="shared" si="115"/>
        <v>300.63036461094771</v>
      </c>
      <c r="JS40" s="777">
        <f t="shared" si="106"/>
        <v>25511.808435115196</v>
      </c>
      <c r="JU40" s="616">
        <f>[3]Расчеты!AX39/1.2</f>
        <v>4676.7942128596769</v>
      </c>
      <c r="JV40" s="616">
        <f t="shared" si="107"/>
        <v>30188.602647974873</v>
      </c>
      <c r="JW40" s="616" t="e">
        <f>JV40*1.2*#REF!</f>
        <v>#REF!</v>
      </c>
      <c r="JX40" s="616"/>
    </row>
    <row r="41" spans="2:284" s="780" customFormat="1">
      <c r="B41" s="609"/>
      <c r="C41" s="852"/>
      <c r="D41" s="609"/>
      <c r="E41" s="609"/>
      <c r="F41" s="609"/>
      <c r="G41" s="609"/>
      <c r="H41" s="609"/>
      <c r="I41" s="609"/>
      <c r="J41" s="609"/>
      <c r="K41" s="609"/>
      <c r="L41" s="609"/>
      <c r="M41" s="609"/>
      <c r="N41" s="609"/>
      <c r="O41" s="609"/>
      <c r="P41" s="609"/>
      <c r="Q41" s="609"/>
      <c r="R41" s="609"/>
      <c r="S41" s="609"/>
      <c r="T41" s="609"/>
      <c r="U41" s="609"/>
      <c r="V41" s="609"/>
      <c r="W41" s="609"/>
      <c r="X41" s="609"/>
      <c r="Y41" s="609"/>
      <c r="Z41" s="609"/>
      <c r="AA41" s="609"/>
      <c r="AB41" s="609"/>
      <c r="AC41" s="609"/>
      <c r="AD41" s="816"/>
      <c r="AE41" s="816"/>
      <c r="AF41" s="816"/>
      <c r="AG41" s="816"/>
      <c r="AH41" s="816"/>
      <c r="AI41" s="816"/>
      <c r="AJ41" s="609"/>
      <c r="AK41" s="609"/>
      <c r="AL41" s="816"/>
      <c r="AM41" s="816"/>
      <c r="AN41" s="609"/>
      <c r="AO41" s="609"/>
      <c r="AP41" s="816"/>
      <c r="AQ41" s="816"/>
      <c r="AR41" s="816"/>
      <c r="AS41" s="816"/>
      <c r="AT41" s="816"/>
      <c r="AU41" s="816"/>
      <c r="AV41" s="609"/>
      <c r="AW41" s="609"/>
      <c r="AX41" s="816"/>
      <c r="AY41" s="816"/>
      <c r="AZ41" s="817"/>
      <c r="BA41" s="609"/>
      <c r="BB41" s="609"/>
      <c r="BC41" s="816"/>
      <c r="BD41" s="816"/>
      <c r="BE41" s="816"/>
      <c r="BF41" s="816"/>
      <c r="BG41" s="816"/>
      <c r="BH41" s="816"/>
      <c r="BI41" s="816"/>
      <c r="BJ41" s="816"/>
      <c r="BK41" s="816"/>
      <c r="BL41" s="816"/>
      <c r="BM41" s="816"/>
      <c r="BN41" s="816"/>
      <c r="BO41" s="816"/>
      <c r="BP41" s="816"/>
      <c r="BQ41" s="816"/>
      <c r="BR41" s="816"/>
      <c r="BS41" s="816"/>
      <c r="BT41" s="816"/>
      <c r="BU41" s="816"/>
      <c r="BV41" s="816"/>
      <c r="BW41" s="816"/>
      <c r="BX41" s="609"/>
      <c r="BY41" s="609"/>
      <c r="BZ41" s="609"/>
      <c r="CA41" s="818"/>
      <c r="CB41" s="816"/>
      <c r="CC41" s="816"/>
      <c r="CD41" s="816"/>
      <c r="CE41" s="816"/>
      <c r="CF41" s="816"/>
      <c r="CG41" s="816"/>
      <c r="CH41" s="816"/>
      <c r="CI41" s="816"/>
      <c r="CJ41" s="819"/>
      <c r="CK41" s="819"/>
      <c r="CL41" s="820"/>
      <c r="CM41" s="820"/>
      <c r="CN41" s="820"/>
      <c r="CO41" s="820"/>
      <c r="CP41" s="820"/>
      <c r="CQ41" s="820"/>
      <c r="CR41" s="609"/>
      <c r="CS41" s="609"/>
      <c r="CT41" s="816"/>
      <c r="CU41" s="816"/>
      <c r="CV41" s="609"/>
      <c r="CW41" s="609"/>
      <c r="CX41" s="816"/>
      <c r="CY41" s="816"/>
      <c r="CZ41" s="609"/>
      <c r="DA41" s="609"/>
      <c r="DB41" s="816"/>
      <c r="DC41" s="816"/>
      <c r="DD41" s="609"/>
      <c r="DE41" s="609"/>
      <c r="DF41" s="816"/>
      <c r="DG41" s="816"/>
      <c r="DH41" s="816"/>
      <c r="DI41" s="816"/>
      <c r="DJ41" s="816"/>
      <c r="DK41" s="816"/>
      <c r="DL41" s="609"/>
      <c r="DM41" s="609"/>
      <c r="DN41" s="816"/>
      <c r="DO41" s="816"/>
      <c r="DP41" s="609"/>
      <c r="DQ41" s="609"/>
      <c r="DR41" s="816"/>
      <c r="DS41" s="816"/>
      <c r="DT41" s="816"/>
      <c r="DU41" s="816"/>
      <c r="DV41" s="816"/>
      <c r="DW41" s="816"/>
      <c r="DX41" s="816"/>
      <c r="DY41" s="816"/>
      <c r="DZ41" s="816"/>
      <c r="EA41" s="816"/>
      <c r="EB41" s="816"/>
      <c r="EC41" s="816"/>
      <c r="ED41" s="816"/>
      <c r="EE41" s="816"/>
      <c r="EF41" s="609"/>
      <c r="EG41" s="609"/>
      <c r="EH41" s="816"/>
      <c r="EI41" s="816"/>
      <c r="EJ41" s="816"/>
      <c r="EK41" s="816"/>
      <c r="EL41" s="816"/>
      <c r="EM41" s="816"/>
      <c r="EN41" s="816"/>
      <c r="EO41" s="816"/>
      <c r="EP41" s="816"/>
      <c r="EQ41" s="816"/>
      <c r="ER41" s="816"/>
      <c r="ES41" s="816"/>
      <c r="ET41" s="816"/>
      <c r="EU41" s="816"/>
      <c r="EV41" s="609"/>
      <c r="EW41" s="609"/>
      <c r="EX41" s="816"/>
      <c r="EY41" s="816"/>
      <c r="EZ41" s="816"/>
      <c r="FA41" s="816"/>
      <c r="FB41" s="816"/>
      <c r="FC41" s="816"/>
      <c r="FD41" s="816"/>
      <c r="FE41" s="816"/>
      <c r="FF41" s="816"/>
      <c r="FG41" s="816"/>
      <c r="FH41" s="816"/>
      <c r="FI41" s="816"/>
      <c r="FJ41" s="816"/>
      <c r="FK41" s="816"/>
      <c r="FL41" s="816"/>
      <c r="FM41" s="816"/>
      <c r="FN41" s="816"/>
      <c r="FO41" s="816"/>
      <c r="FP41" s="816"/>
      <c r="FQ41" s="816"/>
      <c r="FR41" s="816"/>
      <c r="FS41" s="816"/>
      <c r="FT41" s="816"/>
      <c r="FU41" s="816"/>
      <c r="FV41" s="816"/>
      <c r="FW41" s="816"/>
      <c r="FX41" s="816"/>
      <c r="FY41" s="816"/>
      <c r="FZ41" s="819"/>
      <c r="GA41" s="816"/>
      <c r="GB41" s="820"/>
      <c r="GC41" s="820"/>
      <c r="GD41" s="820"/>
      <c r="GE41" s="820"/>
      <c r="GF41" s="609"/>
      <c r="GG41" s="609"/>
      <c r="GH41" s="986"/>
      <c r="GI41" s="816"/>
      <c r="GJ41" s="816"/>
      <c r="GK41" s="816"/>
      <c r="GL41" s="816"/>
      <c r="GM41" s="816"/>
      <c r="GN41" s="816"/>
      <c r="GO41" s="816"/>
      <c r="GP41" s="816"/>
      <c r="GQ41" s="816"/>
      <c r="GR41" s="816"/>
      <c r="GS41" s="816"/>
      <c r="GT41" s="818"/>
      <c r="GU41" s="816"/>
      <c r="GV41" s="816"/>
      <c r="GW41" s="816"/>
      <c r="GX41" s="816"/>
      <c r="GY41" s="816"/>
      <c r="GZ41" s="816"/>
      <c r="HA41" s="816"/>
      <c r="HB41" s="609"/>
      <c r="HC41" s="609"/>
      <c r="HD41" s="816"/>
      <c r="HE41" s="816"/>
      <c r="HF41" s="816"/>
      <c r="HG41" s="816"/>
      <c r="HH41" s="816"/>
      <c r="HI41" s="816"/>
      <c r="HJ41" s="609"/>
      <c r="HK41" s="609"/>
      <c r="HL41" s="609"/>
      <c r="HM41" s="816"/>
      <c r="HN41" s="816"/>
      <c r="HO41" s="609"/>
      <c r="HP41" s="609"/>
      <c r="HQ41" s="816"/>
      <c r="HR41" s="816"/>
      <c r="HS41" s="816"/>
      <c r="HT41" s="816"/>
      <c r="HU41" s="816"/>
      <c r="HV41" s="816"/>
      <c r="HW41" s="609"/>
      <c r="HX41" s="609"/>
      <c r="HY41" s="816"/>
      <c r="HZ41" s="816"/>
      <c r="IA41" s="816"/>
      <c r="IB41" s="816"/>
      <c r="IC41" s="816"/>
      <c r="ID41" s="816"/>
      <c r="IE41" s="609"/>
      <c r="IF41" s="609"/>
      <c r="IG41" s="816"/>
      <c r="IH41" s="816"/>
      <c r="II41" s="609"/>
      <c r="IJ41" s="609"/>
      <c r="IK41" s="816"/>
      <c r="IL41" s="816"/>
      <c r="IM41" s="609"/>
      <c r="IN41" s="609"/>
      <c r="IO41" s="816"/>
      <c r="IP41" s="816"/>
      <c r="IQ41" s="816"/>
      <c r="IR41" s="816"/>
      <c r="IS41" s="816"/>
      <c r="IT41" s="816"/>
      <c r="IU41" s="821"/>
      <c r="IV41" s="609"/>
      <c r="IW41" s="816"/>
      <c r="IX41" s="816"/>
      <c r="IY41" s="822"/>
      <c r="IZ41" s="609"/>
      <c r="JA41" s="816"/>
      <c r="JB41" s="816"/>
      <c r="JC41" s="609"/>
      <c r="JD41" s="816">
        <f>SUM(JD8:JD40)</f>
        <v>276178.73418135545</v>
      </c>
      <c r="JE41" s="816">
        <f t="shared" ref="JE41:JS41" si="142">SUM(JE8:JE40)</f>
        <v>16548.511655464066</v>
      </c>
      <c r="JF41" s="816">
        <f t="shared" si="142"/>
        <v>16991.167317029976</v>
      </c>
      <c r="JG41" s="816">
        <f t="shared" si="142"/>
        <v>21839.459823891153</v>
      </c>
      <c r="JH41" s="816">
        <f t="shared" si="142"/>
        <v>16097.988845077338</v>
      </c>
      <c r="JI41" s="816">
        <f t="shared" si="142"/>
        <v>10674.811530839479</v>
      </c>
      <c r="JJ41" s="816">
        <f t="shared" si="142"/>
        <v>2198.1960000000008</v>
      </c>
      <c r="JK41" s="816">
        <f t="shared" si="142"/>
        <v>0</v>
      </c>
      <c r="JL41" s="816">
        <f t="shared" si="142"/>
        <v>2074.4573015396568</v>
      </c>
      <c r="JM41" s="816">
        <f t="shared" si="142"/>
        <v>0</v>
      </c>
      <c r="JN41" s="816">
        <f t="shared" si="142"/>
        <v>0</v>
      </c>
      <c r="JO41" s="816">
        <f t="shared" si="142"/>
        <v>25382.232865863807</v>
      </c>
      <c r="JP41" s="816">
        <f t="shared" si="142"/>
        <v>36260.332665519709</v>
      </c>
      <c r="JQ41" s="816">
        <f t="shared" si="142"/>
        <v>6237.6780410840547</v>
      </c>
      <c r="JR41" s="816">
        <f t="shared" si="142"/>
        <v>9920.8020321612821</v>
      </c>
      <c r="JS41" s="816">
        <f t="shared" si="142"/>
        <v>440404.37225982588</v>
      </c>
      <c r="JU41" s="826"/>
      <c r="JV41" s="826"/>
      <c r="JW41" s="826"/>
      <c r="JX41" s="826"/>
    </row>
    <row r="42" spans="2:284" s="780" customFormat="1" ht="13.5" customHeight="1">
      <c r="B42" s="609"/>
      <c r="C42" s="609"/>
      <c r="D42" s="609"/>
      <c r="E42" s="609"/>
      <c r="F42" s="609"/>
      <c r="G42" s="609"/>
      <c r="H42" s="609"/>
      <c r="I42" s="609"/>
      <c r="J42" s="609"/>
      <c r="K42" s="609"/>
      <c r="L42" s="609"/>
      <c r="M42" s="609"/>
      <c r="N42" s="609"/>
      <c r="O42" s="609"/>
      <c r="P42" s="609"/>
      <c r="Q42" s="609"/>
      <c r="R42" s="609"/>
      <c r="S42" s="609"/>
      <c r="T42" s="609"/>
      <c r="U42" s="609"/>
      <c r="V42" s="609"/>
      <c r="W42" s="609"/>
      <c r="X42" s="609"/>
      <c r="Y42" s="609"/>
      <c r="Z42" s="609"/>
      <c r="AA42" s="609"/>
      <c r="AB42" s="609"/>
      <c r="AC42" s="609"/>
      <c r="AD42" s="816"/>
      <c r="AE42" s="816"/>
      <c r="AF42" s="816"/>
      <c r="AG42" s="816"/>
      <c r="AH42" s="816"/>
      <c r="AI42" s="816"/>
      <c r="AJ42" s="609"/>
      <c r="AK42" s="609"/>
      <c r="AL42" s="816"/>
      <c r="AM42" s="816"/>
      <c r="AN42" s="609"/>
      <c r="AO42" s="609"/>
      <c r="AP42" s="816"/>
      <c r="AQ42" s="816"/>
      <c r="AR42" s="816"/>
      <c r="AS42" s="816"/>
      <c r="AT42" s="816"/>
      <c r="AU42" s="816"/>
      <c r="AV42" s="609"/>
      <c r="AW42" s="609"/>
      <c r="AX42" s="816"/>
      <c r="AY42" s="816"/>
      <c r="AZ42" s="817"/>
      <c r="BA42" s="609"/>
      <c r="BB42" s="609"/>
      <c r="BC42" s="816"/>
      <c r="BD42" s="816"/>
      <c r="BE42" s="816"/>
      <c r="BF42" s="816"/>
      <c r="BG42" s="816"/>
      <c r="BH42" s="816"/>
      <c r="BI42" s="816"/>
      <c r="BJ42" s="816"/>
      <c r="BK42" s="816"/>
      <c r="BL42" s="816"/>
      <c r="BM42" s="816"/>
      <c r="BN42" s="816"/>
      <c r="BO42" s="816"/>
      <c r="BP42" s="816"/>
      <c r="BQ42" s="816"/>
      <c r="BR42" s="816"/>
      <c r="BS42" s="816"/>
      <c r="BT42" s="816"/>
      <c r="BU42" s="816"/>
      <c r="BV42" s="816"/>
      <c r="BW42" s="816"/>
      <c r="BX42" s="609"/>
      <c r="BY42" s="609"/>
      <c r="BZ42" s="609"/>
      <c r="CA42" s="818"/>
      <c r="CB42" s="816"/>
      <c r="CC42" s="816"/>
      <c r="CD42" s="816"/>
      <c r="CE42" s="816"/>
      <c r="CF42" s="816"/>
      <c r="CG42" s="816"/>
      <c r="CH42" s="816"/>
      <c r="CI42" s="816"/>
      <c r="CJ42" s="819"/>
      <c r="CK42" s="819"/>
      <c r="CL42" s="820"/>
      <c r="CM42" s="820"/>
      <c r="CN42" s="820"/>
      <c r="CO42" s="820"/>
      <c r="CP42" s="820"/>
      <c r="CQ42" s="820"/>
      <c r="CR42" s="609"/>
      <c r="CS42" s="609"/>
      <c r="CT42" s="816"/>
      <c r="CU42" s="816"/>
      <c r="CV42" s="609"/>
      <c r="CW42" s="609"/>
      <c r="CX42" s="816"/>
      <c r="CY42" s="816"/>
      <c r="CZ42" s="609"/>
      <c r="DA42" s="609"/>
      <c r="DB42" s="816"/>
      <c r="DC42" s="816"/>
      <c r="DD42" s="609"/>
      <c r="DE42" s="609"/>
      <c r="DF42" s="816"/>
      <c r="DG42" s="816"/>
      <c r="DH42" s="816"/>
      <c r="DI42" s="816"/>
      <c r="DJ42" s="816"/>
      <c r="DK42" s="816"/>
      <c r="DL42" s="609"/>
      <c r="DM42" s="609"/>
      <c r="DN42" s="816"/>
      <c r="DO42" s="816"/>
      <c r="DP42" s="609"/>
      <c r="DQ42" s="609"/>
      <c r="DR42" s="816"/>
      <c r="DS42" s="816"/>
      <c r="DT42" s="816"/>
      <c r="DU42" s="816"/>
      <c r="DV42" s="816"/>
      <c r="DW42" s="816"/>
      <c r="DX42" s="816"/>
      <c r="DY42" s="816"/>
      <c r="DZ42" s="816"/>
      <c r="EA42" s="816"/>
      <c r="EB42" s="816"/>
      <c r="EC42" s="816"/>
      <c r="ED42" s="816"/>
      <c r="EE42" s="816"/>
      <c r="EF42" s="609"/>
      <c r="EG42" s="609"/>
      <c r="EH42" s="816"/>
      <c r="EI42" s="816"/>
      <c r="EJ42" s="816"/>
      <c r="EK42" s="816"/>
      <c r="EL42" s="816"/>
      <c r="EM42" s="816"/>
      <c r="EN42" s="816"/>
      <c r="EO42" s="816"/>
      <c r="EP42" s="816"/>
      <c r="EQ42" s="816"/>
      <c r="ER42" s="816"/>
      <c r="ES42" s="816"/>
      <c r="ET42" s="816"/>
      <c r="EU42" s="816"/>
      <c r="EV42" s="609"/>
      <c r="EW42" s="609"/>
      <c r="EX42" s="816"/>
      <c r="EY42" s="816"/>
      <c r="EZ42" s="816"/>
      <c r="FA42" s="816"/>
      <c r="FB42" s="816"/>
      <c r="FC42" s="816"/>
      <c r="FD42" s="816"/>
      <c r="FE42" s="816"/>
      <c r="FF42" s="816"/>
      <c r="FG42" s="816"/>
      <c r="FH42" s="816"/>
      <c r="FI42" s="816"/>
      <c r="FJ42" s="816"/>
      <c r="FK42" s="816"/>
      <c r="FL42" s="816"/>
      <c r="FM42" s="816"/>
      <c r="FN42" s="816"/>
      <c r="FO42" s="816"/>
      <c r="FP42" s="816"/>
      <c r="FQ42" s="816"/>
      <c r="FR42" s="816"/>
      <c r="FS42" s="816"/>
      <c r="FT42" s="816"/>
      <c r="FU42" s="816"/>
      <c r="FV42" s="816"/>
      <c r="FW42" s="816"/>
      <c r="FX42" s="816"/>
      <c r="FY42" s="816"/>
      <c r="FZ42" s="819"/>
      <c r="GA42" s="816"/>
      <c r="GB42" s="820"/>
      <c r="GC42" s="820"/>
      <c r="GD42" s="820"/>
      <c r="GE42" s="820"/>
      <c r="GF42" s="817"/>
      <c r="GG42" s="609"/>
      <c r="GH42" s="816"/>
      <c r="GI42" s="816"/>
      <c r="GJ42" s="816"/>
      <c r="GK42" s="816"/>
      <c r="GL42" s="816"/>
      <c r="GM42" s="816"/>
      <c r="GN42" s="816"/>
      <c r="GO42" s="816"/>
      <c r="GP42" s="816"/>
      <c r="GQ42" s="816"/>
      <c r="GR42" s="816"/>
      <c r="GS42" s="816"/>
      <c r="GT42" s="818"/>
      <c r="GV42" s="816"/>
      <c r="GW42" s="816"/>
      <c r="GX42" s="816"/>
      <c r="GY42" s="816"/>
      <c r="GZ42" s="816"/>
      <c r="HA42" s="816"/>
      <c r="HB42" s="609"/>
      <c r="HC42" s="609"/>
      <c r="HD42" s="816"/>
      <c r="HE42" s="816"/>
      <c r="HF42" s="816"/>
      <c r="HG42" s="816"/>
      <c r="HH42" s="816"/>
      <c r="HI42" s="816"/>
      <c r="HJ42" s="609"/>
      <c r="HK42" s="609"/>
      <c r="HL42" s="609"/>
      <c r="HM42" s="816"/>
      <c r="HN42" s="816"/>
      <c r="HO42" s="609"/>
      <c r="HP42" s="609"/>
      <c r="HQ42" s="816"/>
      <c r="HR42" s="816"/>
      <c r="HS42" s="816"/>
      <c r="HT42" s="816"/>
      <c r="HU42" s="816"/>
      <c r="HV42" s="816"/>
      <c r="HW42" s="609"/>
      <c r="HX42" s="609"/>
      <c r="HY42" s="816"/>
      <c r="HZ42" s="816"/>
      <c r="IA42" s="816"/>
      <c r="IB42" s="816"/>
      <c r="IC42" s="816"/>
      <c r="ID42" s="816"/>
      <c r="IE42" s="609"/>
      <c r="IF42" s="609"/>
      <c r="IG42" s="816"/>
      <c r="IH42" s="816"/>
      <c r="II42" s="609"/>
      <c r="IJ42" s="609"/>
      <c r="IK42" s="816"/>
      <c r="IL42" s="816"/>
      <c r="IM42" s="609"/>
      <c r="IN42" s="609"/>
      <c r="IO42" s="816"/>
      <c r="IP42" s="816"/>
      <c r="IQ42" s="816"/>
      <c r="IR42" s="816"/>
      <c r="IS42" s="816"/>
      <c r="IT42" s="816"/>
      <c r="IU42" s="821"/>
      <c r="IV42" s="609"/>
      <c r="IW42" s="816"/>
      <c r="IX42" s="816"/>
      <c r="IY42" s="822"/>
      <c r="IZ42" s="609"/>
      <c r="JA42" s="816"/>
      <c r="JB42" s="816"/>
      <c r="JC42" s="609"/>
      <c r="JD42" s="816"/>
      <c r="JE42" s="816"/>
      <c r="JF42" s="816"/>
      <c r="JG42" s="816"/>
      <c r="JH42" s="816"/>
      <c r="JI42" s="816"/>
      <c r="JJ42" s="816"/>
      <c r="JK42" s="816"/>
      <c r="JL42" s="816"/>
      <c r="JM42" s="816"/>
      <c r="JN42" s="816"/>
      <c r="JO42" s="823"/>
      <c r="JP42" s="824"/>
      <c r="JQ42" s="825"/>
      <c r="JR42" s="825"/>
      <c r="JS42" s="816"/>
      <c r="JU42" s="826"/>
      <c r="JV42" s="826"/>
      <c r="JW42" s="826"/>
      <c r="JX42" s="826"/>
    </row>
    <row r="43" spans="2:284" s="780" customFormat="1" ht="13.5" customHeight="1">
      <c r="B43" s="609"/>
      <c r="C43" s="609"/>
      <c r="D43" s="609"/>
      <c r="E43" s="609"/>
      <c r="F43" s="609"/>
      <c r="G43" s="609"/>
      <c r="H43" s="609"/>
      <c r="I43" s="609"/>
      <c r="J43" s="609"/>
      <c r="K43" s="609"/>
      <c r="L43" s="609"/>
      <c r="M43" s="609"/>
      <c r="N43" s="609"/>
      <c r="O43" s="609"/>
      <c r="P43" s="609"/>
      <c r="Q43" s="609"/>
      <c r="R43" s="609"/>
      <c r="S43" s="609"/>
      <c r="T43" s="609"/>
      <c r="U43" s="609"/>
      <c r="V43" s="609"/>
      <c r="W43" s="609"/>
      <c r="X43" s="609"/>
      <c r="Y43" s="609"/>
      <c r="Z43" s="609"/>
      <c r="AA43" s="609"/>
      <c r="AB43" s="746">
        <v>40</v>
      </c>
      <c r="AC43" s="746">
        <f>COUNTIF($AB$8:$AB$40,AB43)*2</f>
        <v>0</v>
      </c>
      <c r="AD43" s="816"/>
      <c r="AE43" s="816"/>
      <c r="AF43" s="746">
        <v>40</v>
      </c>
      <c r="AG43" s="746">
        <f>COUNTIF($AF$8:$AF$40,AF43)*2</f>
        <v>0</v>
      </c>
      <c r="AH43" s="816"/>
      <c r="AI43" s="816"/>
      <c r="AJ43" s="746">
        <v>40</v>
      </c>
      <c r="AK43" s="746">
        <v>0</v>
      </c>
      <c r="AL43" s="816"/>
      <c r="AM43" s="816"/>
      <c r="AN43" s="746">
        <v>15</v>
      </c>
      <c r="AO43" s="746">
        <v>0</v>
      </c>
      <c r="AP43" s="816"/>
      <c r="AQ43" s="816"/>
      <c r="AR43" s="746">
        <v>15</v>
      </c>
      <c r="AS43" s="746">
        <f>COUNTIF($AR$8:$AR$40,AR43)*4</f>
        <v>0</v>
      </c>
      <c r="AT43" s="816"/>
      <c r="AU43" s="816"/>
      <c r="AV43" s="746" t="s">
        <v>1017</v>
      </c>
      <c r="AW43" s="746">
        <f>SUM(AW8:AW40)</f>
        <v>33</v>
      </c>
      <c r="AX43" s="816"/>
      <c r="AY43" s="816"/>
      <c r="AZ43" s="827">
        <v>0.63</v>
      </c>
      <c r="BA43" s="746">
        <f>COUNTIF($AZ$8:$AZ$40,AZ43)</f>
        <v>0</v>
      </c>
      <c r="BB43" s="609"/>
      <c r="BC43" s="816"/>
      <c r="BD43" s="816"/>
      <c r="BE43" s="827">
        <v>0.63</v>
      </c>
      <c r="BF43" s="749">
        <f>COUNTIF($BE$8:$BE$40,BE43)</f>
        <v>0</v>
      </c>
      <c r="BG43" s="816"/>
      <c r="BH43" s="816"/>
      <c r="BI43" s="816"/>
      <c r="BJ43" s="747" t="s">
        <v>1017</v>
      </c>
      <c r="BK43" s="749">
        <f>SUM(BK8:BK39)</f>
        <v>32</v>
      </c>
      <c r="BL43" s="816"/>
      <c r="BM43" s="816"/>
      <c r="BN43" s="827">
        <v>0.63</v>
      </c>
      <c r="BO43" s="746">
        <f>COUNTIF($BN$8:$BN$40,BN43)</f>
        <v>0</v>
      </c>
      <c r="BP43" s="816"/>
      <c r="BQ43" s="816"/>
      <c r="BR43" s="816"/>
      <c r="BS43" s="827">
        <v>0.63</v>
      </c>
      <c r="BT43" s="749">
        <f>COUNTIF($BS$8:$BS$40,BS43)</f>
        <v>0</v>
      </c>
      <c r="BU43" s="816"/>
      <c r="BV43" s="816"/>
      <c r="BW43" s="816"/>
      <c r="BX43" s="828">
        <v>1.5</v>
      </c>
      <c r="BY43" s="746">
        <f>COUNTIF($BY$8:$BY$40,BX43)</f>
        <v>0</v>
      </c>
      <c r="BZ43" s="609"/>
      <c r="CA43" s="818"/>
      <c r="CB43" s="816"/>
      <c r="CC43" s="816"/>
      <c r="CD43" s="828">
        <v>1.5</v>
      </c>
      <c r="CE43" s="746">
        <f>COUNTIF($CE$8:$CE$40,CD43)</f>
        <v>0</v>
      </c>
      <c r="CF43" s="816"/>
      <c r="CG43" s="816"/>
      <c r="CH43" s="816"/>
      <c r="CI43" s="816"/>
      <c r="CJ43" s="819"/>
      <c r="CK43" s="819"/>
      <c r="CL43" s="820"/>
      <c r="CM43" s="820"/>
      <c r="CN43" s="820"/>
      <c r="CO43" s="820"/>
      <c r="CP43" s="820"/>
      <c r="CQ43" s="820"/>
      <c r="CR43" s="829">
        <v>15</v>
      </c>
      <c r="CS43" s="746">
        <f>COUNTIF($CR$8:$CR$40,CR43)*4</f>
        <v>0</v>
      </c>
      <c r="CT43" s="816"/>
      <c r="CU43" s="816"/>
      <c r="CV43" s="829">
        <v>15</v>
      </c>
      <c r="CW43" s="746">
        <f>COUNTIF($CV$8:$CV$40,CV43)*6</f>
        <v>0</v>
      </c>
      <c r="CX43" s="816"/>
      <c r="CY43" s="816"/>
      <c r="CZ43" s="829">
        <v>15</v>
      </c>
      <c r="DA43" s="746">
        <f>COUNTIF($CZ$8:$CZ$40,CZ43)*3</f>
        <v>0</v>
      </c>
      <c r="DB43" s="816"/>
      <c r="DC43" s="816"/>
      <c r="DD43" s="829">
        <v>15</v>
      </c>
      <c r="DE43" s="746">
        <v>0</v>
      </c>
      <c r="DF43" s="816"/>
      <c r="DG43" s="816"/>
      <c r="DH43" s="829">
        <v>15</v>
      </c>
      <c r="DI43" s="746">
        <v>0</v>
      </c>
      <c r="DJ43" s="816"/>
      <c r="DK43" s="816"/>
      <c r="DL43" s="746">
        <v>20</v>
      </c>
      <c r="DM43" s="746">
        <v>10</v>
      </c>
      <c r="DN43" s="816"/>
      <c r="DO43" s="816"/>
      <c r="DP43" s="829">
        <v>20</v>
      </c>
      <c r="DQ43" s="746">
        <f>COUNTIF($DP$8:$DP$40,DP43)*2</f>
        <v>20</v>
      </c>
      <c r="DR43" s="816"/>
      <c r="DS43" s="816"/>
      <c r="DT43" s="747" t="s">
        <v>1017</v>
      </c>
      <c r="DU43" s="749">
        <f>SUM(DU8:DU40)</f>
        <v>66</v>
      </c>
      <c r="DV43" s="816"/>
      <c r="DW43" s="816"/>
      <c r="DX43" s="747" t="s">
        <v>1017</v>
      </c>
      <c r="DY43" s="749">
        <f>SUM(DY8:DY40)</f>
        <v>330</v>
      </c>
      <c r="DZ43" s="816"/>
      <c r="EA43" s="816"/>
      <c r="EB43" s="747" t="s">
        <v>1017</v>
      </c>
      <c r="EC43" s="749">
        <f>SUM(EC8:EC40)</f>
        <v>1267</v>
      </c>
      <c r="ED43" s="816"/>
      <c r="EE43" s="816"/>
      <c r="EF43" s="829">
        <v>15</v>
      </c>
      <c r="EG43" s="746">
        <f>COUNTIF($EF$8:$EF$40,EF43)</f>
        <v>0</v>
      </c>
      <c r="EH43" s="816"/>
      <c r="EI43" s="816"/>
      <c r="EJ43" s="829">
        <v>15</v>
      </c>
      <c r="EK43" s="746">
        <f>COUNTIF($EJ$8:$EJ$40,EJ43)</f>
        <v>0</v>
      </c>
      <c r="EL43" s="816"/>
      <c r="EM43" s="816"/>
      <c r="EN43" s="829">
        <v>15</v>
      </c>
      <c r="EO43" s="746">
        <f>COUNTIF($EN$8:$EN$40,EN43)</f>
        <v>0</v>
      </c>
      <c r="EP43" s="816"/>
      <c r="EQ43" s="816"/>
      <c r="ER43" s="829">
        <v>15</v>
      </c>
      <c r="ES43" s="746">
        <f>COUNTIF($ER$8:$ER$40,ER43)</f>
        <v>0</v>
      </c>
      <c r="ET43" s="816"/>
      <c r="EU43" s="816"/>
      <c r="EV43" s="829">
        <v>15</v>
      </c>
      <c r="EW43" s="829">
        <f>COUNTIF($EV$8:$EV$40,EV43)*2</f>
        <v>0</v>
      </c>
      <c r="EX43" s="816"/>
      <c r="EY43" s="816"/>
      <c r="EZ43" s="829">
        <v>15</v>
      </c>
      <c r="FA43" s="829">
        <f>COUNTIF($EZ$8:$EZ$40,EZ43)</f>
        <v>0</v>
      </c>
      <c r="FB43" s="816"/>
      <c r="FC43" s="816"/>
      <c r="FD43" s="829">
        <v>15</v>
      </c>
      <c r="FE43" s="829">
        <f>COUNTIF($FD$8:$FD$40,FD43)</f>
        <v>0</v>
      </c>
      <c r="FF43" s="816"/>
      <c r="FG43" s="816"/>
      <c r="FH43" s="829">
        <v>20</v>
      </c>
      <c r="FI43" s="829">
        <f>COUNTIF($FH$8:$FH$40,FH43)</f>
        <v>10</v>
      </c>
      <c r="FJ43" s="816"/>
      <c r="FK43" s="816"/>
      <c r="FL43" s="829">
        <v>15</v>
      </c>
      <c r="FM43" s="749">
        <v>0</v>
      </c>
      <c r="FN43" s="816"/>
      <c r="FO43" s="816"/>
      <c r="FP43" s="829">
        <v>15</v>
      </c>
      <c r="FQ43" s="829">
        <f>COUNTIF($FP$8:$FP$40,FP43)</f>
        <v>0</v>
      </c>
      <c r="FR43" s="816"/>
      <c r="FS43" s="816"/>
      <c r="FT43" s="829">
        <v>15</v>
      </c>
      <c r="FU43" s="829">
        <f>COUNTIF($FT$8:$FT$40,FT43)</f>
        <v>0</v>
      </c>
      <c r="FV43" s="816"/>
      <c r="FW43" s="816"/>
      <c r="FX43" s="816"/>
      <c r="FY43" s="829">
        <v>15</v>
      </c>
      <c r="FZ43" s="830">
        <f>COUNTIF($FY$8:$FY$40,FY43)*2</f>
        <v>0</v>
      </c>
      <c r="GA43" s="816"/>
      <c r="GB43" s="820"/>
      <c r="GC43" s="820"/>
      <c r="GD43" s="820"/>
      <c r="GE43" s="820"/>
      <c r="GF43" s="1018" t="s">
        <v>122</v>
      </c>
      <c r="GG43" s="746">
        <f>COUNTIF($GF$8:$GF$40,GF43)*2</f>
        <v>4</v>
      </c>
      <c r="GH43" s="816"/>
      <c r="GI43" s="816"/>
      <c r="GJ43" s="816"/>
      <c r="GK43" s="816"/>
      <c r="GL43" s="816"/>
      <c r="GM43" s="1019" t="s">
        <v>1097</v>
      </c>
      <c r="GN43" s="749">
        <f>COUNTIF($GM$8:$GM$40,GM43)</f>
        <v>31</v>
      </c>
      <c r="GO43" s="816"/>
      <c r="GP43" s="816"/>
      <c r="GQ43" s="816"/>
      <c r="GR43" s="827">
        <v>50</v>
      </c>
      <c r="GS43" s="749">
        <v>0</v>
      </c>
      <c r="GT43" s="818"/>
      <c r="GV43" s="816"/>
      <c r="GW43" s="816"/>
      <c r="GX43" s="829">
        <v>15</v>
      </c>
      <c r="GY43" s="749">
        <v>0</v>
      </c>
      <c r="GZ43" s="816"/>
      <c r="HA43" s="816"/>
      <c r="HB43" s="746" t="s">
        <v>1017</v>
      </c>
      <c r="HC43" s="746">
        <f>SUM(HC8:HC40)</f>
        <v>66</v>
      </c>
      <c r="HD43" s="816"/>
      <c r="HE43" s="816"/>
      <c r="HF43" s="829">
        <v>15</v>
      </c>
      <c r="HG43" s="749">
        <f>COUNTIF($HF$8:$HF$40,HF43)</f>
        <v>0</v>
      </c>
      <c r="HH43" s="816"/>
      <c r="HI43" s="816"/>
      <c r="HJ43" s="829">
        <v>15</v>
      </c>
      <c r="HK43" s="746">
        <f>COUNTIF($HJ$8:$HJ$40,HJ43)</f>
        <v>0</v>
      </c>
      <c r="HL43" s="609"/>
      <c r="HM43" s="816"/>
      <c r="HN43" s="816"/>
      <c r="HO43" s="829">
        <v>15</v>
      </c>
      <c r="HP43" s="746">
        <f>COUNTIF($HO$8:$HO$40,HO43)</f>
        <v>0</v>
      </c>
      <c r="HQ43" s="816"/>
      <c r="HR43" s="816"/>
      <c r="HS43" s="749">
        <v>20</v>
      </c>
      <c r="HT43" s="749">
        <f>COUNTIF($HS$8:$HS$40,HS43)</f>
        <v>10</v>
      </c>
      <c r="HU43" s="816"/>
      <c r="HV43" s="816"/>
      <c r="HW43" s="746" t="s">
        <v>1017</v>
      </c>
      <c r="HX43" s="746">
        <f>SUM(HX8:HX40)</f>
        <v>33</v>
      </c>
      <c r="HY43" s="816"/>
      <c r="HZ43" s="816"/>
      <c r="IA43" s="747" t="s">
        <v>1017</v>
      </c>
      <c r="IB43" s="749">
        <f>SUM(IB8:IB40)</f>
        <v>89</v>
      </c>
      <c r="IC43" s="816"/>
      <c r="ID43" s="816"/>
      <c r="IE43" s="746" t="s">
        <v>1017</v>
      </c>
      <c r="IF43" s="746">
        <f>SUM(IF8:IF40)</f>
        <v>127</v>
      </c>
      <c r="IG43" s="816"/>
      <c r="IH43" s="816"/>
      <c r="II43" s="746" t="s">
        <v>1017</v>
      </c>
      <c r="IJ43" s="746">
        <f>SUM(IJ8:IJ40)</f>
        <v>442</v>
      </c>
      <c r="IK43" s="816"/>
      <c r="IL43" s="816"/>
      <c r="IM43" s="746" t="s">
        <v>1017</v>
      </c>
      <c r="IN43" s="746">
        <f>SUM(IN8:IN40)</f>
        <v>165</v>
      </c>
      <c r="IO43" s="816"/>
      <c r="IP43" s="816"/>
      <c r="IQ43" s="747" t="s">
        <v>1017</v>
      </c>
      <c r="IR43" s="749">
        <f>SUM(IR8:IR40)</f>
        <v>198</v>
      </c>
      <c r="IS43" s="816"/>
      <c r="IT43" s="816"/>
      <c r="IU43" s="1052" t="s">
        <v>1017</v>
      </c>
      <c r="IV43" s="746">
        <f>SUM(IV8:IV40)</f>
        <v>231</v>
      </c>
      <c r="IW43" s="816"/>
      <c r="IX43" s="816"/>
      <c r="IY43" s="829" t="s">
        <v>1017</v>
      </c>
      <c r="IZ43" s="746">
        <f>SUM(IZ8:IZ40)</f>
        <v>33</v>
      </c>
      <c r="JA43" s="816"/>
      <c r="JB43" s="816"/>
      <c r="JC43" s="1053" t="s">
        <v>1153</v>
      </c>
      <c r="JD43" s="611">
        <f>100*JD48</f>
        <v>85980</v>
      </c>
      <c r="JE43" s="611">
        <v>10000</v>
      </c>
      <c r="JF43" s="816"/>
      <c r="JG43" s="816"/>
      <c r="JH43" s="816"/>
      <c r="JI43" s="816">
        <v>9500</v>
      </c>
      <c r="JJ43" s="816"/>
      <c r="JK43" s="816"/>
      <c r="JL43" s="816"/>
      <c r="JM43" s="816"/>
      <c r="JN43" s="816"/>
      <c r="JO43" s="823"/>
      <c r="JP43" s="816">
        <f>SUM(JP8:JP40)</f>
        <v>36260.332665519709</v>
      </c>
      <c r="JQ43" s="825"/>
      <c r="JR43" s="825"/>
      <c r="JS43" s="816">
        <f>SUM(JS8:JS40)</f>
        <v>440404.37225982588</v>
      </c>
      <c r="JU43" s="826"/>
      <c r="JV43" s="826"/>
      <c r="JW43" s="826"/>
      <c r="JX43" s="826"/>
    </row>
    <row r="44" spans="2:284" s="780" customFormat="1" ht="13.5" customHeight="1">
      <c r="B44" s="609"/>
      <c r="C44" s="609"/>
      <c r="D44" s="609"/>
      <c r="E44" s="609"/>
      <c r="F44" s="609"/>
      <c r="G44" s="609"/>
      <c r="H44" s="609"/>
      <c r="I44" s="609"/>
      <c r="J44" s="609"/>
      <c r="K44" s="609"/>
      <c r="L44" s="609"/>
      <c r="M44" s="609"/>
      <c r="N44" s="609"/>
      <c r="O44" s="609"/>
      <c r="P44" s="609"/>
      <c r="Q44" s="609"/>
      <c r="R44" s="609"/>
      <c r="S44" s="609"/>
      <c r="T44" s="609"/>
      <c r="U44" s="609"/>
      <c r="V44" s="609"/>
      <c r="W44" s="609"/>
      <c r="X44" s="609"/>
      <c r="Y44" s="609"/>
      <c r="Z44" s="609"/>
      <c r="AA44" s="609"/>
      <c r="AB44" s="746">
        <v>50</v>
      </c>
      <c r="AC44" s="746">
        <f t="shared" ref="AC44:AC49" si="143">COUNTIF($AB$8:$AB$40,AB44)*2</f>
        <v>12</v>
      </c>
      <c r="AD44" s="816"/>
      <c r="AE44" s="816"/>
      <c r="AF44" s="746">
        <v>50</v>
      </c>
      <c r="AG44" s="746">
        <f t="shared" ref="AG44:AG49" si="144">COUNTIF($AF$8:$AF$40,AF44)*2</f>
        <v>12</v>
      </c>
      <c r="AH44" s="816"/>
      <c r="AI44" s="816"/>
      <c r="AJ44" s="746">
        <v>50</v>
      </c>
      <c r="AK44" s="746">
        <v>1</v>
      </c>
      <c r="AL44" s="816"/>
      <c r="AM44" s="816"/>
      <c r="AN44" s="746">
        <v>20</v>
      </c>
      <c r="AO44" s="746">
        <v>0</v>
      </c>
      <c r="AP44" s="816"/>
      <c r="AQ44" s="816"/>
      <c r="AR44" s="746">
        <v>20</v>
      </c>
      <c r="AS44" s="746">
        <f t="shared" ref="AS44:AS52" si="145">COUNTIF($AR$8:$AR$40,AR44)*4</f>
        <v>0</v>
      </c>
      <c r="AT44" s="816"/>
      <c r="AU44" s="816"/>
      <c r="AV44" s="609"/>
      <c r="AW44" s="609"/>
      <c r="AX44" s="816"/>
      <c r="AY44" s="816"/>
      <c r="AZ44" s="827">
        <v>1</v>
      </c>
      <c r="BA44" s="746">
        <f t="shared" ref="BA44:BA53" si="146">COUNTIF($AZ$8:$AZ$40,AZ44)</f>
        <v>0</v>
      </c>
      <c r="BB44" s="609"/>
      <c r="BC44" s="816"/>
      <c r="BD44" s="816"/>
      <c r="BE44" s="827">
        <v>1</v>
      </c>
      <c r="BF44" s="749">
        <f t="shared" ref="BF44:BF53" si="147">COUNTIF($BE$8:$BE$40,BE44)</f>
        <v>0</v>
      </c>
      <c r="BG44" s="816"/>
      <c r="BH44" s="816"/>
      <c r="BI44" s="816"/>
      <c r="BJ44" s="816"/>
      <c r="BK44" s="816"/>
      <c r="BL44" s="816"/>
      <c r="BM44" s="816"/>
      <c r="BN44" s="827">
        <v>1</v>
      </c>
      <c r="BO44" s="746">
        <f t="shared" ref="BO44:BO53" si="148">COUNTIF($BN$8:$BN$40,BN44)</f>
        <v>0</v>
      </c>
      <c r="BP44" s="816"/>
      <c r="BQ44" s="816"/>
      <c r="BR44" s="816"/>
      <c r="BS44" s="827">
        <v>1</v>
      </c>
      <c r="BT44" s="749">
        <f t="shared" ref="BT44:BT53" si="149">COUNTIF($BS$8:$BS$40,BS44)</f>
        <v>0</v>
      </c>
      <c r="BU44" s="816"/>
      <c r="BV44" s="816"/>
      <c r="BW44" s="816"/>
      <c r="BX44" s="828">
        <v>2.5</v>
      </c>
      <c r="BY44" s="746">
        <f t="shared" ref="BY44:BY50" si="150">COUNTIF($BY$8:$BY$40,BX44)</f>
        <v>1</v>
      </c>
      <c r="BZ44" s="609"/>
      <c r="CA44" s="818"/>
      <c r="CB44" s="816"/>
      <c r="CC44" s="816"/>
      <c r="CD44" s="828">
        <v>2.5</v>
      </c>
      <c r="CE44" s="746">
        <f t="shared" ref="CE44:CE50" si="151">COUNTIF($CE$8:$CE$40,CD44)</f>
        <v>4</v>
      </c>
      <c r="CF44" s="816"/>
      <c r="CG44" s="816"/>
      <c r="CH44" s="816"/>
      <c r="CI44" s="816"/>
      <c r="CJ44" s="819"/>
      <c r="CK44" s="819"/>
      <c r="CL44" s="820"/>
      <c r="CM44" s="820"/>
      <c r="CN44" s="820"/>
      <c r="CO44" s="820"/>
      <c r="CP44" s="820"/>
      <c r="CQ44" s="820"/>
      <c r="CR44" s="829">
        <v>20</v>
      </c>
      <c r="CS44" s="746">
        <f t="shared" ref="CS44:CS52" si="152">COUNTIF($CR$8:$CR$40,CR44)*4</f>
        <v>0</v>
      </c>
      <c r="CT44" s="816"/>
      <c r="CU44" s="816"/>
      <c r="CV44" s="829">
        <v>20</v>
      </c>
      <c r="CW44" s="746">
        <f t="shared" ref="CW44:CW52" si="153">COUNTIF($CV$8:$CV$40,CV44)*6</f>
        <v>0</v>
      </c>
      <c r="CX44" s="816"/>
      <c r="CY44" s="816"/>
      <c r="CZ44" s="829">
        <v>20</v>
      </c>
      <c r="DA44" s="746">
        <f t="shared" ref="DA44:DA52" si="154">COUNTIF($CZ$8:$CZ$40,CZ44)*3</f>
        <v>15</v>
      </c>
      <c r="DB44" s="816"/>
      <c r="DC44" s="816"/>
      <c r="DD44" s="829">
        <v>20</v>
      </c>
      <c r="DE44" s="746">
        <v>8</v>
      </c>
      <c r="DF44" s="816"/>
      <c r="DG44" s="816"/>
      <c r="DH44" s="829">
        <v>20</v>
      </c>
      <c r="DI44" s="746">
        <v>0</v>
      </c>
      <c r="DJ44" s="816"/>
      <c r="DK44" s="816"/>
      <c r="DL44" s="746">
        <v>25</v>
      </c>
      <c r="DM44" s="746">
        <v>23</v>
      </c>
      <c r="DN44" s="816"/>
      <c r="DO44" s="816"/>
      <c r="DP44" s="829">
        <v>25</v>
      </c>
      <c r="DQ44" s="746">
        <f>COUNTIF($DP$8:$DP$40,DP44)*2</f>
        <v>46</v>
      </c>
      <c r="DR44" s="816"/>
      <c r="DS44" s="816"/>
      <c r="DT44" s="816"/>
      <c r="DU44" s="816"/>
      <c r="DV44" s="816"/>
      <c r="DW44" s="816"/>
      <c r="DX44" s="816"/>
      <c r="DY44" s="816"/>
      <c r="DZ44" s="816"/>
      <c r="EA44" s="816"/>
      <c r="EB44" s="816"/>
      <c r="EC44" s="816"/>
      <c r="ED44" s="816"/>
      <c r="EE44" s="816"/>
      <c r="EF44" s="829">
        <v>20</v>
      </c>
      <c r="EG44" s="746">
        <f t="shared" ref="EG44:EG52" si="155">COUNTIF($EF$8:$EF$40,EF44)</f>
        <v>0</v>
      </c>
      <c r="EH44" s="816"/>
      <c r="EI44" s="816"/>
      <c r="EJ44" s="829">
        <v>20</v>
      </c>
      <c r="EK44" s="746">
        <f t="shared" ref="EK44:EK52" si="156">COUNTIF($EJ$8:$EJ$40,EJ44)</f>
        <v>0</v>
      </c>
      <c r="EL44" s="816"/>
      <c r="EM44" s="816"/>
      <c r="EN44" s="829">
        <v>20</v>
      </c>
      <c r="EO44" s="746">
        <f t="shared" ref="EO44:EO52" si="157">COUNTIF($EN$8:$EN$40,EN44)</f>
        <v>5</v>
      </c>
      <c r="EP44" s="816"/>
      <c r="EQ44" s="816"/>
      <c r="ER44" s="829">
        <v>20</v>
      </c>
      <c r="ES44" s="746">
        <f t="shared" ref="ES44:ES52" si="158">COUNTIF($ER$8:$ER$40,ER44)</f>
        <v>10</v>
      </c>
      <c r="ET44" s="816"/>
      <c r="EU44" s="816"/>
      <c r="EV44" s="829">
        <v>20</v>
      </c>
      <c r="EW44" s="829">
        <f t="shared" ref="EW44:EW52" si="159">COUNTIF($EV$8:$EV$40,EV44)*2</f>
        <v>0</v>
      </c>
      <c r="EX44" s="816"/>
      <c r="EY44" s="816"/>
      <c r="EZ44" s="829">
        <v>20</v>
      </c>
      <c r="FA44" s="829">
        <f t="shared" ref="FA44:FA52" si="160">COUNTIF($EZ$8:$EZ$40,EZ44)</f>
        <v>0</v>
      </c>
      <c r="FB44" s="816"/>
      <c r="FC44" s="816"/>
      <c r="FD44" s="829">
        <v>20</v>
      </c>
      <c r="FE44" s="829">
        <f t="shared" ref="FE44:FE52" si="161">COUNTIF($FD$8:$FD$40,FD44)</f>
        <v>5</v>
      </c>
      <c r="FF44" s="816"/>
      <c r="FG44" s="816"/>
      <c r="FH44" s="829">
        <v>25</v>
      </c>
      <c r="FI44" s="829">
        <f>COUNTIF($FH$8:$FH$40,FH44)</f>
        <v>23</v>
      </c>
      <c r="FJ44" s="816"/>
      <c r="FK44" s="816"/>
      <c r="FL44" s="829">
        <v>20</v>
      </c>
      <c r="FM44" s="749">
        <v>8</v>
      </c>
      <c r="FN44" s="816"/>
      <c r="FO44" s="816"/>
      <c r="FP44" s="829">
        <v>20</v>
      </c>
      <c r="FQ44" s="829">
        <f t="shared" ref="FQ44:FQ52" si="162">COUNTIF($FP$8:$FP$40,FP44)</f>
        <v>0</v>
      </c>
      <c r="FR44" s="816"/>
      <c r="FS44" s="816"/>
      <c r="FT44" s="829">
        <v>20</v>
      </c>
      <c r="FU44" s="829">
        <f t="shared" ref="FU44:FU52" si="163">COUNTIF($FT$8:$FT$40,FT44)</f>
        <v>5</v>
      </c>
      <c r="FV44" s="816"/>
      <c r="FW44" s="816"/>
      <c r="FX44" s="816"/>
      <c r="FY44" s="829">
        <v>20</v>
      </c>
      <c r="FZ44" s="830">
        <f t="shared" ref="FZ44:FZ48" si="164">COUNTIF($FY$8:$FY$40,FY44)*2</f>
        <v>4</v>
      </c>
      <c r="GA44" s="816"/>
      <c r="GB44" s="820"/>
      <c r="GC44" s="820"/>
      <c r="GD44" s="820"/>
      <c r="GE44" s="820"/>
      <c r="GF44" s="1032" t="s">
        <v>123</v>
      </c>
      <c r="GG44" s="746">
        <f t="shared" ref="GG44:GG48" si="165">COUNTIF($GF$8:$GF$40,GF44)*2</f>
        <v>2</v>
      </c>
      <c r="GH44" s="816"/>
      <c r="GI44" s="816"/>
      <c r="GJ44" s="816"/>
      <c r="GK44" s="816"/>
      <c r="GL44" s="816"/>
      <c r="GM44" s="1019" t="s">
        <v>1095</v>
      </c>
      <c r="GN44" s="749">
        <f t="shared" ref="GN44:GN45" si="166">COUNTIF($GM$8:$GM$40,GM44)</f>
        <v>1</v>
      </c>
      <c r="GO44" s="816"/>
      <c r="GP44" s="816"/>
      <c r="GQ44" s="816"/>
      <c r="GR44" s="827">
        <v>80</v>
      </c>
      <c r="GS44" s="749">
        <v>0</v>
      </c>
      <c r="GT44" s="818"/>
      <c r="GU44" s="816"/>
      <c r="GV44" s="816"/>
      <c r="GW44" s="816"/>
      <c r="GX44" s="829">
        <v>20</v>
      </c>
      <c r="GY44" s="749">
        <v>8</v>
      </c>
      <c r="GZ44" s="816"/>
      <c r="HA44" s="816"/>
      <c r="HB44" s="609"/>
      <c r="HC44" s="609"/>
      <c r="HD44" s="816"/>
      <c r="HE44" s="816"/>
      <c r="HF44" s="829">
        <v>20</v>
      </c>
      <c r="HG44" s="749">
        <f t="shared" ref="HG44:HG46" si="167">COUNTIF($HF$8:$HF$40,HF44)</f>
        <v>10</v>
      </c>
      <c r="HH44" s="816"/>
      <c r="HI44" s="816"/>
      <c r="HJ44" s="829">
        <v>20</v>
      </c>
      <c r="HK44" s="746">
        <f t="shared" ref="HK44:HK50" si="168">COUNTIF($HJ$8:$HJ$40,HJ44)</f>
        <v>4</v>
      </c>
      <c r="HL44" s="609"/>
      <c r="HM44" s="816"/>
      <c r="HN44" s="816"/>
      <c r="HO44" s="829">
        <v>20</v>
      </c>
      <c r="HP44" s="746">
        <f t="shared" ref="HP44:HP51" si="169">COUNTIF($HO$8:$HO$40,HO44)</f>
        <v>0</v>
      </c>
      <c r="HQ44" s="816"/>
      <c r="HR44" s="816"/>
      <c r="HS44" s="749">
        <v>25</v>
      </c>
      <c r="HT44" s="749">
        <f>COUNTIF($HS$8:$HS$40,HS44)</f>
        <v>23</v>
      </c>
      <c r="HU44" s="816"/>
      <c r="HV44" s="816"/>
      <c r="HW44" s="609"/>
      <c r="HX44" s="609"/>
      <c r="HY44" s="816"/>
      <c r="HZ44" s="816"/>
      <c r="IA44" s="816"/>
      <c r="IB44" s="816"/>
      <c r="IC44" s="816"/>
      <c r="ID44" s="816"/>
      <c r="IE44" s="609"/>
      <c r="IF44" s="609"/>
      <c r="IG44" s="816"/>
      <c r="IH44" s="816"/>
      <c r="II44" s="609"/>
      <c r="IJ44" s="609"/>
      <c r="IK44" s="816"/>
      <c r="IL44" s="816"/>
      <c r="IM44" s="609"/>
      <c r="IN44" s="609"/>
      <c r="IO44" s="816"/>
      <c r="IP44" s="816"/>
      <c r="IQ44" s="816"/>
      <c r="IR44" s="816"/>
      <c r="IS44" s="816"/>
      <c r="IT44" s="816"/>
      <c r="IU44" s="821"/>
      <c r="IV44" s="609"/>
      <c r="IW44" s="816"/>
      <c r="IX44" s="816"/>
      <c r="IY44" s="822"/>
      <c r="IZ44" s="609"/>
      <c r="JA44" s="816"/>
      <c r="JB44" s="816"/>
      <c r="JC44" s="1053" t="s">
        <v>1154</v>
      </c>
      <c r="JD44" s="611">
        <f>300*JD48</f>
        <v>257940</v>
      </c>
      <c r="JE44" s="611">
        <v>14000</v>
      </c>
      <c r="JF44" s="816"/>
      <c r="JG44" s="816"/>
      <c r="JH44" s="816"/>
      <c r="JI44" s="816"/>
      <c r="JJ44" s="816"/>
      <c r="JK44" s="816"/>
      <c r="JL44" s="816"/>
      <c r="JM44" s="816"/>
      <c r="JN44" s="816"/>
      <c r="JO44" s="823"/>
      <c r="JP44" s="824"/>
      <c r="JQ44" s="825"/>
      <c r="JR44" s="825"/>
      <c r="JS44" s="816"/>
      <c r="JU44" s="826"/>
      <c r="JV44" s="826"/>
      <c r="JW44" s="826"/>
      <c r="JX44" s="826"/>
    </row>
    <row r="45" spans="2:284" s="780" customFormat="1" ht="13.5" customHeight="1">
      <c r="B45" s="609"/>
      <c r="C45" s="609"/>
      <c r="D45" s="609"/>
      <c r="E45" s="609"/>
      <c r="F45" s="609"/>
      <c r="G45" s="609"/>
      <c r="H45" s="609"/>
      <c r="I45" s="609"/>
      <c r="J45" s="609"/>
      <c r="K45" s="609"/>
      <c r="L45" s="609"/>
      <c r="M45" s="609"/>
      <c r="N45" s="609"/>
      <c r="O45" s="609"/>
      <c r="P45" s="609"/>
      <c r="Q45" s="609"/>
      <c r="R45" s="609"/>
      <c r="S45" s="609"/>
      <c r="T45" s="609"/>
      <c r="U45" s="609"/>
      <c r="V45" s="609"/>
      <c r="W45" s="609"/>
      <c r="X45" s="609"/>
      <c r="Y45" s="609"/>
      <c r="Z45" s="609"/>
      <c r="AA45" s="609"/>
      <c r="AB45" s="746">
        <v>65</v>
      </c>
      <c r="AC45" s="746">
        <f t="shared" si="143"/>
        <v>36</v>
      </c>
      <c r="AD45" s="816"/>
      <c r="AE45" s="816"/>
      <c r="AF45" s="746">
        <v>65</v>
      </c>
      <c r="AG45" s="746">
        <f t="shared" si="144"/>
        <v>36</v>
      </c>
      <c r="AH45" s="816"/>
      <c r="AI45" s="816"/>
      <c r="AJ45" s="746">
        <v>65</v>
      </c>
      <c r="AK45" s="746">
        <v>7</v>
      </c>
      <c r="AL45" s="816"/>
      <c r="AM45" s="816"/>
      <c r="AN45" s="746">
        <v>25</v>
      </c>
      <c r="AO45" s="746">
        <v>0</v>
      </c>
      <c r="AP45" s="816"/>
      <c r="AQ45" s="816"/>
      <c r="AR45" s="746">
        <v>25</v>
      </c>
      <c r="AS45" s="746">
        <f t="shared" si="145"/>
        <v>0</v>
      </c>
      <c r="AT45" s="816"/>
      <c r="AU45" s="816"/>
      <c r="AV45" s="609"/>
      <c r="AW45" s="609"/>
      <c r="AX45" s="816"/>
      <c r="AY45" s="816"/>
      <c r="AZ45" s="827">
        <v>1.6</v>
      </c>
      <c r="BA45" s="746">
        <f t="shared" si="146"/>
        <v>0</v>
      </c>
      <c r="BB45" s="609"/>
      <c r="BC45" s="816"/>
      <c r="BD45" s="816"/>
      <c r="BE45" s="827">
        <v>1.6</v>
      </c>
      <c r="BF45" s="749">
        <f t="shared" si="147"/>
        <v>0</v>
      </c>
      <c r="BG45" s="816"/>
      <c r="BH45" s="816"/>
      <c r="BI45" s="816"/>
      <c r="BJ45" s="816"/>
      <c r="BK45" s="816"/>
      <c r="BL45" s="816"/>
      <c r="BM45" s="816"/>
      <c r="BN45" s="827">
        <v>1.6</v>
      </c>
      <c r="BO45" s="746">
        <f t="shared" si="148"/>
        <v>0</v>
      </c>
      <c r="BP45" s="816"/>
      <c r="BQ45" s="816"/>
      <c r="BR45" s="816"/>
      <c r="BS45" s="827">
        <v>1.6</v>
      </c>
      <c r="BT45" s="749">
        <f t="shared" si="149"/>
        <v>0</v>
      </c>
      <c r="BU45" s="816"/>
      <c r="BV45" s="816"/>
      <c r="BW45" s="816"/>
      <c r="BX45" s="828">
        <v>3.5</v>
      </c>
      <c r="BY45" s="746">
        <f t="shared" si="150"/>
        <v>0</v>
      </c>
      <c r="BZ45" s="609"/>
      <c r="CA45" s="818"/>
      <c r="CB45" s="816"/>
      <c r="CC45" s="816"/>
      <c r="CD45" s="828">
        <v>3.5</v>
      </c>
      <c r="CE45" s="746">
        <f t="shared" si="151"/>
        <v>0</v>
      </c>
      <c r="CF45" s="816"/>
      <c r="CG45" s="816"/>
      <c r="CH45" s="816"/>
      <c r="CI45" s="816"/>
      <c r="CJ45" s="819"/>
      <c r="CK45" s="819"/>
      <c r="CL45" s="820"/>
      <c r="CM45" s="820"/>
      <c r="CN45" s="820"/>
      <c r="CO45" s="820"/>
      <c r="CP45" s="820"/>
      <c r="CQ45" s="820"/>
      <c r="CR45" s="829">
        <v>25</v>
      </c>
      <c r="CS45" s="746">
        <f t="shared" si="152"/>
        <v>0</v>
      </c>
      <c r="CT45" s="816"/>
      <c r="CU45" s="816"/>
      <c r="CV45" s="829">
        <v>25</v>
      </c>
      <c r="CW45" s="746">
        <f t="shared" si="153"/>
        <v>0</v>
      </c>
      <c r="CX45" s="816"/>
      <c r="CY45" s="816"/>
      <c r="CZ45" s="829">
        <v>25</v>
      </c>
      <c r="DA45" s="746">
        <f t="shared" si="154"/>
        <v>54</v>
      </c>
      <c r="DB45" s="816"/>
      <c r="DC45" s="816"/>
      <c r="DD45" s="829">
        <v>25</v>
      </c>
      <c r="DE45" s="746">
        <v>8</v>
      </c>
      <c r="DF45" s="816"/>
      <c r="DG45" s="816"/>
      <c r="DH45" s="829">
        <v>25</v>
      </c>
      <c r="DI45" s="746">
        <v>0</v>
      </c>
      <c r="DJ45" s="816"/>
      <c r="DK45" s="816"/>
      <c r="DL45" s="609"/>
      <c r="DM45" s="609"/>
      <c r="DN45" s="816"/>
      <c r="DO45" s="816"/>
      <c r="DP45" s="609"/>
      <c r="DQ45" s="609"/>
      <c r="DR45" s="816"/>
      <c r="DS45" s="816"/>
      <c r="DT45" s="816"/>
      <c r="DU45" s="816"/>
      <c r="DV45" s="816"/>
      <c r="DW45" s="816"/>
      <c r="DX45" s="816"/>
      <c r="DY45" s="816"/>
      <c r="DZ45" s="816"/>
      <c r="EA45" s="816"/>
      <c r="EB45" s="816"/>
      <c r="EC45" s="816"/>
      <c r="ED45" s="816"/>
      <c r="EE45" s="816"/>
      <c r="EF45" s="829">
        <v>25</v>
      </c>
      <c r="EG45" s="746">
        <f t="shared" si="155"/>
        <v>0</v>
      </c>
      <c r="EH45" s="816"/>
      <c r="EI45" s="816"/>
      <c r="EJ45" s="829">
        <v>25</v>
      </c>
      <c r="EK45" s="746">
        <f t="shared" si="156"/>
        <v>0</v>
      </c>
      <c r="EL45" s="816"/>
      <c r="EM45" s="816"/>
      <c r="EN45" s="829">
        <v>25</v>
      </c>
      <c r="EO45" s="746">
        <f t="shared" si="157"/>
        <v>18</v>
      </c>
      <c r="EP45" s="816"/>
      <c r="EQ45" s="816"/>
      <c r="ER45" s="829">
        <v>25</v>
      </c>
      <c r="ES45" s="746">
        <f t="shared" si="158"/>
        <v>23</v>
      </c>
      <c r="ET45" s="816"/>
      <c r="EU45" s="816"/>
      <c r="EV45" s="829">
        <v>25</v>
      </c>
      <c r="EW45" s="829">
        <f t="shared" si="159"/>
        <v>0</v>
      </c>
      <c r="EX45" s="816"/>
      <c r="EY45" s="816"/>
      <c r="EZ45" s="829">
        <v>25</v>
      </c>
      <c r="FA45" s="829">
        <f t="shared" si="160"/>
        <v>0</v>
      </c>
      <c r="FB45" s="816"/>
      <c r="FC45" s="816"/>
      <c r="FD45" s="829">
        <v>25</v>
      </c>
      <c r="FE45" s="829">
        <f t="shared" si="161"/>
        <v>18</v>
      </c>
      <c r="FF45" s="816"/>
      <c r="FG45" s="816"/>
      <c r="FH45" s="816"/>
      <c r="FI45" s="816"/>
      <c r="FJ45" s="816"/>
      <c r="FK45" s="816"/>
      <c r="FL45" s="829">
        <v>25</v>
      </c>
      <c r="FM45" s="749">
        <v>8</v>
      </c>
      <c r="FN45" s="816"/>
      <c r="FO45" s="816"/>
      <c r="FP45" s="829">
        <v>25</v>
      </c>
      <c r="FQ45" s="829">
        <f t="shared" si="162"/>
        <v>0</v>
      </c>
      <c r="FR45" s="816"/>
      <c r="FS45" s="816"/>
      <c r="FT45" s="829">
        <v>25</v>
      </c>
      <c r="FU45" s="829">
        <f t="shared" si="163"/>
        <v>18</v>
      </c>
      <c r="FV45" s="816"/>
      <c r="FW45" s="816"/>
      <c r="FX45" s="816"/>
      <c r="FY45" s="829">
        <v>25</v>
      </c>
      <c r="FZ45" s="830">
        <f t="shared" si="164"/>
        <v>30</v>
      </c>
      <c r="GA45" s="816"/>
      <c r="GB45" s="820"/>
      <c r="GC45" s="820"/>
      <c r="GD45" s="820"/>
      <c r="GE45" s="820"/>
      <c r="GF45" s="1018" t="s">
        <v>1090</v>
      </c>
      <c r="GG45" s="746">
        <f t="shared" si="165"/>
        <v>4</v>
      </c>
      <c r="GH45" s="816"/>
      <c r="GI45" s="816"/>
      <c r="GJ45" s="816"/>
      <c r="GK45" s="816"/>
      <c r="GL45" s="816"/>
      <c r="GM45" s="1019" t="s">
        <v>1098</v>
      </c>
      <c r="GN45" s="749">
        <f t="shared" si="166"/>
        <v>1</v>
      </c>
      <c r="GO45" s="816"/>
      <c r="GP45" s="816"/>
      <c r="GQ45" s="816"/>
      <c r="GR45" s="827">
        <v>100</v>
      </c>
      <c r="GS45" s="749">
        <v>0</v>
      </c>
      <c r="GT45" s="818"/>
      <c r="GU45" s="816"/>
      <c r="GV45" s="816"/>
      <c r="GW45" s="816"/>
      <c r="GX45" s="829">
        <v>25</v>
      </c>
      <c r="GY45" s="749">
        <v>4</v>
      </c>
      <c r="GZ45" s="816"/>
      <c r="HA45" s="816"/>
      <c r="HB45" s="609"/>
      <c r="HC45" s="609"/>
      <c r="HD45" s="816"/>
      <c r="HE45" s="816"/>
      <c r="HF45" s="829">
        <v>25</v>
      </c>
      <c r="HG45" s="749">
        <f t="shared" si="167"/>
        <v>23</v>
      </c>
      <c r="HH45" s="816"/>
      <c r="HI45" s="816"/>
      <c r="HJ45" s="829">
        <v>25</v>
      </c>
      <c r="HK45" s="746">
        <f t="shared" si="168"/>
        <v>1</v>
      </c>
      <c r="HL45" s="609"/>
      <c r="HM45" s="816"/>
      <c r="HN45" s="816"/>
      <c r="HO45" s="829">
        <v>25</v>
      </c>
      <c r="HP45" s="746">
        <f t="shared" si="169"/>
        <v>0</v>
      </c>
      <c r="HQ45" s="816"/>
      <c r="HR45" s="816"/>
      <c r="HS45" s="816"/>
      <c r="HT45" s="816"/>
      <c r="HU45" s="816"/>
      <c r="HV45" s="816"/>
      <c r="HW45" s="609"/>
      <c r="HX45" s="609"/>
      <c r="HY45" s="816"/>
      <c r="HZ45" s="816"/>
      <c r="IA45" s="816"/>
      <c r="IB45" s="816"/>
      <c r="IC45" s="816"/>
      <c r="ID45" s="816"/>
      <c r="IE45" s="609"/>
      <c r="IF45" s="609"/>
      <c r="IG45" s="816"/>
      <c r="IH45" s="816"/>
      <c r="II45" s="609"/>
      <c r="IJ45" s="609"/>
      <c r="IK45" s="816"/>
      <c r="IL45" s="816"/>
      <c r="IM45" s="609"/>
      <c r="IN45" s="609"/>
      <c r="IO45" s="816"/>
      <c r="IP45" s="816"/>
      <c r="IQ45" s="816"/>
      <c r="IR45" s="816"/>
      <c r="IS45" s="816"/>
      <c r="IT45" s="816"/>
      <c r="IU45" s="821"/>
      <c r="IV45" s="609"/>
      <c r="IW45" s="816"/>
      <c r="IX45" s="816"/>
      <c r="IY45" s="822"/>
      <c r="IZ45" s="609"/>
      <c r="JA45" s="816"/>
      <c r="JB45" s="816"/>
      <c r="JC45" s="1053" t="s">
        <v>1155</v>
      </c>
      <c r="JD45" s="611">
        <f>600*JD48</f>
        <v>515880</v>
      </c>
      <c r="JE45" s="611">
        <v>17000</v>
      </c>
      <c r="JF45" s="816"/>
      <c r="JG45" s="816"/>
      <c r="JH45" s="816"/>
      <c r="JI45" s="816"/>
      <c r="JJ45" s="816"/>
      <c r="JK45" s="816"/>
      <c r="JL45" s="816"/>
      <c r="JM45" s="816"/>
      <c r="JN45" s="816"/>
      <c r="JO45" s="823"/>
      <c r="JP45" s="824"/>
      <c r="JQ45" s="825"/>
      <c r="JR45" s="825"/>
      <c r="JS45" s="816"/>
      <c r="JU45" s="826"/>
      <c r="JV45" s="826"/>
      <c r="JW45" s="826"/>
      <c r="JX45" s="826"/>
    </row>
    <row r="46" spans="2:284" s="780" customFormat="1" ht="13.5" customHeight="1">
      <c r="B46" s="609"/>
      <c r="C46" s="609"/>
      <c r="D46" s="609"/>
      <c r="E46" s="609"/>
      <c r="F46" s="609"/>
      <c r="G46" s="609"/>
      <c r="H46" s="609"/>
      <c r="I46" s="609"/>
      <c r="J46" s="609"/>
      <c r="K46" s="609"/>
      <c r="L46" s="609"/>
      <c r="M46" s="609"/>
      <c r="N46" s="609"/>
      <c r="O46" s="609"/>
      <c r="P46" s="609"/>
      <c r="Q46" s="609"/>
      <c r="R46" s="609"/>
      <c r="S46" s="609"/>
      <c r="T46" s="609"/>
      <c r="U46" s="609"/>
      <c r="V46" s="609"/>
      <c r="W46" s="609"/>
      <c r="X46" s="609"/>
      <c r="Y46" s="609"/>
      <c r="Z46" s="609"/>
      <c r="AA46" s="609"/>
      <c r="AB46" s="746">
        <v>80</v>
      </c>
      <c r="AC46" s="746">
        <f t="shared" si="143"/>
        <v>8</v>
      </c>
      <c r="AD46" s="816"/>
      <c r="AE46" s="816"/>
      <c r="AF46" s="746">
        <v>80</v>
      </c>
      <c r="AG46" s="746">
        <f t="shared" si="144"/>
        <v>8</v>
      </c>
      <c r="AH46" s="816"/>
      <c r="AI46" s="816"/>
      <c r="AJ46" s="746">
        <v>80</v>
      </c>
      <c r="AK46" s="746">
        <v>3</v>
      </c>
      <c r="AL46" s="816"/>
      <c r="AM46" s="816"/>
      <c r="AN46" s="746">
        <v>32</v>
      </c>
      <c r="AO46" s="746">
        <v>5</v>
      </c>
      <c r="AP46" s="816"/>
      <c r="AQ46" s="816"/>
      <c r="AR46" s="746">
        <v>32</v>
      </c>
      <c r="AS46" s="746">
        <f t="shared" si="145"/>
        <v>16</v>
      </c>
      <c r="AT46" s="816"/>
      <c r="AU46" s="816"/>
      <c r="AV46" s="609"/>
      <c r="AW46" s="609"/>
      <c r="AX46" s="816"/>
      <c r="AY46" s="816"/>
      <c r="AZ46" s="827">
        <v>2.5</v>
      </c>
      <c r="BA46" s="746">
        <f t="shared" si="146"/>
        <v>0</v>
      </c>
      <c r="BB46" s="609"/>
      <c r="BC46" s="816"/>
      <c r="BD46" s="816"/>
      <c r="BE46" s="827">
        <v>2.5</v>
      </c>
      <c r="BF46" s="749">
        <f t="shared" si="147"/>
        <v>0</v>
      </c>
      <c r="BG46" s="816"/>
      <c r="BH46" s="816"/>
      <c r="BI46" s="816"/>
      <c r="BJ46" s="816"/>
      <c r="BK46" s="816"/>
      <c r="BL46" s="816"/>
      <c r="BM46" s="816"/>
      <c r="BN46" s="827">
        <v>2.5</v>
      </c>
      <c r="BO46" s="746">
        <f t="shared" si="148"/>
        <v>0</v>
      </c>
      <c r="BP46" s="816"/>
      <c r="BQ46" s="816"/>
      <c r="BR46" s="816"/>
      <c r="BS46" s="827">
        <v>2.5</v>
      </c>
      <c r="BT46" s="749">
        <f t="shared" si="149"/>
        <v>0</v>
      </c>
      <c r="BU46" s="816"/>
      <c r="BV46" s="816"/>
      <c r="BW46" s="816"/>
      <c r="BX46" s="828">
        <v>6</v>
      </c>
      <c r="BY46" s="746">
        <f t="shared" si="150"/>
        <v>6</v>
      </c>
      <c r="BZ46" s="609"/>
      <c r="CA46" s="818"/>
      <c r="CB46" s="816"/>
      <c r="CC46" s="816"/>
      <c r="CD46" s="828">
        <v>6</v>
      </c>
      <c r="CE46" s="746">
        <f t="shared" si="151"/>
        <v>10</v>
      </c>
      <c r="CF46" s="816"/>
      <c r="CG46" s="816"/>
      <c r="CH46" s="816"/>
      <c r="CI46" s="816"/>
      <c r="CJ46" s="819"/>
      <c r="CK46" s="819"/>
      <c r="CL46" s="820"/>
      <c r="CM46" s="820"/>
      <c r="CN46" s="820"/>
      <c r="CO46" s="820"/>
      <c r="CP46" s="820"/>
      <c r="CQ46" s="820"/>
      <c r="CR46" s="829">
        <v>32</v>
      </c>
      <c r="CS46" s="746">
        <f t="shared" si="152"/>
        <v>0</v>
      </c>
      <c r="CT46" s="816"/>
      <c r="CU46" s="816"/>
      <c r="CV46" s="829">
        <v>32</v>
      </c>
      <c r="CW46" s="746">
        <f t="shared" si="153"/>
        <v>30</v>
      </c>
      <c r="CX46" s="816"/>
      <c r="CY46" s="816"/>
      <c r="CZ46" s="829">
        <v>32</v>
      </c>
      <c r="DA46" s="746">
        <f t="shared" si="154"/>
        <v>15</v>
      </c>
      <c r="DB46" s="816"/>
      <c r="DC46" s="816"/>
      <c r="DD46" s="829">
        <v>32</v>
      </c>
      <c r="DE46" s="746">
        <v>8</v>
      </c>
      <c r="DF46" s="816"/>
      <c r="DG46" s="816"/>
      <c r="DH46" s="829">
        <v>32</v>
      </c>
      <c r="DI46" s="749">
        <f>DI8+DI10+DI11+DI12+DI14+DI15+DI16+DI17+DI18+DI19+DI20+DI21+DI22+DI24+DI25+DI26+DI27+DI28+DI29+DI30+DI31+DI32+DI33+DI34+DI35+DI38+DI39</f>
        <v>30</v>
      </c>
      <c r="DJ46" s="816"/>
      <c r="DK46" s="816"/>
      <c r="DL46" s="609"/>
      <c r="DM46" s="609"/>
      <c r="DN46" s="816"/>
      <c r="DO46" s="816"/>
      <c r="DP46" s="609"/>
      <c r="DQ46" s="609"/>
      <c r="DR46" s="816"/>
      <c r="DS46" s="816"/>
      <c r="DT46" s="816"/>
      <c r="DU46" s="816"/>
      <c r="DV46" s="816"/>
      <c r="DW46" s="816"/>
      <c r="DX46" s="816"/>
      <c r="DY46" s="816"/>
      <c r="DZ46" s="816"/>
      <c r="EA46" s="816"/>
      <c r="EB46" s="816"/>
      <c r="EC46" s="816"/>
      <c r="ED46" s="816"/>
      <c r="EE46" s="816"/>
      <c r="EF46" s="829">
        <v>32</v>
      </c>
      <c r="EG46" s="746">
        <f t="shared" si="155"/>
        <v>0</v>
      </c>
      <c r="EH46" s="816"/>
      <c r="EI46" s="816"/>
      <c r="EJ46" s="829">
        <v>32</v>
      </c>
      <c r="EK46" s="746">
        <f t="shared" si="156"/>
        <v>5</v>
      </c>
      <c r="EL46" s="816"/>
      <c r="EM46" s="816"/>
      <c r="EN46" s="829">
        <v>32</v>
      </c>
      <c r="EO46" s="746">
        <f t="shared" si="157"/>
        <v>5</v>
      </c>
      <c r="EP46" s="816"/>
      <c r="EQ46" s="816"/>
      <c r="ER46" s="829">
        <v>32</v>
      </c>
      <c r="ES46" s="746">
        <f t="shared" si="158"/>
        <v>0</v>
      </c>
      <c r="ET46" s="816"/>
      <c r="EU46" s="816"/>
      <c r="EV46" s="829">
        <v>32</v>
      </c>
      <c r="EW46" s="829">
        <f t="shared" si="159"/>
        <v>0</v>
      </c>
      <c r="EX46" s="816"/>
      <c r="EY46" s="816"/>
      <c r="EZ46" s="829">
        <v>32</v>
      </c>
      <c r="FA46" s="829">
        <f t="shared" si="160"/>
        <v>5</v>
      </c>
      <c r="FB46" s="816"/>
      <c r="FC46" s="816"/>
      <c r="FD46" s="829">
        <v>32</v>
      </c>
      <c r="FE46" s="829">
        <f t="shared" si="161"/>
        <v>5</v>
      </c>
      <c r="FF46" s="816"/>
      <c r="FG46" s="816"/>
      <c r="FH46" s="816"/>
      <c r="FI46" s="816"/>
      <c r="FJ46" s="816"/>
      <c r="FK46" s="816"/>
      <c r="FL46" s="829">
        <v>32</v>
      </c>
      <c r="FM46" s="749">
        <v>8</v>
      </c>
      <c r="FN46" s="816"/>
      <c r="FO46" s="816"/>
      <c r="FP46" s="829">
        <v>32</v>
      </c>
      <c r="FQ46" s="829">
        <f t="shared" si="162"/>
        <v>5</v>
      </c>
      <c r="FR46" s="816"/>
      <c r="FS46" s="816"/>
      <c r="FT46" s="829">
        <v>32</v>
      </c>
      <c r="FU46" s="829">
        <f t="shared" si="163"/>
        <v>5</v>
      </c>
      <c r="FV46" s="816"/>
      <c r="FW46" s="816"/>
      <c r="FX46" s="816"/>
      <c r="FY46" s="829">
        <v>32</v>
      </c>
      <c r="FZ46" s="830">
        <f t="shared" si="164"/>
        <v>22</v>
      </c>
      <c r="GA46" s="816"/>
      <c r="GB46" s="820"/>
      <c r="GC46" s="820"/>
      <c r="GD46" s="820"/>
      <c r="GE46" s="820"/>
      <c r="GF46" s="1018" t="s">
        <v>119</v>
      </c>
      <c r="GG46" s="746">
        <f t="shared" si="165"/>
        <v>38</v>
      </c>
      <c r="GH46" s="816"/>
      <c r="GI46" s="816"/>
      <c r="GJ46" s="816"/>
      <c r="GK46" s="816"/>
      <c r="GL46" s="816"/>
      <c r="GM46" s="816"/>
      <c r="GN46" s="990"/>
      <c r="GO46" s="816"/>
      <c r="GP46" s="816"/>
      <c r="GQ46" s="816"/>
      <c r="GR46" s="827">
        <v>150</v>
      </c>
      <c r="GS46" s="749">
        <v>0</v>
      </c>
      <c r="GT46" s="818"/>
      <c r="GU46" s="816"/>
      <c r="GV46" s="816"/>
      <c r="GW46" s="816"/>
      <c r="GX46" s="829">
        <v>32</v>
      </c>
      <c r="GY46" s="749">
        <f>GY8+GY9+GY10+GY11+GY12+GY13+GY14+GY19+GY20+GY21+GY23+GY24+GY25+GY26+GY29+GY30+GY31+GY32+GY33+GY34+GY37+GY38+GY39</f>
        <v>51</v>
      </c>
      <c r="GZ46" s="816"/>
      <c r="HA46" s="816"/>
      <c r="HB46" s="609"/>
      <c r="HC46" s="609"/>
      <c r="HD46" s="816"/>
      <c r="HE46" s="816"/>
      <c r="HF46" s="829">
        <v>32</v>
      </c>
      <c r="HG46" s="749">
        <f t="shared" si="167"/>
        <v>0</v>
      </c>
      <c r="HH46" s="816"/>
      <c r="HI46" s="816"/>
      <c r="HJ46" s="829">
        <v>32</v>
      </c>
      <c r="HK46" s="746">
        <f t="shared" si="168"/>
        <v>19</v>
      </c>
      <c r="HL46" s="609"/>
      <c r="HM46" s="816"/>
      <c r="HN46" s="816"/>
      <c r="HO46" s="829">
        <v>32</v>
      </c>
      <c r="HP46" s="746">
        <f t="shared" si="169"/>
        <v>5</v>
      </c>
      <c r="HQ46" s="816"/>
      <c r="HR46" s="816"/>
      <c r="HS46" s="816"/>
      <c r="HT46" s="816"/>
      <c r="HU46" s="816"/>
      <c r="HV46" s="816"/>
      <c r="HW46" s="609"/>
      <c r="HX46" s="609"/>
      <c r="HY46" s="816"/>
      <c r="HZ46" s="816"/>
      <c r="IA46" s="816"/>
      <c r="IB46" s="816"/>
      <c r="IC46" s="816"/>
      <c r="ID46" s="816"/>
      <c r="IE46" s="609"/>
      <c r="IF46" s="609"/>
      <c r="IG46" s="816"/>
      <c r="IH46" s="816"/>
      <c r="II46" s="609"/>
      <c r="IJ46" s="609"/>
      <c r="IK46" s="816"/>
      <c r="IL46" s="816"/>
      <c r="IM46" s="609"/>
      <c r="IN46" s="609"/>
      <c r="IO46" s="816"/>
      <c r="IP46" s="816"/>
      <c r="IQ46" s="816"/>
      <c r="IR46" s="816"/>
      <c r="IS46" s="816"/>
      <c r="IT46" s="816"/>
      <c r="IU46" s="821"/>
      <c r="IV46" s="609"/>
      <c r="IW46" s="816"/>
      <c r="IX46" s="816"/>
      <c r="IY46" s="822"/>
      <c r="IZ46" s="609"/>
      <c r="JA46" s="816"/>
      <c r="JB46" s="816"/>
      <c r="JC46" s="609"/>
      <c r="JD46" s="816"/>
      <c r="JE46" s="1094">
        <v>20000</v>
      </c>
      <c r="JF46" s="816"/>
      <c r="JG46" s="816"/>
      <c r="JH46" s="816"/>
      <c r="JI46" s="816"/>
      <c r="JJ46" s="816"/>
      <c r="JK46" s="816"/>
      <c r="JL46" s="816"/>
      <c r="JM46" s="816"/>
      <c r="JN46" s="816"/>
      <c r="JO46" s="823"/>
      <c r="JP46" s="824"/>
      <c r="JQ46" s="825"/>
      <c r="JR46" s="825"/>
      <c r="JS46" s="816"/>
      <c r="JU46" s="826"/>
      <c r="JV46" s="826"/>
      <c r="JW46" s="826"/>
      <c r="JX46" s="826"/>
    </row>
    <row r="47" spans="2:284" s="780" customFormat="1" ht="13.5" customHeight="1">
      <c r="B47" s="609"/>
      <c r="C47" s="609"/>
      <c r="D47" s="609"/>
      <c r="E47" s="609"/>
      <c r="F47" s="609"/>
      <c r="G47" s="609"/>
      <c r="H47" s="609"/>
      <c r="I47" s="609"/>
      <c r="J47" s="609"/>
      <c r="K47" s="609"/>
      <c r="L47" s="609"/>
      <c r="M47" s="609"/>
      <c r="N47" s="609"/>
      <c r="O47" s="609"/>
      <c r="P47" s="609"/>
      <c r="Q47" s="609"/>
      <c r="R47" s="609"/>
      <c r="S47" s="609"/>
      <c r="T47" s="609"/>
      <c r="U47" s="609"/>
      <c r="V47" s="609"/>
      <c r="W47" s="609"/>
      <c r="X47" s="609"/>
      <c r="Y47" s="609"/>
      <c r="Z47" s="609"/>
      <c r="AA47" s="609"/>
      <c r="AB47" s="746">
        <v>100</v>
      </c>
      <c r="AC47" s="746">
        <f t="shared" si="143"/>
        <v>8</v>
      </c>
      <c r="AD47" s="816"/>
      <c r="AE47" s="816"/>
      <c r="AF47" s="746">
        <v>100</v>
      </c>
      <c r="AG47" s="746">
        <f t="shared" si="144"/>
        <v>8</v>
      </c>
      <c r="AH47" s="816"/>
      <c r="AI47" s="816"/>
      <c r="AJ47" s="746">
        <v>100</v>
      </c>
      <c r="AK47" s="746">
        <v>2</v>
      </c>
      <c r="AL47" s="816"/>
      <c r="AM47" s="816"/>
      <c r="AN47" s="746">
        <v>40</v>
      </c>
      <c r="AO47" s="746">
        <f>AO8+AO10+AO11+AO12+AO13+AO14+AO16+AO19+AO20+AO21+AO22+AO24+AO25+AO26+AO27+AO29+AO30+AO31+AO32+AO33+AO34+AO38</f>
        <v>38</v>
      </c>
      <c r="AP47" s="816"/>
      <c r="AQ47" s="816"/>
      <c r="AR47" s="746">
        <v>40</v>
      </c>
      <c r="AS47" s="746">
        <f t="shared" si="145"/>
        <v>64</v>
      </c>
      <c r="AT47" s="816"/>
      <c r="AU47" s="816"/>
      <c r="AV47" s="609"/>
      <c r="AW47" s="609"/>
      <c r="AX47" s="816"/>
      <c r="AY47" s="816"/>
      <c r="AZ47" s="827">
        <v>4</v>
      </c>
      <c r="BA47" s="746">
        <f t="shared" si="146"/>
        <v>2</v>
      </c>
      <c r="BB47" s="609"/>
      <c r="BC47" s="816"/>
      <c r="BD47" s="816"/>
      <c r="BE47" s="1103">
        <v>4</v>
      </c>
      <c r="BF47" s="749">
        <f t="shared" si="147"/>
        <v>2</v>
      </c>
      <c r="BG47" s="816"/>
      <c r="BH47" s="816"/>
      <c r="BI47" s="816"/>
      <c r="BJ47" s="816"/>
      <c r="BK47" s="816"/>
      <c r="BL47" s="816"/>
      <c r="BM47" s="816"/>
      <c r="BN47" s="827">
        <v>4</v>
      </c>
      <c r="BO47" s="746">
        <f t="shared" si="148"/>
        <v>2</v>
      </c>
      <c r="BP47" s="816"/>
      <c r="BQ47" s="816"/>
      <c r="BR47" s="816"/>
      <c r="BS47" s="827">
        <v>4</v>
      </c>
      <c r="BT47" s="749">
        <f t="shared" si="149"/>
        <v>2</v>
      </c>
      <c r="BU47" s="816"/>
      <c r="BV47" s="816"/>
      <c r="BW47" s="816"/>
      <c r="BX47" s="828">
        <v>10</v>
      </c>
      <c r="BY47" s="746">
        <f t="shared" si="150"/>
        <v>1</v>
      </c>
      <c r="BZ47" s="609"/>
      <c r="CA47" s="818"/>
      <c r="CB47" s="816"/>
      <c r="CC47" s="816"/>
      <c r="CD47" s="828">
        <v>10</v>
      </c>
      <c r="CE47" s="746">
        <f t="shared" si="151"/>
        <v>13</v>
      </c>
      <c r="CF47" s="816"/>
      <c r="CG47" s="816"/>
      <c r="CH47" s="816"/>
      <c r="CI47" s="816"/>
      <c r="CJ47" s="819"/>
      <c r="CK47" s="819"/>
      <c r="CL47" s="820"/>
      <c r="CM47" s="820"/>
      <c r="CN47" s="820"/>
      <c r="CO47" s="820"/>
      <c r="CP47" s="820"/>
      <c r="CQ47" s="820"/>
      <c r="CR47" s="829">
        <v>40</v>
      </c>
      <c r="CS47" s="746">
        <f t="shared" si="152"/>
        <v>0</v>
      </c>
      <c r="CT47" s="816"/>
      <c r="CU47" s="816"/>
      <c r="CV47" s="829">
        <v>40</v>
      </c>
      <c r="CW47" s="746">
        <f t="shared" si="153"/>
        <v>108</v>
      </c>
      <c r="CX47" s="816"/>
      <c r="CY47" s="816"/>
      <c r="CZ47" s="829">
        <v>40</v>
      </c>
      <c r="DA47" s="746">
        <f t="shared" si="154"/>
        <v>9</v>
      </c>
      <c r="DB47" s="816"/>
      <c r="DC47" s="816"/>
      <c r="DD47" s="829">
        <v>40</v>
      </c>
      <c r="DE47" s="746">
        <f>DE8+DE10+DE19+DE21+DE26+DE32+DE33+DE34</f>
        <v>32</v>
      </c>
      <c r="DF47" s="816"/>
      <c r="DG47" s="816"/>
      <c r="DH47" s="829">
        <v>40</v>
      </c>
      <c r="DI47" s="746">
        <v>0</v>
      </c>
      <c r="DJ47" s="816"/>
      <c r="DK47" s="816"/>
      <c r="DL47" s="609"/>
      <c r="DM47" s="609"/>
      <c r="DN47" s="816"/>
      <c r="DO47" s="816"/>
      <c r="DP47" s="609"/>
      <c r="DQ47" s="609"/>
      <c r="DR47" s="816"/>
      <c r="DS47" s="816"/>
      <c r="DT47" s="816"/>
      <c r="DU47" s="816"/>
      <c r="DV47" s="816"/>
      <c r="DW47" s="816"/>
      <c r="DX47" s="816"/>
      <c r="DY47" s="816"/>
      <c r="DZ47" s="816"/>
      <c r="EA47" s="816"/>
      <c r="EB47" s="816"/>
      <c r="EC47" s="816"/>
      <c r="ED47" s="816"/>
      <c r="EE47" s="816"/>
      <c r="EF47" s="829">
        <v>40</v>
      </c>
      <c r="EG47" s="746">
        <f t="shared" si="155"/>
        <v>0</v>
      </c>
      <c r="EH47" s="816"/>
      <c r="EI47" s="816"/>
      <c r="EJ47" s="829">
        <v>40</v>
      </c>
      <c r="EK47" s="746">
        <f t="shared" si="156"/>
        <v>18</v>
      </c>
      <c r="EL47" s="816"/>
      <c r="EM47" s="816"/>
      <c r="EN47" s="829">
        <v>40</v>
      </c>
      <c r="EO47" s="746">
        <f t="shared" si="157"/>
        <v>3</v>
      </c>
      <c r="EP47" s="816"/>
      <c r="EQ47" s="816"/>
      <c r="ER47" s="829">
        <v>40</v>
      </c>
      <c r="ES47" s="746">
        <f t="shared" si="158"/>
        <v>0</v>
      </c>
      <c r="ET47" s="816"/>
      <c r="EU47" s="816"/>
      <c r="EV47" s="829">
        <v>40</v>
      </c>
      <c r="EW47" s="829">
        <f t="shared" si="159"/>
        <v>0</v>
      </c>
      <c r="EX47" s="816"/>
      <c r="EY47" s="816"/>
      <c r="EZ47" s="829">
        <v>40</v>
      </c>
      <c r="FA47" s="829">
        <f t="shared" si="160"/>
        <v>18</v>
      </c>
      <c r="FB47" s="816"/>
      <c r="FC47" s="816"/>
      <c r="FD47" s="829">
        <v>40</v>
      </c>
      <c r="FE47" s="829">
        <f t="shared" si="161"/>
        <v>3</v>
      </c>
      <c r="FF47" s="816"/>
      <c r="FG47" s="816"/>
      <c r="FH47" s="816"/>
      <c r="FI47" s="816"/>
      <c r="FJ47" s="816"/>
      <c r="FK47" s="816"/>
      <c r="FL47" s="829">
        <v>40</v>
      </c>
      <c r="FM47" s="749">
        <f>FM8+FM10+FM19+FM21+FM26+FM32+FM33+FM34</f>
        <v>32</v>
      </c>
      <c r="FN47" s="816"/>
      <c r="FO47" s="816"/>
      <c r="FP47" s="829">
        <v>40</v>
      </c>
      <c r="FQ47" s="829">
        <f t="shared" si="162"/>
        <v>18</v>
      </c>
      <c r="FR47" s="816"/>
      <c r="FS47" s="816"/>
      <c r="FT47" s="829">
        <v>40</v>
      </c>
      <c r="FU47" s="829">
        <f t="shared" si="163"/>
        <v>3</v>
      </c>
      <c r="FV47" s="816"/>
      <c r="FW47" s="816"/>
      <c r="FX47" s="816"/>
      <c r="FY47" s="829">
        <v>40</v>
      </c>
      <c r="FZ47" s="830">
        <f t="shared" si="164"/>
        <v>4</v>
      </c>
      <c r="GA47" s="816"/>
      <c r="GB47" s="820"/>
      <c r="GC47" s="820"/>
      <c r="GD47" s="820"/>
      <c r="GE47" s="820"/>
      <c r="GF47" s="1018" t="s">
        <v>124</v>
      </c>
      <c r="GG47" s="746">
        <f t="shared" si="165"/>
        <v>12</v>
      </c>
      <c r="GH47" s="816"/>
      <c r="GI47" s="816"/>
      <c r="GJ47" s="816"/>
      <c r="GK47" s="816"/>
      <c r="GL47" s="816"/>
      <c r="GM47" s="816"/>
      <c r="GN47" s="990"/>
      <c r="GO47" s="816"/>
      <c r="GP47" s="816"/>
      <c r="GQ47" s="816"/>
      <c r="GR47" s="827">
        <v>200</v>
      </c>
      <c r="GS47" s="749">
        <v>0</v>
      </c>
      <c r="GT47" s="818"/>
      <c r="GU47" s="816"/>
      <c r="GV47" s="816"/>
      <c r="GW47" s="816"/>
      <c r="GX47" s="829">
        <v>40</v>
      </c>
      <c r="GY47" s="749">
        <f>GY18+GY22+GY27+GY35+GY36+GY40</f>
        <v>16</v>
      </c>
      <c r="GZ47" s="816"/>
      <c r="HA47" s="816"/>
      <c r="HB47" s="609"/>
      <c r="HC47" s="609"/>
      <c r="HD47" s="816"/>
      <c r="HE47" s="816"/>
      <c r="HF47" s="822"/>
      <c r="HG47" s="816"/>
      <c r="HH47" s="816"/>
      <c r="HI47" s="816"/>
      <c r="HJ47" s="829">
        <v>40</v>
      </c>
      <c r="HK47" s="746">
        <f t="shared" si="168"/>
        <v>7</v>
      </c>
      <c r="HL47" s="609"/>
      <c r="HM47" s="816"/>
      <c r="HN47" s="816"/>
      <c r="HO47" s="829">
        <v>40</v>
      </c>
      <c r="HP47" s="746">
        <f t="shared" si="169"/>
        <v>18</v>
      </c>
      <c r="HQ47" s="816"/>
      <c r="HR47" s="816"/>
      <c r="HS47" s="816"/>
      <c r="HT47" s="816"/>
      <c r="HU47" s="816"/>
      <c r="HV47" s="816"/>
      <c r="HW47" s="609"/>
      <c r="HX47" s="609"/>
      <c r="HY47" s="816"/>
      <c r="HZ47" s="816"/>
      <c r="IA47" s="816"/>
      <c r="IB47" s="816"/>
      <c r="IC47" s="816"/>
      <c r="ID47" s="816"/>
      <c r="IE47" s="609"/>
      <c r="IF47" s="609"/>
      <c r="IG47" s="816"/>
      <c r="IH47" s="816"/>
      <c r="II47" s="609"/>
      <c r="IJ47" s="609"/>
      <c r="IK47" s="816"/>
      <c r="IL47" s="816"/>
      <c r="IM47" s="609"/>
      <c r="IN47" s="609"/>
      <c r="IO47" s="816"/>
      <c r="IP47" s="816"/>
      <c r="IQ47" s="816"/>
      <c r="IR47" s="816"/>
      <c r="IS47" s="816"/>
      <c r="IT47" s="816"/>
      <c r="IU47" s="821"/>
      <c r="IV47" s="609"/>
      <c r="IW47" s="816"/>
      <c r="IX47" s="816"/>
      <c r="IY47" s="822"/>
      <c r="IZ47" s="609"/>
      <c r="JA47" s="816"/>
      <c r="JB47" s="816"/>
      <c r="JC47" s="609"/>
      <c r="JD47" s="615" t="s">
        <v>1152</v>
      </c>
      <c r="JE47" s="816"/>
      <c r="JF47" s="816"/>
      <c r="JG47" s="816"/>
      <c r="JH47" s="816"/>
      <c r="JI47" s="816"/>
      <c r="JJ47" s="816"/>
      <c r="JK47" s="816"/>
      <c r="JL47" s="816"/>
      <c r="JM47" s="816"/>
      <c r="JN47" s="816"/>
      <c r="JO47" s="823"/>
      <c r="JP47" s="824"/>
      <c r="JQ47" s="825"/>
      <c r="JR47" s="825"/>
      <c r="JS47" s="816"/>
      <c r="JU47" s="826"/>
      <c r="JV47" s="826"/>
      <c r="JW47" s="826"/>
      <c r="JX47" s="826"/>
    </row>
    <row r="48" spans="2:284" s="780" customFormat="1" ht="13.5" customHeight="1">
      <c r="B48" s="609"/>
      <c r="C48" s="609"/>
      <c r="D48" s="609"/>
      <c r="E48" s="609"/>
      <c r="F48" s="609"/>
      <c r="G48" s="609"/>
      <c r="H48" s="609"/>
      <c r="I48" s="609"/>
      <c r="J48" s="609"/>
      <c r="K48" s="609"/>
      <c r="L48" s="609"/>
      <c r="M48" s="609"/>
      <c r="N48" s="609"/>
      <c r="O48" s="609"/>
      <c r="P48" s="609"/>
      <c r="Q48" s="609"/>
      <c r="R48" s="609"/>
      <c r="S48" s="609"/>
      <c r="T48" s="609"/>
      <c r="U48" s="609"/>
      <c r="V48" s="609"/>
      <c r="W48" s="609"/>
      <c r="X48" s="609"/>
      <c r="Y48" s="609"/>
      <c r="Z48" s="609"/>
      <c r="AA48" s="609"/>
      <c r="AB48" s="746">
        <v>125</v>
      </c>
      <c r="AC48" s="746">
        <f t="shared" si="143"/>
        <v>2</v>
      </c>
      <c r="AD48" s="816"/>
      <c r="AE48" s="816"/>
      <c r="AF48" s="746">
        <v>125</v>
      </c>
      <c r="AG48" s="746">
        <f t="shared" si="144"/>
        <v>2</v>
      </c>
      <c r="AH48" s="816"/>
      <c r="AI48" s="816"/>
      <c r="AJ48" s="746">
        <v>125</v>
      </c>
      <c r="AK48" s="746">
        <v>1</v>
      </c>
      <c r="AL48" s="816"/>
      <c r="AM48" s="816"/>
      <c r="AN48" s="746">
        <v>50</v>
      </c>
      <c r="AO48" s="746">
        <v>7</v>
      </c>
      <c r="AP48" s="816"/>
      <c r="AQ48" s="816"/>
      <c r="AR48" s="746">
        <v>50</v>
      </c>
      <c r="AS48" s="746">
        <f t="shared" si="145"/>
        <v>24</v>
      </c>
      <c r="AT48" s="816"/>
      <c r="AU48" s="816"/>
      <c r="AV48" s="609"/>
      <c r="AW48" s="609"/>
      <c r="AX48" s="816"/>
      <c r="AY48" s="816"/>
      <c r="AZ48" s="827">
        <v>6.3</v>
      </c>
      <c r="BA48" s="746">
        <f t="shared" si="146"/>
        <v>1</v>
      </c>
      <c r="BB48" s="609"/>
      <c r="BC48" s="816"/>
      <c r="BD48" s="816"/>
      <c r="BE48" s="1103">
        <v>6.3</v>
      </c>
      <c r="BF48" s="749">
        <f t="shared" si="147"/>
        <v>1</v>
      </c>
      <c r="BG48" s="816"/>
      <c r="BH48" s="816"/>
      <c r="BI48" s="816"/>
      <c r="BJ48" s="816"/>
      <c r="BK48" s="816"/>
      <c r="BL48" s="816"/>
      <c r="BM48" s="816"/>
      <c r="BN48" s="827">
        <v>6.3</v>
      </c>
      <c r="BO48" s="746">
        <f t="shared" si="148"/>
        <v>2</v>
      </c>
      <c r="BP48" s="816"/>
      <c r="BQ48" s="816"/>
      <c r="BR48" s="816"/>
      <c r="BS48" s="827">
        <v>6.3</v>
      </c>
      <c r="BT48" s="749">
        <f t="shared" si="149"/>
        <v>2</v>
      </c>
      <c r="BU48" s="816"/>
      <c r="BV48" s="816"/>
      <c r="BW48" s="816"/>
      <c r="BX48" s="831">
        <v>15</v>
      </c>
      <c r="BY48" s="746">
        <f t="shared" si="150"/>
        <v>1</v>
      </c>
      <c r="BZ48" s="609"/>
      <c r="CA48" s="818"/>
      <c r="CB48" s="816"/>
      <c r="CC48" s="816"/>
      <c r="CD48" s="831">
        <v>15</v>
      </c>
      <c r="CE48" s="746">
        <f t="shared" si="151"/>
        <v>2</v>
      </c>
      <c r="CF48" s="816"/>
      <c r="CG48" s="816"/>
      <c r="CH48" s="816"/>
      <c r="CI48" s="816"/>
      <c r="CJ48" s="819"/>
      <c r="CK48" s="819"/>
      <c r="CL48" s="820"/>
      <c r="CM48" s="820"/>
      <c r="CN48" s="820"/>
      <c r="CO48" s="820"/>
      <c r="CP48" s="820"/>
      <c r="CQ48" s="820"/>
      <c r="CR48" s="829">
        <v>50</v>
      </c>
      <c r="CS48" s="746">
        <f t="shared" si="152"/>
        <v>8</v>
      </c>
      <c r="CT48" s="816"/>
      <c r="CU48" s="816"/>
      <c r="CV48" s="829">
        <v>50</v>
      </c>
      <c r="CW48" s="746">
        <f t="shared" si="153"/>
        <v>30</v>
      </c>
      <c r="CX48" s="816"/>
      <c r="CY48" s="816"/>
      <c r="CZ48" s="829">
        <v>50</v>
      </c>
      <c r="DA48" s="746">
        <f t="shared" si="154"/>
        <v>3</v>
      </c>
      <c r="DB48" s="816"/>
      <c r="DC48" s="816"/>
      <c r="DD48" s="829">
        <v>50</v>
      </c>
      <c r="DE48" s="746">
        <f>DE9+DE11+DE12+DE13+DE14+DE18+DE20+DE23+DE24+DE25+DE29+DE30+DE31+DE35+DE36+DE37+DE38+DE39+DE40</f>
        <v>104</v>
      </c>
      <c r="DF48" s="816"/>
      <c r="DG48" s="816"/>
      <c r="DH48" s="829">
        <v>50</v>
      </c>
      <c r="DI48" s="749">
        <f>DI9+DI13+DI23+DI36+DI37+DI40</f>
        <v>9</v>
      </c>
      <c r="DJ48" s="816"/>
      <c r="DK48" s="816"/>
      <c r="DL48" s="609"/>
      <c r="DM48" s="609"/>
      <c r="DN48" s="816"/>
      <c r="DO48" s="816"/>
      <c r="DP48" s="609"/>
      <c r="DQ48" s="609"/>
      <c r="DR48" s="816"/>
      <c r="DS48" s="816"/>
      <c r="DT48" s="816"/>
      <c r="DU48" s="816"/>
      <c r="DV48" s="816"/>
      <c r="DW48" s="816"/>
      <c r="DX48" s="816"/>
      <c r="DY48" s="816"/>
      <c r="DZ48" s="816"/>
      <c r="EA48" s="816"/>
      <c r="EB48" s="816"/>
      <c r="EC48" s="816"/>
      <c r="ED48" s="816"/>
      <c r="EE48" s="816"/>
      <c r="EF48" s="829">
        <v>50</v>
      </c>
      <c r="EG48" s="746">
        <f t="shared" si="155"/>
        <v>2</v>
      </c>
      <c r="EH48" s="816"/>
      <c r="EI48" s="816"/>
      <c r="EJ48" s="829">
        <v>50</v>
      </c>
      <c r="EK48" s="746">
        <f t="shared" si="156"/>
        <v>5</v>
      </c>
      <c r="EL48" s="816"/>
      <c r="EM48" s="816"/>
      <c r="EN48" s="829">
        <v>50</v>
      </c>
      <c r="EO48" s="746">
        <f t="shared" si="157"/>
        <v>1</v>
      </c>
      <c r="EP48" s="816"/>
      <c r="EQ48" s="816"/>
      <c r="ER48" s="829">
        <v>50</v>
      </c>
      <c r="ES48" s="746">
        <f t="shared" si="158"/>
        <v>0</v>
      </c>
      <c r="ET48" s="816"/>
      <c r="EU48" s="816"/>
      <c r="EV48" s="829">
        <v>50</v>
      </c>
      <c r="EW48" s="829">
        <f t="shared" si="159"/>
        <v>4</v>
      </c>
      <c r="EX48" s="816"/>
      <c r="EY48" s="816"/>
      <c r="EZ48" s="829">
        <v>50</v>
      </c>
      <c r="FA48" s="829">
        <f t="shared" si="160"/>
        <v>5</v>
      </c>
      <c r="FB48" s="816"/>
      <c r="FC48" s="816"/>
      <c r="FD48" s="829">
        <v>50</v>
      </c>
      <c r="FE48" s="829">
        <f t="shared" si="161"/>
        <v>1</v>
      </c>
      <c r="FF48" s="816"/>
      <c r="FG48" s="816"/>
      <c r="FH48" s="816"/>
      <c r="FI48" s="816"/>
      <c r="FJ48" s="816"/>
      <c r="FK48" s="816"/>
      <c r="FL48" s="829">
        <v>50</v>
      </c>
      <c r="FM48" s="749">
        <f>FM9+FM11+FM12+FM13+FM14+FM18+FM20+FM23+FM24+FM25+FM29+FM30+FM31+FM35+FM36+FM37+FM38+FM39+FM40</f>
        <v>104</v>
      </c>
      <c r="FN48" s="816"/>
      <c r="FO48" s="816"/>
      <c r="FP48" s="829">
        <v>50</v>
      </c>
      <c r="FQ48" s="829">
        <f t="shared" si="162"/>
        <v>5</v>
      </c>
      <c r="FR48" s="816"/>
      <c r="FS48" s="816"/>
      <c r="FT48" s="829">
        <v>50</v>
      </c>
      <c r="FU48" s="829">
        <f t="shared" si="163"/>
        <v>1</v>
      </c>
      <c r="FV48" s="816"/>
      <c r="FW48" s="816"/>
      <c r="FX48" s="816"/>
      <c r="FY48" s="829">
        <v>50</v>
      </c>
      <c r="FZ48" s="830">
        <f t="shared" si="164"/>
        <v>6</v>
      </c>
      <c r="GA48" s="816"/>
      <c r="GB48" s="820"/>
      <c r="GC48" s="820"/>
      <c r="GD48" s="820"/>
      <c r="GE48" s="820"/>
      <c r="GF48" s="1018" t="s">
        <v>126</v>
      </c>
      <c r="GG48" s="746">
        <f t="shared" si="165"/>
        <v>6</v>
      </c>
      <c r="GH48" s="816"/>
      <c r="GI48" s="816"/>
      <c r="GJ48" s="816"/>
      <c r="GK48" s="816"/>
      <c r="GL48" s="816"/>
      <c r="GM48" s="820"/>
      <c r="GN48" s="990"/>
      <c r="GO48" s="816"/>
      <c r="GP48" s="816"/>
      <c r="GQ48" s="816"/>
      <c r="GR48" s="827">
        <v>300</v>
      </c>
      <c r="GS48" s="749">
        <v>2</v>
      </c>
      <c r="GT48" s="818"/>
      <c r="GU48" s="816"/>
      <c r="GV48" s="816"/>
      <c r="GW48" s="816"/>
      <c r="GX48" s="829">
        <v>50</v>
      </c>
      <c r="GY48" s="749">
        <v>0</v>
      </c>
      <c r="GZ48" s="816"/>
      <c r="HA48" s="816"/>
      <c r="HB48" s="609"/>
      <c r="HC48" s="609"/>
      <c r="HD48" s="816"/>
      <c r="HE48" s="816"/>
      <c r="HF48" s="822"/>
      <c r="HG48" s="816"/>
      <c r="HH48" s="816"/>
      <c r="HI48" s="816"/>
      <c r="HJ48" s="829">
        <v>50</v>
      </c>
      <c r="HK48" s="746">
        <f t="shared" si="168"/>
        <v>0</v>
      </c>
      <c r="HL48" s="609"/>
      <c r="HM48" s="816"/>
      <c r="HN48" s="816"/>
      <c r="HO48" s="829">
        <v>50</v>
      </c>
      <c r="HP48" s="746">
        <f t="shared" si="169"/>
        <v>5</v>
      </c>
      <c r="HQ48" s="816"/>
      <c r="HR48" s="816"/>
      <c r="HS48" s="816"/>
      <c r="HT48" s="816"/>
      <c r="HU48" s="816"/>
      <c r="HV48" s="816"/>
      <c r="HW48" s="609"/>
      <c r="HX48" s="609"/>
      <c r="HY48" s="816"/>
      <c r="HZ48" s="816"/>
      <c r="IA48" s="816"/>
      <c r="IB48" s="816"/>
      <c r="IC48" s="816"/>
      <c r="ID48" s="816"/>
      <c r="IE48" s="609"/>
      <c r="IF48" s="609"/>
      <c r="IG48" s="816"/>
      <c r="IH48" s="816"/>
      <c r="II48" s="609"/>
      <c r="IJ48" s="609"/>
      <c r="IK48" s="816"/>
      <c r="IL48" s="816"/>
      <c r="IM48" s="609"/>
      <c r="IN48" s="609"/>
      <c r="IO48" s="816"/>
      <c r="IP48" s="816"/>
      <c r="IQ48" s="816"/>
      <c r="IR48" s="816"/>
      <c r="IS48" s="816"/>
      <c r="IT48" s="816"/>
      <c r="IU48" s="821"/>
      <c r="IV48" s="609"/>
      <c r="IW48" s="816"/>
      <c r="IX48" s="816"/>
      <c r="IY48" s="822"/>
      <c r="IZ48" s="609"/>
      <c r="JA48" s="816"/>
      <c r="JB48" s="816"/>
      <c r="JC48" s="609"/>
      <c r="JD48" s="816">
        <v>859.8</v>
      </c>
      <c r="JE48" s="816"/>
      <c r="JF48" s="816"/>
      <c r="JG48" s="816"/>
      <c r="JH48" s="816"/>
      <c r="JI48" s="816"/>
      <c r="JJ48" s="816"/>
      <c r="JK48" s="816"/>
      <c r="JL48" s="816"/>
      <c r="JM48" s="816"/>
      <c r="JN48" s="816"/>
      <c r="JO48" s="823"/>
      <c r="JP48" s="824"/>
      <c r="JQ48" s="825"/>
      <c r="JR48" s="825"/>
      <c r="JS48" s="816"/>
      <c r="JU48" s="826"/>
      <c r="JV48" s="826"/>
      <c r="JW48" s="826"/>
      <c r="JX48" s="826"/>
    </row>
    <row r="49" spans="2:284" s="780" customFormat="1" ht="13.5" customHeight="1">
      <c r="B49" s="609"/>
      <c r="C49" s="609"/>
      <c r="D49" s="609"/>
      <c r="E49" s="609"/>
      <c r="F49" s="609"/>
      <c r="G49" s="609"/>
      <c r="H49" s="609"/>
      <c r="I49" s="609"/>
      <c r="J49" s="609"/>
      <c r="K49" s="609"/>
      <c r="L49" s="609"/>
      <c r="M49" s="609"/>
      <c r="N49" s="609"/>
      <c r="O49" s="609"/>
      <c r="P49" s="609"/>
      <c r="Q49" s="609"/>
      <c r="R49" s="609"/>
      <c r="S49" s="609"/>
      <c r="T49" s="609"/>
      <c r="U49" s="609"/>
      <c r="V49" s="609"/>
      <c r="W49" s="609"/>
      <c r="X49" s="609"/>
      <c r="Y49" s="609"/>
      <c r="Z49" s="609"/>
      <c r="AA49" s="609"/>
      <c r="AB49" s="746">
        <v>150</v>
      </c>
      <c r="AC49" s="746">
        <f t="shared" si="143"/>
        <v>0</v>
      </c>
      <c r="AD49" s="816"/>
      <c r="AE49" s="816"/>
      <c r="AF49" s="746">
        <v>150</v>
      </c>
      <c r="AG49" s="746">
        <f t="shared" si="144"/>
        <v>0</v>
      </c>
      <c r="AH49" s="816"/>
      <c r="AI49" s="816"/>
      <c r="AJ49" s="746">
        <v>150</v>
      </c>
      <c r="AK49" s="746">
        <v>0</v>
      </c>
      <c r="AL49" s="816"/>
      <c r="AM49" s="816"/>
      <c r="AN49" s="746">
        <v>65</v>
      </c>
      <c r="AO49" s="746">
        <v>5</v>
      </c>
      <c r="AP49" s="816"/>
      <c r="AQ49" s="816"/>
      <c r="AR49" s="746">
        <v>65</v>
      </c>
      <c r="AS49" s="746">
        <f t="shared" si="145"/>
        <v>12</v>
      </c>
      <c r="AT49" s="816"/>
      <c r="AU49" s="816"/>
      <c r="AV49" s="609"/>
      <c r="AW49" s="609"/>
      <c r="AX49" s="816"/>
      <c r="AY49" s="816"/>
      <c r="AZ49" s="827">
        <v>10</v>
      </c>
      <c r="BA49" s="746">
        <f t="shared" si="146"/>
        <v>22</v>
      </c>
      <c r="BB49" s="609"/>
      <c r="BC49" s="816"/>
      <c r="BD49" s="816"/>
      <c r="BE49" s="1103">
        <v>8</v>
      </c>
      <c r="BF49" s="749">
        <f t="shared" si="147"/>
        <v>14</v>
      </c>
      <c r="BG49" s="816"/>
      <c r="BH49" s="816"/>
      <c r="BI49" s="816"/>
      <c r="BJ49" s="816"/>
      <c r="BK49" s="816"/>
      <c r="BL49" s="816"/>
      <c r="BM49" s="816"/>
      <c r="BN49" s="827">
        <v>10</v>
      </c>
      <c r="BO49" s="746">
        <f t="shared" si="148"/>
        <v>10</v>
      </c>
      <c r="BP49" s="816"/>
      <c r="BQ49" s="816"/>
      <c r="BR49" s="816"/>
      <c r="BS49" s="827">
        <v>10</v>
      </c>
      <c r="BT49" s="749">
        <f t="shared" si="149"/>
        <v>0</v>
      </c>
      <c r="BU49" s="816"/>
      <c r="BV49" s="816"/>
      <c r="BW49" s="816"/>
      <c r="BX49" s="828">
        <v>25</v>
      </c>
      <c r="BY49" s="746">
        <f t="shared" si="150"/>
        <v>2</v>
      </c>
      <c r="BZ49" s="609"/>
      <c r="CA49" s="818"/>
      <c r="CB49" s="816"/>
      <c r="CC49" s="816"/>
      <c r="CD49" s="828">
        <v>25</v>
      </c>
      <c r="CE49" s="746">
        <f t="shared" si="151"/>
        <v>3</v>
      </c>
      <c r="CF49" s="816"/>
      <c r="CG49" s="816"/>
      <c r="CH49" s="816"/>
      <c r="CI49" s="816"/>
      <c r="CJ49" s="819"/>
      <c r="CK49" s="819"/>
      <c r="CL49" s="820"/>
      <c r="CM49" s="820"/>
      <c r="CN49" s="820"/>
      <c r="CO49" s="820"/>
      <c r="CP49" s="820"/>
      <c r="CQ49" s="820"/>
      <c r="CR49" s="829">
        <v>65</v>
      </c>
      <c r="CS49" s="746">
        <f t="shared" si="152"/>
        <v>68</v>
      </c>
      <c r="CT49" s="816"/>
      <c r="CU49" s="816"/>
      <c r="CV49" s="829">
        <v>65</v>
      </c>
      <c r="CW49" s="746">
        <f t="shared" si="153"/>
        <v>18</v>
      </c>
      <c r="CX49" s="816"/>
      <c r="CY49" s="816"/>
      <c r="CZ49" s="829">
        <v>65</v>
      </c>
      <c r="DA49" s="746">
        <f t="shared" si="154"/>
        <v>3</v>
      </c>
      <c r="DB49" s="816"/>
      <c r="DC49" s="816"/>
      <c r="DD49" s="829">
        <v>65</v>
      </c>
      <c r="DE49" s="746">
        <v>2</v>
      </c>
      <c r="DF49" s="816"/>
      <c r="DG49" s="816"/>
      <c r="DH49" s="829">
        <v>65</v>
      </c>
      <c r="DI49" s="746">
        <v>0</v>
      </c>
      <c r="DJ49" s="816"/>
      <c r="DK49" s="816"/>
      <c r="DL49" s="609"/>
      <c r="DM49" s="609"/>
      <c r="DN49" s="816"/>
      <c r="DO49" s="816"/>
      <c r="DP49" s="609"/>
      <c r="DQ49" s="609"/>
      <c r="DR49" s="816"/>
      <c r="DS49" s="816"/>
      <c r="DT49" s="816"/>
      <c r="DU49" s="816"/>
      <c r="DV49" s="816"/>
      <c r="DW49" s="816"/>
      <c r="DX49" s="816"/>
      <c r="DY49" s="816"/>
      <c r="DZ49" s="816"/>
      <c r="EA49" s="816"/>
      <c r="EB49" s="816"/>
      <c r="EC49" s="816"/>
      <c r="ED49" s="816"/>
      <c r="EE49" s="816"/>
      <c r="EF49" s="829">
        <v>65</v>
      </c>
      <c r="EG49" s="746">
        <f t="shared" si="155"/>
        <v>17</v>
      </c>
      <c r="EH49" s="816"/>
      <c r="EI49" s="816"/>
      <c r="EJ49" s="829">
        <v>65</v>
      </c>
      <c r="EK49" s="746">
        <f t="shared" si="156"/>
        <v>3</v>
      </c>
      <c r="EL49" s="816"/>
      <c r="EM49" s="816"/>
      <c r="EN49" s="829">
        <v>65</v>
      </c>
      <c r="EO49" s="746">
        <f t="shared" si="157"/>
        <v>1</v>
      </c>
      <c r="EP49" s="816"/>
      <c r="EQ49" s="816"/>
      <c r="ER49" s="829">
        <v>65</v>
      </c>
      <c r="ES49" s="746">
        <f t="shared" si="158"/>
        <v>0</v>
      </c>
      <c r="ET49" s="816"/>
      <c r="EU49" s="816"/>
      <c r="EV49" s="829">
        <v>65</v>
      </c>
      <c r="EW49" s="829">
        <f t="shared" si="159"/>
        <v>34</v>
      </c>
      <c r="EX49" s="816"/>
      <c r="EY49" s="816"/>
      <c r="EZ49" s="829">
        <v>65</v>
      </c>
      <c r="FA49" s="829">
        <f t="shared" si="160"/>
        <v>3</v>
      </c>
      <c r="FB49" s="816"/>
      <c r="FC49" s="816"/>
      <c r="FD49" s="829">
        <v>65</v>
      </c>
      <c r="FE49" s="829">
        <f t="shared" si="161"/>
        <v>1</v>
      </c>
      <c r="FF49" s="816"/>
      <c r="FG49" s="816"/>
      <c r="FH49" s="816"/>
      <c r="FI49" s="816"/>
      <c r="FJ49" s="816"/>
      <c r="FK49" s="816"/>
      <c r="FL49" s="829">
        <v>65</v>
      </c>
      <c r="FM49" s="749">
        <v>2</v>
      </c>
      <c r="FN49" s="816"/>
      <c r="FO49" s="816"/>
      <c r="FP49" s="829">
        <v>65</v>
      </c>
      <c r="FQ49" s="829">
        <f t="shared" si="162"/>
        <v>3</v>
      </c>
      <c r="FR49" s="816"/>
      <c r="FS49" s="816"/>
      <c r="FT49" s="829">
        <v>65</v>
      </c>
      <c r="FU49" s="829">
        <f t="shared" si="163"/>
        <v>1</v>
      </c>
      <c r="FV49" s="816"/>
      <c r="FW49" s="816"/>
      <c r="FX49" s="816"/>
      <c r="FY49" s="816"/>
      <c r="FZ49" s="819"/>
      <c r="GA49" s="816"/>
      <c r="GB49" s="820"/>
      <c r="GC49" s="820"/>
      <c r="GD49" s="820"/>
      <c r="GE49" s="820"/>
      <c r="GF49" s="609"/>
      <c r="GG49" s="609"/>
      <c r="GH49" s="816"/>
      <c r="GI49" s="816"/>
      <c r="GJ49" s="816"/>
      <c r="GK49" s="816"/>
      <c r="GL49" s="816"/>
      <c r="GM49" s="820"/>
      <c r="GN49" s="990"/>
      <c r="GO49" s="816"/>
      <c r="GP49" s="816"/>
      <c r="GQ49" s="816"/>
      <c r="GR49" s="827">
        <v>500</v>
      </c>
      <c r="GS49" s="749">
        <v>10</v>
      </c>
      <c r="GT49" s="818"/>
      <c r="GU49" s="816"/>
      <c r="GV49" s="816"/>
      <c r="GW49" s="816"/>
      <c r="GX49" s="829">
        <v>65</v>
      </c>
      <c r="GY49" s="749">
        <v>0</v>
      </c>
      <c r="GZ49" s="816"/>
      <c r="HA49" s="816"/>
      <c r="HB49" s="609"/>
      <c r="HC49" s="609"/>
      <c r="HD49" s="816"/>
      <c r="HE49" s="816"/>
      <c r="HF49" s="822"/>
      <c r="HG49" s="816"/>
      <c r="HH49" s="816"/>
      <c r="HI49" s="816"/>
      <c r="HJ49" s="829">
        <v>65</v>
      </c>
      <c r="HK49" s="746">
        <f t="shared" si="168"/>
        <v>1</v>
      </c>
      <c r="HL49" s="609"/>
      <c r="HM49" s="816"/>
      <c r="HN49" s="816"/>
      <c r="HO49" s="991">
        <v>65</v>
      </c>
      <c r="HP49" s="746">
        <f t="shared" si="169"/>
        <v>3</v>
      </c>
      <c r="HQ49" s="816"/>
      <c r="HR49" s="816"/>
      <c r="HS49" s="816"/>
      <c r="HT49" s="816"/>
      <c r="HU49" s="816"/>
      <c r="HV49" s="816"/>
      <c r="HW49" s="609"/>
      <c r="HX49" s="609"/>
      <c r="HY49" s="816"/>
      <c r="HZ49" s="816"/>
      <c r="IA49" s="816"/>
      <c r="IB49" s="816"/>
      <c r="IC49" s="816"/>
      <c r="ID49" s="816"/>
      <c r="IE49" s="609"/>
      <c r="IF49" s="609"/>
      <c r="IG49" s="816"/>
      <c r="IH49" s="816"/>
      <c r="II49" s="609"/>
      <c r="IJ49" s="609"/>
      <c r="IK49" s="816"/>
      <c r="IL49" s="816"/>
      <c r="IM49" s="609"/>
      <c r="IN49" s="609"/>
      <c r="IO49" s="816"/>
      <c r="IP49" s="816"/>
      <c r="IQ49" s="816"/>
      <c r="IR49" s="816"/>
      <c r="IS49" s="816"/>
      <c r="IT49" s="816"/>
      <c r="IU49" s="821"/>
      <c r="IV49" s="609"/>
      <c r="IW49" s="816"/>
      <c r="IX49" s="816"/>
      <c r="IY49" s="822"/>
      <c r="IZ49" s="609"/>
      <c r="JA49" s="816"/>
      <c r="JB49" s="816"/>
      <c r="JC49" s="609"/>
      <c r="JD49" s="816"/>
      <c r="JE49" s="816"/>
      <c r="JF49" s="816"/>
      <c r="JG49" s="816"/>
      <c r="JH49" s="816"/>
      <c r="JI49" s="816"/>
      <c r="JJ49" s="816"/>
      <c r="JK49" s="816"/>
      <c r="JL49" s="816"/>
      <c r="JM49" s="816"/>
      <c r="JN49" s="816"/>
      <c r="JO49" s="823"/>
      <c r="JP49" s="824"/>
      <c r="JQ49" s="825"/>
      <c r="JR49" s="825"/>
      <c r="JS49" s="816"/>
      <c r="JU49" s="826"/>
      <c r="JV49" s="826"/>
      <c r="JW49" s="826"/>
      <c r="JX49" s="826"/>
    </row>
    <row r="50" spans="2:284" s="780" customFormat="1" ht="13.5" customHeight="1">
      <c r="B50" s="609"/>
      <c r="C50" s="609"/>
      <c r="D50" s="609"/>
      <c r="E50" s="609"/>
      <c r="F50" s="609"/>
      <c r="G50" s="609"/>
      <c r="H50" s="609"/>
      <c r="I50" s="609"/>
      <c r="J50" s="609"/>
      <c r="K50" s="609"/>
      <c r="L50" s="609"/>
      <c r="M50" s="609"/>
      <c r="N50" s="609"/>
      <c r="O50" s="609"/>
      <c r="P50" s="609"/>
      <c r="Q50" s="609"/>
      <c r="R50" s="609"/>
      <c r="S50" s="609"/>
      <c r="T50" s="609"/>
      <c r="U50" s="609"/>
      <c r="V50" s="609"/>
      <c r="W50" s="609"/>
      <c r="X50" s="609"/>
      <c r="Y50" s="609"/>
      <c r="Z50" s="609"/>
      <c r="AA50" s="609"/>
      <c r="AB50" s="609"/>
      <c r="AC50" s="609"/>
      <c r="AD50" s="816"/>
      <c r="AE50" s="816"/>
      <c r="AF50" s="816"/>
      <c r="AG50" s="816"/>
      <c r="AH50" s="816"/>
      <c r="AI50" s="816"/>
      <c r="AJ50" s="609"/>
      <c r="AK50" s="609"/>
      <c r="AL50" s="816"/>
      <c r="AM50" s="816"/>
      <c r="AN50" s="746">
        <v>80</v>
      </c>
      <c r="AO50" s="746">
        <v>6</v>
      </c>
      <c r="AP50" s="816"/>
      <c r="AQ50" s="816"/>
      <c r="AR50" s="746">
        <v>80</v>
      </c>
      <c r="AS50" s="746">
        <f t="shared" si="145"/>
        <v>12</v>
      </c>
      <c r="AT50" s="816"/>
      <c r="AU50" s="816"/>
      <c r="AV50" s="609"/>
      <c r="AW50" s="609"/>
      <c r="AX50" s="816"/>
      <c r="AY50" s="816"/>
      <c r="AZ50" s="827">
        <v>16</v>
      </c>
      <c r="BA50" s="746">
        <f t="shared" si="146"/>
        <v>4</v>
      </c>
      <c r="BB50" s="609"/>
      <c r="BC50" s="816"/>
      <c r="BD50" s="816"/>
      <c r="BE50" s="1103">
        <v>12.5</v>
      </c>
      <c r="BF50" s="749">
        <f t="shared" si="147"/>
        <v>10</v>
      </c>
      <c r="BG50" s="816"/>
      <c r="BH50" s="816"/>
      <c r="BI50" s="816"/>
      <c r="BJ50" s="816"/>
      <c r="BK50" s="816"/>
      <c r="BL50" s="816"/>
      <c r="BM50" s="816"/>
      <c r="BN50" s="827">
        <v>16</v>
      </c>
      <c r="BO50" s="746">
        <f t="shared" si="148"/>
        <v>12</v>
      </c>
      <c r="BP50" s="816"/>
      <c r="BQ50" s="816"/>
      <c r="BR50" s="816"/>
      <c r="BS50" s="827">
        <v>16</v>
      </c>
      <c r="BT50" s="749">
        <f t="shared" si="149"/>
        <v>0</v>
      </c>
      <c r="BU50" s="816"/>
      <c r="BV50" s="816"/>
      <c r="BW50" s="816"/>
      <c r="BX50" s="828">
        <v>40</v>
      </c>
      <c r="BY50" s="746">
        <f t="shared" si="150"/>
        <v>0</v>
      </c>
      <c r="BZ50" s="609"/>
      <c r="CA50" s="818"/>
      <c r="CB50" s="816"/>
      <c r="CC50" s="816"/>
      <c r="CD50" s="828">
        <v>40</v>
      </c>
      <c r="CE50" s="746">
        <f t="shared" si="151"/>
        <v>1</v>
      </c>
      <c r="CF50" s="816"/>
      <c r="CG50" s="816"/>
      <c r="CH50" s="816"/>
      <c r="CI50" s="816"/>
      <c r="CJ50" s="819"/>
      <c r="CK50" s="819"/>
      <c r="CL50" s="820"/>
      <c r="CM50" s="820"/>
      <c r="CN50" s="820"/>
      <c r="CO50" s="820"/>
      <c r="CP50" s="820"/>
      <c r="CQ50" s="820"/>
      <c r="CR50" s="829">
        <v>80</v>
      </c>
      <c r="CS50" s="746">
        <f t="shared" si="152"/>
        <v>36</v>
      </c>
      <c r="CT50" s="816"/>
      <c r="CU50" s="816"/>
      <c r="CV50" s="829">
        <v>80</v>
      </c>
      <c r="CW50" s="746">
        <f t="shared" si="153"/>
        <v>6</v>
      </c>
      <c r="CX50" s="816"/>
      <c r="CY50" s="816"/>
      <c r="CZ50" s="829">
        <v>80</v>
      </c>
      <c r="DA50" s="746">
        <f t="shared" si="154"/>
        <v>0</v>
      </c>
      <c r="DB50" s="816"/>
      <c r="DC50" s="816"/>
      <c r="DD50" s="829">
        <v>80</v>
      </c>
      <c r="DE50" s="746">
        <v>4</v>
      </c>
      <c r="DF50" s="816"/>
      <c r="DG50" s="816"/>
      <c r="DH50" s="829">
        <v>80</v>
      </c>
      <c r="DI50" s="746">
        <v>0</v>
      </c>
      <c r="DJ50" s="816"/>
      <c r="DK50" s="816"/>
      <c r="DL50" s="609"/>
      <c r="DM50" s="609"/>
      <c r="DN50" s="816"/>
      <c r="DO50" s="816"/>
      <c r="DP50" s="609"/>
      <c r="DQ50" s="609"/>
      <c r="DR50" s="816"/>
      <c r="DS50" s="816"/>
      <c r="DT50" s="816"/>
      <c r="DU50" s="816"/>
      <c r="DV50" s="816"/>
      <c r="DW50" s="816"/>
      <c r="DX50" s="816"/>
      <c r="DY50" s="816"/>
      <c r="DZ50" s="816"/>
      <c r="EA50" s="816"/>
      <c r="EB50" s="816"/>
      <c r="EC50" s="816"/>
      <c r="ED50" s="816"/>
      <c r="EE50" s="816"/>
      <c r="EF50" s="829">
        <v>80</v>
      </c>
      <c r="EG50" s="746">
        <f t="shared" si="155"/>
        <v>9</v>
      </c>
      <c r="EH50" s="816"/>
      <c r="EI50" s="816"/>
      <c r="EJ50" s="829">
        <v>80</v>
      </c>
      <c r="EK50" s="746">
        <f t="shared" si="156"/>
        <v>1</v>
      </c>
      <c r="EL50" s="816"/>
      <c r="EM50" s="816"/>
      <c r="EN50" s="829">
        <v>80</v>
      </c>
      <c r="EO50" s="746">
        <f t="shared" si="157"/>
        <v>0</v>
      </c>
      <c r="EP50" s="816"/>
      <c r="EQ50" s="816"/>
      <c r="ER50" s="829">
        <v>80</v>
      </c>
      <c r="ES50" s="746">
        <f t="shared" si="158"/>
        <v>0</v>
      </c>
      <c r="ET50" s="816"/>
      <c r="EU50" s="816"/>
      <c r="EV50" s="829">
        <v>80</v>
      </c>
      <c r="EW50" s="829">
        <f t="shared" si="159"/>
        <v>18</v>
      </c>
      <c r="EX50" s="816"/>
      <c r="EY50" s="816"/>
      <c r="EZ50" s="829">
        <v>80</v>
      </c>
      <c r="FA50" s="829">
        <f t="shared" si="160"/>
        <v>1</v>
      </c>
      <c r="FB50" s="816"/>
      <c r="FC50" s="816"/>
      <c r="FD50" s="829">
        <v>80</v>
      </c>
      <c r="FE50" s="829">
        <f t="shared" si="161"/>
        <v>0</v>
      </c>
      <c r="FF50" s="816"/>
      <c r="FG50" s="816"/>
      <c r="FH50" s="816"/>
      <c r="FI50" s="816"/>
      <c r="FJ50" s="816"/>
      <c r="FK50" s="816"/>
      <c r="FL50" s="829">
        <v>80</v>
      </c>
      <c r="FM50" s="749">
        <v>4</v>
      </c>
      <c r="FN50" s="816"/>
      <c r="FO50" s="816"/>
      <c r="FP50" s="829">
        <v>80</v>
      </c>
      <c r="FQ50" s="829">
        <f t="shared" si="162"/>
        <v>1</v>
      </c>
      <c r="FR50" s="816"/>
      <c r="FS50" s="816"/>
      <c r="FT50" s="829">
        <v>80</v>
      </c>
      <c r="FU50" s="829">
        <f t="shared" si="163"/>
        <v>0</v>
      </c>
      <c r="FV50" s="816"/>
      <c r="FW50" s="816"/>
      <c r="FX50" s="816"/>
      <c r="FY50" s="816"/>
      <c r="FZ50" s="819"/>
      <c r="GA50" s="816"/>
      <c r="GB50" s="820"/>
      <c r="GC50" s="820"/>
      <c r="GD50" s="820"/>
      <c r="GE50" s="820"/>
      <c r="GF50" s="817"/>
      <c r="GG50" s="609"/>
      <c r="GH50" s="816"/>
      <c r="GI50" s="816"/>
      <c r="GJ50" s="816"/>
      <c r="GK50" s="816"/>
      <c r="GL50" s="816"/>
      <c r="GM50" s="820"/>
      <c r="GN50" s="990"/>
      <c r="GO50" s="816"/>
      <c r="GP50" s="816"/>
      <c r="GQ50" s="816"/>
      <c r="GR50" s="827">
        <v>750</v>
      </c>
      <c r="GS50" s="749">
        <v>18</v>
      </c>
      <c r="GT50" s="818"/>
      <c r="GU50" s="816"/>
      <c r="GV50" s="816"/>
      <c r="GW50" s="816"/>
      <c r="GX50" s="829">
        <v>80</v>
      </c>
      <c r="GY50" s="749">
        <v>0</v>
      </c>
      <c r="GZ50" s="816"/>
      <c r="HA50" s="816"/>
      <c r="HB50" s="609"/>
      <c r="HC50" s="609"/>
      <c r="HD50" s="816"/>
      <c r="HE50" s="816"/>
      <c r="HF50" s="822"/>
      <c r="HG50" s="816"/>
      <c r="HH50" s="816"/>
      <c r="HI50" s="816"/>
      <c r="HJ50" s="829">
        <v>80</v>
      </c>
      <c r="HK50" s="746">
        <f t="shared" si="168"/>
        <v>1</v>
      </c>
      <c r="HL50" s="609"/>
      <c r="HM50" s="816"/>
      <c r="HN50" s="816"/>
      <c r="HO50" s="666">
        <v>80</v>
      </c>
      <c r="HP50" s="746">
        <f t="shared" si="169"/>
        <v>1</v>
      </c>
      <c r="HQ50" s="816"/>
      <c r="HR50" s="816"/>
      <c r="HS50" s="816"/>
      <c r="HT50" s="816"/>
      <c r="HU50" s="816"/>
      <c r="HV50" s="816"/>
      <c r="HW50" s="609"/>
      <c r="HX50" s="609"/>
      <c r="HY50" s="816"/>
      <c r="HZ50" s="816"/>
      <c r="IA50" s="816"/>
      <c r="IB50" s="816"/>
      <c r="IC50" s="816"/>
      <c r="ID50" s="816"/>
      <c r="IE50" s="609"/>
      <c r="IF50" s="609"/>
      <c r="IG50" s="816"/>
      <c r="IH50" s="816"/>
      <c r="II50" s="609"/>
      <c r="IJ50" s="609"/>
      <c r="IK50" s="816"/>
      <c r="IL50" s="816"/>
      <c r="IM50" s="609"/>
      <c r="IN50" s="609"/>
      <c r="IO50" s="816"/>
      <c r="IP50" s="816"/>
      <c r="IQ50" s="816"/>
      <c r="IR50" s="816"/>
      <c r="IS50" s="816"/>
      <c r="IT50" s="816"/>
      <c r="IU50" s="821"/>
      <c r="IV50" s="609"/>
      <c r="IW50" s="816"/>
      <c r="IX50" s="816"/>
      <c r="IY50" s="822"/>
      <c r="IZ50" s="609"/>
      <c r="JA50" s="816"/>
      <c r="JB50" s="816"/>
      <c r="JC50" s="609"/>
      <c r="JD50" s="816">
        <f>SUM(JD8:JD40)+SUM(JG8:JG40)+SUM(JJ8:JJ40)</f>
        <v>300216.39000524662</v>
      </c>
      <c r="JE50" s="816"/>
      <c r="JF50" s="816"/>
      <c r="JG50" s="816"/>
      <c r="JH50" s="816"/>
      <c r="JI50" s="816"/>
      <c r="JJ50" s="816"/>
      <c r="JK50" s="816"/>
      <c r="JL50" s="816"/>
      <c r="JM50" s="816"/>
      <c r="JN50" s="816"/>
      <c r="JO50" s="823"/>
      <c r="JP50" s="824"/>
      <c r="JQ50" s="825"/>
      <c r="JR50" s="825"/>
      <c r="JS50" s="816"/>
      <c r="JU50" s="826"/>
      <c r="JV50" s="826"/>
      <c r="JW50" s="826"/>
      <c r="JX50" s="826"/>
    </row>
    <row r="51" spans="2:284" s="780" customFormat="1" ht="13.5" customHeight="1">
      <c r="B51" s="609"/>
      <c r="C51" s="609"/>
      <c r="D51" s="609"/>
      <c r="E51" s="609"/>
      <c r="F51" s="609"/>
      <c r="G51" s="609"/>
      <c r="H51" s="609"/>
      <c r="I51" s="609"/>
      <c r="J51" s="609"/>
      <c r="K51" s="609"/>
      <c r="L51" s="609"/>
      <c r="M51" s="609"/>
      <c r="N51" s="609"/>
      <c r="O51" s="609"/>
      <c r="P51" s="609"/>
      <c r="Q51" s="609"/>
      <c r="R51" s="609"/>
      <c r="S51" s="609"/>
      <c r="T51" s="609"/>
      <c r="U51" s="609"/>
      <c r="V51" s="609"/>
      <c r="W51" s="609"/>
      <c r="X51" s="609"/>
      <c r="Y51" s="609"/>
      <c r="Z51" s="609"/>
      <c r="AA51" s="609"/>
      <c r="AB51" s="609"/>
      <c r="AC51" s="609"/>
      <c r="AD51" s="816"/>
      <c r="AE51" s="816"/>
      <c r="AF51" s="816"/>
      <c r="AG51" s="816"/>
      <c r="AH51" s="816"/>
      <c r="AI51" s="816"/>
      <c r="AJ51" s="609"/>
      <c r="AK51" s="609"/>
      <c r="AL51" s="816"/>
      <c r="AM51" s="816"/>
      <c r="AN51" s="746">
        <v>100</v>
      </c>
      <c r="AO51" s="746">
        <v>0</v>
      </c>
      <c r="AP51" s="816"/>
      <c r="AQ51" s="816"/>
      <c r="AR51" s="746">
        <v>100</v>
      </c>
      <c r="AS51" s="746">
        <f t="shared" si="145"/>
        <v>4</v>
      </c>
      <c r="AT51" s="816"/>
      <c r="AU51" s="816"/>
      <c r="AV51" s="609"/>
      <c r="AW51" s="609"/>
      <c r="AX51" s="816"/>
      <c r="AY51" s="816"/>
      <c r="AZ51" s="827">
        <v>25</v>
      </c>
      <c r="BA51" s="746">
        <f t="shared" si="146"/>
        <v>2</v>
      </c>
      <c r="BB51" s="609"/>
      <c r="BC51" s="816"/>
      <c r="BD51" s="816"/>
      <c r="BE51" s="1103">
        <v>16</v>
      </c>
      <c r="BF51" s="749">
        <f t="shared" si="147"/>
        <v>0</v>
      </c>
      <c r="BG51" s="816"/>
      <c r="BH51" s="816"/>
      <c r="BI51" s="816"/>
      <c r="BJ51" s="816"/>
      <c r="BK51" s="816"/>
      <c r="BL51" s="816"/>
      <c r="BM51" s="816"/>
      <c r="BN51" s="827">
        <v>25</v>
      </c>
      <c r="BO51" s="746">
        <f t="shared" si="148"/>
        <v>3</v>
      </c>
      <c r="BP51" s="816"/>
      <c r="BQ51" s="816"/>
      <c r="BR51" s="816"/>
      <c r="BS51" s="827">
        <v>25</v>
      </c>
      <c r="BT51" s="749">
        <f t="shared" si="149"/>
        <v>0</v>
      </c>
      <c r="BU51" s="816"/>
      <c r="BV51" s="816"/>
      <c r="BW51" s="816"/>
      <c r="BX51" s="609"/>
      <c r="BY51" s="609"/>
      <c r="BZ51" s="609"/>
      <c r="CA51" s="818"/>
      <c r="CB51" s="816"/>
      <c r="CC51" s="816"/>
      <c r="CD51" s="816"/>
      <c r="CE51" s="816"/>
      <c r="CF51" s="816"/>
      <c r="CG51" s="816"/>
      <c r="CH51" s="816"/>
      <c r="CI51" s="816"/>
      <c r="CJ51" s="819"/>
      <c r="CK51" s="819"/>
      <c r="CL51" s="820"/>
      <c r="CM51" s="820"/>
      <c r="CN51" s="820"/>
      <c r="CO51" s="820"/>
      <c r="CP51" s="820"/>
      <c r="CQ51" s="820"/>
      <c r="CR51" s="829">
        <v>100</v>
      </c>
      <c r="CS51" s="746">
        <f t="shared" si="152"/>
        <v>8</v>
      </c>
      <c r="CT51" s="816"/>
      <c r="CU51" s="816"/>
      <c r="CV51" s="829">
        <v>100</v>
      </c>
      <c r="CW51" s="746">
        <f t="shared" si="153"/>
        <v>6</v>
      </c>
      <c r="CX51" s="816"/>
      <c r="CY51" s="816"/>
      <c r="CZ51" s="829">
        <v>100</v>
      </c>
      <c r="DA51" s="746">
        <f t="shared" si="154"/>
        <v>0</v>
      </c>
      <c r="DB51" s="816"/>
      <c r="DC51" s="816"/>
      <c r="DD51" s="829">
        <v>100</v>
      </c>
      <c r="DE51" s="746">
        <v>0</v>
      </c>
      <c r="DF51" s="816"/>
      <c r="DG51" s="816"/>
      <c r="DH51" s="829">
        <v>100</v>
      </c>
      <c r="DI51" s="746">
        <v>0</v>
      </c>
      <c r="DJ51" s="816"/>
      <c r="DK51" s="816"/>
      <c r="DL51" s="609"/>
      <c r="DM51" s="609"/>
      <c r="DN51" s="816"/>
      <c r="DO51" s="816"/>
      <c r="DP51" s="609"/>
      <c r="DQ51" s="609"/>
      <c r="DR51" s="816"/>
      <c r="DS51" s="816"/>
      <c r="DT51" s="816"/>
      <c r="DU51" s="816"/>
      <c r="DV51" s="816"/>
      <c r="DW51" s="816"/>
      <c r="DX51" s="816"/>
      <c r="DY51" s="816"/>
      <c r="DZ51" s="816"/>
      <c r="EA51" s="816"/>
      <c r="EB51" s="816"/>
      <c r="EC51" s="816"/>
      <c r="ED51" s="816"/>
      <c r="EE51" s="816"/>
      <c r="EF51" s="829">
        <v>100</v>
      </c>
      <c r="EG51" s="746">
        <f t="shared" si="155"/>
        <v>2</v>
      </c>
      <c r="EH51" s="816"/>
      <c r="EI51" s="816"/>
      <c r="EJ51" s="829">
        <v>100</v>
      </c>
      <c r="EK51" s="746">
        <f t="shared" si="156"/>
        <v>1</v>
      </c>
      <c r="EL51" s="816"/>
      <c r="EM51" s="816"/>
      <c r="EN51" s="829">
        <v>100</v>
      </c>
      <c r="EO51" s="746">
        <f t="shared" si="157"/>
        <v>0</v>
      </c>
      <c r="EP51" s="816"/>
      <c r="EQ51" s="816"/>
      <c r="ER51" s="829">
        <v>100</v>
      </c>
      <c r="ES51" s="746">
        <f t="shared" si="158"/>
        <v>0</v>
      </c>
      <c r="ET51" s="816"/>
      <c r="EU51" s="816"/>
      <c r="EV51" s="829">
        <v>100</v>
      </c>
      <c r="EW51" s="829">
        <f t="shared" si="159"/>
        <v>4</v>
      </c>
      <c r="EX51" s="816"/>
      <c r="EY51" s="816"/>
      <c r="EZ51" s="829">
        <v>100</v>
      </c>
      <c r="FA51" s="829">
        <f t="shared" si="160"/>
        <v>1</v>
      </c>
      <c r="FB51" s="816"/>
      <c r="FC51" s="816"/>
      <c r="FD51" s="829">
        <v>100</v>
      </c>
      <c r="FE51" s="829">
        <f t="shared" si="161"/>
        <v>0</v>
      </c>
      <c r="FF51" s="816"/>
      <c r="FG51" s="816"/>
      <c r="FH51" s="816"/>
      <c r="FI51" s="816"/>
      <c r="FJ51" s="816"/>
      <c r="FK51" s="816"/>
      <c r="FL51" s="829">
        <v>100</v>
      </c>
      <c r="FM51" s="749">
        <v>0</v>
      </c>
      <c r="FN51" s="816"/>
      <c r="FO51" s="816"/>
      <c r="FP51" s="829">
        <v>100</v>
      </c>
      <c r="FQ51" s="829">
        <f t="shared" si="162"/>
        <v>1</v>
      </c>
      <c r="FR51" s="816"/>
      <c r="FS51" s="816"/>
      <c r="FT51" s="829">
        <v>100</v>
      </c>
      <c r="FU51" s="829">
        <f t="shared" si="163"/>
        <v>0</v>
      </c>
      <c r="FV51" s="816"/>
      <c r="FW51" s="816"/>
      <c r="FX51" s="816"/>
      <c r="FY51" s="816"/>
      <c r="FZ51" s="819"/>
      <c r="GA51" s="816"/>
      <c r="GB51" s="820"/>
      <c r="GC51" s="820"/>
      <c r="GD51" s="820"/>
      <c r="GE51" s="820"/>
      <c r="GF51" s="1054"/>
      <c r="GG51" s="609"/>
      <c r="GH51" s="816"/>
      <c r="GI51" s="816"/>
      <c r="GJ51" s="816"/>
      <c r="GK51" s="816"/>
      <c r="GL51" s="816"/>
      <c r="GM51" s="816"/>
      <c r="GN51" s="816"/>
      <c r="GO51" s="816"/>
      <c r="GP51" s="816"/>
      <c r="GQ51" s="816"/>
      <c r="GR51" s="827">
        <v>1000</v>
      </c>
      <c r="GS51" s="749">
        <v>9</v>
      </c>
      <c r="GT51" s="818"/>
      <c r="GU51" s="816"/>
      <c r="GV51" s="816"/>
      <c r="GW51" s="816"/>
      <c r="GX51" s="829">
        <v>100</v>
      </c>
      <c r="GY51" s="749">
        <v>0</v>
      </c>
      <c r="GZ51" s="816"/>
      <c r="HA51" s="816"/>
      <c r="HB51" s="609"/>
      <c r="HC51" s="609"/>
      <c r="HD51" s="816"/>
      <c r="HE51" s="816"/>
      <c r="HF51" s="822"/>
      <c r="HG51" s="816"/>
      <c r="HH51" s="816"/>
      <c r="HI51" s="816"/>
      <c r="HJ51" s="609"/>
      <c r="HK51" s="609"/>
      <c r="HL51" s="609"/>
      <c r="HM51" s="816"/>
      <c r="HN51" s="816"/>
      <c r="HO51" s="666">
        <v>100</v>
      </c>
      <c r="HP51" s="746">
        <f t="shared" si="169"/>
        <v>1</v>
      </c>
      <c r="HQ51" s="816"/>
      <c r="HR51" s="816"/>
      <c r="HS51" s="816"/>
      <c r="HT51" s="816"/>
      <c r="HU51" s="816"/>
      <c r="HV51" s="816"/>
      <c r="HW51" s="609"/>
      <c r="HX51" s="609"/>
      <c r="HY51" s="816"/>
      <c r="HZ51" s="816"/>
      <c r="IA51" s="816"/>
      <c r="IB51" s="816"/>
      <c r="IC51" s="816"/>
      <c r="ID51" s="816"/>
      <c r="IE51" s="609"/>
      <c r="IF51" s="609"/>
      <c r="IG51" s="816"/>
      <c r="IH51" s="816"/>
      <c r="II51" s="609"/>
      <c r="IJ51" s="609"/>
      <c r="IK51" s="816"/>
      <c r="IL51" s="816"/>
      <c r="IM51" s="609"/>
      <c r="IN51" s="609"/>
      <c r="IO51" s="816"/>
      <c r="IP51" s="816"/>
      <c r="IQ51" s="816"/>
      <c r="IR51" s="816"/>
      <c r="IS51" s="816"/>
      <c r="IT51" s="816"/>
      <c r="IU51" s="821"/>
      <c r="IV51" s="609"/>
      <c r="IW51" s="816"/>
      <c r="IX51" s="816"/>
      <c r="IY51" s="822"/>
      <c r="IZ51" s="609"/>
      <c r="JA51" s="816"/>
      <c r="JB51" s="816"/>
      <c r="JC51" s="609"/>
      <c r="JD51" s="816"/>
      <c r="JE51" s="816"/>
      <c r="JF51" s="816"/>
      <c r="JG51" s="816"/>
      <c r="JH51" s="816"/>
      <c r="JI51" s="816"/>
      <c r="JJ51" s="816"/>
      <c r="JK51" s="816"/>
      <c r="JL51" s="816"/>
      <c r="JM51" s="816"/>
      <c r="JN51" s="816"/>
      <c r="JO51" s="823"/>
      <c r="JP51" s="824"/>
      <c r="JQ51" s="825"/>
      <c r="JR51" s="825"/>
      <c r="JS51" s="816"/>
      <c r="JU51" s="826"/>
      <c r="JV51" s="826"/>
      <c r="JW51" s="826"/>
      <c r="JX51" s="826"/>
    </row>
    <row r="52" spans="2:284" s="780" customFormat="1" ht="13.5" customHeight="1">
      <c r="B52" s="609"/>
      <c r="C52" s="609"/>
      <c r="D52" s="609"/>
      <c r="E52" s="609"/>
      <c r="F52" s="609"/>
      <c r="G52" s="609"/>
      <c r="H52" s="609"/>
      <c r="I52" s="609"/>
      <c r="J52" s="609"/>
      <c r="K52" s="609"/>
      <c r="L52" s="609"/>
      <c r="M52" s="609"/>
      <c r="N52" s="609"/>
      <c r="O52" s="609"/>
      <c r="P52" s="609"/>
      <c r="Q52" s="609"/>
      <c r="R52" s="609"/>
      <c r="S52" s="609"/>
      <c r="T52" s="609"/>
      <c r="U52" s="609"/>
      <c r="V52" s="609"/>
      <c r="W52" s="609"/>
      <c r="X52" s="609"/>
      <c r="Y52" s="609"/>
      <c r="Z52" s="609"/>
      <c r="AA52" s="609"/>
      <c r="AB52" s="609"/>
      <c r="AC52" s="609"/>
      <c r="AD52" s="816"/>
      <c r="AE52" s="816"/>
      <c r="AF52" s="816"/>
      <c r="AG52" s="816"/>
      <c r="AH52" s="816"/>
      <c r="AI52" s="816"/>
      <c r="AJ52" s="609"/>
      <c r="AK52" s="609"/>
      <c r="AL52" s="816"/>
      <c r="AM52" s="816"/>
      <c r="AN52" s="746">
        <v>125</v>
      </c>
      <c r="AO52" s="746">
        <v>0</v>
      </c>
      <c r="AP52" s="816"/>
      <c r="AQ52" s="816"/>
      <c r="AR52" s="746">
        <v>125</v>
      </c>
      <c r="AS52" s="746">
        <f t="shared" si="145"/>
        <v>0</v>
      </c>
      <c r="AT52" s="816"/>
      <c r="AU52" s="816"/>
      <c r="AV52" s="609"/>
      <c r="AW52" s="609"/>
      <c r="AX52" s="816"/>
      <c r="AY52" s="816"/>
      <c r="AZ52" s="827">
        <v>40</v>
      </c>
      <c r="BA52" s="746">
        <f t="shared" si="146"/>
        <v>2</v>
      </c>
      <c r="BB52" s="609"/>
      <c r="BC52" s="816"/>
      <c r="BD52" s="816"/>
      <c r="BE52" s="1103">
        <v>20</v>
      </c>
      <c r="BF52" s="749">
        <f t="shared" si="147"/>
        <v>3</v>
      </c>
      <c r="BG52" s="816"/>
      <c r="BH52" s="816"/>
      <c r="BI52" s="816"/>
      <c r="BJ52" s="816"/>
      <c r="BK52" s="816"/>
      <c r="BL52" s="816"/>
      <c r="BM52" s="816"/>
      <c r="BN52" s="827">
        <v>40</v>
      </c>
      <c r="BO52" s="746">
        <f t="shared" si="148"/>
        <v>3</v>
      </c>
      <c r="BP52" s="816"/>
      <c r="BQ52" s="816"/>
      <c r="BR52" s="816"/>
      <c r="BS52" s="827">
        <v>40</v>
      </c>
      <c r="BT52" s="749">
        <f t="shared" si="149"/>
        <v>0</v>
      </c>
      <c r="BU52" s="816"/>
      <c r="BV52" s="816"/>
      <c r="BW52" s="816"/>
      <c r="BX52" s="609"/>
      <c r="BY52" s="609"/>
      <c r="BZ52" s="609"/>
      <c r="CA52" s="818"/>
      <c r="CB52" s="816"/>
      <c r="CC52" s="816"/>
      <c r="CD52" s="816"/>
      <c r="CE52" s="816"/>
      <c r="CF52" s="816"/>
      <c r="CG52" s="816"/>
      <c r="CH52" s="816"/>
      <c r="CI52" s="816"/>
      <c r="CJ52" s="819"/>
      <c r="CK52" s="819"/>
      <c r="CL52" s="820"/>
      <c r="CM52" s="820"/>
      <c r="CN52" s="820"/>
      <c r="CO52" s="820"/>
      <c r="CP52" s="820"/>
      <c r="CQ52" s="820"/>
      <c r="CR52" s="829">
        <v>125</v>
      </c>
      <c r="CS52" s="746">
        <f t="shared" si="152"/>
        <v>12</v>
      </c>
      <c r="CT52" s="816"/>
      <c r="CU52" s="816"/>
      <c r="CV52" s="829">
        <v>125</v>
      </c>
      <c r="CW52" s="746">
        <f t="shared" si="153"/>
        <v>0</v>
      </c>
      <c r="CX52" s="816"/>
      <c r="CY52" s="816"/>
      <c r="CZ52" s="829">
        <v>125</v>
      </c>
      <c r="DA52" s="746">
        <f t="shared" si="154"/>
        <v>0</v>
      </c>
      <c r="DB52" s="816"/>
      <c r="DC52" s="816"/>
      <c r="DD52" s="829">
        <v>125</v>
      </c>
      <c r="DE52" s="746">
        <v>0</v>
      </c>
      <c r="DF52" s="816"/>
      <c r="DG52" s="816"/>
      <c r="DH52" s="829">
        <v>125</v>
      </c>
      <c r="DI52" s="746">
        <v>0</v>
      </c>
      <c r="DJ52" s="816"/>
      <c r="DK52" s="816"/>
      <c r="DL52" s="609"/>
      <c r="DM52" s="609"/>
      <c r="DN52" s="816"/>
      <c r="DO52" s="816"/>
      <c r="DP52" s="609"/>
      <c r="DQ52" s="609"/>
      <c r="DR52" s="816"/>
      <c r="DS52" s="816"/>
      <c r="DT52" s="816"/>
      <c r="DU52" s="816"/>
      <c r="DV52" s="816"/>
      <c r="DW52" s="816"/>
      <c r="DX52" s="816"/>
      <c r="DY52" s="816"/>
      <c r="DZ52" s="816"/>
      <c r="EA52" s="816"/>
      <c r="EB52" s="816"/>
      <c r="EC52" s="816"/>
      <c r="ED52" s="816"/>
      <c r="EE52" s="816"/>
      <c r="EF52" s="829">
        <v>125</v>
      </c>
      <c r="EG52" s="746">
        <f t="shared" si="155"/>
        <v>3</v>
      </c>
      <c r="EH52" s="816"/>
      <c r="EI52" s="816"/>
      <c r="EJ52" s="829">
        <v>125</v>
      </c>
      <c r="EK52" s="746">
        <f t="shared" si="156"/>
        <v>0</v>
      </c>
      <c r="EL52" s="816"/>
      <c r="EM52" s="816"/>
      <c r="EN52" s="829">
        <v>125</v>
      </c>
      <c r="EO52" s="746">
        <f t="shared" si="157"/>
        <v>0</v>
      </c>
      <c r="EP52" s="816"/>
      <c r="EQ52" s="816"/>
      <c r="ER52" s="829">
        <v>125</v>
      </c>
      <c r="ES52" s="746">
        <f t="shared" si="158"/>
        <v>0</v>
      </c>
      <c r="ET52" s="816"/>
      <c r="EU52" s="816"/>
      <c r="EV52" s="829">
        <v>125</v>
      </c>
      <c r="EW52" s="829">
        <f t="shared" si="159"/>
        <v>6</v>
      </c>
      <c r="EX52" s="816"/>
      <c r="EY52" s="816"/>
      <c r="EZ52" s="829">
        <v>125</v>
      </c>
      <c r="FA52" s="829">
        <f t="shared" si="160"/>
        <v>0</v>
      </c>
      <c r="FB52" s="816"/>
      <c r="FC52" s="816"/>
      <c r="FD52" s="829">
        <v>125</v>
      </c>
      <c r="FE52" s="829">
        <f t="shared" si="161"/>
        <v>0</v>
      </c>
      <c r="FF52" s="816"/>
      <c r="FG52" s="816"/>
      <c r="FH52" s="816"/>
      <c r="FI52" s="816"/>
      <c r="FJ52" s="816"/>
      <c r="FK52" s="816"/>
      <c r="FL52" s="829">
        <v>125</v>
      </c>
      <c r="FM52" s="749">
        <v>0</v>
      </c>
      <c r="FN52" s="816"/>
      <c r="FO52" s="816"/>
      <c r="FP52" s="829">
        <v>125</v>
      </c>
      <c r="FQ52" s="829">
        <f t="shared" si="162"/>
        <v>0</v>
      </c>
      <c r="FR52" s="816"/>
      <c r="FS52" s="816"/>
      <c r="FT52" s="829">
        <v>125</v>
      </c>
      <c r="FU52" s="829">
        <f t="shared" si="163"/>
        <v>0</v>
      </c>
      <c r="FV52" s="816"/>
      <c r="FW52" s="816"/>
      <c r="FX52" s="816"/>
      <c r="FY52" s="816"/>
      <c r="FZ52" s="819"/>
      <c r="GA52" s="816"/>
      <c r="GB52" s="820"/>
      <c r="GC52" s="820"/>
      <c r="GD52" s="820"/>
      <c r="GE52" s="820"/>
      <c r="GF52" s="1054"/>
      <c r="GG52" s="609"/>
      <c r="GH52" s="816"/>
      <c r="GI52" s="816"/>
      <c r="GJ52" s="816"/>
      <c r="GK52" s="816"/>
      <c r="GL52" s="816"/>
      <c r="GM52" s="816"/>
      <c r="GN52" s="816"/>
      <c r="GO52" s="816"/>
      <c r="GP52" s="816"/>
      <c r="GQ52" s="816"/>
      <c r="GR52" s="827">
        <v>1500</v>
      </c>
      <c r="GS52" s="749">
        <v>0</v>
      </c>
      <c r="GT52" s="818"/>
      <c r="GU52" s="816"/>
      <c r="GV52" s="816"/>
      <c r="GW52" s="816"/>
      <c r="GX52" s="829">
        <v>125</v>
      </c>
      <c r="GY52" s="749">
        <v>0</v>
      </c>
      <c r="GZ52" s="816"/>
      <c r="HA52" s="816"/>
      <c r="HB52" s="609"/>
      <c r="HC52" s="609"/>
      <c r="HD52" s="816"/>
      <c r="HE52" s="816"/>
      <c r="HF52" s="822"/>
      <c r="HG52" s="816"/>
      <c r="HH52" s="816"/>
      <c r="HI52" s="816"/>
      <c r="HJ52" s="609"/>
      <c r="HK52" s="609"/>
      <c r="HL52" s="609"/>
      <c r="HM52" s="816"/>
      <c r="HN52" s="816"/>
      <c r="HO52" s="609"/>
      <c r="HP52" s="609"/>
      <c r="HQ52" s="816"/>
      <c r="HR52" s="816"/>
      <c r="HS52" s="816"/>
      <c r="HT52" s="816"/>
      <c r="HU52" s="816"/>
      <c r="HV52" s="816"/>
      <c r="HW52" s="609"/>
      <c r="HX52" s="609"/>
      <c r="HY52" s="816"/>
      <c r="HZ52" s="816"/>
      <c r="IA52" s="816"/>
      <c r="IB52" s="816"/>
      <c r="IC52" s="816"/>
      <c r="ID52" s="816"/>
      <c r="IE52" s="609"/>
      <c r="IF52" s="609"/>
      <c r="IG52" s="816"/>
      <c r="IH52" s="816"/>
      <c r="II52" s="609"/>
      <c r="IJ52" s="609"/>
      <c r="IK52" s="816"/>
      <c r="IL52" s="816"/>
      <c r="IM52" s="609"/>
      <c r="IN52" s="609"/>
      <c r="IO52" s="816"/>
      <c r="IP52" s="816"/>
      <c r="IQ52" s="816"/>
      <c r="IR52" s="816"/>
      <c r="IS52" s="816"/>
      <c r="IT52" s="816"/>
      <c r="IU52" s="821"/>
      <c r="IV52" s="609"/>
      <c r="IW52" s="816"/>
      <c r="IX52" s="816"/>
      <c r="IY52" s="822"/>
      <c r="IZ52" s="609"/>
      <c r="JA52" s="816"/>
      <c r="JB52" s="816"/>
      <c r="JC52" s="609"/>
      <c r="JD52" s="816"/>
      <c r="JE52" s="816"/>
      <c r="JF52" s="816"/>
      <c r="JG52" s="816"/>
      <c r="JH52" s="816"/>
      <c r="JI52" s="816"/>
      <c r="JJ52" s="816"/>
      <c r="JK52" s="816"/>
      <c r="JL52" s="816"/>
      <c r="JM52" s="816"/>
      <c r="JN52" s="816"/>
      <c r="JO52" s="823"/>
      <c r="JP52" s="824"/>
      <c r="JQ52" s="825"/>
      <c r="JR52" s="825"/>
      <c r="JS52" s="816"/>
      <c r="JU52" s="826"/>
      <c r="JV52" s="826"/>
      <c r="JW52" s="826"/>
      <c r="JX52" s="826"/>
    </row>
    <row r="53" spans="2:284" s="780" customFormat="1" ht="13.5" customHeight="1">
      <c r="B53" s="609"/>
      <c r="C53" s="609"/>
      <c r="D53" s="609"/>
      <c r="E53" s="609"/>
      <c r="F53" s="609"/>
      <c r="G53" s="609"/>
      <c r="H53" s="609"/>
      <c r="I53" s="609"/>
      <c r="J53" s="609"/>
      <c r="K53" s="609"/>
      <c r="L53" s="609"/>
      <c r="M53" s="609"/>
      <c r="N53" s="609"/>
      <c r="O53" s="609"/>
      <c r="P53" s="609"/>
      <c r="Q53" s="609"/>
      <c r="R53" s="609"/>
      <c r="S53" s="609"/>
      <c r="T53" s="609"/>
      <c r="U53" s="609"/>
      <c r="V53" s="609"/>
      <c r="W53" s="609"/>
      <c r="X53" s="609"/>
      <c r="Y53" s="609"/>
      <c r="Z53" s="609"/>
      <c r="AA53" s="609"/>
      <c r="AB53" s="609"/>
      <c r="AC53" s="609"/>
      <c r="AD53" s="816"/>
      <c r="AE53" s="816"/>
      <c r="AF53" s="816"/>
      <c r="AG53" s="816"/>
      <c r="AH53" s="816"/>
      <c r="AI53" s="816"/>
      <c r="AJ53" s="609"/>
      <c r="AK53" s="609"/>
      <c r="AL53" s="816"/>
      <c r="AM53" s="816"/>
      <c r="AN53" s="609"/>
      <c r="AO53" s="609"/>
      <c r="AP53" s="816"/>
      <c r="AQ53" s="816"/>
      <c r="AR53" s="816"/>
      <c r="AS53" s="816"/>
      <c r="AT53" s="816"/>
      <c r="AU53" s="816"/>
      <c r="AV53" s="609"/>
      <c r="AW53" s="609"/>
      <c r="AX53" s="816"/>
      <c r="AY53" s="816"/>
      <c r="AZ53" s="832">
        <v>63</v>
      </c>
      <c r="BA53" s="746">
        <f t="shared" si="146"/>
        <v>0</v>
      </c>
      <c r="BB53" s="609"/>
      <c r="BC53" s="816"/>
      <c r="BD53" s="816"/>
      <c r="BE53" s="1103">
        <v>32</v>
      </c>
      <c r="BF53" s="749">
        <f t="shared" si="147"/>
        <v>3</v>
      </c>
      <c r="BG53" s="816"/>
      <c r="BH53" s="816"/>
      <c r="BI53" s="816"/>
      <c r="BJ53" s="816"/>
      <c r="BK53" s="816"/>
      <c r="BL53" s="816"/>
      <c r="BM53" s="816"/>
      <c r="BN53" s="832">
        <v>63</v>
      </c>
      <c r="BO53" s="746">
        <f t="shared" si="148"/>
        <v>1</v>
      </c>
      <c r="BP53" s="816"/>
      <c r="BQ53" s="816"/>
      <c r="BR53" s="816"/>
      <c r="BS53" s="832">
        <v>50</v>
      </c>
      <c r="BT53" s="749">
        <f t="shared" si="149"/>
        <v>2</v>
      </c>
      <c r="BU53" s="816"/>
      <c r="BV53" s="816"/>
      <c r="BW53" s="816"/>
      <c r="BX53" s="609"/>
      <c r="BY53" s="609"/>
      <c r="BZ53" s="609"/>
      <c r="CA53" s="818"/>
      <c r="CB53" s="816"/>
      <c r="CC53" s="816"/>
      <c r="CD53" s="816"/>
      <c r="CE53" s="816"/>
      <c r="CF53" s="816"/>
      <c r="CG53" s="816"/>
      <c r="CH53" s="816"/>
      <c r="CI53" s="816"/>
      <c r="CJ53" s="819"/>
      <c r="CK53" s="819"/>
      <c r="CL53" s="820"/>
      <c r="CM53" s="820"/>
      <c r="CN53" s="820"/>
      <c r="CO53" s="820"/>
      <c r="CP53" s="820"/>
      <c r="CQ53" s="820"/>
      <c r="CR53" s="609"/>
      <c r="CS53" s="609"/>
      <c r="CT53" s="816"/>
      <c r="CU53" s="816"/>
      <c r="CV53" s="609"/>
      <c r="CW53" s="609"/>
      <c r="CX53" s="816"/>
      <c r="CY53" s="816"/>
      <c r="CZ53" s="609"/>
      <c r="DA53" s="609"/>
      <c r="DB53" s="816"/>
      <c r="DC53" s="816"/>
      <c r="DD53" s="609"/>
      <c r="DE53" s="609"/>
      <c r="DF53" s="816"/>
      <c r="DG53" s="816"/>
      <c r="DH53" s="816"/>
      <c r="DI53" s="816"/>
      <c r="DJ53" s="816"/>
      <c r="DK53" s="816"/>
      <c r="DL53" s="609"/>
      <c r="DM53" s="609"/>
      <c r="DN53" s="816"/>
      <c r="DO53" s="816"/>
      <c r="DP53" s="609"/>
      <c r="DQ53" s="609"/>
      <c r="DR53" s="816"/>
      <c r="DS53" s="816"/>
      <c r="DT53" s="816"/>
      <c r="DU53" s="816"/>
      <c r="DV53" s="816"/>
      <c r="DW53" s="816"/>
      <c r="DX53" s="816"/>
      <c r="DY53" s="816"/>
      <c r="DZ53" s="816"/>
      <c r="EA53" s="816"/>
      <c r="EB53" s="816"/>
      <c r="EC53" s="816"/>
      <c r="ED53" s="816"/>
      <c r="EE53" s="816"/>
      <c r="EF53" s="609"/>
      <c r="EG53" s="609"/>
      <c r="EH53" s="816"/>
      <c r="EI53" s="816"/>
      <c r="EJ53" s="816"/>
      <c r="EK53" s="816"/>
      <c r="EL53" s="816"/>
      <c r="EM53" s="816"/>
      <c r="EN53" s="816"/>
      <c r="EO53" s="816"/>
      <c r="EP53" s="816"/>
      <c r="EQ53" s="816"/>
      <c r="ER53" s="816"/>
      <c r="ES53" s="816"/>
      <c r="ET53" s="816"/>
      <c r="EU53" s="816"/>
      <c r="EV53" s="609"/>
      <c r="EW53" s="609"/>
      <c r="EX53" s="816"/>
      <c r="EY53" s="816"/>
      <c r="EZ53" s="816"/>
      <c r="FA53" s="816"/>
      <c r="FB53" s="816"/>
      <c r="FC53" s="816"/>
      <c r="FD53" s="816"/>
      <c r="FE53" s="816"/>
      <c r="FF53" s="816"/>
      <c r="FG53" s="816"/>
      <c r="FH53" s="816"/>
      <c r="FI53" s="816"/>
      <c r="FJ53" s="816"/>
      <c r="FK53" s="816"/>
      <c r="FL53" s="816"/>
      <c r="FM53" s="816"/>
      <c r="FN53" s="816"/>
      <c r="FO53" s="816"/>
      <c r="FP53" s="816"/>
      <c r="FQ53" s="816"/>
      <c r="FR53" s="816"/>
      <c r="FS53" s="816"/>
      <c r="FT53" s="816"/>
      <c r="FU53" s="816"/>
      <c r="FV53" s="816"/>
      <c r="FW53" s="816"/>
      <c r="FX53" s="816"/>
      <c r="FY53" s="816"/>
      <c r="FZ53" s="819"/>
      <c r="GA53" s="816"/>
      <c r="GB53" s="820"/>
      <c r="GC53" s="820"/>
      <c r="GD53" s="820"/>
      <c r="GE53" s="820"/>
      <c r="GF53" s="1054"/>
      <c r="GG53" s="609"/>
      <c r="GH53" s="816"/>
      <c r="GI53" s="816"/>
      <c r="GJ53" s="816"/>
      <c r="GK53" s="816"/>
      <c r="GL53" s="816"/>
      <c r="GM53" s="816"/>
      <c r="GN53" s="816"/>
      <c r="GO53" s="816"/>
      <c r="GP53" s="816"/>
      <c r="GQ53" s="816"/>
      <c r="GR53" s="827">
        <v>2000</v>
      </c>
      <c r="GS53" s="749">
        <v>0</v>
      </c>
      <c r="GT53" s="818"/>
      <c r="GU53" s="816"/>
      <c r="GV53" s="816"/>
      <c r="GW53" s="816"/>
      <c r="GX53" s="816"/>
      <c r="GY53" s="816"/>
      <c r="GZ53" s="816"/>
      <c r="HA53" s="816"/>
      <c r="HB53" s="609"/>
      <c r="HC53" s="609"/>
      <c r="HD53" s="816"/>
      <c r="HE53" s="816"/>
      <c r="HF53" s="816"/>
      <c r="HG53" s="816"/>
      <c r="HH53" s="816"/>
      <c r="HI53" s="816"/>
      <c r="HJ53" s="609"/>
      <c r="HK53" s="609"/>
      <c r="HL53" s="609"/>
      <c r="HM53" s="816"/>
      <c r="HN53" s="816"/>
      <c r="HO53" s="609"/>
      <c r="HP53" s="609"/>
      <c r="HQ53" s="816"/>
      <c r="HR53" s="816"/>
      <c r="HS53" s="816"/>
      <c r="HT53" s="816"/>
      <c r="HU53" s="816"/>
      <c r="HV53" s="816"/>
      <c r="HW53" s="609"/>
      <c r="HX53" s="609"/>
      <c r="HY53" s="816"/>
      <c r="HZ53" s="816"/>
      <c r="IA53" s="816"/>
      <c r="IB53" s="816"/>
      <c r="IC53" s="816"/>
      <c r="ID53" s="816"/>
      <c r="IE53" s="609"/>
      <c r="IF53" s="609"/>
      <c r="IG53" s="816"/>
      <c r="IH53" s="816"/>
      <c r="II53" s="609"/>
      <c r="IJ53" s="609"/>
      <c r="IK53" s="816"/>
      <c r="IL53" s="816"/>
      <c r="IM53" s="609"/>
      <c r="IN53" s="609"/>
      <c r="IO53" s="816"/>
      <c r="IP53" s="816"/>
      <c r="IQ53" s="816"/>
      <c r="IR53" s="816"/>
      <c r="IS53" s="816"/>
      <c r="IT53" s="816"/>
      <c r="IU53" s="821"/>
      <c r="IV53" s="609"/>
      <c r="IW53" s="816"/>
      <c r="IX53" s="816"/>
      <c r="IY53" s="822"/>
      <c r="IZ53" s="609"/>
      <c r="JA53" s="816"/>
      <c r="JB53" s="816"/>
      <c r="JC53" s="609"/>
      <c r="JD53" s="816"/>
      <c r="JE53" s="816"/>
      <c r="JF53" s="816"/>
      <c r="JG53" s="816"/>
      <c r="JH53" s="816"/>
      <c r="JI53" s="816"/>
      <c r="JJ53" s="816"/>
      <c r="JK53" s="816"/>
      <c r="JL53" s="816"/>
      <c r="JM53" s="816"/>
      <c r="JN53" s="816"/>
      <c r="JO53" s="823"/>
      <c r="JP53" s="824"/>
      <c r="JQ53" s="825"/>
      <c r="JR53" s="825"/>
      <c r="JS53" s="816"/>
      <c r="JU53" s="826"/>
      <c r="JV53" s="826"/>
      <c r="JW53" s="826"/>
      <c r="JX53" s="826"/>
    </row>
    <row r="54" spans="2:284" s="780" customFormat="1" ht="13.5" customHeight="1">
      <c r="B54" s="609"/>
      <c r="C54" s="609"/>
      <c r="D54" s="609"/>
      <c r="E54" s="609"/>
      <c r="F54" s="609"/>
      <c r="G54" s="609"/>
      <c r="H54" s="609"/>
      <c r="I54" s="609"/>
      <c r="J54" s="609"/>
      <c r="K54" s="609"/>
      <c r="L54" s="609"/>
      <c r="M54" s="609"/>
      <c r="N54" s="609"/>
      <c r="O54" s="609"/>
      <c r="P54" s="609"/>
      <c r="Q54" s="609"/>
      <c r="R54" s="609"/>
      <c r="S54" s="609"/>
      <c r="T54" s="609"/>
      <c r="U54" s="609"/>
      <c r="V54" s="609"/>
      <c r="W54" s="609"/>
      <c r="X54" s="609"/>
      <c r="Y54" s="609"/>
      <c r="Z54" s="609"/>
      <c r="AA54" s="609"/>
      <c r="AB54" s="609"/>
      <c r="AC54" s="609"/>
      <c r="AD54" s="816"/>
      <c r="AE54" s="816"/>
      <c r="AF54" s="816"/>
      <c r="AG54" s="816"/>
      <c r="AH54" s="816"/>
      <c r="AI54" s="816"/>
      <c r="AJ54" s="609"/>
      <c r="AK54" s="609"/>
      <c r="AL54" s="816"/>
      <c r="AM54" s="816"/>
      <c r="AN54" s="609"/>
      <c r="AO54" s="609"/>
      <c r="AP54" s="816"/>
      <c r="AQ54" s="816"/>
      <c r="AR54" s="816"/>
      <c r="AS54" s="816"/>
      <c r="AT54" s="816"/>
      <c r="AU54" s="816"/>
      <c r="AV54" s="609"/>
      <c r="AW54" s="609"/>
      <c r="AX54" s="816"/>
      <c r="AY54" s="816"/>
      <c r="AZ54" s="817"/>
      <c r="BA54" s="609"/>
      <c r="BB54" s="609"/>
      <c r="BC54" s="816"/>
      <c r="BD54" s="816"/>
      <c r="BE54" s="1104">
        <v>50</v>
      </c>
      <c r="BF54" s="1106">
        <f t="shared" ref="BF54" si="170">COUNTIF($BF$8:$BF$40,BE54)</f>
        <v>6</v>
      </c>
      <c r="BG54" s="816"/>
      <c r="BH54" s="816"/>
      <c r="BI54" s="816"/>
      <c r="BJ54" s="816"/>
      <c r="BK54" s="816"/>
      <c r="BL54" s="816"/>
      <c r="BM54" s="816"/>
      <c r="BN54" s="816"/>
      <c r="BO54" s="816"/>
      <c r="BP54" s="816"/>
      <c r="BQ54" s="816"/>
      <c r="BR54" s="816"/>
      <c r="BS54" s="816"/>
      <c r="BT54" s="816"/>
      <c r="BU54" s="816"/>
      <c r="BV54" s="816"/>
      <c r="BW54" s="816"/>
      <c r="BX54" s="609"/>
      <c r="BY54" s="609"/>
      <c r="BZ54" s="609"/>
      <c r="CA54" s="818"/>
      <c r="CB54" s="816"/>
      <c r="CC54" s="816"/>
      <c r="CD54" s="816"/>
      <c r="CE54" s="816"/>
      <c r="CF54" s="816"/>
      <c r="CG54" s="816"/>
      <c r="CH54" s="816"/>
      <c r="CI54" s="816"/>
      <c r="CJ54" s="819"/>
      <c r="CK54" s="819"/>
      <c r="CL54" s="820"/>
      <c r="CM54" s="820"/>
      <c r="CN54" s="820"/>
      <c r="CO54" s="820"/>
      <c r="CP54" s="820"/>
      <c r="CQ54" s="820"/>
      <c r="CR54" s="609"/>
      <c r="CS54" s="609"/>
      <c r="CT54" s="816"/>
      <c r="CU54" s="816"/>
      <c r="CV54" s="609"/>
      <c r="CW54" s="609"/>
      <c r="CX54" s="816"/>
      <c r="CY54" s="816"/>
      <c r="CZ54" s="609"/>
      <c r="DA54" s="609"/>
      <c r="DB54" s="816"/>
      <c r="DC54" s="816"/>
      <c r="DD54" s="609"/>
      <c r="DE54" s="609"/>
      <c r="DF54" s="816"/>
      <c r="DG54" s="816"/>
      <c r="DH54" s="816"/>
      <c r="DI54" s="816"/>
      <c r="DJ54" s="816"/>
      <c r="DK54" s="816"/>
      <c r="DL54" s="609"/>
      <c r="DM54" s="609"/>
      <c r="DN54" s="816"/>
      <c r="DO54" s="816"/>
      <c r="DP54" s="609"/>
      <c r="DQ54" s="609"/>
      <c r="DR54" s="816"/>
      <c r="DS54" s="816"/>
      <c r="DT54" s="816"/>
      <c r="DU54" s="816"/>
      <c r="DV54" s="816"/>
      <c r="DW54" s="816"/>
      <c r="DX54" s="816"/>
      <c r="DY54" s="816"/>
      <c r="DZ54" s="816"/>
      <c r="EA54" s="816"/>
      <c r="EB54" s="816"/>
      <c r="EC54" s="816"/>
      <c r="ED54" s="816"/>
      <c r="EE54" s="816"/>
      <c r="EF54" s="609"/>
      <c r="EG54" s="609"/>
      <c r="EH54" s="816"/>
      <c r="EI54" s="816"/>
      <c r="EJ54" s="816"/>
      <c r="EK54" s="816"/>
      <c r="EL54" s="816"/>
      <c r="EM54" s="816"/>
      <c r="EN54" s="816"/>
      <c r="EO54" s="816"/>
      <c r="EP54" s="816"/>
      <c r="EQ54" s="816"/>
      <c r="ER54" s="816"/>
      <c r="ES54" s="816"/>
      <c r="ET54" s="816"/>
      <c r="EU54" s="816"/>
      <c r="EV54" s="609"/>
      <c r="EW54" s="609"/>
      <c r="EX54" s="816"/>
      <c r="EY54" s="816"/>
      <c r="EZ54" s="816"/>
      <c r="FA54" s="816"/>
      <c r="FB54" s="816"/>
      <c r="FC54" s="816"/>
      <c r="FD54" s="816"/>
      <c r="FE54" s="816"/>
      <c r="FF54" s="816"/>
      <c r="FG54" s="816"/>
      <c r="FH54" s="816"/>
      <c r="FI54" s="816"/>
      <c r="FJ54" s="816"/>
      <c r="FK54" s="816"/>
      <c r="FL54" s="816"/>
      <c r="FM54" s="816"/>
      <c r="FN54" s="816"/>
      <c r="FO54" s="816"/>
      <c r="FP54" s="816"/>
      <c r="FQ54" s="816"/>
      <c r="FR54" s="816"/>
      <c r="FS54" s="816"/>
      <c r="FT54" s="816"/>
      <c r="FU54" s="816"/>
      <c r="FV54" s="816"/>
      <c r="FW54" s="816"/>
      <c r="FX54" s="816"/>
      <c r="FY54" s="816"/>
      <c r="FZ54" s="819"/>
      <c r="GA54" s="816"/>
      <c r="GB54" s="820"/>
      <c r="GC54" s="820"/>
      <c r="GD54" s="820"/>
      <c r="GE54" s="820"/>
      <c r="GF54" s="1054"/>
      <c r="GG54" s="609"/>
      <c r="GH54" s="816"/>
      <c r="GI54" s="816"/>
      <c r="GJ54" s="816"/>
      <c r="GK54" s="816"/>
      <c r="GL54" s="816"/>
      <c r="GM54" s="816"/>
      <c r="GN54" s="816"/>
      <c r="GO54" s="816"/>
      <c r="GP54" s="816"/>
      <c r="GQ54" s="816"/>
      <c r="GR54" s="827">
        <v>3000</v>
      </c>
      <c r="GS54" s="749">
        <v>0</v>
      </c>
      <c r="GT54" s="818"/>
      <c r="GU54" s="816"/>
      <c r="GV54" s="816"/>
      <c r="GW54" s="816"/>
      <c r="GX54" s="816"/>
      <c r="GY54" s="816"/>
      <c r="GZ54" s="816"/>
      <c r="HA54" s="816"/>
      <c r="HB54" s="609"/>
      <c r="HC54" s="609"/>
      <c r="HD54" s="816"/>
      <c r="HE54" s="816"/>
      <c r="HF54" s="816"/>
      <c r="HG54" s="816"/>
      <c r="HH54" s="816"/>
      <c r="HI54" s="816"/>
      <c r="HJ54" s="609"/>
      <c r="HK54" s="609"/>
      <c r="HL54" s="609"/>
      <c r="HM54" s="816"/>
      <c r="HN54" s="816"/>
      <c r="HO54" s="609"/>
      <c r="HP54" s="609"/>
      <c r="HQ54" s="816"/>
      <c r="HR54" s="816"/>
      <c r="HS54" s="816"/>
      <c r="HT54" s="816"/>
      <c r="HU54" s="816"/>
      <c r="HV54" s="816"/>
      <c r="HW54" s="609"/>
      <c r="HX54" s="609"/>
      <c r="HY54" s="816"/>
      <c r="HZ54" s="816"/>
      <c r="IA54" s="816"/>
      <c r="IB54" s="816"/>
      <c r="IC54" s="816"/>
      <c r="ID54" s="816"/>
      <c r="IE54" s="609"/>
      <c r="IF54" s="609"/>
      <c r="IG54" s="816"/>
      <c r="IH54" s="816"/>
      <c r="II54" s="609"/>
      <c r="IJ54" s="609"/>
      <c r="IK54" s="816"/>
      <c r="IL54" s="816"/>
      <c r="IM54" s="609"/>
      <c r="IN54" s="609"/>
      <c r="IO54" s="816"/>
      <c r="IP54" s="816"/>
      <c r="IQ54" s="816"/>
      <c r="IR54" s="816"/>
      <c r="IS54" s="816"/>
      <c r="IT54" s="816"/>
      <c r="IU54" s="821"/>
      <c r="IV54" s="609"/>
      <c r="IW54" s="816"/>
      <c r="IX54" s="816"/>
      <c r="IY54" s="822"/>
      <c r="IZ54" s="609"/>
      <c r="JA54" s="816"/>
      <c r="JB54" s="816"/>
      <c r="JC54" s="609"/>
      <c r="JD54" s="816"/>
      <c r="JE54" s="816"/>
      <c r="JF54" s="816"/>
      <c r="JG54" s="816"/>
      <c r="JH54" s="816"/>
      <c r="JI54" s="816"/>
      <c r="JJ54" s="816"/>
      <c r="JK54" s="816"/>
      <c r="JL54" s="816"/>
      <c r="JM54" s="816"/>
      <c r="JN54" s="816"/>
      <c r="JO54" s="823"/>
      <c r="JP54" s="824"/>
      <c r="JQ54" s="825"/>
      <c r="JR54" s="825"/>
      <c r="JS54" s="816"/>
      <c r="JU54" s="826"/>
      <c r="JV54" s="826"/>
      <c r="JW54" s="826"/>
      <c r="JX54" s="826"/>
    </row>
    <row r="55" spans="2:284" s="780" customFormat="1">
      <c r="B55" s="609"/>
      <c r="C55" s="609"/>
      <c r="D55" s="609"/>
      <c r="E55" s="609"/>
      <c r="F55" s="609"/>
      <c r="G55" s="609"/>
      <c r="H55" s="609"/>
      <c r="I55" s="609"/>
      <c r="J55" s="609"/>
      <c r="K55" s="609"/>
      <c r="L55" s="609"/>
      <c r="M55" s="609"/>
      <c r="N55" s="609"/>
      <c r="O55" s="609"/>
      <c r="P55" s="609"/>
      <c r="Q55" s="609"/>
      <c r="R55" s="609"/>
      <c r="S55" s="609"/>
      <c r="T55" s="609"/>
      <c r="U55" s="609"/>
      <c r="V55" s="609"/>
      <c r="W55" s="609"/>
      <c r="X55" s="609"/>
      <c r="Y55" s="609"/>
      <c r="Z55" s="609"/>
      <c r="AA55" s="609"/>
      <c r="AB55" s="609"/>
      <c r="AC55" s="609"/>
      <c r="AD55" s="816"/>
      <c r="AE55" s="816"/>
      <c r="AF55" s="816"/>
      <c r="AG55" s="816"/>
      <c r="AH55" s="816"/>
      <c r="AI55" s="816"/>
      <c r="AJ55" s="609"/>
      <c r="AK55" s="609"/>
      <c r="AL55" s="816"/>
      <c r="AM55" s="816"/>
      <c r="AN55" s="609"/>
      <c r="AO55" s="609"/>
      <c r="AP55" s="816"/>
      <c r="AQ55" s="816"/>
      <c r="AR55" s="816"/>
      <c r="AS55" s="816"/>
      <c r="AT55" s="816"/>
      <c r="AU55" s="816"/>
      <c r="AV55" s="609"/>
      <c r="AW55" s="609"/>
      <c r="AX55" s="816"/>
      <c r="AY55" s="816"/>
      <c r="AZ55" s="817"/>
      <c r="BA55" s="609"/>
      <c r="BB55" s="609"/>
      <c r="BC55" s="816"/>
      <c r="BD55" s="816"/>
      <c r="BE55" s="816"/>
      <c r="BF55" s="816"/>
      <c r="BG55" s="816"/>
      <c r="BH55" s="816"/>
      <c r="BI55" s="816"/>
      <c r="BJ55" s="816"/>
      <c r="BK55" s="816"/>
      <c r="BL55" s="816"/>
      <c r="BM55" s="816"/>
      <c r="BN55" s="816"/>
      <c r="BO55" s="816"/>
      <c r="BP55" s="816"/>
      <c r="BQ55" s="816"/>
      <c r="BR55" s="816"/>
      <c r="BS55" s="816"/>
      <c r="BT55" s="816"/>
      <c r="BU55" s="816"/>
      <c r="BV55" s="816"/>
      <c r="BW55" s="816"/>
      <c r="BX55" s="609"/>
      <c r="BY55" s="609"/>
      <c r="BZ55" s="609"/>
      <c r="CA55" s="818"/>
      <c r="CB55" s="816"/>
      <c r="CC55" s="816"/>
      <c r="CD55" s="816"/>
      <c r="CE55" s="816"/>
      <c r="CF55" s="816"/>
      <c r="CG55" s="816"/>
      <c r="CH55" s="816"/>
      <c r="CI55" s="816"/>
      <c r="CJ55" s="819"/>
      <c r="CK55" s="819"/>
      <c r="CL55" s="820"/>
      <c r="CM55" s="820"/>
      <c r="CN55" s="820"/>
      <c r="CO55" s="820"/>
      <c r="CP55" s="820"/>
      <c r="CQ55" s="820"/>
      <c r="CR55" s="609"/>
      <c r="CS55" s="609"/>
      <c r="CT55" s="816"/>
      <c r="CU55" s="816"/>
      <c r="CV55" s="609"/>
      <c r="CW55" s="609"/>
      <c r="CX55" s="816"/>
      <c r="CY55" s="816"/>
      <c r="CZ55" s="609"/>
      <c r="DA55" s="609"/>
      <c r="DB55" s="816"/>
      <c r="DC55" s="816"/>
      <c r="DD55" s="609"/>
      <c r="DE55" s="609"/>
      <c r="DF55" s="816"/>
      <c r="DG55" s="816"/>
      <c r="DH55" s="816"/>
      <c r="DI55" s="816"/>
      <c r="DJ55" s="816"/>
      <c r="DK55" s="816"/>
      <c r="DL55" s="609"/>
      <c r="DM55" s="609"/>
      <c r="DN55" s="816"/>
      <c r="DO55" s="816"/>
      <c r="DP55" s="609"/>
      <c r="DQ55" s="609"/>
      <c r="DR55" s="816"/>
      <c r="DS55" s="816"/>
      <c r="DT55" s="816"/>
      <c r="DU55" s="816"/>
      <c r="DV55" s="816"/>
      <c r="DW55" s="816"/>
      <c r="DX55" s="816"/>
      <c r="DY55" s="816"/>
      <c r="DZ55" s="816"/>
      <c r="EA55" s="816"/>
      <c r="EB55" s="816"/>
      <c r="EC55" s="816"/>
      <c r="ED55" s="816"/>
      <c r="EE55" s="816"/>
      <c r="EF55" s="609"/>
      <c r="EG55" s="609"/>
      <c r="EH55" s="816"/>
      <c r="EI55" s="816"/>
      <c r="EJ55" s="816"/>
      <c r="EK55" s="816"/>
      <c r="EL55" s="816"/>
      <c r="EM55" s="816"/>
      <c r="EN55" s="816"/>
      <c r="EO55" s="816"/>
      <c r="EP55" s="816"/>
      <c r="EQ55" s="816"/>
      <c r="ER55" s="816"/>
      <c r="ES55" s="816"/>
      <c r="ET55" s="816"/>
      <c r="EU55" s="816"/>
      <c r="EV55" s="609"/>
      <c r="EW55" s="609"/>
      <c r="EX55" s="816"/>
      <c r="EY55" s="816"/>
      <c r="EZ55" s="816"/>
      <c r="FA55" s="816"/>
      <c r="FB55" s="816"/>
      <c r="FC55" s="816"/>
      <c r="FD55" s="816"/>
      <c r="FE55" s="816"/>
      <c r="FF55" s="816"/>
      <c r="FG55" s="816"/>
      <c r="FH55" s="816"/>
      <c r="FI55" s="816"/>
      <c r="FJ55" s="816"/>
      <c r="FK55" s="816"/>
      <c r="FL55" s="816"/>
      <c r="FM55" s="816"/>
      <c r="FN55" s="816"/>
      <c r="FO55" s="816"/>
      <c r="FP55" s="816"/>
      <c r="FQ55" s="816"/>
      <c r="FR55" s="816"/>
      <c r="FS55" s="816"/>
      <c r="FT55" s="816"/>
      <c r="FU55" s="816"/>
      <c r="FV55" s="816"/>
      <c r="FW55" s="816"/>
      <c r="FX55" s="816"/>
      <c r="FY55" s="816"/>
      <c r="FZ55" s="819"/>
      <c r="GA55" s="816"/>
      <c r="GB55" s="820"/>
      <c r="GC55" s="820"/>
      <c r="GD55" s="820"/>
      <c r="GE55" s="820"/>
      <c r="GF55" s="1054"/>
      <c r="GG55" s="609"/>
      <c r="GH55" s="816"/>
      <c r="GI55" s="816"/>
      <c r="GJ55" s="816"/>
      <c r="GK55" s="816"/>
      <c r="GL55" s="816"/>
      <c r="GM55" s="816"/>
      <c r="GN55" s="816"/>
      <c r="GO55" s="816"/>
      <c r="GP55" s="816"/>
      <c r="GQ55" s="816"/>
      <c r="GR55" s="827">
        <v>4000</v>
      </c>
      <c r="GS55" s="749">
        <v>0</v>
      </c>
      <c r="GT55" s="818"/>
      <c r="GU55" s="816"/>
      <c r="GV55" s="816"/>
      <c r="GW55" s="816"/>
      <c r="GX55" s="816"/>
      <c r="GY55" s="816"/>
      <c r="GZ55" s="816"/>
      <c r="HA55" s="816"/>
      <c r="HB55" s="609"/>
      <c r="HC55" s="609"/>
      <c r="HD55" s="816"/>
      <c r="HE55" s="816"/>
      <c r="HF55" s="816"/>
      <c r="HG55" s="816"/>
      <c r="HH55" s="816"/>
      <c r="HI55" s="816"/>
      <c r="HJ55" s="609"/>
      <c r="HK55" s="609"/>
      <c r="HL55" s="609"/>
      <c r="HM55" s="816"/>
      <c r="HN55" s="816"/>
      <c r="HO55" s="609"/>
      <c r="HP55" s="609"/>
      <c r="HQ55" s="816"/>
      <c r="HR55" s="816"/>
      <c r="HS55" s="816"/>
      <c r="HT55" s="816"/>
      <c r="HU55" s="816"/>
      <c r="HV55" s="816"/>
      <c r="HW55" s="609"/>
      <c r="HX55" s="609"/>
      <c r="HY55" s="816"/>
      <c r="HZ55" s="816"/>
      <c r="IA55" s="816"/>
      <c r="IB55" s="816"/>
      <c r="IC55" s="816"/>
      <c r="ID55" s="816"/>
      <c r="IE55" s="609"/>
      <c r="IF55" s="609"/>
      <c r="IG55" s="816"/>
      <c r="IH55" s="816"/>
      <c r="II55" s="609"/>
      <c r="IJ55" s="609"/>
      <c r="IK55" s="816"/>
      <c r="IL55" s="816"/>
      <c r="IM55" s="609"/>
      <c r="IN55" s="609"/>
      <c r="IO55" s="816"/>
      <c r="IP55" s="816"/>
      <c r="IQ55" s="816"/>
      <c r="IR55" s="816"/>
      <c r="IS55" s="816"/>
      <c r="IT55" s="816"/>
      <c r="IU55" s="821"/>
      <c r="IV55" s="609"/>
      <c r="IW55" s="816"/>
      <c r="IX55" s="816"/>
      <c r="IY55" s="822"/>
      <c r="IZ55" s="609"/>
      <c r="JA55" s="816"/>
      <c r="JB55" s="816"/>
      <c r="JC55" s="609"/>
      <c r="JD55" s="816"/>
      <c r="JE55" s="816"/>
      <c r="JF55" s="816"/>
      <c r="JG55" s="816"/>
      <c r="JH55" s="816"/>
      <c r="JI55" s="816"/>
      <c r="JJ55" s="816"/>
      <c r="JK55" s="816"/>
      <c r="JL55" s="816"/>
      <c r="JM55" s="816"/>
      <c r="JN55" s="816"/>
      <c r="JO55" s="823"/>
      <c r="JP55" s="824"/>
      <c r="JQ55" s="825"/>
      <c r="JR55" s="825"/>
      <c r="JS55" s="816"/>
      <c r="JU55" s="826"/>
      <c r="JV55" s="826"/>
      <c r="JW55" s="826"/>
      <c r="JX55" s="826"/>
    </row>
    <row r="56" spans="2:284" s="780" customFormat="1">
      <c r="B56" s="609"/>
      <c r="C56" s="609"/>
      <c r="D56" s="609"/>
      <c r="E56" s="609"/>
      <c r="F56" s="609"/>
      <c r="G56" s="609"/>
      <c r="H56" s="609"/>
      <c r="I56" s="609"/>
      <c r="J56" s="609"/>
      <c r="K56" s="609"/>
      <c r="L56" s="609"/>
      <c r="M56" s="609"/>
      <c r="N56" s="609"/>
      <c r="O56" s="609"/>
      <c r="P56" s="609"/>
      <c r="Q56" s="609"/>
      <c r="R56" s="609"/>
      <c r="S56" s="609"/>
      <c r="T56" s="609"/>
      <c r="U56" s="609"/>
      <c r="V56" s="609"/>
      <c r="W56" s="609"/>
      <c r="X56" s="609"/>
      <c r="Y56" s="609"/>
      <c r="Z56" s="609"/>
      <c r="AA56" s="609"/>
      <c r="AB56" s="609"/>
      <c r="AC56" s="609"/>
      <c r="AD56" s="816"/>
      <c r="AE56" s="816"/>
      <c r="AF56" s="816"/>
      <c r="AG56" s="816"/>
      <c r="AH56" s="816"/>
      <c r="AI56" s="816"/>
      <c r="AJ56" s="609"/>
      <c r="AK56" s="609"/>
      <c r="AL56" s="816"/>
      <c r="AM56" s="816"/>
      <c r="AN56" s="609"/>
      <c r="AO56" s="609"/>
      <c r="AP56" s="816"/>
      <c r="AQ56" s="816"/>
      <c r="AR56" s="816"/>
      <c r="AS56" s="816"/>
      <c r="AT56" s="816"/>
      <c r="AU56" s="816"/>
      <c r="AV56" s="609"/>
      <c r="AW56" s="609"/>
      <c r="AX56" s="816"/>
      <c r="AY56" s="816"/>
      <c r="AZ56" s="817"/>
      <c r="BA56" s="609"/>
      <c r="BB56" s="609"/>
      <c r="BC56" s="816"/>
      <c r="BD56" s="816"/>
      <c r="BE56" s="816"/>
      <c r="BF56" s="816"/>
      <c r="BG56" s="816"/>
      <c r="BH56" s="816"/>
      <c r="BI56" s="816"/>
      <c r="BJ56" s="816"/>
      <c r="BK56" s="816"/>
      <c r="BL56" s="816"/>
      <c r="BM56" s="816"/>
      <c r="BN56" s="816"/>
      <c r="BO56" s="816"/>
      <c r="BP56" s="816"/>
      <c r="BQ56" s="816"/>
      <c r="BR56" s="816"/>
      <c r="BS56" s="816"/>
      <c r="BT56" s="816"/>
      <c r="BU56" s="816"/>
      <c r="BV56" s="816"/>
      <c r="BW56" s="816"/>
      <c r="BX56" s="609"/>
      <c r="BY56" s="609"/>
      <c r="BZ56" s="609"/>
      <c r="CA56" s="818"/>
      <c r="CB56" s="816"/>
      <c r="CC56" s="816"/>
      <c r="CD56" s="816"/>
      <c r="CE56" s="816"/>
      <c r="CF56" s="816"/>
      <c r="CG56" s="816"/>
      <c r="CH56" s="816"/>
      <c r="CI56" s="816"/>
      <c r="CJ56" s="819"/>
      <c r="CK56" s="819"/>
      <c r="CL56" s="820"/>
      <c r="CM56" s="820"/>
      <c r="CN56" s="820"/>
      <c r="CO56" s="820"/>
      <c r="CP56" s="820"/>
      <c r="CQ56" s="820"/>
      <c r="CR56" s="609"/>
      <c r="CS56" s="609"/>
      <c r="CT56" s="816"/>
      <c r="CU56" s="816"/>
      <c r="CV56" s="609"/>
      <c r="CW56" s="609"/>
      <c r="CX56" s="816"/>
      <c r="CY56" s="816"/>
      <c r="CZ56" s="609"/>
      <c r="DA56" s="609"/>
      <c r="DB56" s="816"/>
      <c r="DC56" s="816"/>
      <c r="DD56" s="609"/>
      <c r="DE56" s="609"/>
      <c r="DF56" s="816"/>
      <c r="DG56" s="816"/>
      <c r="DH56" s="816"/>
      <c r="DI56" s="816"/>
      <c r="DJ56" s="816"/>
      <c r="DK56" s="816"/>
      <c r="DL56" s="609"/>
      <c r="DM56" s="609"/>
      <c r="DN56" s="816"/>
      <c r="DO56" s="816"/>
      <c r="DP56" s="609"/>
      <c r="DQ56" s="609"/>
      <c r="DR56" s="816"/>
      <c r="DS56" s="816"/>
      <c r="DT56" s="816"/>
      <c r="DU56" s="816"/>
      <c r="DV56" s="816"/>
      <c r="DW56" s="816"/>
      <c r="DX56" s="816"/>
      <c r="DY56" s="816"/>
      <c r="DZ56" s="816"/>
      <c r="EA56" s="816"/>
      <c r="EB56" s="816"/>
      <c r="EC56" s="816"/>
      <c r="ED56" s="816"/>
      <c r="EE56" s="816"/>
      <c r="EF56" s="609"/>
      <c r="EG56" s="609"/>
      <c r="EH56" s="816"/>
      <c r="EI56" s="816"/>
      <c r="EJ56" s="816"/>
      <c r="EK56" s="816"/>
      <c r="EL56" s="816"/>
      <c r="EM56" s="816"/>
      <c r="EN56" s="816"/>
      <c r="EO56" s="816"/>
      <c r="EP56" s="816"/>
      <c r="EQ56" s="816"/>
      <c r="ER56" s="816"/>
      <c r="ES56" s="816"/>
      <c r="ET56" s="816"/>
      <c r="EU56" s="816"/>
      <c r="EV56" s="609"/>
      <c r="EW56" s="609"/>
      <c r="EX56" s="816"/>
      <c r="EY56" s="816"/>
      <c r="EZ56" s="816"/>
      <c r="FA56" s="816"/>
      <c r="FB56" s="816"/>
      <c r="FC56" s="816"/>
      <c r="FD56" s="816"/>
      <c r="FE56" s="816"/>
      <c r="FF56" s="816"/>
      <c r="FG56" s="816"/>
      <c r="FH56" s="816"/>
      <c r="FI56" s="816"/>
      <c r="FJ56" s="816"/>
      <c r="FK56" s="816"/>
      <c r="FL56" s="816"/>
      <c r="FM56" s="816"/>
      <c r="FN56" s="816"/>
      <c r="FO56" s="816"/>
      <c r="FP56" s="816"/>
      <c r="FQ56" s="816"/>
      <c r="FR56" s="816"/>
      <c r="FS56" s="816"/>
      <c r="FT56" s="816"/>
      <c r="FU56" s="816"/>
      <c r="FV56" s="816"/>
      <c r="FW56" s="816"/>
      <c r="FX56" s="816"/>
      <c r="FY56" s="816"/>
      <c r="FZ56" s="819"/>
      <c r="GA56" s="816"/>
      <c r="GB56" s="820"/>
      <c r="GC56" s="820"/>
      <c r="GD56" s="820"/>
      <c r="GE56" s="820"/>
      <c r="GF56" s="1054"/>
      <c r="GG56" s="609"/>
      <c r="GH56" s="816"/>
      <c r="GI56" s="816"/>
      <c r="GJ56" s="816"/>
      <c r="GK56" s="816"/>
      <c r="GL56" s="816"/>
      <c r="GM56" s="816"/>
      <c r="GN56" s="816"/>
      <c r="GO56" s="816"/>
      <c r="GP56" s="816"/>
      <c r="GQ56" s="816"/>
      <c r="GR56" s="816"/>
      <c r="GS56" s="816"/>
      <c r="GT56" s="818"/>
      <c r="GU56" s="816"/>
      <c r="GV56" s="816"/>
      <c r="GW56" s="816"/>
      <c r="GX56" s="816"/>
      <c r="GY56" s="816"/>
      <c r="GZ56" s="816"/>
      <c r="HA56" s="816"/>
      <c r="HB56" s="609"/>
      <c r="HC56" s="609"/>
      <c r="HD56" s="816"/>
      <c r="HE56" s="816"/>
      <c r="HF56" s="816"/>
      <c r="HG56" s="816"/>
      <c r="HH56" s="816"/>
      <c r="HI56" s="816"/>
      <c r="HJ56" s="609"/>
      <c r="HK56" s="609"/>
      <c r="HL56" s="609"/>
      <c r="HM56" s="816"/>
      <c r="HN56" s="816"/>
      <c r="HO56" s="609"/>
      <c r="HP56" s="609"/>
      <c r="HQ56" s="816"/>
      <c r="HR56" s="816"/>
      <c r="HS56" s="816"/>
      <c r="HT56" s="816"/>
      <c r="HU56" s="816"/>
      <c r="HV56" s="816"/>
      <c r="HW56" s="609"/>
      <c r="HX56" s="609"/>
      <c r="HY56" s="816"/>
      <c r="HZ56" s="816"/>
      <c r="IA56" s="816"/>
      <c r="IB56" s="816"/>
      <c r="IC56" s="816"/>
      <c r="ID56" s="816"/>
      <c r="IE56" s="609"/>
      <c r="IF56" s="609"/>
      <c r="IG56" s="816"/>
      <c r="IH56" s="816"/>
      <c r="II56" s="609"/>
      <c r="IJ56" s="609"/>
      <c r="IK56" s="816"/>
      <c r="IL56" s="816"/>
      <c r="IM56" s="609"/>
      <c r="IN56" s="609"/>
      <c r="IO56" s="816"/>
      <c r="IP56" s="816"/>
      <c r="IQ56" s="816"/>
      <c r="IR56" s="816"/>
      <c r="IS56" s="816"/>
      <c r="IT56" s="816"/>
      <c r="IU56" s="821"/>
      <c r="IV56" s="609"/>
      <c r="IW56" s="816"/>
      <c r="IX56" s="816"/>
      <c r="IY56" s="822"/>
      <c r="IZ56" s="609"/>
      <c r="JA56" s="816"/>
      <c r="JB56" s="816"/>
      <c r="JC56" s="609"/>
      <c r="JD56" s="816"/>
      <c r="JE56" s="816"/>
      <c r="JF56" s="816"/>
      <c r="JG56" s="816"/>
      <c r="JH56" s="816"/>
      <c r="JI56" s="816"/>
      <c r="JJ56" s="816"/>
      <c r="JK56" s="816"/>
      <c r="JL56" s="816"/>
      <c r="JM56" s="816"/>
      <c r="JN56" s="816"/>
      <c r="JO56" s="823"/>
      <c r="JP56" s="824"/>
      <c r="JQ56" s="825"/>
      <c r="JR56" s="825"/>
      <c r="JS56" s="816"/>
      <c r="JU56" s="826"/>
      <c r="JV56" s="826"/>
      <c r="JW56" s="826"/>
      <c r="JX56" s="826"/>
    </row>
    <row r="57" spans="2:284" s="780" customFormat="1">
      <c r="B57" s="609"/>
      <c r="C57" s="609"/>
      <c r="D57" s="609"/>
      <c r="E57" s="609"/>
      <c r="F57" s="609"/>
      <c r="G57" s="609"/>
      <c r="H57" s="609"/>
      <c r="I57" s="609"/>
      <c r="J57" s="609"/>
      <c r="K57" s="609"/>
      <c r="L57" s="609"/>
      <c r="M57" s="609"/>
      <c r="N57" s="609"/>
      <c r="O57" s="609"/>
      <c r="P57" s="609"/>
      <c r="Q57" s="609"/>
      <c r="R57" s="609"/>
      <c r="S57" s="609"/>
      <c r="T57" s="609"/>
      <c r="U57" s="609"/>
      <c r="V57" s="609"/>
      <c r="W57" s="609"/>
      <c r="X57" s="609"/>
      <c r="Y57" s="609"/>
      <c r="Z57" s="609"/>
      <c r="AA57" s="609"/>
      <c r="AB57" s="609"/>
      <c r="AC57" s="609"/>
      <c r="AD57" s="816"/>
      <c r="AE57" s="816"/>
      <c r="AF57" s="816"/>
      <c r="AG57" s="816"/>
      <c r="AH57" s="816"/>
      <c r="AI57" s="816"/>
      <c r="AJ57" s="609"/>
      <c r="AK57" s="609"/>
      <c r="AL57" s="816"/>
      <c r="AM57" s="816"/>
      <c r="AN57" s="609"/>
      <c r="AO57" s="609"/>
      <c r="AP57" s="816"/>
      <c r="AQ57" s="816"/>
      <c r="AR57" s="816"/>
      <c r="AS57" s="816"/>
      <c r="AT57" s="816"/>
      <c r="AU57" s="816"/>
      <c r="AV57" s="609"/>
      <c r="AW57" s="609"/>
      <c r="AX57" s="816"/>
      <c r="AY57" s="816"/>
      <c r="AZ57" s="817"/>
      <c r="BA57" s="609"/>
      <c r="BB57" s="609"/>
      <c r="BC57" s="816"/>
      <c r="BD57" s="816"/>
      <c r="BE57" s="816"/>
      <c r="BF57" s="816"/>
      <c r="BG57" s="816"/>
      <c r="BH57" s="816"/>
      <c r="BI57" s="816"/>
      <c r="BJ57" s="816"/>
      <c r="BK57" s="816"/>
      <c r="BL57" s="816"/>
      <c r="BM57" s="816"/>
      <c r="BN57" s="816"/>
      <c r="BO57" s="816"/>
      <c r="BP57" s="816"/>
      <c r="BQ57" s="816"/>
      <c r="BR57" s="816"/>
      <c r="BS57" s="816"/>
      <c r="BT57" s="816"/>
      <c r="BU57" s="816"/>
      <c r="BV57" s="816"/>
      <c r="BW57" s="816"/>
      <c r="BX57" s="609"/>
      <c r="BY57" s="609"/>
      <c r="BZ57" s="609"/>
      <c r="CA57" s="818"/>
      <c r="CB57" s="816"/>
      <c r="CC57" s="816"/>
      <c r="CD57" s="816"/>
      <c r="CE57" s="816"/>
      <c r="CF57" s="816"/>
      <c r="CG57" s="816"/>
      <c r="CH57" s="816"/>
      <c r="CI57" s="816"/>
      <c r="CJ57" s="819"/>
      <c r="CK57" s="819"/>
      <c r="CL57" s="820"/>
      <c r="CM57" s="820"/>
      <c r="CN57" s="820"/>
      <c r="CO57" s="820"/>
      <c r="CP57" s="820"/>
      <c r="CQ57" s="820"/>
      <c r="CR57" s="609"/>
      <c r="CS57" s="609"/>
      <c r="CT57" s="816"/>
      <c r="CU57" s="816"/>
      <c r="CV57" s="609"/>
      <c r="CW57" s="609"/>
      <c r="CX57" s="816"/>
      <c r="CY57" s="816"/>
      <c r="CZ57" s="609"/>
      <c r="DA57" s="609"/>
      <c r="DB57" s="816"/>
      <c r="DC57" s="816"/>
      <c r="DD57" s="609"/>
      <c r="DE57" s="609"/>
      <c r="DF57" s="816"/>
      <c r="DG57" s="816"/>
      <c r="DH57" s="816"/>
      <c r="DI57" s="816"/>
      <c r="DJ57" s="816"/>
      <c r="DK57" s="816"/>
      <c r="DL57" s="609"/>
      <c r="DM57" s="609"/>
      <c r="DN57" s="816"/>
      <c r="DO57" s="816"/>
      <c r="DP57" s="609"/>
      <c r="DQ57" s="609"/>
      <c r="DR57" s="816"/>
      <c r="DS57" s="816"/>
      <c r="DT57" s="816"/>
      <c r="DU57" s="816"/>
      <c r="DV57" s="816"/>
      <c r="DW57" s="816"/>
      <c r="DX57" s="816"/>
      <c r="DY57" s="816"/>
      <c r="DZ57" s="816"/>
      <c r="EA57" s="816"/>
      <c r="EB57" s="816"/>
      <c r="EC57" s="816"/>
      <c r="ED57" s="816"/>
      <c r="EE57" s="816"/>
      <c r="EF57" s="609"/>
      <c r="EG57" s="609"/>
      <c r="EH57" s="816"/>
      <c r="EI57" s="816"/>
      <c r="EJ57" s="816"/>
      <c r="EK57" s="816"/>
      <c r="EL57" s="816"/>
      <c r="EM57" s="816"/>
      <c r="EN57" s="816"/>
      <c r="EO57" s="816"/>
      <c r="EP57" s="816"/>
      <c r="EQ57" s="816"/>
      <c r="ER57" s="816"/>
      <c r="ES57" s="816"/>
      <c r="ET57" s="816"/>
      <c r="EU57" s="816"/>
      <c r="EV57" s="609"/>
      <c r="EW57" s="609"/>
      <c r="EX57" s="816"/>
      <c r="EY57" s="816"/>
      <c r="EZ57" s="816"/>
      <c r="FA57" s="816"/>
      <c r="FB57" s="816"/>
      <c r="FC57" s="816"/>
      <c r="FD57" s="816"/>
      <c r="FE57" s="816"/>
      <c r="FF57" s="816"/>
      <c r="FG57" s="816"/>
      <c r="FH57" s="816"/>
      <c r="FI57" s="816"/>
      <c r="FJ57" s="816"/>
      <c r="FK57" s="816"/>
      <c r="FL57" s="816"/>
      <c r="FM57" s="816"/>
      <c r="FN57" s="816"/>
      <c r="FO57" s="816"/>
      <c r="FP57" s="816"/>
      <c r="FQ57" s="816"/>
      <c r="FR57" s="816"/>
      <c r="FS57" s="816"/>
      <c r="FT57" s="816"/>
      <c r="FU57" s="816"/>
      <c r="FV57" s="816"/>
      <c r="FW57" s="816"/>
      <c r="FX57" s="816"/>
      <c r="FY57" s="816"/>
      <c r="FZ57" s="819"/>
      <c r="GA57" s="816"/>
      <c r="GB57" s="820"/>
      <c r="GC57" s="820"/>
      <c r="GD57" s="820"/>
      <c r="GE57" s="820"/>
      <c r="GF57" s="1054"/>
      <c r="GG57" s="609"/>
      <c r="GH57" s="816"/>
      <c r="GI57" s="816"/>
      <c r="GJ57" s="816"/>
      <c r="GK57" s="816"/>
      <c r="GL57" s="816"/>
      <c r="GM57" s="816"/>
      <c r="GN57" s="816"/>
      <c r="GO57" s="816"/>
      <c r="GP57" s="816"/>
      <c r="GQ57" s="816"/>
      <c r="GR57" s="816"/>
      <c r="GS57" s="816"/>
      <c r="GT57" s="818"/>
      <c r="GU57" s="816"/>
      <c r="GV57" s="816"/>
      <c r="GW57" s="816"/>
      <c r="GX57" s="816"/>
      <c r="GY57" s="816"/>
      <c r="GZ57" s="816"/>
      <c r="HA57" s="816"/>
      <c r="HB57" s="609"/>
      <c r="HC57" s="609"/>
      <c r="HD57" s="816"/>
      <c r="HE57" s="816"/>
      <c r="HF57" s="816"/>
      <c r="HG57" s="816"/>
      <c r="HH57" s="816"/>
      <c r="HI57" s="816"/>
      <c r="HJ57" s="609"/>
      <c r="HK57" s="609"/>
      <c r="HL57" s="609"/>
      <c r="HM57" s="816"/>
      <c r="HN57" s="816"/>
      <c r="HO57" s="609"/>
      <c r="HP57" s="609"/>
      <c r="HQ57" s="816"/>
      <c r="HR57" s="816"/>
      <c r="HS57" s="816"/>
      <c r="HT57" s="816"/>
      <c r="HU57" s="816"/>
      <c r="HV57" s="816"/>
      <c r="HW57" s="609"/>
      <c r="HX57" s="609"/>
      <c r="HY57" s="816"/>
      <c r="HZ57" s="816"/>
      <c r="IA57" s="816"/>
      <c r="IB57" s="816"/>
      <c r="IC57" s="816"/>
      <c r="ID57" s="816"/>
      <c r="IE57" s="609"/>
      <c r="IF57" s="609"/>
      <c r="IG57" s="816"/>
      <c r="IH57" s="816"/>
      <c r="II57" s="609"/>
      <c r="IJ57" s="609"/>
      <c r="IK57" s="816"/>
      <c r="IL57" s="816"/>
      <c r="IM57" s="609"/>
      <c r="IN57" s="609"/>
      <c r="IO57" s="816"/>
      <c r="IP57" s="816"/>
      <c r="IQ57" s="816"/>
      <c r="IR57" s="816"/>
      <c r="IS57" s="816"/>
      <c r="IT57" s="816"/>
      <c r="IU57" s="821"/>
      <c r="IV57" s="609"/>
      <c r="IW57" s="816"/>
      <c r="IX57" s="816"/>
      <c r="IY57" s="822"/>
      <c r="IZ57" s="609"/>
      <c r="JA57" s="816"/>
      <c r="JB57" s="816"/>
      <c r="JC57" s="609"/>
      <c r="JD57" s="816"/>
      <c r="JE57" s="816"/>
      <c r="JF57" s="816"/>
      <c r="JG57" s="816"/>
      <c r="JH57" s="816"/>
      <c r="JI57" s="816"/>
      <c r="JJ57" s="816"/>
      <c r="JK57" s="816"/>
      <c r="JL57" s="816"/>
      <c r="JM57" s="816"/>
      <c r="JN57" s="816"/>
      <c r="JO57" s="823"/>
      <c r="JP57" s="824"/>
      <c r="JQ57" s="825"/>
      <c r="JR57" s="825"/>
      <c r="JS57" s="816"/>
      <c r="JU57" s="826"/>
      <c r="JV57" s="826"/>
      <c r="JW57" s="826"/>
      <c r="JX57" s="826"/>
    </row>
    <row r="58" spans="2:284" s="780" customFormat="1">
      <c r="B58" s="609"/>
      <c r="C58" s="609"/>
      <c r="D58" s="609"/>
      <c r="E58" s="609"/>
      <c r="F58" s="609"/>
      <c r="G58" s="609"/>
      <c r="H58" s="609"/>
      <c r="I58" s="609"/>
      <c r="J58" s="609"/>
      <c r="K58" s="609"/>
      <c r="L58" s="609"/>
      <c r="M58" s="609"/>
      <c r="N58" s="609"/>
      <c r="O58" s="609"/>
      <c r="P58" s="609"/>
      <c r="Q58" s="609"/>
      <c r="R58" s="609"/>
      <c r="S58" s="609"/>
      <c r="T58" s="609"/>
      <c r="U58" s="609"/>
      <c r="V58" s="609"/>
      <c r="W58" s="609"/>
      <c r="X58" s="609"/>
      <c r="Y58" s="609"/>
      <c r="Z58" s="609"/>
      <c r="AA58" s="609"/>
      <c r="AB58" s="609"/>
      <c r="AC58" s="609"/>
      <c r="AD58" s="816"/>
      <c r="AE58" s="816"/>
      <c r="AF58" s="816"/>
      <c r="AG58" s="816"/>
      <c r="AH58" s="816"/>
      <c r="AI58" s="816"/>
      <c r="AJ58" s="609"/>
      <c r="AK58" s="609"/>
      <c r="AL58" s="816"/>
      <c r="AM58" s="816"/>
      <c r="AN58" s="609"/>
      <c r="AO58" s="609"/>
      <c r="AP58" s="816"/>
      <c r="AQ58" s="816"/>
      <c r="AR58" s="816"/>
      <c r="AS58" s="816"/>
      <c r="AT58" s="816"/>
      <c r="AU58" s="816"/>
      <c r="AV58" s="609"/>
      <c r="AW58" s="609"/>
      <c r="AX58" s="816"/>
      <c r="AY58" s="816"/>
      <c r="AZ58" s="817"/>
      <c r="BA58" s="609"/>
      <c r="BB58" s="609"/>
      <c r="BC58" s="816"/>
      <c r="BD58" s="816"/>
      <c r="BE58" s="816"/>
      <c r="BF58" s="816"/>
      <c r="BG58" s="816"/>
      <c r="BH58" s="816"/>
      <c r="BI58" s="816"/>
      <c r="BJ58" s="816"/>
      <c r="BK58" s="816"/>
      <c r="BL58" s="816"/>
      <c r="BM58" s="816"/>
      <c r="BN58" s="816"/>
      <c r="BO58" s="816"/>
      <c r="BP58" s="816"/>
      <c r="BQ58" s="816"/>
      <c r="BR58" s="816"/>
      <c r="BS58" s="816"/>
      <c r="BT58" s="816"/>
      <c r="BU58" s="816"/>
      <c r="BV58" s="816"/>
      <c r="BW58" s="816"/>
      <c r="BX58" s="609"/>
      <c r="BY58" s="609"/>
      <c r="BZ58" s="609"/>
      <c r="CA58" s="818"/>
      <c r="CB58" s="816"/>
      <c r="CC58" s="816"/>
      <c r="CD58" s="816"/>
      <c r="CE58" s="816"/>
      <c r="CF58" s="816"/>
      <c r="CG58" s="816"/>
      <c r="CH58" s="816"/>
      <c r="CI58" s="816"/>
      <c r="CJ58" s="819"/>
      <c r="CK58" s="819"/>
      <c r="CL58" s="820"/>
      <c r="CM58" s="820"/>
      <c r="CN58" s="820"/>
      <c r="CO58" s="820"/>
      <c r="CP58" s="820"/>
      <c r="CQ58" s="820"/>
      <c r="CR58" s="609"/>
      <c r="CS58" s="609"/>
      <c r="CT58" s="816"/>
      <c r="CU58" s="816"/>
      <c r="CV58" s="609"/>
      <c r="CW58" s="609"/>
      <c r="CX58" s="816"/>
      <c r="CY58" s="816"/>
      <c r="CZ58" s="609"/>
      <c r="DA58" s="609"/>
      <c r="DB58" s="816"/>
      <c r="DC58" s="816"/>
      <c r="DD58" s="609"/>
      <c r="DE58" s="609"/>
      <c r="DF58" s="816"/>
      <c r="DG58" s="816"/>
      <c r="DH58" s="816"/>
      <c r="DI58" s="816"/>
      <c r="DJ58" s="816"/>
      <c r="DK58" s="816"/>
      <c r="DL58" s="609"/>
      <c r="DM58" s="609"/>
      <c r="DN58" s="816"/>
      <c r="DO58" s="816"/>
      <c r="DP58" s="609"/>
      <c r="DQ58" s="609"/>
      <c r="DR58" s="816"/>
      <c r="DS58" s="816"/>
      <c r="DT58" s="816"/>
      <c r="DU58" s="816"/>
      <c r="DV58" s="816"/>
      <c r="DW58" s="816"/>
      <c r="DX58" s="816"/>
      <c r="DY58" s="816"/>
      <c r="DZ58" s="816"/>
      <c r="EA58" s="816"/>
      <c r="EB58" s="816"/>
      <c r="EC58" s="816"/>
      <c r="ED58" s="816"/>
      <c r="EE58" s="816"/>
      <c r="EF58" s="609"/>
      <c r="EG58" s="609"/>
      <c r="EH58" s="816"/>
      <c r="EI58" s="816"/>
      <c r="EJ58" s="816"/>
      <c r="EK58" s="816"/>
      <c r="EL58" s="816"/>
      <c r="EM58" s="816"/>
      <c r="EN58" s="816"/>
      <c r="EO58" s="816"/>
      <c r="EP58" s="816"/>
      <c r="EQ58" s="816"/>
      <c r="ER58" s="816"/>
      <c r="ES58" s="816"/>
      <c r="ET58" s="816"/>
      <c r="EU58" s="816"/>
      <c r="EV58" s="609"/>
      <c r="EW58" s="609"/>
      <c r="EX58" s="816"/>
      <c r="EY58" s="816"/>
      <c r="EZ58" s="816"/>
      <c r="FA58" s="816"/>
      <c r="FB58" s="816"/>
      <c r="FC58" s="816"/>
      <c r="FD58" s="816"/>
      <c r="FE58" s="816"/>
      <c r="FF58" s="816"/>
      <c r="FG58" s="816"/>
      <c r="FH58" s="816"/>
      <c r="FI58" s="816"/>
      <c r="FJ58" s="816"/>
      <c r="FK58" s="816"/>
      <c r="FL58" s="816"/>
      <c r="FM58" s="816"/>
      <c r="FN58" s="816"/>
      <c r="FO58" s="816"/>
      <c r="FP58" s="816"/>
      <c r="FQ58" s="816"/>
      <c r="FR58" s="816"/>
      <c r="FS58" s="816"/>
      <c r="FT58" s="816"/>
      <c r="FU58" s="816"/>
      <c r="FV58" s="816"/>
      <c r="FW58" s="816"/>
      <c r="FX58" s="816"/>
      <c r="FY58" s="816"/>
      <c r="FZ58" s="819"/>
      <c r="GA58" s="816"/>
      <c r="GB58" s="820"/>
      <c r="GC58" s="820"/>
      <c r="GD58" s="820"/>
      <c r="GE58" s="820"/>
      <c r="GF58" s="1054"/>
      <c r="GG58" s="609"/>
      <c r="GH58" s="816"/>
      <c r="GI58" s="816"/>
      <c r="GJ58" s="816"/>
      <c r="GK58" s="816"/>
      <c r="GL58" s="816"/>
      <c r="GM58" s="816"/>
      <c r="GN58" s="816"/>
      <c r="GO58" s="816"/>
      <c r="GP58" s="816"/>
      <c r="GQ58" s="816"/>
      <c r="GR58" s="816"/>
      <c r="GS58" s="816"/>
      <c r="GT58" s="818"/>
      <c r="GU58" s="816"/>
      <c r="GV58" s="816"/>
      <c r="GW58" s="816"/>
      <c r="GX58" s="816"/>
      <c r="GY58" s="816"/>
      <c r="GZ58" s="816"/>
      <c r="HA58" s="816"/>
      <c r="HB58" s="609"/>
      <c r="HC58" s="609"/>
      <c r="HD58" s="816"/>
      <c r="HE58" s="816"/>
      <c r="HF58" s="816"/>
      <c r="HG58" s="816"/>
      <c r="HH58" s="816"/>
      <c r="HI58" s="816"/>
      <c r="HJ58" s="609"/>
      <c r="HK58" s="609"/>
      <c r="HL58" s="609"/>
      <c r="HM58" s="816"/>
      <c r="HN58" s="816"/>
      <c r="HO58" s="609"/>
      <c r="HP58" s="609"/>
      <c r="HQ58" s="816"/>
      <c r="HR58" s="816"/>
      <c r="HS58" s="816"/>
      <c r="HT58" s="816"/>
      <c r="HU58" s="816"/>
      <c r="HV58" s="816"/>
      <c r="HW58" s="609"/>
      <c r="HX58" s="609"/>
      <c r="HY58" s="816"/>
      <c r="HZ58" s="816"/>
      <c r="IA58" s="816"/>
      <c r="IB58" s="816"/>
      <c r="IC58" s="816"/>
      <c r="ID58" s="816"/>
      <c r="IE58" s="609"/>
      <c r="IF58" s="609"/>
      <c r="IG58" s="816"/>
      <c r="IH58" s="816"/>
      <c r="II58" s="609"/>
      <c r="IJ58" s="609"/>
      <c r="IK58" s="816"/>
      <c r="IL58" s="816"/>
      <c r="IM58" s="609"/>
      <c r="IN58" s="609"/>
      <c r="IO58" s="816"/>
      <c r="IP58" s="816"/>
      <c r="IQ58" s="816"/>
      <c r="IR58" s="816"/>
      <c r="IS58" s="816"/>
      <c r="IT58" s="816"/>
      <c r="IU58" s="821"/>
      <c r="IV58" s="609"/>
      <c r="IW58" s="816"/>
      <c r="IX58" s="816"/>
      <c r="IY58" s="822"/>
      <c r="IZ58" s="609"/>
      <c r="JA58" s="816"/>
      <c r="JB58" s="816"/>
      <c r="JC58" s="609"/>
      <c r="JD58" s="816"/>
      <c r="JE58" s="816"/>
      <c r="JF58" s="816"/>
      <c r="JG58" s="816"/>
      <c r="JH58" s="816"/>
      <c r="JI58" s="816"/>
      <c r="JJ58" s="816"/>
      <c r="JK58" s="816"/>
      <c r="JL58" s="816"/>
      <c r="JM58" s="816"/>
      <c r="JN58" s="816"/>
      <c r="JO58" s="823"/>
      <c r="JP58" s="824"/>
      <c r="JQ58" s="825"/>
      <c r="JR58" s="825"/>
      <c r="JS58" s="816"/>
      <c r="JU58" s="826"/>
      <c r="JV58" s="826"/>
      <c r="JW58" s="826"/>
      <c r="JX58" s="826"/>
    </row>
    <row r="59" spans="2:284" s="780" customFormat="1">
      <c r="B59" s="609"/>
      <c r="C59" s="609"/>
      <c r="D59" s="609"/>
      <c r="E59" s="609"/>
      <c r="F59" s="609"/>
      <c r="G59" s="609"/>
      <c r="H59" s="609"/>
      <c r="I59" s="609"/>
      <c r="J59" s="609"/>
      <c r="K59" s="609"/>
      <c r="L59" s="609"/>
      <c r="M59" s="609"/>
      <c r="N59" s="609"/>
      <c r="O59" s="609"/>
      <c r="P59" s="609"/>
      <c r="Q59" s="609"/>
      <c r="R59" s="609"/>
      <c r="S59" s="609"/>
      <c r="T59" s="609"/>
      <c r="U59" s="609"/>
      <c r="V59" s="609"/>
      <c r="W59" s="609"/>
      <c r="X59" s="609"/>
      <c r="Y59" s="609"/>
      <c r="Z59" s="609"/>
      <c r="AA59" s="609"/>
      <c r="AB59" s="609"/>
      <c r="AC59" s="609"/>
      <c r="AD59" s="816"/>
      <c r="AE59" s="816"/>
      <c r="AF59" s="816"/>
      <c r="AG59" s="816"/>
      <c r="AH59" s="816"/>
      <c r="AI59" s="816"/>
      <c r="AJ59" s="609"/>
      <c r="AK59" s="609"/>
      <c r="AL59" s="816"/>
      <c r="AM59" s="816"/>
      <c r="AN59" s="609"/>
      <c r="AO59" s="609"/>
      <c r="AP59" s="816"/>
      <c r="AQ59" s="816"/>
      <c r="AR59" s="816"/>
      <c r="AS59" s="816"/>
      <c r="AT59" s="816"/>
      <c r="AU59" s="816"/>
      <c r="AV59" s="609"/>
      <c r="AW59" s="609"/>
      <c r="AX59" s="816"/>
      <c r="AY59" s="816"/>
      <c r="AZ59" s="817"/>
      <c r="BA59" s="609"/>
      <c r="BB59" s="609"/>
      <c r="BC59" s="816"/>
      <c r="BD59" s="816"/>
      <c r="BE59" s="816"/>
      <c r="BF59" s="816"/>
      <c r="BG59" s="816"/>
      <c r="BH59" s="816"/>
      <c r="BI59" s="816"/>
      <c r="BJ59" s="816"/>
      <c r="BK59" s="816"/>
      <c r="BL59" s="816"/>
      <c r="BM59" s="816"/>
      <c r="BN59" s="816"/>
      <c r="BO59" s="816"/>
      <c r="BP59" s="816"/>
      <c r="BQ59" s="816"/>
      <c r="BR59" s="816"/>
      <c r="BS59" s="816"/>
      <c r="BT59" s="816"/>
      <c r="BU59" s="816"/>
      <c r="BV59" s="816"/>
      <c r="BW59" s="816"/>
      <c r="BX59" s="609"/>
      <c r="BY59" s="609"/>
      <c r="BZ59" s="609"/>
      <c r="CA59" s="818"/>
      <c r="CB59" s="816"/>
      <c r="CC59" s="816"/>
      <c r="CD59" s="816"/>
      <c r="CE59" s="816"/>
      <c r="CF59" s="816"/>
      <c r="CG59" s="816"/>
      <c r="CH59" s="816"/>
      <c r="CI59" s="816"/>
      <c r="CJ59" s="819"/>
      <c r="CK59" s="819"/>
      <c r="CL59" s="820"/>
      <c r="CM59" s="820"/>
      <c r="CN59" s="820"/>
      <c r="CO59" s="820"/>
      <c r="CP59" s="820"/>
      <c r="CQ59" s="820"/>
      <c r="CR59" s="609"/>
      <c r="CS59" s="609"/>
      <c r="CT59" s="816"/>
      <c r="CU59" s="816"/>
      <c r="CV59" s="609"/>
      <c r="CW59" s="609"/>
      <c r="CX59" s="816"/>
      <c r="CY59" s="816"/>
      <c r="CZ59" s="609"/>
      <c r="DA59" s="609"/>
      <c r="DB59" s="816"/>
      <c r="DC59" s="816"/>
      <c r="DD59" s="609"/>
      <c r="DE59" s="609"/>
      <c r="DF59" s="816"/>
      <c r="DG59" s="816"/>
      <c r="DH59" s="816"/>
      <c r="DI59" s="816"/>
      <c r="DJ59" s="816"/>
      <c r="DK59" s="816"/>
      <c r="DL59" s="609"/>
      <c r="DM59" s="609"/>
      <c r="DN59" s="816"/>
      <c r="DO59" s="816"/>
      <c r="DP59" s="609"/>
      <c r="DQ59" s="609"/>
      <c r="DR59" s="816"/>
      <c r="DS59" s="816"/>
      <c r="DT59" s="816"/>
      <c r="DU59" s="816"/>
      <c r="DV59" s="816"/>
      <c r="DW59" s="816"/>
      <c r="DX59" s="816"/>
      <c r="DY59" s="816"/>
      <c r="DZ59" s="816"/>
      <c r="EA59" s="816"/>
      <c r="EB59" s="816"/>
      <c r="EC59" s="816"/>
      <c r="ED59" s="816"/>
      <c r="EE59" s="816"/>
      <c r="EF59" s="609"/>
      <c r="EG59" s="609"/>
      <c r="EH59" s="816"/>
      <c r="EI59" s="816"/>
      <c r="EJ59" s="816"/>
      <c r="EK59" s="816"/>
      <c r="EL59" s="816"/>
      <c r="EM59" s="816"/>
      <c r="EN59" s="816"/>
      <c r="EO59" s="816"/>
      <c r="EP59" s="816"/>
      <c r="EQ59" s="816"/>
      <c r="ER59" s="816"/>
      <c r="ES59" s="816"/>
      <c r="ET59" s="816"/>
      <c r="EU59" s="816"/>
      <c r="EV59" s="609"/>
      <c r="EW59" s="609"/>
      <c r="EX59" s="816"/>
      <c r="EY59" s="816"/>
      <c r="EZ59" s="816"/>
      <c r="FA59" s="816"/>
      <c r="FB59" s="816"/>
      <c r="FC59" s="816"/>
      <c r="FD59" s="816"/>
      <c r="FE59" s="816"/>
      <c r="FF59" s="816"/>
      <c r="FG59" s="816"/>
      <c r="FH59" s="816"/>
      <c r="FI59" s="816"/>
      <c r="FJ59" s="816"/>
      <c r="FK59" s="816"/>
      <c r="FL59" s="816"/>
      <c r="FM59" s="816"/>
      <c r="FN59" s="816"/>
      <c r="FO59" s="816"/>
      <c r="FP59" s="816"/>
      <c r="FQ59" s="816"/>
      <c r="FR59" s="816"/>
      <c r="FS59" s="816"/>
      <c r="FT59" s="816"/>
      <c r="FU59" s="816"/>
      <c r="FV59" s="816"/>
      <c r="FW59" s="816"/>
      <c r="FX59" s="816"/>
      <c r="FY59" s="816"/>
      <c r="FZ59" s="819"/>
      <c r="GA59" s="816"/>
      <c r="GB59" s="820"/>
      <c r="GC59" s="820"/>
      <c r="GD59" s="820"/>
      <c r="GE59" s="820"/>
      <c r="GF59" s="1054"/>
      <c r="GG59" s="609"/>
      <c r="GH59" s="816"/>
      <c r="GI59" s="816"/>
      <c r="GJ59" s="816"/>
      <c r="GK59" s="816"/>
      <c r="GL59" s="816"/>
      <c r="GM59" s="816"/>
      <c r="GN59" s="816"/>
      <c r="GO59" s="816"/>
      <c r="GP59" s="816"/>
      <c r="GQ59" s="816"/>
      <c r="GR59" s="816"/>
      <c r="GS59" s="816"/>
      <c r="GT59" s="818"/>
      <c r="GU59" s="816"/>
      <c r="GV59" s="816"/>
      <c r="GW59" s="816"/>
      <c r="GX59" s="816"/>
      <c r="GY59" s="816"/>
      <c r="GZ59" s="816"/>
      <c r="HA59" s="816"/>
      <c r="HB59" s="609"/>
      <c r="HC59" s="609"/>
      <c r="HD59" s="816"/>
      <c r="HE59" s="816"/>
      <c r="HF59" s="816"/>
      <c r="HG59" s="816"/>
      <c r="HH59" s="816"/>
      <c r="HI59" s="816"/>
      <c r="HJ59" s="609"/>
      <c r="HK59" s="609"/>
      <c r="HL59" s="609"/>
      <c r="HM59" s="816"/>
      <c r="HN59" s="816"/>
      <c r="HO59" s="609"/>
      <c r="HP59" s="609"/>
      <c r="HQ59" s="816"/>
      <c r="HR59" s="816"/>
      <c r="HS59" s="816"/>
      <c r="HT59" s="816"/>
      <c r="HU59" s="816"/>
      <c r="HV59" s="816"/>
      <c r="HW59" s="609"/>
      <c r="HX59" s="609"/>
      <c r="HY59" s="816"/>
      <c r="HZ59" s="816"/>
      <c r="IA59" s="816"/>
      <c r="IB59" s="816"/>
      <c r="IC59" s="816"/>
      <c r="ID59" s="816"/>
      <c r="IE59" s="609"/>
      <c r="IF59" s="609"/>
      <c r="IG59" s="816"/>
      <c r="IH59" s="816"/>
      <c r="II59" s="609"/>
      <c r="IJ59" s="609"/>
      <c r="IK59" s="816"/>
      <c r="IL59" s="816"/>
      <c r="IM59" s="609"/>
      <c r="IN59" s="609"/>
      <c r="IO59" s="816"/>
      <c r="IP59" s="816"/>
      <c r="IQ59" s="816"/>
      <c r="IR59" s="816"/>
      <c r="IS59" s="816"/>
      <c r="IT59" s="816"/>
      <c r="IU59" s="821"/>
      <c r="IV59" s="609"/>
      <c r="IW59" s="816"/>
      <c r="IX59" s="816"/>
      <c r="IY59" s="822"/>
      <c r="IZ59" s="609"/>
      <c r="JA59" s="816"/>
      <c r="JB59" s="816"/>
      <c r="JC59" s="609"/>
      <c r="JD59" s="816"/>
      <c r="JE59" s="816"/>
      <c r="JF59" s="816"/>
      <c r="JG59" s="816"/>
      <c r="JH59" s="816"/>
      <c r="JI59" s="816"/>
      <c r="JJ59" s="816"/>
      <c r="JK59" s="816"/>
      <c r="JL59" s="816"/>
      <c r="JM59" s="816"/>
      <c r="JN59" s="816"/>
      <c r="JO59" s="823"/>
      <c r="JP59" s="824"/>
      <c r="JQ59" s="825"/>
      <c r="JR59" s="825"/>
      <c r="JS59" s="816"/>
      <c r="JU59" s="826"/>
      <c r="JV59" s="826"/>
      <c r="JW59" s="826"/>
      <c r="JX59" s="826"/>
    </row>
    <row r="60" spans="2:284" s="780" customFormat="1">
      <c r="B60" s="609"/>
      <c r="C60" s="609"/>
      <c r="D60" s="609"/>
      <c r="E60" s="609"/>
      <c r="F60" s="609"/>
      <c r="G60" s="609"/>
      <c r="H60" s="609"/>
      <c r="I60" s="609"/>
      <c r="J60" s="609"/>
      <c r="K60" s="609"/>
      <c r="L60" s="609"/>
      <c r="M60" s="609"/>
      <c r="N60" s="609"/>
      <c r="O60" s="609"/>
      <c r="P60" s="609"/>
      <c r="Q60" s="609"/>
      <c r="R60" s="609"/>
      <c r="S60" s="609"/>
      <c r="T60" s="609"/>
      <c r="U60" s="609"/>
      <c r="V60" s="609"/>
      <c r="W60" s="609"/>
      <c r="X60" s="609"/>
      <c r="Y60" s="609"/>
      <c r="Z60" s="609"/>
      <c r="AA60" s="609"/>
      <c r="AB60" s="609"/>
      <c r="AC60" s="609"/>
      <c r="AD60" s="816"/>
      <c r="AE60" s="816"/>
      <c r="AF60" s="816"/>
      <c r="AG60" s="816"/>
      <c r="AH60" s="816"/>
      <c r="AI60" s="816"/>
      <c r="AJ60" s="609"/>
      <c r="AK60" s="609"/>
      <c r="AL60" s="816"/>
      <c r="AM60" s="816"/>
      <c r="AN60" s="609"/>
      <c r="AO60" s="609"/>
      <c r="AP60" s="816"/>
      <c r="AQ60" s="816"/>
      <c r="AR60" s="816"/>
      <c r="AS60" s="816"/>
      <c r="AT60" s="816"/>
      <c r="AU60" s="816"/>
      <c r="AV60" s="609"/>
      <c r="AW60" s="609"/>
      <c r="AX60" s="816"/>
      <c r="AY60" s="816"/>
      <c r="AZ60" s="817"/>
      <c r="BA60" s="609"/>
      <c r="BB60" s="609"/>
      <c r="BC60" s="816"/>
      <c r="BD60" s="816"/>
      <c r="BE60" s="816"/>
      <c r="BF60" s="816"/>
      <c r="BG60" s="816"/>
      <c r="BH60" s="816"/>
      <c r="BI60" s="816"/>
      <c r="BJ60" s="816"/>
      <c r="BK60" s="816"/>
      <c r="BL60" s="816"/>
      <c r="BM60" s="816"/>
      <c r="BN60" s="816"/>
      <c r="BO60" s="816"/>
      <c r="BP60" s="816"/>
      <c r="BQ60" s="816"/>
      <c r="BR60" s="816"/>
      <c r="BS60" s="816"/>
      <c r="BT60" s="816"/>
      <c r="BU60" s="816"/>
      <c r="BV60" s="816"/>
      <c r="BW60" s="816"/>
      <c r="BX60" s="609"/>
      <c r="BY60" s="609"/>
      <c r="BZ60" s="609"/>
      <c r="CA60" s="818"/>
      <c r="CB60" s="816"/>
      <c r="CC60" s="816"/>
      <c r="CD60" s="816"/>
      <c r="CE60" s="816"/>
      <c r="CF60" s="816"/>
      <c r="CG60" s="816"/>
      <c r="CH60" s="816"/>
      <c r="CI60" s="816"/>
      <c r="CJ60" s="819"/>
      <c r="CK60" s="819"/>
      <c r="CL60" s="820"/>
      <c r="CM60" s="820"/>
      <c r="CN60" s="820"/>
      <c r="CO60" s="820"/>
      <c r="CP60" s="820"/>
      <c r="CQ60" s="820"/>
      <c r="CR60" s="609"/>
      <c r="CS60" s="609"/>
      <c r="CT60" s="816"/>
      <c r="CU60" s="816"/>
      <c r="CV60" s="609"/>
      <c r="CW60" s="609"/>
      <c r="CX60" s="816"/>
      <c r="CY60" s="816"/>
      <c r="CZ60" s="609"/>
      <c r="DA60" s="609"/>
      <c r="DB60" s="816"/>
      <c r="DC60" s="816"/>
      <c r="DD60" s="609"/>
      <c r="DE60" s="609"/>
      <c r="DF60" s="816"/>
      <c r="DG60" s="816"/>
      <c r="DH60" s="816"/>
      <c r="DI60" s="816"/>
      <c r="DJ60" s="816"/>
      <c r="DK60" s="816"/>
      <c r="DL60" s="609"/>
      <c r="DM60" s="609"/>
      <c r="DN60" s="816"/>
      <c r="DO60" s="816"/>
      <c r="DP60" s="609"/>
      <c r="DQ60" s="609"/>
      <c r="DR60" s="816"/>
      <c r="DS60" s="816"/>
      <c r="DT60" s="816"/>
      <c r="DU60" s="816"/>
      <c r="DV60" s="816"/>
      <c r="DW60" s="816"/>
      <c r="DX60" s="816"/>
      <c r="DY60" s="816"/>
      <c r="DZ60" s="816"/>
      <c r="EA60" s="816"/>
      <c r="EB60" s="816"/>
      <c r="EC60" s="816"/>
      <c r="ED60" s="816"/>
      <c r="EE60" s="816"/>
      <c r="EF60" s="609"/>
      <c r="EG60" s="609"/>
      <c r="EH60" s="816"/>
      <c r="EI60" s="816"/>
      <c r="EJ60" s="816"/>
      <c r="EK60" s="816"/>
      <c r="EL60" s="816"/>
      <c r="EM60" s="816"/>
      <c r="EN60" s="816"/>
      <c r="EO60" s="816"/>
      <c r="EP60" s="816"/>
      <c r="EQ60" s="816"/>
      <c r="ER60" s="816"/>
      <c r="ES60" s="816"/>
      <c r="ET60" s="816"/>
      <c r="EU60" s="816"/>
      <c r="EV60" s="609"/>
      <c r="EW60" s="609"/>
      <c r="EX60" s="816"/>
      <c r="EY60" s="816"/>
      <c r="EZ60" s="816"/>
      <c r="FA60" s="816"/>
      <c r="FB60" s="816"/>
      <c r="FC60" s="816"/>
      <c r="FD60" s="816"/>
      <c r="FE60" s="816"/>
      <c r="FF60" s="816"/>
      <c r="FG60" s="816"/>
      <c r="FH60" s="816"/>
      <c r="FI60" s="816"/>
      <c r="FJ60" s="816"/>
      <c r="FK60" s="816"/>
      <c r="FL60" s="816"/>
      <c r="FM60" s="816"/>
      <c r="FN60" s="816"/>
      <c r="FO60" s="816"/>
      <c r="FP60" s="816"/>
      <c r="FQ60" s="816"/>
      <c r="FR60" s="816"/>
      <c r="FS60" s="816"/>
      <c r="FT60" s="816"/>
      <c r="FU60" s="816"/>
      <c r="FV60" s="816"/>
      <c r="FW60" s="816"/>
      <c r="FX60" s="816"/>
      <c r="FY60" s="816"/>
      <c r="FZ60" s="819"/>
      <c r="GA60" s="816"/>
      <c r="GB60" s="820"/>
      <c r="GC60" s="820"/>
      <c r="GD60" s="820"/>
      <c r="GE60" s="820"/>
      <c r="GF60" s="1054"/>
      <c r="GG60" s="609"/>
      <c r="GH60" s="816"/>
      <c r="GI60" s="816"/>
      <c r="GJ60" s="816"/>
      <c r="GK60" s="816"/>
      <c r="GL60" s="816"/>
      <c r="GM60" s="816"/>
      <c r="GN60" s="816"/>
      <c r="GO60" s="816"/>
      <c r="GP60" s="816"/>
      <c r="GQ60" s="816"/>
      <c r="GR60" s="816"/>
      <c r="GS60" s="816"/>
      <c r="GT60" s="818"/>
      <c r="GU60" s="816"/>
      <c r="GV60" s="816"/>
      <c r="GW60" s="816"/>
      <c r="GX60" s="816"/>
      <c r="GY60" s="816"/>
      <c r="GZ60" s="816"/>
      <c r="HA60" s="816"/>
      <c r="HB60" s="609"/>
      <c r="HC60" s="609"/>
      <c r="HD60" s="816"/>
      <c r="HE60" s="816"/>
      <c r="HF60" s="816"/>
      <c r="HG60" s="816"/>
      <c r="HH60" s="816"/>
      <c r="HI60" s="816"/>
      <c r="HJ60" s="609"/>
      <c r="HK60" s="609"/>
      <c r="HL60" s="609"/>
      <c r="HM60" s="816"/>
      <c r="HN60" s="816"/>
      <c r="HO60" s="609"/>
      <c r="HP60" s="609"/>
      <c r="HQ60" s="816"/>
      <c r="HR60" s="816"/>
      <c r="HS60" s="816"/>
      <c r="HT60" s="816"/>
      <c r="HU60" s="816"/>
      <c r="HV60" s="816"/>
      <c r="HW60" s="609"/>
      <c r="HX60" s="609"/>
      <c r="HY60" s="816"/>
      <c r="HZ60" s="816"/>
      <c r="IA60" s="816"/>
      <c r="IB60" s="816"/>
      <c r="IC60" s="816"/>
      <c r="ID60" s="816"/>
      <c r="IE60" s="609"/>
      <c r="IF60" s="609"/>
      <c r="IG60" s="816"/>
      <c r="IH60" s="816"/>
      <c r="II60" s="609"/>
      <c r="IJ60" s="609"/>
      <c r="IK60" s="816"/>
      <c r="IL60" s="816"/>
      <c r="IM60" s="609"/>
      <c r="IN60" s="609"/>
      <c r="IO60" s="816"/>
      <c r="IP60" s="816"/>
      <c r="IQ60" s="816"/>
      <c r="IR60" s="816"/>
      <c r="IS60" s="816"/>
      <c r="IT60" s="816"/>
      <c r="IU60" s="821"/>
      <c r="IV60" s="609"/>
      <c r="IW60" s="816"/>
      <c r="IX60" s="816"/>
      <c r="IY60" s="822"/>
      <c r="IZ60" s="609"/>
      <c r="JA60" s="816"/>
      <c r="JB60" s="816"/>
      <c r="JC60" s="609"/>
      <c r="JD60" s="816"/>
      <c r="JE60" s="816"/>
      <c r="JF60" s="816"/>
      <c r="JG60" s="816"/>
      <c r="JH60" s="816"/>
      <c r="JI60" s="816"/>
      <c r="JJ60" s="816"/>
      <c r="JK60" s="816"/>
      <c r="JL60" s="816"/>
      <c r="JM60" s="816"/>
      <c r="JN60" s="816"/>
      <c r="JO60" s="823"/>
      <c r="JP60" s="824"/>
      <c r="JQ60" s="825"/>
      <c r="JR60" s="825"/>
      <c r="JS60" s="816"/>
      <c r="JU60" s="826"/>
      <c r="JV60" s="826"/>
      <c r="JW60" s="826"/>
      <c r="JX60" s="826"/>
    </row>
    <row r="61" spans="2:284" s="780" customFormat="1">
      <c r="B61" s="609"/>
      <c r="C61" s="609"/>
      <c r="D61" s="609"/>
      <c r="E61" s="609"/>
      <c r="F61" s="609"/>
      <c r="G61" s="609"/>
      <c r="H61" s="609"/>
      <c r="I61" s="609"/>
      <c r="J61" s="609"/>
      <c r="K61" s="609"/>
      <c r="L61" s="609"/>
      <c r="M61" s="609"/>
      <c r="N61" s="609"/>
      <c r="O61" s="609"/>
      <c r="P61" s="609"/>
      <c r="Q61" s="609"/>
      <c r="R61" s="609"/>
      <c r="S61" s="609"/>
      <c r="T61" s="609"/>
      <c r="U61" s="609"/>
      <c r="V61" s="609"/>
      <c r="W61" s="609"/>
      <c r="X61" s="609"/>
      <c r="Y61" s="609"/>
      <c r="Z61" s="609"/>
      <c r="AA61" s="609"/>
      <c r="AB61" s="609"/>
      <c r="AC61" s="609"/>
      <c r="AD61" s="816"/>
      <c r="AE61" s="816"/>
      <c r="AF61" s="816"/>
      <c r="AG61" s="816"/>
      <c r="AH61" s="816"/>
      <c r="AI61" s="816"/>
      <c r="AJ61" s="609"/>
      <c r="AK61" s="609"/>
      <c r="AL61" s="816"/>
      <c r="AM61" s="816"/>
      <c r="AN61" s="609"/>
      <c r="AO61" s="609"/>
      <c r="AP61" s="816"/>
      <c r="AQ61" s="816"/>
      <c r="AR61" s="816"/>
      <c r="AS61" s="816"/>
      <c r="AT61" s="816"/>
      <c r="AU61" s="816"/>
      <c r="AV61" s="609"/>
      <c r="AW61" s="609"/>
      <c r="AX61" s="816"/>
      <c r="AY61" s="816"/>
      <c r="AZ61" s="817"/>
      <c r="BA61" s="609"/>
      <c r="BB61" s="609"/>
      <c r="BC61" s="816"/>
      <c r="BD61" s="816"/>
      <c r="BE61" s="816"/>
      <c r="BF61" s="816"/>
      <c r="BG61" s="816"/>
      <c r="BH61" s="816"/>
      <c r="BI61" s="816"/>
      <c r="BJ61" s="816"/>
      <c r="BK61" s="816"/>
      <c r="BL61" s="816"/>
      <c r="BM61" s="816"/>
      <c r="BN61" s="816"/>
      <c r="BO61" s="816"/>
      <c r="BP61" s="816"/>
      <c r="BQ61" s="816"/>
      <c r="BR61" s="816"/>
      <c r="BS61" s="816"/>
      <c r="BT61" s="816"/>
      <c r="BU61" s="816"/>
      <c r="BV61" s="816"/>
      <c r="BW61" s="816"/>
      <c r="BX61" s="609"/>
      <c r="BY61" s="609"/>
      <c r="BZ61" s="609"/>
      <c r="CA61" s="818"/>
      <c r="CB61" s="816"/>
      <c r="CC61" s="816"/>
      <c r="CD61" s="816"/>
      <c r="CE61" s="816"/>
      <c r="CF61" s="816"/>
      <c r="CG61" s="816"/>
      <c r="CH61" s="816"/>
      <c r="CI61" s="816"/>
      <c r="CJ61" s="819"/>
      <c r="CK61" s="819"/>
      <c r="CL61" s="820"/>
      <c r="CM61" s="820"/>
      <c r="CN61" s="820"/>
      <c r="CO61" s="820"/>
      <c r="CP61" s="820"/>
      <c r="CQ61" s="820"/>
      <c r="CR61" s="609"/>
      <c r="CS61" s="609"/>
      <c r="CT61" s="816"/>
      <c r="CU61" s="816"/>
      <c r="CV61" s="609"/>
      <c r="CW61" s="609"/>
      <c r="CX61" s="816"/>
      <c r="CY61" s="816"/>
      <c r="CZ61" s="609"/>
      <c r="DA61" s="609"/>
      <c r="DB61" s="816"/>
      <c r="DC61" s="816"/>
      <c r="DD61" s="609"/>
      <c r="DE61" s="609"/>
      <c r="DF61" s="816"/>
      <c r="DG61" s="816"/>
      <c r="DH61" s="816"/>
      <c r="DI61" s="816"/>
      <c r="DJ61" s="816"/>
      <c r="DK61" s="816"/>
      <c r="DL61" s="609"/>
      <c r="DM61" s="609"/>
      <c r="DN61" s="816"/>
      <c r="DO61" s="816"/>
      <c r="DP61" s="609"/>
      <c r="DQ61" s="609"/>
      <c r="DR61" s="816"/>
      <c r="DS61" s="816"/>
      <c r="DT61" s="816"/>
      <c r="DU61" s="816"/>
      <c r="DV61" s="816"/>
      <c r="DW61" s="816"/>
      <c r="DX61" s="816"/>
      <c r="DY61" s="816"/>
      <c r="DZ61" s="816"/>
      <c r="EA61" s="816"/>
      <c r="EB61" s="816"/>
      <c r="EC61" s="816"/>
      <c r="ED61" s="816"/>
      <c r="EE61" s="816"/>
      <c r="EF61" s="609"/>
      <c r="EG61" s="609"/>
      <c r="EH61" s="816"/>
      <c r="EI61" s="816"/>
      <c r="EJ61" s="816"/>
      <c r="EK61" s="816"/>
      <c r="EL61" s="816"/>
      <c r="EM61" s="816"/>
      <c r="EN61" s="816"/>
      <c r="EO61" s="816"/>
      <c r="EP61" s="816"/>
      <c r="EQ61" s="816"/>
      <c r="ER61" s="816"/>
      <c r="ES61" s="816"/>
      <c r="ET61" s="816"/>
      <c r="EU61" s="816"/>
      <c r="EV61" s="609"/>
      <c r="EW61" s="609"/>
      <c r="EX61" s="816"/>
      <c r="EY61" s="816"/>
      <c r="EZ61" s="816"/>
      <c r="FA61" s="816"/>
      <c r="FB61" s="816"/>
      <c r="FC61" s="816"/>
      <c r="FD61" s="816"/>
      <c r="FE61" s="816"/>
      <c r="FF61" s="816"/>
      <c r="FG61" s="816"/>
      <c r="FH61" s="816"/>
      <c r="FI61" s="816"/>
      <c r="FJ61" s="816"/>
      <c r="FK61" s="816"/>
      <c r="FL61" s="816"/>
      <c r="FM61" s="816"/>
      <c r="FN61" s="816"/>
      <c r="FO61" s="816"/>
      <c r="FP61" s="816"/>
      <c r="FQ61" s="816"/>
      <c r="FR61" s="816"/>
      <c r="FS61" s="816"/>
      <c r="FT61" s="816"/>
      <c r="FU61" s="816"/>
      <c r="FV61" s="816"/>
      <c r="FW61" s="816"/>
      <c r="FX61" s="816"/>
      <c r="FY61" s="816"/>
      <c r="FZ61" s="819"/>
      <c r="GA61" s="816"/>
      <c r="GB61" s="820"/>
      <c r="GC61" s="820"/>
      <c r="GD61" s="820"/>
      <c r="GE61" s="820"/>
      <c r="GF61" s="817"/>
      <c r="GG61" s="609"/>
      <c r="GH61" s="816"/>
      <c r="GI61" s="816"/>
      <c r="GJ61" s="816"/>
      <c r="GK61" s="816"/>
      <c r="GL61" s="816"/>
      <c r="GM61" s="816"/>
      <c r="GN61" s="816"/>
      <c r="GO61" s="816"/>
      <c r="GP61" s="816"/>
      <c r="GQ61" s="816"/>
      <c r="GR61" s="816"/>
      <c r="GS61" s="816"/>
      <c r="GT61" s="818"/>
      <c r="GU61" s="816"/>
      <c r="GV61" s="816"/>
      <c r="GW61" s="816"/>
      <c r="GX61" s="816"/>
      <c r="GY61" s="816"/>
      <c r="GZ61" s="816"/>
      <c r="HA61" s="816"/>
      <c r="HB61" s="609"/>
      <c r="HC61" s="609"/>
      <c r="HD61" s="816"/>
      <c r="HE61" s="816"/>
      <c r="HF61" s="816"/>
      <c r="HG61" s="816"/>
      <c r="HH61" s="816"/>
      <c r="HI61" s="816"/>
      <c r="HJ61" s="609"/>
      <c r="HK61" s="609"/>
      <c r="HL61" s="609"/>
      <c r="HM61" s="816"/>
      <c r="HN61" s="816"/>
      <c r="HO61" s="609"/>
      <c r="HP61" s="609"/>
      <c r="HQ61" s="816"/>
      <c r="HR61" s="816"/>
      <c r="HS61" s="816"/>
      <c r="HT61" s="816"/>
      <c r="HU61" s="816"/>
      <c r="HV61" s="816"/>
      <c r="HW61" s="609"/>
      <c r="HX61" s="609"/>
      <c r="HY61" s="816"/>
      <c r="HZ61" s="816"/>
      <c r="IA61" s="816"/>
      <c r="IB61" s="816"/>
      <c r="IC61" s="816"/>
      <c r="ID61" s="816"/>
      <c r="IE61" s="609"/>
      <c r="IF61" s="609"/>
      <c r="IG61" s="816"/>
      <c r="IH61" s="816"/>
      <c r="II61" s="609"/>
      <c r="IJ61" s="609"/>
      <c r="IK61" s="816"/>
      <c r="IL61" s="816"/>
      <c r="IM61" s="609"/>
      <c r="IN61" s="609"/>
      <c r="IO61" s="816"/>
      <c r="IP61" s="816"/>
      <c r="IQ61" s="816"/>
      <c r="IR61" s="816"/>
      <c r="IS61" s="816"/>
      <c r="IT61" s="816"/>
      <c r="IU61" s="821"/>
      <c r="IV61" s="609"/>
      <c r="IW61" s="816"/>
      <c r="IX61" s="816"/>
      <c r="IY61" s="822"/>
      <c r="IZ61" s="609"/>
      <c r="JA61" s="816"/>
      <c r="JB61" s="816"/>
      <c r="JC61" s="609"/>
      <c r="JD61" s="816"/>
      <c r="JE61" s="816"/>
      <c r="JF61" s="816"/>
      <c r="JG61" s="816"/>
      <c r="JH61" s="816"/>
      <c r="JI61" s="816"/>
      <c r="JJ61" s="816"/>
      <c r="JK61" s="816"/>
      <c r="JL61" s="816"/>
      <c r="JM61" s="816"/>
      <c r="JN61" s="816"/>
      <c r="JO61" s="823"/>
      <c r="JP61" s="824"/>
      <c r="JQ61" s="825"/>
      <c r="JR61" s="825"/>
      <c r="JS61" s="816"/>
      <c r="JU61" s="826"/>
      <c r="JV61" s="826"/>
      <c r="JW61" s="826"/>
      <c r="JX61" s="826"/>
    </row>
    <row r="62" spans="2:284" s="780" customFormat="1">
      <c r="B62" s="609"/>
      <c r="C62" s="609"/>
      <c r="D62" s="609"/>
      <c r="E62" s="609"/>
      <c r="F62" s="609"/>
      <c r="G62" s="609"/>
      <c r="H62" s="609"/>
      <c r="I62" s="609"/>
      <c r="J62" s="609"/>
      <c r="K62" s="609"/>
      <c r="L62" s="609"/>
      <c r="M62" s="609"/>
      <c r="N62" s="609"/>
      <c r="O62" s="609"/>
      <c r="P62" s="609"/>
      <c r="Q62" s="609"/>
      <c r="R62" s="609"/>
      <c r="S62" s="609"/>
      <c r="T62" s="609"/>
      <c r="U62" s="609"/>
      <c r="V62" s="609"/>
      <c r="W62" s="609"/>
      <c r="X62" s="609"/>
      <c r="Y62" s="609"/>
      <c r="Z62" s="609"/>
      <c r="AA62" s="609"/>
      <c r="AB62" s="609"/>
      <c r="AC62" s="609"/>
      <c r="AD62" s="816"/>
      <c r="AE62" s="816"/>
      <c r="AF62" s="816"/>
      <c r="AG62" s="816"/>
      <c r="AH62" s="816"/>
      <c r="AI62" s="816"/>
      <c r="AJ62" s="609"/>
      <c r="AK62" s="609"/>
      <c r="AL62" s="816"/>
      <c r="AM62" s="816"/>
      <c r="AN62" s="609"/>
      <c r="AO62" s="609"/>
      <c r="AP62" s="816"/>
      <c r="AQ62" s="816"/>
      <c r="AR62" s="816"/>
      <c r="AS62" s="816"/>
      <c r="AT62" s="816"/>
      <c r="AU62" s="816"/>
      <c r="AV62" s="609"/>
      <c r="AW62" s="609"/>
      <c r="AX62" s="816"/>
      <c r="AY62" s="816"/>
      <c r="AZ62" s="817"/>
      <c r="BA62" s="609"/>
      <c r="BB62" s="609"/>
      <c r="BC62" s="816"/>
      <c r="BD62" s="816"/>
      <c r="BE62" s="816"/>
      <c r="BF62" s="816"/>
      <c r="BG62" s="816"/>
      <c r="BH62" s="816"/>
      <c r="BI62" s="816"/>
      <c r="BJ62" s="816"/>
      <c r="BK62" s="816"/>
      <c r="BL62" s="816"/>
      <c r="BM62" s="816"/>
      <c r="BN62" s="816"/>
      <c r="BO62" s="816"/>
      <c r="BP62" s="816"/>
      <c r="BQ62" s="816"/>
      <c r="BR62" s="816"/>
      <c r="BS62" s="816"/>
      <c r="BT62" s="816"/>
      <c r="BU62" s="816"/>
      <c r="BV62" s="816"/>
      <c r="BW62" s="816"/>
      <c r="BX62" s="609"/>
      <c r="BY62" s="609"/>
      <c r="BZ62" s="609"/>
      <c r="CA62" s="818"/>
      <c r="CB62" s="816"/>
      <c r="CC62" s="816"/>
      <c r="CD62" s="816"/>
      <c r="CE62" s="816"/>
      <c r="CF62" s="816"/>
      <c r="CG62" s="816"/>
      <c r="CH62" s="816"/>
      <c r="CI62" s="816"/>
      <c r="CJ62" s="819"/>
      <c r="CK62" s="819"/>
      <c r="CL62" s="820"/>
      <c r="CM62" s="820"/>
      <c r="CN62" s="820"/>
      <c r="CO62" s="820"/>
      <c r="CP62" s="820"/>
      <c r="CQ62" s="820"/>
      <c r="CR62" s="609"/>
      <c r="CS62" s="609"/>
      <c r="CT62" s="816"/>
      <c r="CU62" s="816"/>
      <c r="CV62" s="609"/>
      <c r="CW62" s="609"/>
      <c r="CX62" s="816"/>
      <c r="CY62" s="816"/>
      <c r="CZ62" s="609"/>
      <c r="DA62" s="609"/>
      <c r="DB62" s="816"/>
      <c r="DC62" s="816"/>
      <c r="DD62" s="609"/>
      <c r="DE62" s="609"/>
      <c r="DF62" s="816"/>
      <c r="DG62" s="816"/>
      <c r="DH62" s="816"/>
      <c r="DI62" s="816"/>
      <c r="DJ62" s="816"/>
      <c r="DK62" s="816"/>
      <c r="DL62" s="609"/>
      <c r="DM62" s="609"/>
      <c r="DN62" s="816"/>
      <c r="DO62" s="816"/>
      <c r="DP62" s="609"/>
      <c r="DQ62" s="609"/>
      <c r="DR62" s="816"/>
      <c r="DS62" s="816"/>
      <c r="DT62" s="816"/>
      <c r="DU62" s="816"/>
      <c r="DV62" s="816"/>
      <c r="DW62" s="816"/>
      <c r="DX62" s="816"/>
      <c r="DY62" s="816"/>
      <c r="DZ62" s="816"/>
      <c r="EA62" s="816"/>
      <c r="EB62" s="816"/>
      <c r="EC62" s="816"/>
      <c r="ED62" s="816"/>
      <c r="EE62" s="816"/>
      <c r="EF62" s="609"/>
      <c r="EG62" s="609"/>
      <c r="EH62" s="816"/>
      <c r="EI62" s="816"/>
      <c r="EJ62" s="816"/>
      <c r="EK62" s="816"/>
      <c r="EL62" s="816"/>
      <c r="EM62" s="816"/>
      <c r="EN62" s="816"/>
      <c r="EO62" s="816"/>
      <c r="EP62" s="816"/>
      <c r="EQ62" s="816"/>
      <c r="ER62" s="816"/>
      <c r="ES62" s="816"/>
      <c r="ET62" s="816"/>
      <c r="EU62" s="816"/>
      <c r="EV62" s="609"/>
      <c r="EW62" s="609"/>
      <c r="EX62" s="816"/>
      <c r="EY62" s="816"/>
      <c r="EZ62" s="816"/>
      <c r="FA62" s="816"/>
      <c r="FB62" s="816"/>
      <c r="FC62" s="816"/>
      <c r="FD62" s="816"/>
      <c r="FE62" s="816"/>
      <c r="FF62" s="816"/>
      <c r="FG62" s="816"/>
      <c r="FH62" s="816"/>
      <c r="FI62" s="816"/>
      <c r="FJ62" s="816"/>
      <c r="FK62" s="816"/>
      <c r="FL62" s="816"/>
      <c r="FM62" s="816"/>
      <c r="FN62" s="816"/>
      <c r="FO62" s="816"/>
      <c r="FP62" s="816"/>
      <c r="FQ62" s="816"/>
      <c r="FR62" s="816"/>
      <c r="FS62" s="816"/>
      <c r="FT62" s="816"/>
      <c r="FU62" s="816"/>
      <c r="FV62" s="816"/>
      <c r="FW62" s="816"/>
      <c r="FX62" s="816"/>
      <c r="FY62" s="816"/>
      <c r="FZ62" s="819"/>
      <c r="GA62" s="816"/>
      <c r="GB62" s="820"/>
      <c r="GC62" s="820"/>
      <c r="GD62" s="820"/>
      <c r="GE62" s="820"/>
      <c r="GF62" s="609"/>
      <c r="GG62" s="609"/>
      <c r="GH62" s="816"/>
      <c r="GI62" s="816"/>
      <c r="GJ62" s="816"/>
      <c r="GK62" s="816"/>
      <c r="GL62" s="816"/>
      <c r="GM62" s="816"/>
      <c r="GN62" s="816"/>
      <c r="GO62" s="816"/>
      <c r="GP62" s="816"/>
      <c r="GQ62" s="816"/>
      <c r="GR62" s="816"/>
      <c r="GS62" s="816"/>
      <c r="GT62" s="818"/>
      <c r="GU62" s="816"/>
      <c r="GV62" s="816"/>
      <c r="GW62" s="816"/>
      <c r="GX62" s="816"/>
      <c r="GY62" s="816"/>
      <c r="GZ62" s="816"/>
      <c r="HA62" s="816"/>
      <c r="HB62" s="609"/>
      <c r="HC62" s="609"/>
      <c r="HD62" s="816"/>
      <c r="HE62" s="816"/>
      <c r="HF62" s="816"/>
      <c r="HG62" s="816"/>
      <c r="HH62" s="816"/>
      <c r="HI62" s="816"/>
      <c r="HJ62" s="609"/>
      <c r="HK62" s="609"/>
      <c r="HL62" s="609"/>
      <c r="HM62" s="816"/>
      <c r="HN62" s="816"/>
      <c r="HO62" s="609"/>
      <c r="HP62" s="609"/>
      <c r="HQ62" s="816"/>
      <c r="HR62" s="816"/>
      <c r="HS62" s="816"/>
      <c r="HT62" s="816"/>
      <c r="HU62" s="816"/>
      <c r="HV62" s="816"/>
      <c r="HW62" s="609"/>
      <c r="HX62" s="609"/>
      <c r="HY62" s="816"/>
      <c r="HZ62" s="816"/>
      <c r="IA62" s="816"/>
      <c r="IB62" s="816"/>
      <c r="IC62" s="816"/>
      <c r="ID62" s="816"/>
      <c r="IE62" s="609"/>
      <c r="IF62" s="609"/>
      <c r="IG62" s="816"/>
      <c r="IH62" s="816"/>
      <c r="II62" s="609"/>
      <c r="IJ62" s="609"/>
      <c r="IK62" s="816"/>
      <c r="IL62" s="816"/>
      <c r="IM62" s="609"/>
      <c r="IN62" s="609"/>
      <c r="IO62" s="816"/>
      <c r="IP62" s="816"/>
      <c r="IQ62" s="816"/>
      <c r="IR62" s="816"/>
      <c r="IS62" s="816"/>
      <c r="IT62" s="816"/>
      <c r="IU62" s="821"/>
      <c r="IV62" s="609"/>
      <c r="IW62" s="816"/>
      <c r="IX62" s="816"/>
      <c r="IY62" s="822"/>
      <c r="IZ62" s="609"/>
      <c r="JA62" s="816"/>
      <c r="JB62" s="816"/>
      <c r="JC62" s="609"/>
      <c r="JD62" s="816"/>
      <c r="JE62" s="816"/>
      <c r="JF62" s="816"/>
      <c r="JG62" s="816"/>
      <c r="JH62" s="816"/>
      <c r="JI62" s="816"/>
      <c r="JJ62" s="816"/>
      <c r="JK62" s="816"/>
      <c r="JL62" s="816"/>
      <c r="JM62" s="816"/>
      <c r="JN62" s="816"/>
      <c r="JO62" s="823"/>
      <c r="JP62" s="824"/>
      <c r="JQ62" s="825"/>
      <c r="JR62" s="825"/>
      <c r="JS62" s="816"/>
      <c r="JU62" s="826"/>
      <c r="JV62" s="826"/>
      <c r="JW62" s="826"/>
      <c r="JX62" s="826"/>
    </row>
    <row r="63" spans="2:284" s="780" customFormat="1">
      <c r="B63" s="609"/>
      <c r="C63" s="609"/>
      <c r="D63" s="609"/>
      <c r="E63" s="609"/>
      <c r="F63" s="609"/>
      <c r="G63" s="609"/>
      <c r="H63" s="609"/>
      <c r="I63" s="609"/>
      <c r="J63" s="609"/>
      <c r="K63" s="609"/>
      <c r="L63" s="609"/>
      <c r="M63" s="609"/>
      <c r="N63" s="609"/>
      <c r="O63" s="609"/>
      <c r="P63" s="609"/>
      <c r="Q63" s="609"/>
      <c r="R63" s="609"/>
      <c r="S63" s="609"/>
      <c r="T63" s="609"/>
      <c r="U63" s="609"/>
      <c r="V63" s="609"/>
      <c r="W63" s="609"/>
      <c r="X63" s="609"/>
      <c r="Y63" s="609"/>
      <c r="Z63" s="609"/>
      <c r="AA63" s="609"/>
      <c r="AB63" s="609"/>
      <c r="AC63" s="609"/>
      <c r="AD63" s="816"/>
      <c r="AE63" s="816"/>
      <c r="AF63" s="816"/>
      <c r="AG63" s="816"/>
      <c r="AH63" s="816"/>
      <c r="AI63" s="816"/>
      <c r="AJ63" s="609"/>
      <c r="AK63" s="609"/>
      <c r="AL63" s="816"/>
      <c r="AM63" s="816"/>
      <c r="AN63" s="609"/>
      <c r="AO63" s="609"/>
      <c r="AP63" s="816"/>
      <c r="AQ63" s="816"/>
      <c r="AR63" s="816"/>
      <c r="AS63" s="816"/>
      <c r="AT63" s="816"/>
      <c r="AU63" s="816"/>
      <c r="AV63" s="609"/>
      <c r="AW63" s="609"/>
      <c r="AX63" s="816"/>
      <c r="AY63" s="816"/>
      <c r="AZ63" s="817"/>
      <c r="BA63" s="609"/>
      <c r="BB63" s="609"/>
      <c r="BC63" s="816"/>
      <c r="BD63" s="816"/>
      <c r="BE63" s="816"/>
      <c r="BF63" s="816"/>
      <c r="BG63" s="816"/>
      <c r="BH63" s="816"/>
      <c r="BI63" s="816"/>
      <c r="BJ63" s="816"/>
      <c r="BK63" s="816"/>
      <c r="BL63" s="816"/>
      <c r="BM63" s="816"/>
      <c r="BN63" s="816"/>
      <c r="BO63" s="816"/>
      <c r="BP63" s="816"/>
      <c r="BQ63" s="816"/>
      <c r="BR63" s="816"/>
      <c r="BS63" s="816"/>
      <c r="BT63" s="816"/>
      <c r="BU63" s="816"/>
      <c r="BV63" s="816"/>
      <c r="BW63" s="816"/>
      <c r="BX63" s="609"/>
      <c r="BY63" s="609"/>
      <c r="BZ63" s="609"/>
      <c r="CA63" s="818"/>
      <c r="CB63" s="816"/>
      <c r="CC63" s="816"/>
      <c r="CD63" s="816"/>
      <c r="CE63" s="816"/>
      <c r="CF63" s="816"/>
      <c r="CG63" s="816"/>
      <c r="CH63" s="816"/>
      <c r="CI63" s="816"/>
      <c r="CJ63" s="819"/>
      <c r="CK63" s="819"/>
      <c r="CL63" s="820"/>
      <c r="CM63" s="820"/>
      <c r="CN63" s="820"/>
      <c r="CO63" s="820"/>
      <c r="CP63" s="820"/>
      <c r="CQ63" s="820"/>
      <c r="CR63" s="609"/>
      <c r="CS63" s="609"/>
      <c r="CT63" s="816"/>
      <c r="CU63" s="816"/>
      <c r="CV63" s="609"/>
      <c r="CW63" s="609"/>
      <c r="CX63" s="816"/>
      <c r="CY63" s="816"/>
      <c r="CZ63" s="609"/>
      <c r="DA63" s="609"/>
      <c r="DB63" s="816"/>
      <c r="DC63" s="816"/>
      <c r="DD63" s="609"/>
      <c r="DE63" s="609"/>
      <c r="DF63" s="816"/>
      <c r="DG63" s="816"/>
      <c r="DH63" s="816"/>
      <c r="DI63" s="816"/>
      <c r="DJ63" s="816"/>
      <c r="DK63" s="816"/>
      <c r="DL63" s="609"/>
      <c r="DM63" s="609"/>
      <c r="DN63" s="816"/>
      <c r="DO63" s="816"/>
      <c r="DP63" s="609"/>
      <c r="DQ63" s="609"/>
      <c r="DR63" s="816"/>
      <c r="DS63" s="816"/>
      <c r="DT63" s="816"/>
      <c r="DU63" s="816"/>
      <c r="DV63" s="816"/>
      <c r="DW63" s="816"/>
      <c r="DX63" s="816"/>
      <c r="DY63" s="816"/>
      <c r="DZ63" s="816"/>
      <c r="EA63" s="816"/>
      <c r="EB63" s="816"/>
      <c r="EC63" s="816"/>
      <c r="ED63" s="816"/>
      <c r="EE63" s="816"/>
      <c r="EF63" s="609"/>
      <c r="EG63" s="609"/>
      <c r="EH63" s="816"/>
      <c r="EI63" s="816"/>
      <c r="EJ63" s="816"/>
      <c r="EK63" s="816"/>
      <c r="EL63" s="816"/>
      <c r="EM63" s="816"/>
      <c r="EN63" s="816"/>
      <c r="EO63" s="816"/>
      <c r="EP63" s="816"/>
      <c r="EQ63" s="816"/>
      <c r="ER63" s="816"/>
      <c r="ES63" s="816"/>
      <c r="ET63" s="816"/>
      <c r="EU63" s="816"/>
      <c r="EV63" s="609"/>
      <c r="EW63" s="609"/>
      <c r="EX63" s="816"/>
      <c r="EY63" s="816"/>
      <c r="EZ63" s="816"/>
      <c r="FA63" s="816"/>
      <c r="FB63" s="816"/>
      <c r="FC63" s="816"/>
      <c r="FD63" s="816"/>
      <c r="FE63" s="816"/>
      <c r="FF63" s="816"/>
      <c r="FG63" s="816"/>
      <c r="FH63" s="816"/>
      <c r="FI63" s="816"/>
      <c r="FJ63" s="816"/>
      <c r="FK63" s="816"/>
      <c r="FL63" s="816"/>
      <c r="FM63" s="816"/>
      <c r="FN63" s="816"/>
      <c r="FO63" s="816"/>
      <c r="FP63" s="816"/>
      <c r="FQ63" s="816"/>
      <c r="FR63" s="816"/>
      <c r="FS63" s="816"/>
      <c r="FT63" s="816"/>
      <c r="FU63" s="816"/>
      <c r="FV63" s="816"/>
      <c r="FW63" s="816"/>
      <c r="FX63" s="816"/>
      <c r="FY63" s="816"/>
      <c r="FZ63" s="819"/>
      <c r="GA63" s="816"/>
      <c r="GB63" s="820"/>
      <c r="GC63" s="820"/>
      <c r="GD63" s="820"/>
      <c r="GE63" s="820"/>
      <c r="GF63" s="1055"/>
      <c r="GG63" s="609"/>
      <c r="GH63" s="816"/>
      <c r="GI63" s="816"/>
      <c r="GJ63" s="816"/>
      <c r="GK63" s="816"/>
      <c r="GL63" s="816"/>
      <c r="GM63" s="816"/>
      <c r="GN63" s="816"/>
      <c r="GO63" s="816"/>
      <c r="GP63" s="816"/>
      <c r="GQ63" s="816"/>
      <c r="GR63" s="816"/>
      <c r="GS63" s="816"/>
      <c r="GT63" s="818"/>
      <c r="GU63" s="816"/>
      <c r="GV63" s="816"/>
      <c r="GW63" s="816"/>
      <c r="GX63" s="816"/>
      <c r="GY63" s="816"/>
      <c r="GZ63" s="816"/>
      <c r="HA63" s="816"/>
      <c r="HB63" s="609"/>
      <c r="HC63" s="609"/>
      <c r="HD63" s="816"/>
      <c r="HE63" s="816"/>
      <c r="HF63" s="816"/>
      <c r="HG63" s="816"/>
      <c r="HH63" s="816"/>
      <c r="HI63" s="816"/>
      <c r="HJ63" s="609"/>
      <c r="HK63" s="609"/>
      <c r="HL63" s="609"/>
      <c r="HM63" s="816"/>
      <c r="HN63" s="816"/>
      <c r="HO63" s="609"/>
      <c r="HP63" s="609"/>
      <c r="HQ63" s="816"/>
      <c r="HR63" s="816"/>
      <c r="HS63" s="816"/>
      <c r="HT63" s="816"/>
      <c r="HU63" s="816"/>
      <c r="HV63" s="816"/>
      <c r="HW63" s="609"/>
      <c r="HX63" s="609"/>
      <c r="HY63" s="816"/>
      <c r="HZ63" s="816"/>
      <c r="IA63" s="816"/>
      <c r="IB63" s="816"/>
      <c r="IC63" s="816"/>
      <c r="ID63" s="816"/>
      <c r="IE63" s="609"/>
      <c r="IF63" s="609"/>
      <c r="IG63" s="816"/>
      <c r="IH63" s="816"/>
      <c r="II63" s="609"/>
      <c r="IJ63" s="609"/>
      <c r="IK63" s="816"/>
      <c r="IL63" s="816"/>
      <c r="IM63" s="609"/>
      <c r="IN63" s="609"/>
      <c r="IO63" s="816"/>
      <c r="IP63" s="816"/>
      <c r="IQ63" s="816"/>
      <c r="IR63" s="816"/>
      <c r="IS63" s="816"/>
      <c r="IT63" s="816"/>
      <c r="IU63" s="821"/>
      <c r="IV63" s="609"/>
      <c r="IW63" s="816"/>
      <c r="IX63" s="816"/>
      <c r="IY63" s="822"/>
      <c r="IZ63" s="609"/>
      <c r="JA63" s="816"/>
      <c r="JB63" s="816"/>
      <c r="JC63" s="609"/>
      <c r="JD63" s="816"/>
      <c r="JE63" s="816"/>
      <c r="JF63" s="816"/>
      <c r="JG63" s="816"/>
      <c r="JH63" s="816"/>
      <c r="JI63" s="816"/>
      <c r="JJ63" s="816"/>
      <c r="JK63" s="816"/>
      <c r="JL63" s="816"/>
      <c r="JM63" s="816"/>
      <c r="JN63" s="816"/>
      <c r="JO63" s="823"/>
      <c r="JP63" s="824"/>
      <c r="JQ63" s="825"/>
      <c r="JR63" s="825"/>
      <c r="JS63" s="816"/>
      <c r="JU63" s="826"/>
      <c r="JV63" s="826"/>
      <c r="JW63" s="826"/>
      <c r="JX63" s="826"/>
    </row>
    <row r="64" spans="2:284" s="780" customFormat="1">
      <c r="B64" s="609"/>
      <c r="C64" s="609"/>
      <c r="D64" s="609"/>
      <c r="E64" s="609"/>
      <c r="F64" s="609"/>
      <c r="G64" s="609"/>
      <c r="H64" s="609"/>
      <c r="I64" s="609"/>
      <c r="J64" s="609"/>
      <c r="K64" s="609"/>
      <c r="L64" s="609"/>
      <c r="M64" s="609"/>
      <c r="N64" s="609"/>
      <c r="O64" s="609"/>
      <c r="P64" s="609"/>
      <c r="Q64" s="609"/>
      <c r="R64" s="609"/>
      <c r="S64" s="609"/>
      <c r="T64" s="609"/>
      <c r="U64" s="609"/>
      <c r="V64" s="609"/>
      <c r="W64" s="609"/>
      <c r="X64" s="609"/>
      <c r="Y64" s="609"/>
      <c r="Z64" s="609"/>
      <c r="AA64" s="609"/>
      <c r="AB64" s="609"/>
      <c r="AC64" s="609"/>
      <c r="AD64" s="816"/>
      <c r="AE64" s="816"/>
      <c r="AF64" s="816"/>
      <c r="AG64" s="816"/>
      <c r="AH64" s="816"/>
      <c r="AI64" s="816"/>
      <c r="AJ64" s="609"/>
      <c r="AK64" s="609"/>
      <c r="AL64" s="816"/>
      <c r="AM64" s="816"/>
      <c r="AN64" s="609"/>
      <c r="AO64" s="609"/>
      <c r="AP64" s="816"/>
      <c r="AQ64" s="816"/>
      <c r="AR64" s="816"/>
      <c r="AS64" s="816"/>
      <c r="AT64" s="816"/>
      <c r="AU64" s="816"/>
      <c r="AV64" s="609"/>
      <c r="AW64" s="609"/>
      <c r="AX64" s="816"/>
      <c r="AY64" s="816"/>
      <c r="AZ64" s="817"/>
      <c r="BA64" s="609"/>
      <c r="BB64" s="609"/>
      <c r="BC64" s="816"/>
      <c r="BD64" s="816"/>
      <c r="BE64" s="816"/>
      <c r="BF64" s="816"/>
      <c r="BG64" s="816"/>
      <c r="BH64" s="816"/>
      <c r="BI64" s="816"/>
      <c r="BJ64" s="816"/>
      <c r="BK64" s="816"/>
      <c r="BL64" s="816"/>
      <c r="BM64" s="816"/>
      <c r="BN64" s="816"/>
      <c r="BO64" s="816"/>
      <c r="BP64" s="816"/>
      <c r="BQ64" s="816"/>
      <c r="BR64" s="816"/>
      <c r="BS64" s="816"/>
      <c r="BT64" s="816"/>
      <c r="BU64" s="816"/>
      <c r="BV64" s="816"/>
      <c r="BW64" s="816"/>
      <c r="BX64" s="609"/>
      <c r="BY64" s="609"/>
      <c r="BZ64" s="609"/>
      <c r="CA64" s="818"/>
      <c r="CB64" s="816"/>
      <c r="CC64" s="816"/>
      <c r="CD64" s="816"/>
      <c r="CE64" s="816"/>
      <c r="CF64" s="816"/>
      <c r="CG64" s="816"/>
      <c r="CH64" s="816"/>
      <c r="CI64" s="816"/>
      <c r="CJ64" s="819"/>
      <c r="CK64" s="819"/>
      <c r="CL64" s="820"/>
      <c r="CM64" s="820"/>
      <c r="CN64" s="820"/>
      <c r="CO64" s="820"/>
      <c r="CP64" s="820"/>
      <c r="CQ64" s="820"/>
      <c r="CR64" s="609"/>
      <c r="CS64" s="609"/>
      <c r="CT64" s="816"/>
      <c r="CU64" s="816"/>
      <c r="CV64" s="609"/>
      <c r="CW64" s="609"/>
      <c r="CX64" s="816"/>
      <c r="CY64" s="816"/>
      <c r="CZ64" s="609"/>
      <c r="DA64" s="609"/>
      <c r="DB64" s="816"/>
      <c r="DC64" s="816"/>
      <c r="DD64" s="609"/>
      <c r="DE64" s="609"/>
      <c r="DF64" s="816"/>
      <c r="DG64" s="816"/>
      <c r="DH64" s="816"/>
      <c r="DI64" s="816"/>
      <c r="DJ64" s="816"/>
      <c r="DK64" s="816"/>
      <c r="DL64" s="609"/>
      <c r="DM64" s="609"/>
      <c r="DN64" s="816"/>
      <c r="DO64" s="816"/>
      <c r="DP64" s="609"/>
      <c r="DQ64" s="609"/>
      <c r="DR64" s="816"/>
      <c r="DS64" s="816"/>
      <c r="DT64" s="816"/>
      <c r="DU64" s="816"/>
      <c r="DV64" s="816"/>
      <c r="DW64" s="816"/>
      <c r="DX64" s="816"/>
      <c r="DY64" s="816"/>
      <c r="DZ64" s="816"/>
      <c r="EA64" s="816"/>
      <c r="EB64" s="816"/>
      <c r="EC64" s="816"/>
      <c r="ED64" s="816"/>
      <c r="EE64" s="816"/>
      <c r="EF64" s="609"/>
      <c r="EG64" s="609"/>
      <c r="EH64" s="816"/>
      <c r="EI64" s="816"/>
      <c r="EJ64" s="816"/>
      <c r="EK64" s="816"/>
      <c r="EL64" s="816"/>
      <c r="EM64" s="816"/>
      <c r="EN64" s="816"/>
      <c r="EO64" s="816"/>
      <c r="EP64" s="816"/>
      <c r="EQ64" s="816"/>
      <c r="ER64" s="816"/>
      <c r="ES64" s="816"/>
      <c r="ET64" s="816"/>
      <c r="EU64" s="816"/>
      <c r="EV64" s="609"/>
      <c r="EW64" s="609"/>
      <c r="EX64" s="816"/>
      <c r="EY64" s="816"/>
      <c r="EZ64" s="816"/>
      <c r="FA64" s="816"/>
      <c r="FB64" s="816"/>
      <c r="FC64" s="816"/>
      <c r="FD64" s="816"/>
      <c r="FE64" s="816"/>
      <c r="FF64" s="816"/>
      <c r="FG64" s="816"/>
      <c r="FH64" s="816"/>
      <c r="FI64" s="816"/>
      <c r="FJ64" s="816"/>
      <c r="FK64" s="816"/>
      <c r="FL64" s="816"/>
      <c r="FM64" s="816"/>
      <c r="FN64" s="816"/>
      <c r="FO64" s="816"/>
      <c r="FP64" s="816"/>
      <c r="FQ64" s="816"/>
      <c r="FR64" s="816"/>
      <c r="FS64" s="816"/>
      <c r="FT64" s="816"/>
      <c r="FU64" s="816"/>
      <c r="FV64" s="816"/>
      <c r="FW64" s="816"/>
      <c r="FX64" s="816"/>
      <c r="FY64" s="816"/>
      <c r="FZ64" s="819"/>
      <c r="GA64" s="816"/>
      <c r="GB64" s="820"/>
      <c r="GC64" s="820"/>
      <c r="GD64" s="820"/>
      <c r="GE64" s="820"/>
      <c r="GF64" s="1055"/>
      <c r="GG64" s="609"/>
      <c r="GH64" s="816"/>
      <c r="GI64" s="816"/>
      <c r="GJ64" s="816"/>
      <c r="GK64" s="816"/>
      <c r="GL64" s="816"/>
      <c r="GM64" s="816"/>
      <c r="GN64" s="816"/>
      <c r="GO64" s="816"/>
      <c r="GP64" s="816"/>
      <c r="GQ64" s="816"/>
      <c r="GR64" s="816"/>
      <c r="GS64" s="816"/>
      <c r="GT64" s="818"/>
      <c r="GU64" s="816"/>
      <c r="GV64" s="816"/>
      <c r="GW64" s="816"/>
      <c r="GX64" s="816"/>
      <c r="GY64" s="816"/>
      <c r="GZ64" s="816"/>
      <c r="HA64" s="816"/>
      <c r="HB64" s="609"/>
      <c r="HC64" s="609"/>
      <c r="HD64" s="816"/>
      <c r="HE64" s="816"/>
      <c r="HF64" s="816"/>
      <c r="HG64" s="816"/>
      <c r="HH64" s="816"/>
      <c r="HI64" s="816"/>
      <c r="HJ64" s="609"/>
      <c r="HK64" s="609"/>
      <c r="HL64" s="609"/>
      <c r="HM64" s="816"/>
      <c r="HN64" s="816"/>
      <c r="HO64" s="609"/>
      <c r="HP64" s="609"/>
      <c r="HQ64" s="816"/>
      <c r="HR64" s="816"/>
      <c r="HS64" s="816"/>
      <c r="HT64" s="816"/>
      <c r="HU64" s="816"/>
      <c r="HV64" s="816"/>
      <c r="HW64" s="609"/>
      <c r="HX64" s="609"/>
      <c r="HY64" s="816"/>
      <c r="HZ64" s="816"/>
      <c r="IA64" s="816"/>
      <c r="IB64" s="816"/>
      <c r="IC64" s="816"/>
      <c r="ID64" s="816"/>
      <c r="IE64" s="609"/>
      <c r="IF64" s="609"/>
      <c r="IG64" s="816"/>
      <c r="IH64" s="816"/>
      <c r="II64" s="609"/>
      <c r="IJ64" s="609"/>
      <c r="IK64" s="816"/>
      <c r="IL64" s="816"/>
      <c r="IM64" s="609"/>
      <c r="IN64" s="609"/>
      <c r="IO64" s="816"/>
      <c r="IP64" s="816"/>
      <c r="IQ64" s="816"/>
      <c r="IR64" s="816"/>
      <c r="IS64" s="816"/>
      <c r="IT64" s="816"/>
      <c r="IU64" s="821"/>
      <c r="IV64" s="609"/>
      <c r="IW64" s="816"/>
      <c r="IX64" s="816"/>
      <c r="IY64" s="822"/>
      <c r="IZ64" s="609"/>
      <c r="JA64" s="816"/>
      <c r="JB64" s="816"/>
      <c r="JC64" s="609"/>
      <c r="JD64" s="816"/>
      <c r="JE64" s="816"/>
      <c r="JF64" s="816"/>
      <c r="JG64" s="816"/>
      <c r="JH64" s="816"/>
      <c r="JI64" s="816"/>
      <c r="JJ64" s="816"/>
      <c r="JK64" s="816"/>
      <c r="JL64" s="816"/>
      <c r="JM64" s="816"/>
      <c r="JN64" s="816"/>
      <c r="JO64" s="823"/>
      <c r="JP64" s="824"/>
      <c r="JQ64" s="825"/>
      <c r="JR64" s="825"/>
      <c r="JS64" s="816"/>
      <c r="JU64" s="826"/>
      <c r="JV64" s="826"/>
      <c r="JW64" s="826"/>
      <c r="JX64" s="826"/>
    </row>
    <row r="65" spans="2:284" s="780" customFormat="1">
      <c r="B65" s="609"/>
      <c r="C65" s="609"/>
      <c r="D65" s="609"/>
      <c r="E65" s="609"/>
      <c r="F65" s="609"/>
      <c r="G65" s="609"/>
      <c r="H65" s="609"/>
      <c r="I65" s="609"/>
      <c r="J65" s="609"/>
      <c r="K65" s="609"/>
      <c r="L65" s="609"/>
      <c r="M65" s="609"/>
      <c r="N65" s="609"/>
      <c r="O65" s="609"/>
      <c r="P65" s="609"/>
      <c r="Q65" s="609"/>
      <c r="R65" s="609"/>
      <c r="S65" s="609"/>
      <c r="T65" s="609"/>
      <c r="U65" s="609"/>
      <c r="V65" s="609"/>
      <c r="W65" s="609"/>
      <c r="X65" s="609"/>
      <c r="Y65" s="609"/>
      <c r="Z65" s="609"/>
      <c r="AA65" s="609"/>
      <c r="AB65" s="609"/>
      <c r="AC65" s="609"/>
      <c r="AD65" s="816"/>
      <c r="AE65" s="816"/>
      <c r="AF65" s="816"/>
      <c r="AG65" s="816"/>
      <c r="AH65" s="816"/>
      <c r="AI65" s="816"/>
      <c r="AJ65" s="609"/>
      <c r="AK65" s="609"/>
      <c r="AL65" s="816"/>
      <c r="AM65" s="816"/>
      <c r="AN65" s="609"/>
      <c r="AO65" s="609"/>
      <c r="AP65" s="816"/>
      <c r="AQ65" s="816"/>
      <c r="AR65" s="816"/>
      <c r="AS65" s="816"/>
      <c r="AT65" s="816"/>
      <c r="AU65" s="816"/>
      <c r="AV65" s="609"/>
      <c r="AW65" s="609"/>
      <c r="AX65" s="816"/>
      <c r="AY65" s="816"/>
      <c r="AZ65" s="817"/>
      <c r="BA65" s="609"/>
      <c r="BB65" s="609"/>
      <c r="BC65" s="816"/>
      <c r="BD65" s="816"/>
      <c r="BE65" s="816"/>
      <c r="BF65" s="816"/>
      <c r="BG65" s="816"/>
      <c r="BH65" s="816"/>
      <c r="BI65" s="816"/>
      <c r="BJ65" s="816"/>
      <c r="BK65" s="816"/>
      <c r="BL65" s="816"/>
      <c r="BM65" s="816"/>
      <c r="BN65" s="816"/>
      <c r="BO65" s="816"/>
      <c r="BP65" s="816"/>
      <c r="BQ65" s="816"/>
      <c r="BR65" s="816"/>
      <c r="BS65" s="816"/>
      <c r="BT65" s="816"/>
      <c r="BU65" s="816"/>
      <c r="BV65" s="816"/>
      <c r="BW65" s="816"/>
      <c r="BX65" s="609"/>
      <c r="BY65" s="609"/>
      <c r="BZ65" s="609"/>
      <c r="CA65" s="818"/>
      <c r="CB65" s="816"/>
      <c r="CC65" s="816"/>
      <c r="CD65" s="816"/>
      <c r="CE65" s="816"/>
      <c r="CF65" s="816"/>
      <c r="CG65" s="816"/>
      <c r="CH65" s="816"/>
      <c r="CI65" s="816"/>
      <c r="CJ65" s="819"/>
      <c r="CK65" s="819"/>
      <c r="CL65" s="820"/>
      <c r="CM65" s="820"/>
      <c r="CN65" s="820"/>
      <c r="CO65" s="820"/>
      <c r="CP65" s="820"/>
      <c r="CQ65" s="820"/>
      <c r="CR65" s="609"/>
      <c r="CS65" s="609"/>
      <c r="CT65" s="816"/>
      <c r="CU65" s="816"/>
      <c r="CV65" s="609"/>
      <c r="CW65" s="609"/>
      <c r="CX65" s="816"/>
      <c r="CY65" s="816"/>
      <c r="CZ65" s="609"/>
      <c r="DA65" s="609"/>
      <c r="DB65" s="816"/>
      <c r="DC65" s="816"/>
      <c r="DD65" s="609"/>
      <c r="DE65" s="609"/>
      <c r="DF65" s="816"/>
      <c r="DG65" s="816"/>
      <c r="DH65" s="816"/>
      <c r="DI65" s="816"/>
      <c r="DJ65" s="816"/>
      <c r="DK65" s="816"/>
      <c r="DL65" s="609"/>
      <c r="DM65" s="609"/>
      <c r="DN65" s="816"/>
      <c r="DO65" s="816"/>
      <c r="DP65" s="609"/>
      <c r="DQ65" s="609"/>
      <c r="DR65" s="816"/>
      <c r="DS65" s="816"/>
      <c r="DT65" s="816"/>
      <c r="DU65" s="816"/>
      <c r="DV65" s="816"/>
      <c r="DW65" s="816"/>
      <c r="DX65" s="816"/>
      <c r="DY65" s="816"/>
      <c r="DZ65" s="816"/>
      <c r="EA65" s="816"/>
      <c r="EB65" s="816"/>
      <c r="EC65" s="816"/>
      <c r="ED65" s="816"/>
      <c r="EE65" s="816"/>
      <c r="EF65" s="609"/>
      <c r="EG65" s="609"/>
      <c r="EH65" s="816"/>
      <c r="EI65" s="816"/>
      <c r="EJ65" s="816"/>
      <c r="EK65" s="816"/>
      <c r="EL65" s="816"/>
      <c r="EM65" s="816"/>
      <c r="EN65" s="816"/>
      <c r="EO65" s="816"/>
      <c r="EP65" s="816"/>
      <c r="EQ65" s="816"/>
      <c r="ER65" s="816"/>
      <c r="ES65" s="816"/>
      <c r="ET65" s="816"/>
      <c r="EU65" s="816"/>
      <c r="EV65" s="609"/>
      <c r="EW65" s="609"/>
      <c r="EX65" s="816"/>
      <c r="EY65" s="816"/>
      <c r="EZ65" s="816"/>
      <c r="FA65" s="816"/>
      <c r="FB65" s="816"/>
      <c r="FC65" s="816"/>
      <c r="FD65" s="816"/>
      <c r="FE65" s="816"/>
      <c r="FF65" s="816"/>
      <c r="FG65" s="816"/>
      <c r="FH65" s="816"/>
      <c r="FI65" s="816"/>
      <c r="FJ65" s="816"/>
      <c r="FK65" s="816"/>
      <c r="FL65" s="816"/>
      <c r="FM65" s="816"/>
      <c r="FN65" s="816"/>
      <c r="FO65" s="816"/>
      <c r="FP65" s="816"/>
      <c r="FQ65" s="816"/>
      <c r="FR65" s="816"/>
      <c r="FS65" s="816"/>
      <c r="FT65" s="816"/>
      <c r="FU65" s="816"/>
      <c r="FV65" s="816"/>
      <c r="FW65" s="816"/>
      <c r="FX65" s="816"/>
      <c r="FY65" s="816"/>
      <c r="FZ65" s="819"/>
      <c r="GA65" s="816"/>
      <c r="GB65" s="820"/>
      <c r="GC65" s="820"/>
      <c r="GD65" s="820"/>
      <c r="GE65" s="820"/>
      <c r="GF65" s="1055"/>
      <c r="GG65" s="609"/>
      <c r="GH65" s="816"/>
      <c r="GI65" s="816"/>
      <c r="GJ65" s="816"/>
      <c r="GK65" s="816"/>
      <c r="GL65" s="816"/>
      <c r="GM65" s="816"/>
      <c r="GN65" s="816"/>
      <c r="GO65" s="816"/>
      <c r="GP65" s="816"/>
      <c r="GQ65" s="816"/>
      <c r="GR65" s="816"/>
      <c r="GS65" s="816"/>
      <c r="GT65" s="818"/>
      <c r="GU65" s="816"/>
      <c r="GV65" s="816"/>
      <c r="GW65" s="816"/>
      <c r="GX65" s="816"/>
      <c r="GY65" s="816"/>
      <c r="GZ65" s="816"/>
      <c r="HA65" s="816"/>
      <c r="HB65" s="609"/>
      <c r="HC65" s="609"/>
      <c r="HD65" s="816"/>
      <c r="HE65" s="816"/>
      <c r="HF65" s="816"/>
      <c r="HG65" s="816"/>
      <c r="HH65" s="816"/>
      <c r="HI65" s="816"/>
      <c r="HJ65" s="609"/>
      <c r="HK65" s="609"/>
      <c r="HL65" s="609"/>
      <c r="HM65" s="816"/>
      <c r="HN65" s="816"/>
      <c r="HO65" s="609"/>
      <c r="HP65" s="609"/>
      <c r="HQ65" s="816"/>
      <c r="HR65" s="816"/>
      <c r="HS65" s="816"/>
      <c r="HT65" s="816"/>
      <c r="HU65" s="816"/>
      <c r="HV65" s="816"/>
      <c r="HW65" s="609"/>
      <c r="HX65" s="609"/>
      <c r="HY65" s="816"/>
      <c r="HZ65" s="816"/>
      <c r="IA65" s="816"/>
      <c r="IB65" s="816"/>
      <c r="IC65" s="816"/>
      <c r="ID65" s="816"/>
      <c r="IE65" s="609"/>
      <c r="IF65" s="609"/>
      <c r="IG65" s="816"/>
      <c r="IH65" s="816"/>
      <c r="II65" s="609"/>
      <c r="IJ65" s="609"/>
      <c r="IK65" s="816"/>
      <c r="IL65" s="816"/>
      <c r="IM65" s="609"/>
      <c r="IN65" s="609"/>
      <c r="IO65" s="816"/>
      <c r="IP65" s="816"/>
      <c r="IQ65" s="816"/>
      <c r="IR65" s="816"/>
      <c r="IS65" s="816"/>
      <c r="IT65" s="816"/>
      <c r="IU65" s="821"/>
      <c r="IV65" s="609"/>
      <c r="IW65" s="816"/>
      <c r="IX65" s="816"/>
      <c r="IY65" s="822"/>
      <c r="IZ65" s="609"/>
      <c r="JA65" s="816"/>
      <c r="JB65" s="816"/>
      <c r="JC65" s="609"/>
      <c r="JD65" s="816"/>
      <c r="JE65" s="816"/>
      <c r="JF65" s="816"/>
      <c r="JG65" s="816"/>
      <c r="JH65" s="816"/>
      <c r="JI65" s="816"/>
      <c r="JJ65" s="816"/>
      <c r="JK65" s="816"/>
      <c r="JL65" s="816"/>
      <c r="JM65" s="816"/>
      <c r="JN65" s="816"/>
      <c r="JO65" s="823"/>
      <c r="JP65" s="824"/>
      <c r="JQ65" s="825"/>
      <c r="JR65" s="825"/>
      <c r="JS65" s="816"/>
      <c r="JU65" s="826"/>
      <c r="JV65" s="826"/>
      <c r="JW65" s="826"/>
      <c r="JX65" s="826"/>
    </row>
    <row r="66" spans="2:284" s="780" customFormat="1">
      <c r="B66" s="609"/>
      <c r="C66" s="609"/>
      <c r="D66" s="609"/>
      <c r="E66" s="609"/>
      <c r="F66" s="609"/>
      <c r="G66" s="609"/>
      <c r="H66" s="609"/>
      <c r="I66" s="609"/>
      <c r="J66" s="609"/>
      <c r="K66" s="609"/>
      <c r="L66" s="609"/>
      <c r="M66" s="609"/>
      <c r="N66" s="609"/>
      <c r="O66" s="609"/>
      <c r="P66" s="609"/>
      <c r="Q66" s="609"/>
      <c r="R66" s="609"/>
      <c r="S66" s="609"/>
      <c r="T66" s="609"/>
      <c r="U66" s="609"/>
      <c r="V66" s="609"/>
      <c r="W66" s="609"/>
      <c r="X66" s="609"/>
      <c r="Y66" s="609"/>
      <c r="Z66" s="609"/>
      <c r="AA66" s="609"/>
      <c r="AB66" s="609"/>
      <c r="AC66" s="609"/>
      <c r="AD66" s="816"/>
      <c r="AE66" s="816"/>
      <c r="AF66" s="816"/>
      <c r="AG66" s="816"/>
      <c r="AH66" s="816"/>
      <c r="AI66" s="816"/>
      <c r="AJ66" s="609"/>
      <c r="AK66" s="609"/>
      <c r="AL66" s="816"/>
      <c r="AM66" s="816"/>
      <c r="AN66" s="609"/>
      <c r="AO66" s="609"/>
      <c r="AP66" s="816"/>
      <c r="AQ66" s="816"/>
      <c r="AR66" s="816"/>
      <c r="AS66" s="816"/>
      <c r="AT66" s="816"/>
      <c r="AU66" s="816"/>
      <c r="AV66" s="609"/>
      <c r="AW66" s="609"/>
      <c r="AX66" s="816"/>
      <c r="AY66" s="816"/>
      <c r="AZ66" s="817"/>
      <c r="BA66" s="609"/>
      <c r="BB66" s="609"/>
      <c r="BC66" s="816"/>
      <c r="BD66" s="816"/>
      <c r="BE66" s="816"/>
      <c r="BF66" s="816"/>
      <c r="BG66" s="816"/>
      <c r="BH66" s="816"/>
      <c r="BI66" s="816"/>
      <c r="BJ66" s="816"/>
      <c r="BK66" s="816"/>
      <c r="BL66" s="816"/>
      <c r="BM66" s="816"/>
      <c r="BN66" s="816"/>
      <c r="BO66" s="816"/>
      <c r="BP66" s="816"/>
      <c r="BQ66" s="816"/>
      <c r="BR66" s="816"/>
      <c r="BS66" s="816"/>
      <c r="BT66" s="816"/>
      <c r="BU66" s="816"/>
      <c r="BV66" s="816"/>
      <c r="BW66" s="816"/>
      <c r="BX66" s="609"/>
      <c r="BY66" s="609"/>
      <c r="BZ66" s="609"/>
      <c r="CA66" s="818"/>
      <c r="CB66" s="816"/>
      <c r="CC66" s="816"/>
      <c r="CD66" s="816"/>
      <c r="CE66" s="816"/>
      <c r="CF66" s="816"/>
      <c r="CG66" s="816"/>
      <c r="CH66" s="816"/>
      <c r="CI66" s="816"/>
      <c r="CJ66" s="819"/>
      <c r="CK66" s="819"/>
      <c r="CL66" s="820"/>
      <c r="CM66" s="820"/>
      <c r="CN66" s="820"/>
      <c r="CO66" s="820"/>
      <c r="CP66" s="820"/>
      <c r="CQ66" s="820"/>
      <c r="CR66" s="609"/>
      <c r="CS66" s="609"/>
      <c r="CT66" s="816"/>
      <c r="CU66" s="816"/>
      <c r="CV66" s="609"/>
      <c r="CW66" s="609"/>
      <c r="CX66" s="816"/>
      <c r="CY66" s="816"/>
      <c r="CZ66" s="609"/>
      <c r="DA66" s="609"/>
      <c r="DB66" s="816"/>
      <c r="DC66" s="816"/>
      <c r="DD66" s="609"/>
      <c r="DE66" s="609"/>
      <c r="DF66" s="816"/>
      <c r="DG66" s="816"/>
      <c r="DH66" s="816"/>
      <c r="DI66" s="816"/>
      <c r="DJ66" s="816"/>
      <c r="DK66" s="816"/>
      <c r="DL66" s="609"/>
      <c r="DM66" s="609"/>
      <c r="DN66" s="816"/>
      <c r="DO66" s="816"/>
      <c r="DP66" s="609"/>
      <c r="DQ66" s="609"/>
      <c r="DR66" s="816"/>
      <c r="DS66" s="816"/>
      <c r="DT66" s="816"/>
      <c r="DU66" s="816"/>
      <c r="DV66" s="816"/>
      <c r="DW66" s="816"/>
      <c r="DX66" s="816"/>
      <c r="DY66" s="816"/>
      <c r="DZ66" s="816"/>
      <c r="EA66" s="816"/>
      <c r="EB66" s="816"/>
      <c r="EC66" s="816"/>
      <c r="ED66" s="816"/>
      <c r="EE66" s="816"/>
      <c r="EF66" s="609"/>
      <c r="EG66" s="609"/>
      <c r="EH66" s="816"/>
      <c r="EI66" s="816"/>
      <c r="EJ66" s="816"/>
      <c r="EK66" s="816"/>
      <c r="EL66" s="816"/>
      <c r="EM66" s="816"/>
      <c r="EN66" s="816"/>
      <c r="EO66" s="816"/>
      <c r="EP66" s="816"/>
      <c r="EQ66" s="816"/>
      <c r="ER66" s="816"/>
      <c r="ES66" s="816"/>
      <c r="ET66" s="816"/>
      <c r="EU66" s="816"/>
      <c r="EV66" s="609"/>
      <c r="EW66" s="609"/>
      <c r="EX66" s="816"/>
      <c r="EY66" s="816"/>
      <c r="EZ66" s="816"/>
      <c r="FA66" s="816"/>
      <c r="FB66" s="816"/>
      <c r="FC66" s="816"/>
      <c r="FD66" s="816"/>
      <c r="FE66" s="816"/>
      <c r="FF66" s="816"/>
      <c r="FG66" s="816"/>
      <c r="FH66" s="816"/>
      <c r="FI66" s="816"/>
      <c r="FJ66" s="816"/>
      <c r="FK66" s="816"/>
      <c r="FL66" s="816"/>
      <c r="FM66" s="816"/>
      <c r="FN66" s="816"/>
      <c r="FO66" s="816"/>
      <c r="FP66" s="816"/>
      <c r="FQ66" s="816"/>
      <c r="FR66" s="816"/>
      <c r="FS66" s="816"/>
      <c r="FT66" s="816"/>
      <c r="FU66" s="816"/>
      <c r="FV66" s="816"/>
      <c r="FW66" s="816"/>
      <c r="FX66" s="816"/>
      <c r="FY66" s="816"/>
      <c r="FZ66" s="819"/>
      <c r="GA66" s="816"/>
      <c r="GB66" s="820"/>
      <c r="GC66" s="820"/>
      <c r="GD66" s="820"/>
      <c r="GE66" s="820"/>
      <c r="GF66" s="817"/>
      <c r="GG66" s="609"/>
      <c r="GH66" s="816"/>
      <c r="GI66" s="816"/>
      <c r="GJ66" s="816"/>
      <c r="GK66" s="816"/>
      <c r="GL66" s="816"/>
      <c r="GM66" s="816"/>
      <c r="GN66" s="816"/>
      <c r="GO66" s="816"/>
      <c r="GP66" s="816"/>
      <c r="GQ66" s="816"/>
      <c r="GR66" s="816"/>
      <c r="GS66" s="816"/>
      <c r="GT66" s="818"/>
      <c r="GU66" s="816"/>
      <c r="GV66" s="816"/>
      <c r="GW66" s="816"/>
      <c r="GX66" s="816"/>
      <c r="GY66" s="816"/>
      <c r="GZ66" s="816"/>
      <c r="HA66" s="816"/>
      <c r="HB66" s="609"/>
      <c r="HC66" s="609"/>
      <c r="HD66" s="816"/>
      <c r="HE66" s="816"/>
      <c r="HF66" s="816"/>
      <c r="HG66" s="816"/>
      <c r="HH66" s="816"/>
      <c r="HI66" s="816"/>
      <c r="HJ66" s="609"/>
      <c r="HK66" s="609"/>
      <c r="HL66" s="609"/>
      <c r="HM66" s="816"/>
      <c r="HN66" s="816"/>
      <c r="HO66" s="609"/>
      <c r="HP66" s="609"/>
      <c r="HQ66" s="816"/>
      <c r="HR66" s="816"/>
      <c r="HS66" s="816"/>
      <c r="HT66" s="816"/>
      <c r="HU66" s="816"/>
      <c r="HV66" s="816"/>
      <c r="HW66" s="609"/>
      <c r="HX66" s="609"/>
      <c r="HY66" s="816"/>
      <c r="HZ66" s="816"/>
      <c r="IA66" s="816"/>
      <c r="IB66" s="816"/>
      <c r="IC66" s="816"/>
      <c r="ID66" s="816"/>
      <c r="IE66" s="609"/>
      <c r="IF66" s="609"/>
      <c r="IG66" s="816"/>
      <c r="IH66" s="816"/>
      <c r="II66" s="609"/>
      <c r="IJ66" s="609"/>
      <c r="IK66" s="816"/>
      <c r="IL66" s="816"/>
      <c r="IM66" s="609"/>
      <c r="IN66" s="609"/>
      <c r="IO66" s="816"/>
      <c r="IP66" s="816"/>
      <c r="IQ66" s="816"/>
      <c r="IR66" s="816"/>
      <c r="IS66" s="816"/>
      <c r="IT66" s="816"/>
      <c r="IU66" s="821"/>
      <c r="IV66" s="609"/>
      <c r="IW66" s="816"/>
      <c r="IX66" s="816"/>
      <c r="IY66" s="822"/>
      <c r="IZ66" s="609"/>
      <c r="JA66" s="816"/>
      <c r="JB66" s="816"/>
      <c r="JC66" s="609"/>
      <c r="JD66" s="816"/>
      <c r="JE66" s="816"/>
      <c r="JF66" s="816"/>
      <c r="JG66" s="816"/>
      <c r="JH66" s="816"/>
      <c r="JI66" s="816"/>
      <c r="JJ66" s="816"/>
      <c r="JK66" s="816"/>
      <c r="JL66" s="816"/>
      <c r="JM66" s="816"/>
      <c r="JN66" s="816"/>
      <c r="JO66" s="823"/>
      <c r="JP66" s="824"/>
      <c r="JQ66" s="825"/>
      <c r="JR66" s="825"/>
      <c r="JS66" s="816"/>
      <c r="JU66" s="826"/>
      <c r="JV66" s="826"/>
      <c r="JW66" s="826"/>
      <c r="JX66" s="826"/>
    </row>
    <row r="67" spans="2:284" s="780" customFormat="1">
      <c r="B67" s="609"/>
      <c r="C67" s="609"/>
      <c r="D67" s="609"/>
      <c r="E67" s="609"/>
      <c r="F67" s="609"/>
      <c r="G67" s="609"/>
      <c r="H67" s="609"/>
      <c r="I67" s="609"/>
      <c r="J67" s="609"/>
      <c r="K67" s="609"/>
      <c r="L67" s="609"/>
      <c r="M67" s="609"/>
      <c r="N67" s="609"/>
      <c r="O67" s="609"/>
      <c r="P67" s="609"/>
      <c r="Q67" s="609"/>
      <c r="R67" s="609"/>
      <c r="S67" s="609"/>
      <c r="T67" s="609"/>
      <c r="U67" s="609"/>
      <c r="V67" s="609"/>
      <c r="W67" s="609"/>
      <c r="X67" s="609"/>
      <c r="Y67" s="609"/>
      <c r="Z67" s="609"/>
      <c r="AA67" s="609"/>
      <c r="AB67" s="609"/>
      <c r="AC67" s="609"/>
      <c r="AD67" s="816"/>
      <c r="AE67" s="816"/>
      <c r="AF67" s="816"/>
      <c r="AG67" s="816"/>
      <c r="AH67" s="816"/>
      <c r="AI67" s="816"/>
      <c r="AJ67" s="609"/>
      <c r="AK67" s="609"/>
      <c r="AL67" s="816"/>
      <c r="AM67" s="816"/>
      <c r="AN67" s="609"/>
      <c r="AO67" s="609"/>
      <c r="AP67" s="816"/>
      <c r="AQ67" s="816"/>
      <c r="AR67" s="816"/>
      <c r="AS67" s="816"/>
      <c r="AT67" s="816"/>
      <c r="AU67" s="816"/>
      <c r="AV67" s="609"/>
      <c r="AW67" s="609"/>
      <c r="AX67" s="816"/>
      <c r="AY67" s="816"/>
      <c r="AZ67" s="817"/>
      <c r="BA67" s="609"/>
      <c r="BB67" s="609"/>
      <c r="BC67" s="816"/>
      <c r="BD67" s="816"/>
      <c r="BE67" s="816"/>
      <c r="BF67" s="816"/>
      <c r="BG67" s="816"/>
      <c r="BH67" s="816"/>
      <c r="BI67" s="816"/>
      <c r="BJ67" s="816"/>
      <c r="BK67" s="816"/>
      <c r="BL67" s="816"/>
      <c r="BM67" s="816"/>
      <c r="BN67" s="816"/>
      <c r="BO67" s="816"/>
      <c r="BP67" s="816"/>
      <c r="BQ67" s="816"/>
      <c r="BR67" s="816"/>
      <c r="BS67" s="816"/>
      <c r="BT67" s="816"/>
      <c r="BU67" s="816"/>
      <c r="BV67" s="816"/>
      <c r="BW67" s="816"/>
      <c r="BX67" s="609"/>
      <c r="BY67" s="609"/>
      <c r="BZ67" s="609"/>
      <c r="CA67" s="818"/>
      <c r="CB67" s="816"/>
      <c r="CC67" s="816"/>
      <c r="CD67" s="816"/>
      <c r="CE67" s="816"/>
      <c r="CF67" s="816"/>
      <c r="CG67" s="816"/>
      <c r="CH67" s="816"/>
      <c r="CI67" s="816"/>
      <c r="CJ67" s="819"/>
      <c r="CK67" s="819"/>
      <c r="CL67" s="820"/>
      <c r="CM67" s="820"/>
      <c r="CN67" s="820"/>
      <c r="CO67" s="820"/>
      <c r="CP67" s="820"/>
      <c r="CQ67" s="820"/>
      <c r="CR67" s="609"/>
      <c r="CS67" s="609"/>
      <c r="CT67" s="816"/>
      <c r="CU67" s="816"/>
      <c r="CV67" s="609"/>
      <c r="CW67" s="609"/>
      <c r="CX67" s="816"/>
      <c r="CY67" s="816"/>
      <c r="CZ67" s="609"/>
      <c r="DA67" s="609"/>
      <c r="DB67" s="816"/>
      <c r="DC67" s="816"/>
      <c r="DD67" s="609"/>
      <c r="DE67" s="609"/>
      <c r="DF67" s="816"/>
      <c r="DG67" s="816"/>
      <c r="DH67" s="816"/>
      <c r="DI67" s="816"/>
      <c r="DJ67" s="816"/>
      <c r="DK67" s="816"/>
      <c r="DL67" s="609"/>
      <c r="DM67" s="609"/>
      <c r="DN67" s="816"/>
      <c r="DO67" s="816"/>
      <c r="DP67" s="609"/>
      <c r="DQ67" s="609"/>
      <c r="DR67" s="816"/>
      <c r="DS67" s="816"/>
      <c r="DT67" s="816"/>
      <c r="DU67" s="816"/>
      <c r="DV67" s="816"/>
      <c r="DW67" s="816"/>
      <c r="DX67" s="816"/>
      <c r="DY67" s="816"/>
      <c r="DZ67" s="816"/>
      <c r="EA67" s="816"/>
      <c r="EB67" s="816"/>
      <c r="EC67" s="816"/>
      <c r="ED67" s="816"/>
      <c r="EE67" s="816"/>
      <c r="EF67" s="609"/>
      <c r="EG67" s="609"/>
      <c r="EH67" s="816"/>
      <c r="EI67" s="816"/>
      <c r="EJ67" s="816"/>
      <c r="EK67" s="816"/>
      <c r="EL67" s="816"/>
      <c r="EM67" s="816"/>
      <c r="EN67" s="816"/>
      <c r="EO67" s="816"/>
      <c r="EP67" s="816"/>
      <c r="EQ67" s="816"/>
      <c r="ER67" s="816"/>
      <c r="ES67" s="816"/>
      <c r="ET67" s="816"/>
      <c r="EU67" s="816"/>
      <c r="EV67" s="609"/>
      <c r="EW67" s="609"/>
      <c r="EX67" s="816"/>
      <c r="EY67" s="816"/>
      <c r="EZ67" s="816"/>
      <c r="FA67" s="816"/>
      <c r="FB67" s="816"/>
      <c r="FC67" s="816"/>
      <c r="FD67" s="816"/>
      <c r="FE67" s="816"/>
      <c r="FF67" s="816"/>
      <c r="FG67" s="816"/>
      <c r="FH67" s="816"/>
      <c r="FI67" s="816"/>
      <c r="FJ67" s="816"/>
      <c r="FK67" s="816"/>
      <c r="FL67" s="816"/>
      <c r="FM67" s="816"/>
      <c r="FN67" s="816"/>
      <c r="FO67" s="816"/>
      <c r="FP67" s="816"/>
      <c r="FQ67" s="816"/>
      <c r="FR67" s="816"/>
      <c r="FS67" s="816"/>
      <c r="FT67" s="816"/>
      <c r="FU67" s="816"/>
      <c r="FV67" s="816"/>
      <c r="FW67" s="816"/>
      <c r="FX67" s="816"/>
      <c r="FY67" s="816"/>
      <c r="FZ67" s="819"/>
      <c r="GA67" s="816"/>
      <c r="GB67" s="820"/>
      <c r="GC67" s="820"/>
      <c r="GD67" s="820"/>
      <c r="GE67" s="820"/>
      <c r="GF67" s="817"/>
      <c r="GG67" s="609"/>
      <c r="GH67" s="816"/>
      <c r="GI67" s="816"/>
      <c r="GJ67" s="816"/>
      <c r="GK67" s="816"/>
      <c r="GL67" s="816"/>
      <c r="GM67" s="816"/>
      <c r="GN67" s="816"/>
      <c r="GO67" s="816"/>
      <c r="GP67" s="816"/>
      <c r="GQ67" s="816"/>
      <c r="GR67" s="816"/>
      <c r="GS67" s="816"/>
      <c r="GT67" s="818"/>
      <c r="GU67" s="816"/>
      <c r="GV67" s="816"/>
      <c r="GW67" s="816"/>
      <c r="GX67" s="816"/>
      <c r="GY67" s="816"/>
      <c r="GZ67" s="816"/>
      <c r="HA67" s="816"/>
      <c r="HB67" s="609"/>
      <c r="HC67" s="609"/>
      <c r="HD67" s="816"/>
      <c r="HE67" s="816"/>
      <c r="HF67" s="816"/>
      <c r="HG67" s="816"/>
      <c r="HH67" s="816"/>
      <c r="HI67" s="816"/>
      <c r="HJ67" s="609"/>
      <c r="HK67" s="609"/>
      <c r="HL67" s="609"/>
      <c r="HM67" s="816"/>
      <c r="HN67" s="816"/>
      <c r="HO67" s="609"/>
      <c r="HP67" s="609"/>
      <c r="HQ67" s="816"/>
      <c r="HR67" s="816"/>
      <c r="HS67" s="816"/>
      <c r="HT67" s="816"/>
      <c r="HU67" s="816"/>
      <c r="HV67" s="816"/>
      <c r="HW67" s="609"/>
      <c r="HX67" s="609"/>
      <c r="HY67" s="816"/>
      <c r="HZ67" s="816"/>
      <c r="IA67" s="816"/>
      <c r="IB67" s="816"/>
      <c r="IC67" s="816"/>
      <c r="ID67" s="816"/>
      <c r="IE67" s="609"/>
      <c r="IF67" s="609"/>
      <c r="IG67" s="816"/>
      <c r="IH67" s="816"/>
      <c r="II67" s="609"/>
      <c r="IJ67" s="609"/>
      <c r="IK67" s="816"/>
      <c r="IL67" s="816"/>
      <c r="IM67" s="609"/>
      <c r="IN67" s="609"/>
      <c r="IO67" s="816"/>
      <c r="IP67" s="816"/>
      <c r="IQ67" s="816"/>
      <c r="IR67" s="816"/>
      <c r="IS67" s="816"/>
      <c r="IT67" s="816"/>
      <c r="IU67" s="821"/>
      <c r="IV67" s="609"/>
      <c r="IW67" s="816"/>
      <c r="IX67" s="816"/>
      <c r="IY67" s="822"/>
      <c r="IZ67" s="609"/>
      <c r="JA67" s="816"/>
      <c r="JB67" s="816"/>
      <c r="JC67" s="609"/>
      <c r="JD67" s="816"/>
      <c r="JE67" s="816"/>
      <c r="JF67" s="816"/>
      <c r="JG67" s="816"/>
      <c r="JH67" s="816"/>
      <c r="JI67" s="816"/>
      <c r="JJ67" s="816"/>
      <c r="JK67" s="816"/>
      <c r="JL67" s="816"/>
      <c r="JM67" s="816"/>
      <c r="JN67" s="816"/>
      <c r="JO67" s="823"/>
      <c r="JP67" s="824"/>
      <c r="JQ67" s="825"/>
      <c r="JR67" s="825"/>
      <c r="JS67" s="816"/>
      <c r="JU67" s="826"/>
      <c r="JV67" s="826"/>
      <c r="JW67" s="826"/>
      <c r="JX67" s="826"/>
    </row>
    <row r="68" spans="2:284" s="780" customFormat="1">
      <c r="B68" s="609"/>
      <c r="C68" s="609"/>
      <c r="D68" s="609"/>
      <c r="E68" s="609"/>
      <c r="F68" s="609"/>
      <c r="G68" s="609"/>
      <c r="H68" s="609"/>
      <c r="I68" s="609"/>
      <c r="J68" s="609"/>
      <c r="K68" s="609"/>
      <c r="L68" s="609"/>
      <c r="M68" s="609"/>
      <c r="N68" s="609"/>
      <c r="O68" s="609"/>
      <c r="P68" s="609"/>
      <c r="Q68" s="609"/>
      <c r="R68" s="609"/>
      <c r="S68" s="609"/>
      <c r="T68" s="609"/>
      <c r="U68" s="609"/>
      <c r="V68" s="609"/>
      <c r="W68" s="609"/>
      <c r="X68" s="609"/>
      <c r="Y68" s="609"/>
      <c r="Z68" s="609"/>
      <c r="AA68" s="609"/>
      <c r="AB68" s="609"/>
      <c r="AC68" s="609"/>
      <c r="AD68" s="816"/>
      <c r="AE68" s="816"/>
      <c r="AF68" s="816"/>
      <c r="AG68" s="816"/>
      <c r="AH68" s="816"/>
      <c r="AI68" s="816"/>
      <c r="AJ68" s="609"/>
      <c r="AK68" s="609"/>
      <c r="AL68" s="816"/>
      <c r="AM68" s="816"/>
      <c r="AN68" s="609"/>
      <c r="AO68" s="609"/>
      <c r="AP68" s="816"/>
      <c r="AQ68" s="816"/>
      <c r="AR68" s="816"/>
      <c r="AS68" s="816"/>
      <c r="AT68" s="816"/>
      <c r="AU68" s="816"/>
      <c r="AV68" s="609"/>
      <c r="AW68" s="609"/>
      <c r="AX68" s="816"/>
      <c r="AY68" s="816"/>
      <c r="AZ68" s="817"/>
      <c r="BA68" s="609"/>
      <c r="BB68" s="609"/>
      <c r="BC68" s="816"/>
      <c r="BD68" s="816"/>
      <c r="BE68" s="816"/>
      <c r="BF68" s="816"/>
      <c r="BG68" s="816"/>
      <c r="BH68" s="816"/>
      <c r="BI68" s="816"/>
      <c r="BJ68" s="816"/>
      <c r="BK68" s="816"/>
      <c r="BL68" s="816"/>
      <c r="BM68" s="816"/>
      <c r="BN68" s="816"/>
      <c r="BO68" s="816"/>
      <c r="BP68" s="816"/>
      <c r="BQ68" s="816"/>
      <c r="BR68" s="816"/>
      <c r="BS68" s="816"/>
      <c r="BT68" s="816"/>
      <c r="BU68" s="816"/>
      <c r="BV68" s="816"/>
      <c r="BW68" s="816"/>
      <c r="BX68" s="609"/>
      <c r="BY68" s="609"/>
      <c r="BZ68" s="609"/>
      <c r="CA68" s="818"/>
      <c r="CB68" s="816"/>
      <c r="CC68" s="816"/>
      <c r="CD68" s="816"/>
      <c r="CE68" s="816"/>
      <c r="CF68" s="816"/>
      <c r="CG68" s="816"/>
      <c r="CH68" s="816"/>
      <c r="CI68" s="816"/>
      <c r="CJ68" s="819"/>
      <c r="CK68" s="819"/>
      <c r="CL68" s="820"/>
      <c r="CM68" s="820"/>
      <c r="CN68" s="820"/>
      <c r="CO68" s="820"/>
      <c r="CP68" s="820"/>
      <c r="CQ68" s="820"/>
      <c r="CR68" s="609"/>
      <c r="CS68" s="609"/>
      <c r="CT68" s="816"/>
      <c r="CU68" s="816"/>
      <c r="CV68" s="609"/>
      <c r="CW68" s="609"/>
      <c r="CX68" s="816"/>
      <c r="CY68" s="816"/>
      <c r="CZ68" s="609"/>
      <c r="DA68" s="609"/>
      <c r="DB68" s="816"/>
      <c r="DC68" s="816"/>
      <c r="DD68" s="609"/>
      <c r="DE68" s="609"/>
      <c r="DF68" s="816"/>
      <c r="DG68" s="816"/>
      <c r="DH68" s="816"/>
      <c r="DI68" s="816"/>
      <c r="DJ68" s="816"/>
      <c r="DK68" s="816"/>
      <c r="DL68" s="609"/>
      <c r="DM68" s="609"/>
      <c r="DN68" s="816"/>
      <c r="DO68" s="816"/>
      <c r="DP68" s="609"/>
      <c r="DQ68" s="609"/>
      <c r="DR68" s="816"/>
      <c r="DS68" s="816"/>
      <c r="DT68" s="816"/>
      <c r="DU68" s="816"/>
      <c r="DV68" s="816"/>
      <c r="DW68" s="816"/>
      <c r="DX68" s="816"/>
      <c r="DY68" s="816"/>
      <c r="DZ68" s="816"/>
      <c r="EA68" s="816"/>
      <c r="EB68" s="816"/>
      <c r="EC68" s="816"/>
      <c r="ED68" s="816"/>
      <c r="EE68" s="816"/>
      <c r="EF68" s="609"/>
      <c r="EG68" s="609"/>
      <c r="EH68" s="816"/>
      <c r="EI68" s="816"/>
      <c r="EJ68" s="816"/>
      <c r="EK68" s="816"/>
      <c r="EL68" s="816"/>
      <c r="EM68" s="816"/>
      <c r="EN68" s="816"/>
      <c r="EO68" s="816"/>
      <c r="EP68" s="816"/>
      <c r="EQ68" s="816"/>
      <c r="ER68" s="816"/>
      <c r="ES68" s="816"/>
      <c r="ET68" s="816"/>
      <c r="EU68" s="816"/>
      <c r="EV68" s="609"/>
      <c r="EW68" s="609"/>
      <c r="EX68" s="816"/>
      <c r="EY68" s="816"/>
      <c r="EZ68" s="816"/>
      <c r="FA68" s="816"/>
      <c r="FB68" s="816"/>
      <c r="FC68" s="816"/>
      <c r="FD68" s="816"/>
      <c r="FE68" s="816"/>
      <c r="FF68" s="816"/>
      <c r="FG68" s="816"/>
      <c r="FH68" s="816"/>
      <c r="FI68" s="816"/>
      <c r="FJ68" s="816"/>
      <c r="FK68" s="816"/>
      <c r="FL68" s="816"/>
      <c r="FM68" s="816"/>
      <c r="FN68" s="816"/>
      <c r="FO68" s="816"/>
      <c r="FP68" s="816"/>
      <c r="FQ68" s="816"/>
      <c r="FR68" s="816"/>
      <c r="FS68" s="816"/>
      <c r="FT68" s="816"/>
      <c r="FU68" s="816"/>
      <c r="FV68" s="816"/>
      <c r="FW68" s="816"/>
      <c r="FX68" s="816"/>
      <c r="FY68" s="816"/>
      <c r="FZ68" s="819"/>
      <c r="GA68" s="816"/>
      <c r="GB68" s="820"/>
      <c r="GC68" s="820"/>
      <c r="GD68" s="820"/>
      <c r="GE68" s="820"/>
      <c r="GF68" s="609"/>
      <c r="GG68" s="609"/>
      <c r="GH68" s="816"/>
      <c r="GI68" s="816"/>
      <c r="GJ68" s="816"/>
      <c r="GK68" s="816"/>
      <c r="GL68" s="816"/>
      <c r="GM68" s="816"/>
      <c r="GN68" s="816"/>
      <c r="GO68" s="816"/>
      <c r="GP68" s="816"/>
      <c r="GQ68" s="816"/>
      <c r="GR68" s="816"/>
      <c r="GS68" s="816"/>
      <c r="GT68" s="818"/>
      <c r="GU68" s="816"/>
      <c r="GV68" s="816"/>
      <c r="GW68" s="816"/>
      <c r="GX68" s="816"/>
      <c r="GY68" s="816"/>
      <c r="GZ68" s="816"/>
      <c r="HA68" s="816"/>
      <c r="HB68" s="609"/>
      <c r="HC68" s="609"/>
      <c r="HD68" s="816"/>
      <c r="HE68" s="816"/>
      <c r="HF68" s="816"/>
      <c r="HG68" s="816"/>
      <c r="HH68" s="816"/>
      <c r="HI68" s="816"/>
      <c r="HJ68" s="609"/>
      <c r="HK68" s="609"/>
      <c r="HL68" s="609"/>
      <c r="HM68" s="816"/>
      <c r="HN68" s="816"/>
      <c r="HO68" s="609"/>
      <c r="HP68" s="609"/>
      <c r="HQ68" s="816"/>
      <c r="HR68" s="816"/>
      <c r="HS68" s="816"/>
      <c r="HT68" s="816"/>
      <c r="HU68" s="816"/>
      <c r="HV68" s="816"/>
      <c r="HW68" s="609"/>
      <c r="HX68" s="609"/>
      <c r="HY68" s="816"/>
      <c r="HZ68" s="816"/>
      <c r="IA68" s="816"/>
      <c r="IB68" s="816"/>
      <c r="IC68" s="816"/>
      <c r="ID68" s="816"/>
      <c r="IE68" s="609"/>
      <c r="IF68" s="609"/>
      <c r="IG68" s="816"/>
      <c r="IH68" s="816"/>
      <c r="II68" s="609"/>
      <c r="IJ68" s="609"/>
      <c r="IK68" s="816"/>
      <c r="IL68" s="816"/>
      <c r="IM68" s="609"/>
      <c r="IN68" s="609"/>
      <c r="IO68" s="816"/>
      <c r="IP68" s="816"/>
      <c r="IQ68" s="816"/>
      <c r="IR68" s="816"/>
      <c r="IS68" s="816"/>
      <c r="IT68" s="816"/>
      <c r="IU68" s="821"/>
      <c r="IV68" s="609"/>
      <c r="IW68" s="816"/>
      <c r="IX68" s="816"/>
      <c r="IY68" s="822"/>
      <c r="IZ68" s="609"/>
      <c r="JA68" s="816"/>
      <c r="JB68" s="816"/>
      <c r="JC68" s="609"/>
      <c r="JD68" s="816"/>
      <c r="JE68" s="816"/>
      <c r="JF68" s="816"/>
      <c r="JG68" s="816"/>
      <c r="JH68" s="816"/>
      <c r="JI68" s="816"/>
      <c r="JJ68" s="816"/>
      <c r="JK68" s="816"/>
      <c r="JL68" s="816"/>
      <c r="JM68" s="816"/>
      <c r="JN68" s="816"/>
      <c r="JO68" s="823"/>
      <c r="JP68" s="824"/>
      <c r="JQ68" s="825"/>
      <c r="JR68" s="825"/>
      <c r="JS68" s="816"/>
      <c r="JU68" s="826"/>
      <c r="JV68" s="826"/>
      <c r="JW68" s="826"/>
      <c r="JX68" s="826"/>
    </row>
    <row r="69" spans="2:284" s="780" customFormat="1">
      <c r="B69" s="609"/>
      <c r="C69" s="609"/>
      <c r="D69" s="609"/>
      <c r="E69" s="609"/>
      <c r="F69" s="609"/>
      <c r="G69" s="609"/>
      <c r="H69" s="609"/>
      <c r="I69" s="609"/>
      <c r="J69" s="609"/>
      <c r="K69" s="609"/>
      <c r="L69" s="609"/>
      <c r="M69" s="609"/>
      <c r="N69" s="609"/>
      <c r="O69" s="609"/>
      <c r="P69" s="609"/>
      <c r="Q69" s="609"/>
      <c r="R69" s="609"/>
      <c r="S69" s="609"/>
      <c r="T69" s="609"/>
      <c r="U69" s="609"/>
      <c r="V69" s="609"/>
      <c r="W69" s="609"/>
      <c r="X69" s="609"/>
      <c r="Y69" s="609"/>
      <c r="Z69" s="609"/>
      <c r="AA69" s="609"/>
      <c r="AB69" s="609"/>
      <c r="AC69" s="609"/>
      <c r="AD69" s="816"/>
      <c r="AE69" s="816"/>
      <c r="AF69" s="816"/>
      <c r="AG69" s="816"/>
      <c r="AH69" s="816"/>
      <c r="AI69" s="816"/>
      <c r="AJ69" s="609"/>
      <c r="AK69" s="609"/>
      <c r="AL69" s="816"/>
      <c r="AM69" s="816"/>
      <c r="AN69" s="609"/>
      <c r="AO69" s="609"/>
      <c r="AP69" s="816"/>
      <c r="AQ69" s="816"/>
      <c r="AR69" s="816"/>
      <c r="AS69" s="816"/>
      <c r="AT69" s="816"/>
      <c r="AU69" s="816"/>
      <c r="AV69" s="609"/>
      <c r="AW69" s="609"/>
      <c r="AX69" s="816"/>
      <c r="AY69" s="816"/>
      <c r="AZ69" s="817"/>
      <c r="BA69" s="609"/>
      <c r="BB69" s="609"/>
      <c r="BC69" s="816"/>
      <c r="BD69" s="816"/>
      <c r="BE69" s="816"/>
      <c r="BF69" s="816"/>
      <c r="BG69" s="816"/>
      <c r="BH69" s="816"/>
      <c r="BI69" s="816"/>
      <c r="BJ69" s="816"/>
      <c r="BK69" s="816"/>
      <c r="BL69" s="816"/>
      <c r="BM69" s="816"/>
      <c r="BN69" s="816"/>
      <c r="BO69" s="816"/>
      <c r="BP69" s="816"/>
      <c r="BQ69" s="816"/>
      <c r="BR69" s="816"/>
      <c r="BS69" s="816"/>
      <c r="BT69" s="816"/>
      <c r="BU69" s="816"/>
      <c r="BV69" s="816"/>
      <c r="BW69" s="816"/>
      <c r="BX69" s="609"/>
      <c r="BY69" s="609"/>
      <c r="BZ69" s="609"/>
      <c r="CA69" s="818"/>
      <c r="CB69" s="816"/>
      <c r="CC69" s="816"/>
      <c r="CD69" s="816"/>
      <c r="CE69" s="816"/>
      <c r="CF69" s="816"/>
      <c r="CG69" s="816"/>
      <c r="CH69" s="816"/>
      <c r="CI69" s="816"/>
      <c r="CJ69" s="819"/>
      <c r="CK69" s="819"/>
      <c r="CL69" s="820"/>
      <c r="CM69" s="820"/>
      <c r="CN69" s="820"/>
      <c r="CO69" s="820"/>
      <c r="CP69" s="820"/>
      <c r="CQ69" s="820"/>
      <c r="CR69" s="609"/>
      <c r="CS69" s="609"/>
      <c r="CT69" s="816"/>
      <c r="CU69" s="816"/>
      <c r="CV69" s="609"/>
      <c r="CW69" s="609"/>
      <c r="CX69" s="816"/>
      <c r="CY69" s="816"/>
      <c r="CZ69" s="609"/>
      <c r="DA69" s="609"/>
      <c r="DB69" s="816"/>
      <c r="DC69" s="816"/>
      <c r="DD69" s="609"/>
      <c r="DE69" s="609"/>
      <c r="DF69" s="816"/>
      <c r="DG69" s="816"/>
      <c r="DH69" s="816"/>
      <c r="DI69" s="816"/>
      <c r="DJ69" s="816"/>
      <c r="DK69" s="816"/>
      <c r="DL69" s="609"/>
      <c r="DM69" s="609"/>
      <c r="DN69" s="816"/>
      <c r="DO69" s="816"/>
      <c r="DP69" s="609"/>
      <c r="DQ69" s="609"/>
      <c r="DR69" s="816"/>
      <c r="DS69" s="816"/>
      <c r="DT69" s="816"/>
      <c r="DU69" s="816"/>
      <c r="DV69" s="816"/>
      <c r="DW69" s="816"/>
      <c r="DX69" s="816"/>
      <c r="DY69" s="816"/>
      <c r="DZ69" s="816"/>
      <c r="EA69" s="816"/>
      <c r="EB69" s="816"/>
      <c r="EC69" s="816"/>
      <c r="ED69" s="816"/>
      <c r="EE69" s="816"/>
      <c r="EF69" s="609"/>
      <c r="EG69" s="609"/>
      <c r="EH69" s="816"/>
      <c r="EI69" s="816"/>
      <c r="EJ69" s="816"/>
      <c r="EK69" s="816"/>
      <c r="EL69" s="816"/>
      <c r="EM69" s="816"/>
      <c r="EN69" s="816"/>
      <c r="EO69" s="816"/>
      <c r="EP69" s="816"/>
      <c r="EQ69" s="816"/>
      <c r="ER69" s="816"/>
      <c r="ES69" s="816"/>
      <c r="ET69" s="816"/>
      <c r="EU69" s="816"/>
      <c r="EV69" s="609"/>
      <c r="EW69" s="609"/>
      <c r="EX69" s="816"/>
      <c r="EY69" s="816"/>
      <c r="EZ69" s="816"/>
      <c r="FA69" s="816"/>
      <c r="FB69" s="816"/>
      <c r="FC69" s="816"/>
      <c r="FD69" s="816"/>
      <c r="FE69" s="816"/>
      <c r="FF69" s="816"/>
      <c r="FG69" s="816"/>
      <c r="FH69" s="816"/>
      <c r="FI69" s="816"/>
      <c r="FJ69" s="816"/>
      <c r="FK69" s="816"/>
      <c r="FL69" s="816"/>
      <c r="FM69" s="816"/>
      <c r="FN69" s="816"/>
      <c r="FO69" s="816"/>
      <c r="FP69" s="816"/>
      <c r="FQ69" s="816"/>
      <c r="FR69" s="816"/>
      <c r="FS69" s="816"/>
      <c r="FT69" s="816"/>
      <c r="FU69" s="816"/>
      <c r="FV69" s="816"/>
      <c r="FW69" s="816"/>
      <c r="FX69" s="816"/>
      <c r="FY69" s="816"/>
      <c r="FZ69" s="819"/>
      <c r="GA69" s="816"/>
      <c r="GB69" s="820"/>
      <c r="GC69" s="820"/>
      <c r="GD69" s="820"/>
      <c r="GE69" s="820"/>
      <c r="GF69" s="817"/>
      <c r="GG69" s="609"/>
      <c r="GH69" s="816"/>
      <c r="GI69" s="816"/>
      <c r="GJ69" s="816"/>
      <c r="GK69" s="816"/>
      <c r="GL69" s="816"/>
      <c r="GM69" s="816"/>
      <c r="GN69" s="816"/>
      <c r="GO69" s="816"/>
      <c r="GP69" s="816"/>
      <c r="GQ69" s="816"/>
      <c r="GR69" s="816"/>
      <c r="GS69" s="816"/>
      <c r="GT69" s="818"/>
      <c r="GU69" s="816"/>
      <c r="GV69" s="816"/>
      <c r="GW69" s="816"/>
      <c r="GX69" s="816"/>
      <c r="GY69" s="816"/>
      <c r="GZ69" s="816"/>
      <c r="HA69" s="816"/>
      <c r="HB69" s="609"/>
      <c r="HC69" s="609"/>
      <c r="HD69" s="816"/>
      <c r="HE69" s="816"/>
      <c r="HF69" s="816"/>
      <c r="HG69" s="816"/>
      <c r="HH69" s="816"/>
      <c r="HI69" s="816"/>
      <c r="HJ69" s="609"/>
      <c r="HK69" s="609"/>
      <c r="HL69" s="609"/>
      <c r="HM69" s="816"/>
      <c r="HN69" s="816"/>
      <c r="HO69" s="609"/>
      <c r="HP69" s="609"/>
      <c r="HQ69" s="816"/>
      <c r="HR69" s="816"/>
      <c r="HS69" s="816"/>
      <c r="HT69" s="816"/>
      <c r="HU69" s="816"/>
      <c r="HV69" s="816"/>
      <c r="HW69" s="609"/>
      <c r="HX69" s="609"/>
      <c r="HY69" s="816"/>
      <c r="HZ69" s="816"/>
      <c r="IA69" s="816"/>
      <c r="IB69" s="816"/>
      <c r="IC69" s="816"/>
      <c r="ID69" s="816"/>
      <c r="IE69" s="609"/>
      <c r="IF69" s="609"/>
      <c r="IG69" s="816"/>
      <c r="IH69" s="816"/>
      <c r="II69" s="609"/>
      <c r="IJ69" s="609"/>
      <c r="IK69" s="816"/>
      <c r="IL69" s="816"/>
      <c r="IM69" s="609"/>
      <c r="IN69" s="609"/>
      <c r="IO69" s="816"/>
      <c r="IP69" s="816"/>
      <c r="IQ69" s="816"/>
      <c r="IR69" s="816"/>
      <c r="IS69" s="816"/>
      <c r="IT69" s="816"/>
      <c r="IU69" s="821"/>
      <c r="IV69" s="609"/>
      <c r="IW69" s="816"/>
      <c r="IX69" s="816"/>
      <c r="IY69" s="822"/>
      <c r="IZ69" s="609"/>
      <c r="JA69" s="816"/>
      <c r="JB69" s="816"/>
      <c r="JC69" s="609"/>
      <c r="JD69" s="816"/>
      <c r="JE69" s="816"/>
      <c r="JF69" s="816"/>
      <c r="JG69" s="816"/>
      <c r="JH69" s="816"/>
      <c r="JI69" s="816"/>
      <c r="JJ69" s="816"/>
      <c r="JK69" s="816"/>
      <c r="JL69" s="816"/>
      <c r="JM69" s="816"/>
      <c r="JN69" s="816"/>
      <c r="JO69" s="823"/>
      <c r="JP69" s="824"/>
      <c r="JQ69" s="825"/>
      <c r="JR69" s="825"/>
      <c r="JS69" s="816"/>
      <c r="JU69" s="826"/>
      <c r="JV69" s="826"/>
      <c r="JW69" s="826"/>
      <c r="JX69" s="826"/>
    </row>
    <row r="70" spans="2:284" s="780" customFormat="1">
      <c r="B70" s="609"/>
      <c r="C70" s="609"/>
      <c r="D70" s="609"/>
      <c r="E70" s="609"/>
      <c r="F70" s="609"/>
      <c r="G70" s="609"/>
      <c r="H70" s="609"/>
      <c r="I70" s="609"/>
      <c r="J70" s="609"/>
      <c r="K70" s="609"/>
      <c r="L70" s="609"/>
      <c r="M70" s="609"/>
      <c r="N70" s="609"/>
      <c r="O70" s="609"/>
      <c r="P70" s="609"/>
      <c r="Q70" s="609"/>
      <c r="R70" s="609"/>
      <c r="S70" s="609"/>
      <c r="T70" s="609"/>
      <c r="U70" s="609"/>
      <c r="V70" s="609"/>
      <c r="W70" s="609"/>
      <c r="X70" s="609"/>
      <c r="Y70" s="609"/>
      <c r="Z70" s="609"/>
      <c r="AA70" s="609"/>
      <c r="AB70" s="609"/>
      <c r="AC70" s="609"/>
      <c r="AD70" s="816"/>
      <c r="AE70" s="816"/>
      <c r="AF70" s="816"/>
      <c r="AG70" s="816"/>
      <c r="AH70" s="816"/>
      <c r="AI70" s="816"/>
      <c r="AJ70" s="609"/>
      <c r="AK70" s="609"/>
      <c r="AL70" s="816"/>
      <c r="AM70" s="816"/>
      <c r="AN70" s="609"/>
      <c r="AO70" s="609"/>
      <c r="AP70" s="816"/>
      <c r="AQ70" s="816"/>
      <c r="AR70" s="816"/>
      <c r="AS70" s="816"/>
      <c r="AT70" s="816"/>
      <c r="AU70" s="816"/>
      <c r="AV70" s="609"/>
      <c r="AW70" s="609"/>
      <c r="AX70" s="816"/>
      <c r="AY70" s="816"/>
      <c r="AZ70" s="817"/>
      <c r="BA70" s="609"/>
      <c r="BB70" s="609"/>
      <c r="BC70" s="816"/>
      <c r="BD70" s="816"/>
      <c r="BE70" s="816"/>
      <c r="BF70" s="816"/>
      <c r="BG70" s="816"/>
      <c r="BH70" s="816"/>
      <c r="BI70" s="816"/>
      <c r="BJ70" s="816"/>
      <c r="BK70" s="816"/>
      <c r="BL70" s="816"/>
      <c r="BM70" s="816"/>
      <c r="BN70" s="816"/>
      <c r="BO70" s="816"/>
      <c r="BP70" s="816"/>
      <c r="BQ70" s="816"/>
      <c r="BR70" s="816"/>
      <c r="BS70" s="816"/>
      <c r="BT70" s="816"/>
      <c r="BU70" s="816"/>
      <c r="BV70" s="816"/>
      <c r="BW70" s="816"/>
      <c r="BX70" s="609"/>
      <c r="BY70" s="609"/>
      <c r="BZ70" s="609"/>
      <c r="CA70" s="818"/>
      <c r="CB70" s="816"/>
      <c r="CC70" s="816"/>
      <c r="CD70" s="816"/>
      <c r="CE70" s="816"/>
      <c r="CF70" s="816"/>
      <c r="CG70" s="816"/>
      <c r="CH70" s="816"/>
      <c r="CI70" s="816"/>
      <c r="CJ70" s="819"/>
      <c r="CK70" s="819"/>
      <c r="CL70" s="820"/>
      <c r="CM70" s="820"/>
      <c r="CN70" s="820"/>
      <c r="CO70" s="820"/>
      <c r="CP70" s="820"/>
      <c r="CQ70" s="820"/>
      <c r="CR70" s="609"/>
      <c r="CS70" s="609"/>
      <c r="CT70" s="816"/>
      <c r="CU70" s="816"/>
      <c r="CV70" s="609"/>
      <c r="CW70" s="609"/>
      <c r="CX70" s="816"/>
      <c r="CY70" s="816"/>
      <c r="CZ70" s="609"/>
      <c r="DA70" s="609"/>
      <c r="DB70" s="816"/>
      <c r="DC70" s="816"/>
      <c r="DD70" s="609"/>
      <c r="DE70" s="609"/>
      <c r="DF70" s="816"/>
      <c r="DG70" s="816"/>
      <c r="DH70" s="816"/>
      <c r="DI70" s="816"/>
      <c r="DJ70" s="816"/>
      <c r="DK70" s="816"/>
      <c r="DL70" s="609"/>
      <c r="DM70" s="609"/>
      <c r="DN70" s="816"/>
      <c r="DO70" s="816"/>
      <c r="DP70" s="609"/>
      <c r="DQ70" s="609"/>
      <c r="DR70" s="816"/>
      <c r="DS70" s="816"/>
      <c r="DT70" s="816"/>
      <c r="DU70" s="816"/>
      <c r="DV70" s="816"/>
      <c r="DW70" s="816"/>
      <c r="DX70" s="816"/>
      <c r="DY70" s="816"/>
      <c r="DZ70" s="816"/>
      <c r="EA70" s="816"/>
      <c r="EB70" s="816"/>
      <c r="EC70" s="816"/>
      <c r="ED70" s="816"/>
      <c r="EE70" s="816"/>
      <c r="EF70" s="609"/>
      <c r="EG70" s="609"/>
      <c r="EH70" s="816"/>
      <c r="EI70" s="816"/>
      <c r="EJ70" s="816"/>
      <c r="EK70" s="816"/>
      <c r="EL70" s="816"/>
      <c r="EM70" s="816"/>
      <c r="EN70" s="816"/>
      <c r="EO70" s="816"/>
      <c r="EP70" s="816"/>
      <c r="EQ70" s="816"/>
      <c r="ER70" s="816"/>
      <c r="ES70" s="816"/>
      <c r="ET70" s="816"/>
      <c r="EU70" s="816"/>
      <c r="EV70" s="609"/>
      <c r="EW70" s="609"/>
      <c r="EX70" s="816"/>
      <c r="EY70" s="816"/>
      <c r="EZ70" s="816"/>
      <c r="FA70" s="816"/>
      <c r="FB70" s="816"/>
      <c r="FC70" s="816"/>
      <c r="FD70" s="816"/>
      <c r="FE70" s="816"/>
      <c r="FF70" s="816"/>
      <c r="FG70" s="816"/>
      <c r="FH70" s="816"/>
      <c r="FI70" s="816"/>
      <c r="FJ70" s="816"/>
      <c r="FK70" s="816"/>
      <c r="FL70" s="816"/>
      <c r="FM70" s="816"/>
      <c r="FN70" s="816"/>
      <c r="FO70" s="816"/>
      <c r="FP70" s="816"/>
      <c r="FQ70" s="816"/>
      <c r="FR70" s="816"/>
      <c r="FS70" s="816"/>
      <c r="FT70" s="816"/>
      <c r="FU70" s="816"/>
      <c r="FV70" s="816"/>
      <c r="FW70" s="816"/>
      <c r="FX70" s="816"/>
      <c r="FY70" s="816"/>
      <c r="FZ70" s="819"/>
      <c r="GA70" s="816"/>
      <c r="GB70" s="820"/>
      <c r="GC70" s="820"/>
      <c r="GD70" s="820"/>
      <c r="GE70" s="820"/>
      <c r="GF70" s="817"/>
      <c r="GG70" s="609"/>
      <c r="GH70" s="816"/>
      <c r="GI70" s="816"/>
      <c r="GJ70" s="816"/>
      <c r="GK70" s="816"/>
      <c r="GL70" s="816"/>
      <c r="GM70" s="816"/>
      <c r="GN70" s="816"/>
      <c r="GO70" s="816"/>
      <c r="GP70" s="816"/>
      <c r="GQ70" s="816"/>
      <c r="GR70" s="816"/>
      <c r="GS70" s="816"/>
      <c r="GT70" s="818"/>
      <c r="GU70" s="816"/>
      <c r="GV70" s="816"/>
      <c r="GW70" s="816"/>
      <c r="GX70" s="816"/>
      <c r="GY70" s="816"/>
      <c r="GZ70" s="816"/>
      <c r="HA70" s="816"/>
      <c r="HB70" s="609"/>
      <c r="HC70" s="609"/>
      <c r="HD70" s="816"/>
      <c r="HE70" s="816"/>
      <c r="HF70" s="816"/>
      <c r="HG70" s="816"/>
      <c r="HH70" s="816"/>
      <c r="HI70" s="816"/>
      <c r="HJ70" s="609"/>
      <c r="HK70" s="609"/>
      <c r="HL70" s="609"/>
      <c r="HM70" s="816"/>
      <c r="HN70" s="816"/>
      <c r="HO70" s="609"/>
      <c r="HP70" s="609"/>
      <c r="HQ70" s="816"/>
      <c r="HR70" s="816"/>
      <c r="HS70" s="816"/>
      <c r="HT70" s="816"/>
      <c r="HU70" s="816"/>
      <c r="HV70" s="816"/>
      <c r="HW70" s="609"/>
      <c r="HX70" s="609"/>
      <c r="HY70" s="816"/>
      <c r="HZ70" s="816"/>
      <c r="IA70" s="816"/>
      <c r="IB70" s="816"/>
      <c r="IC70" s="816"/>
      <c r="ID70" s="816"/>
      <c r="IE70" s="609"/>
      <c r="IF70" s="609"/>
      <c r="IG70" s="816"/>
      <c r="IH70" s="816"/>
      <c r="II70" s="609"/>
      <c r="IJ70" s="609"/>
      <c r="IK70" s="816"/>
      <c r="IL70" s="816"/>
      <c r="IM70" s="609"/>
      <c r="IN70" s="609"/>
      <c r="IO70" s="816"/>
      <c r="IP70" s="816"/>
      <c r="IQ70" s="816"/>
      <c r="IR70" s="816"/>
      <c r="IS70" s="816"/>
      <c r="IT70" s="816"/>
      <c r="IU70" s="821"/>
      <c r="IV70" s="609"/>
      <c r="IW70" s="816"/>
      <c r="IX70" s="816"/>
      <c r="IY70" s="822"/>
      <c r="IZ70" s="609"/>
      <c r="JA70" s="816"/>
      <c r="JB70" s="816"/>
      <c r="JC70" s="609"/>
      <c r="JD70" s="816"/>
      <c r="JE70" s="816"/>
      <c r="JF70" s="816"/>
      <c r="JG70" s="816"/>
      <c r="JH70" s="816"/>
      <c r="JI70" s="816"/>
      <c r="JJ70" s="816"/>
      <c r="JK70" s="816"/>
      <c r="JL70" s="816"/>
      <c r="JM70" s="816"/>
      <c r="JN70" s="816"/>
      <c r="JO70" s="823"/>
      <c r="JP70" s="824"/>
      <c r="JQ70" s="825"/>
      <c r="JR70" s="825"/>
      <c r="JS70" s="816"/>
      <c r="JU70" s="826"/>
      <c r="JV70" s="826"/>
      <c r="JW70" s="826"/>
      <c r="JX70" s="826"/>
    </row>
    <row r="71" spans="2:284" s="780" customFormat="1">
      <c r="B71" s="609"/>
      <c r="C71" s="609"/>
      <c r="D71" s="609"/>
      <c r="E71" s="609"/>
      <c r="F71" s="609"/>
      <c r="G71" s="609"/>
      <c r="H71" s="609"/>
      <c r="I71" s="609"/>
      <c r="J71" s="609"/>
      <c r="K71" s="609"/>
      <c r="L71" s="609"/>
      <c r="M71" s="609"/>
      <c r="N71" s="609"/>
      <c r="O71" s="609"/>
      <c r="P71" s="609"/>
      <c r="Q71" s="609"/>
      <c r="R71" s="609"/>
      <c r="S71" s="609"/>
      <c r="T71" s="609"/>
      <c r="U71" s="609"/>
      <c r="V71" s="609"/>
      <c r="W71" s="609"/>
      <c r="X71" s="609"/>
      <c r="Y71" s="609"/>
      <c r="Z71" s="609"/>
      <c r="AA71" s="609"/>
      <c r="AB71" s="609"/>
      <c r="AC71" s="609"/>
      <c r="AD71" s="816"/>
      <c r="AE71" s="816"/>
      <c r="AF71" s="816"/>
      <c r="AG71" s="816"/>
      <c r="AH71" s="816"/>
      <c r="AI71" s="816"/>
      <c r="AJ71" s="609"/>
      <c r="AK71" s="609"/>
      <c r="AL71" s="816"/>
      <c r="AM71" s="816"/>
      <c r="AN71" s="609"/>
      <c r="AO71" s="609"/>
      <c r="AP71" s="816"/>
      <c r="AQ71" s="816"/>
      <c r="AR71" s="816"/>
      <c r="AS71" s="816"/>
      <c r="AT71" s="816"/>
      <c r="AU71" s="816"/>
      <c r="AV71" s="609"/>
      <c r="AW71" s="609"/>
      <c r="AX71" s="816"/>
      <c r="AY71" s="816"/>
      <c r="AZ71" s="817"/>
      <c r="BA71" s="609"/>
      <c r="BB71" s="609"/>
      <c r="BC71" s="816"/>
      <c r="BD71" s="816"/>
      <c r="BE71" s="816"/>
      <c r="BF71" s="816"/>
      <c r="BG71" s="816"/>
      <c r="BH71" s="816"/>
      <c r="BI71" s="816"/>
      <c r="BJ71" s="816"/>
      <c r="BK71" s="816"/>
      <c r="BL71" s="816"/>
      <c r="BM71" s="816"/>
      <c r="BN71" s="816"/>
      <c r="BO71" s="816"/>
      <c r="BP71" s="816"/>
      <c r="BQ71" s="816"/>
      <c r="BR71" s="816"/>
      <c r="BS71" s="816"/>
      <c r="BT71" s="816"/>
      <c r="BU71" s="816"/>
      <c r="BV71" s="816"/>
      <c r="BW71" s="816"/>
      <c r="BX71" s="609"/>
      <c r="BY71" s="609"/>
      <c r="BZ71" s="609"/>
      <c r="CA71" s="818"/>
      <c r="CB71" s="816"/>
      <c r="CC71" s="816"/>
      <c r="CD71" s="816"/>
      <c r="CE71" s="816"/>
      <c r="CF71" s="816"/>
      <c r="CG71" s="816"/>
      <c r="CH71" s="816"/>
      <c r="CI71" s="816"/>
      <c r="CJ71" s="819"/>
      <c r="CK71" s="819"/>
      <c r="CL71" s="820"/>
      <c r="CM71" s="820"/>
      <c r="CN71" s="820"/>
      <c r="CO71" s="820"/>
      <c r="CP71" s="820"/>
      <c r="CQ71" s="820"/>
      <c r="CR71" s="609"/>
      <c r="CS71" s="609"/>
      <c r="CT71" s="816"/>
      <c r="CU71" s="816"/>
      <c r="CV71" s="609"/>
      <c r="CW71" s="609"/>
      <c r="CX71" s="816"/>
      <c r="CY71" s="816"/>
      <c r="CZ71" s="609"/>
      <c r="DA71" s="609"/>
      <c r="DB71" s="816"/>
      <c r="DC71" s="816"/>
      <c r="DD71" s="609"/>
      <c r="DE71" s="609"/>
      <c r="DF71" s="816"/>
      <c r="DG71" s="816"/>
      <c r="DH71" s="816"/>
      <c r="DI71" s="816"/>
      <c r="DJ71" s="816"/>
      <c r="DK71" s="816"/>
      <c r="DL71" s="609"/>
      <c r="DM71" s="609"/>
      <c r="DN71" s="816"/>
      <c r="DO71" s="816"/>
      <c r="DP71" s="609"/>
      <c r="DQ71" s="609"/>
      <c r="DR71" s="816"/>
      <c r="DS71" s="816"/>
      <c r="DT71" s="816"/>
      <c r="DU71" s="816"/>
      <c r="DV71" s="816"/>
      <c r="DW71" s="816"/>
      <c r="DX71" s="816"/>
      <c r="DY71" s="816"/>
      <c r="DZ71" s="816"/>
      <c r="EA71" s="816"/>
      <c r="EB71" s="816"/>
      <c r="EC71" s="816"/>
      <c r="ED71" s="816"/>
      <c r="EE71" s="816"/>
      <c r="EF71" s="609"/>
      <c r="EG71" s="609"/>
      <c r="EH71" s="816"/>
      <c r="EI71" s="816"/>
      <c r="EJ71" s="816"/>
      <c r="EK71" s="816"/>
      <c r="EL71" s="816"/>
      <c r="EM71" s="816"/>
      <c r="EN71" s="816"/>
      <c r="EO71" s="816"/>
      <c r="EP71" s="816"/>
      <c r="EQ71" s="816"/>
      <c r="ER71" s="816"/>
      <c r="ES71" s="816"/>
      <c r="ET71" s="816"/>
      <c r="EU71" s="816"/>
      <c r="EV71" s="609"/>
      <c r="EW71" s="609"/>
      <c r="EX71" s="816"/>
      <c r="EY71" s="816"/>
      <c r="EZ71" s="816"/>
      <c r="FA71" s="816"/>
      <c r="FB71" s="816"/>
      <c r="FC71" s="816"/>
      <c r="FD71" s="816"/>
      <c r="FE71" s="816"/>
      <c r="FF71" s="816"/>
      <c r="FG71" s="816"/>
      <c r="FH71" s="816"/>
      <c r="FI71" s="816"/>
      <c r="FJ71" s="816"/>
      <c r="FK71" s="816"/>
      <c r="FL71" s="816"/>
      <c r="FM71" s="816"/>
      <c r="FN71" s="816"/>
      <c r="FO71" s="816"/>
      <c r="FP71" s="816"/>
      <c r="FQ71" s="816"/>
      <c r="FR71" s="816"/>
      <c r="FS71" s="816"/>
      <c r="FT71" s="816"/>
      <c r="FU71" s="816"/>
      <c r="FV71" s="816"/>
      <c r="FW71" s="816"/>
      <c r="FX71" s="816"/>
      <c r="FY71" s="816"/>
      <c r="FZ71" s="819"/>
      <c r="GA71" s="816"/>
      <c r="GB71" s="820"/>
      <c r="GC71" s="820"/>
      <c r="GD71" s="820"/>
      <c r="GE71" s="820"/>
      <c r="GF71" s="817"/>
      <c r="GG71" s="609"/>
      <c r="GH71" s="816"/>
      <c r="GI71" s="816"/>
      <c r="GJ71" s="816"/>
      <c r="GK71" s="816"/>
      <c r="GL71" s="816"/>
      <c r="GM71" s="816"/>
      <c r="GN71" s="816"/>
      <c r="GO71" s="816"/>
      <c r="GP71" s="816"/>
      <c r="GQ71" s="816"/>
      <c r="GR71" s="816"/>
      <c r="GS71" s="816"/>
      <c r="GT71" s="818"/>
      <c r="GU71" s="816"/>
      <c r="GV71" s="816"/>
      <c r="GW71" s="816"/>
      <c r="GX71" s="816"/>
      <c r="GY71" s="816"/>
      <c r="GZ71" s="816"/>
      <c r="HA71" s="816"/>
      <c r="HB71" s="609"/>
      <c r="HC71" s="609"/>
      <c r="HD71" s="816"/>
      <c r="HE71" s="816"/>
      <c r="HF71" s="816"/>
      <c r="HG71" s="816"/>
      <c r="HH71" s="816"/>
      <c r="HI71" s="816"/>
      <c r="HJ71" s="609"/>
      <c r="HK71" s="609"/>
      <c r="HL71" s="609"/>
      <c r="HM71" s="816"/>
      <c r="HN71" s="816"/>
      <c r="HO71" s="609"/>
      <c r="HP71" s="609"/>
      <c r="HQ71" s="816"/>
      <c r="HR71" s="816"/>
      <c r="HS71" s="816"/>
      <c r="HT71" s="816"/>
      <c r="HU71" s="816"/>
      <c r="HV71" s="816"/>
      <c r="HW71" s="609"/>
      <c r="HX71" s="609"/>
      <c r="HY71" s="816"/>
      <c r="HZ71" s="816"/>
      <c r="IA71" s="816"/>
      <c r="IB71" s="816"/>
      <c r="IC71" s="816"/>
      <c r="ID71" s="816"/>
      <c r="IE71" s="609"/>
      <c r="IF71" s="609"/>
      <c r="IG71" s="816"/>
      <c r="IH71" s="816"/>
      <c r="II71" s="609"/>
      <c r="IJ71" s="609"/>
      <c r="IK71" s="816"/>
      <c r="IL71" s="816"/>
      <c r="IM71" s="609"/>
      <c r="IN71" s="609"/>
      <c r="IO71" s="816"/>
      <c r="IP71" s="816"/>
      <c r="IQ71" s="816"/>
      <c r="IR71" s="816"/>
      <c r="IS71" s="816"/>
      <c r="IT71" s="816"/>
      <c r="IU71" s="821"/>
      <c r="IV71" s="609"/>
      <c r="IW71" s="816"/>
      <c r="IX71" s="816"/>
      <c r="IY71" s="822"/>
      <c r="IZ71" s="609"/>
      <c r="JA71" s="816"/>
      <c r="JB71" s="816"/>
      <c r="JC71" s="609"/>
      <c r="JD71" s="816"/>
      <c r="JE71" s="816"/>
      <c r="JF71" s="816"/>
      <c r="JG71" s="816"/>
      <c r="JH71" s="816"/>
      <c r="JI71" s="816"/>
      <c r="JJ71" s="816"/>
      <c r="JK71" s="816"/>
      <c r="JL71" s="816"/>
      <c r="JM71" s="816"/>
      <c r="JN71" s="816"/>
      <c r="JO71" s="823"/>
      <c r="JP71" s="824"/>
      <c r="JQ71" s="825"/>
      <c r="JR71" s="825"/>
      <c r="JS71" s="816"/>
      <c r="JU71" s="826"/>
      <c r="JV71" s="826"/>
      <c r="JW71" s="826"/>
      <c r="JX71" s="826"/>
    </row>
    <row r="72" spans="2:284" s="780" customFormat="1">
      <c r="B72" s="609"/>
      <c r="C72" s="609"/>
      <c r="D72" s="609"/>
      <c r="E72" s="609"/>
      <c r="F72" s="609"/>
      <c r="G72" s="609"/>
      <c r="H72" s="609"/>
      <c r="I72" s="609"/>
      <c r="J72" s="609"/>
      <c r="K72" s="609"/>
      <c r="L72" s="609"/>
      <c r="M72" s="609"/>
      <c r="N72" s="609"/>
      <c r="O72" s="609"/>
      <c r="P72" s="609"/>
      <c r="Q72" s="609"/>
      <c r="R72" s="609"/>
      <c r="S72" s="609"/>
      <c r="T72" s="609"/>
      <c r="U72" s="609"/>
      <c r="V72" s="609"/>
      <c r="W72" s="609"/>
      <c r="X72" s="609"/>
      <c r="Y72" s="609"/>
      <c r="Z72" s="609"/>
      <c r="AA72" s="609"/>
      <c r="AB72" s="609"/>
      <c r="AC72" s="609"/>
      <c r="AD72" s="816"/>
      <c r="AE72" s="816"/>
      <c r="AF72" s="816"/>
      <c r="AG72" s="816"/>
      <c r="AH72" s="816"/>
      <c r="AI72" s="816"/>
      <c r="AJ72" s="609"/>
      <c r="AK72" s="609"/>
      <c r="AL72" s="816"/>
      <c r="AM72" s="816"/>
      <c r="AN72" s="609"/>
      <c r="AO72" s="609"/>
      <c r="AP72" s="816"/>
      <c r="AQ72" s="816"/>
      <c r="AR72" s="816"/>
      <c r="AS72" s="816"/>
      <c r="AT72" s="816"/>
      <c r="AU72" s="816"/>
      <c r="AV72" s="609"/>
      <c r="AW72" s="609"/>
      <c r="AX72" s="816"/>
      <c r="AY72" s="816"/>
      <c r="AZ72" s="817"/>
      <c r="BA72" s="609"/>
      <c r="BB72" s="609"/>
      <c r="BC72" s="816"/>
      <c r="BD72" s="816"/>
      <c r="BE72" s="816"/>
      <c r="BF72" s="816"/>
      <c r="BG72" s="816"/>
      <c r="BH72" s="816"/>
      <c r="BI72" s="816"/>
      <c r="BJ72" s="816"/>
      <c r="BK72" s="816"/>
      <c r="BL72" s="816"/>
      <c r="BM72" s="816"/>
      <c r="BN72" s="816"/>
      <c r="BO72" s="816"/>
      <c r="BP72" s="816"/>
      <c r="BQ72" s="816"/>
      <c r="BR72" s="816"/>
      <c r="BS72" s="816"/>
      <c r="BT72" s="816"/>
      <c r="BU72" s="816"/>
      <c r="BV72" s="816"/>
      <c r="BW72" s="816"/>
      <c r="BX72" s="609"/>
      <c r="BY72" s="609"/>
      <c r="BZ72" s="609"/>
      <c r="CA72" s="818"/>
      <c r="CB72" s="816"/>
      <c r="CC72" s="816"/>
      <c r="CD72" s="816"/>
      <c r="CE72" s="816"/>
      <c r="CF72" s="816"/>
      <c r="CG72" s="816"/>
      <c r="CH72" s="816"/>
      <c r="CI72" s="816"/>
      <c r="CJ72" s="819"/>
      <c r="CK72" s="819"/>
      <c r="CL72" s="820"/>
      <c r="CM72" s="820"/>
      <c r="CN72" s="820"/>
      <c r="CO72" s="820"/>
      <c r="CP72" s="820"/>
      <c r="CQ72" s="820"/>
      <c r="CR72" s="609"/>
      <c r="CS72" s="609"/>
      <c r="CT72" s="816"/>
      <c r="CU72" s="816"/>
      <c r="CV72" s="609"/>
      <c r="CW72" s="609"/>
      <c r="CX72" s="816"/>
      <c r="CY72" s="816"/>
      <c r="CZ72" s="609"/>
      <c r="DA72" s="609"/>
      <c r="DB72" s="816"/>
      <c r="DC72" s="816"/>
      <c r="DD72" s="609"/>
      <c r="DE72" s="609"/>
      <c r="DF72" s="816"/>
      <c r="DG72" s="816"/>
      <c r="DH72" s="816"/>
      <c r="DI72" s="816"/>
      <c r="DJ72" s="816"/>
      <c r="DK72" s="816"/>
      <c r="DL72" s="609"/>
      <c r="DM72" s="609"/>
      <c r="DN72" s="816"/>
      <c r="DO72" s="816"/>
      <c r="DP72" s="609"/>
      <c r="DQ72" s="609"/>
      <c r="DR72" s="816"/>
      <c r="DS72" s="816"/>
      <c r="DT72" s="816"/>
      <c r="DU72" s="816"/>
      <c r="DV72" s="816"/>
      <c r="DW72" s="816"/>
      <c r="DX72" s="816"/>
      <c r="DY72" s="816"/>
      <c r="DZ72" s="816"/>
      <c r="EA72" s="816"/>
      <c r="EB72" s="816"/>
      <c r="EC72" s="816"/>
      <c r="ED72" s="816"/>
      <c r="EE72" s="816"/>
      <c r="EF72" s="609"/>
      <c r="EG72" s="609"/>
      <c r="EH72" s="816"/>
      <c r="EI72" s="816"/>
      <c r="EJ72" s="816"/>
      <c r="EK72" s="816"/>
      <c r="EL72" s="816"/>
      <c r="EM72" s="816"/>
      <c r="EN72" s="816"/>
      <c r="EO72" s="816"/>
      <c r="EP72" s="816"/>
      <c r="EQ72" s="816"/>
      <c r="ER72" s="816"/>
      <c r="ES72" s="816"/>
      <c r="ET72" s="816"/>
      <c r="EU72" s="816"/>
      <c r="EV72" s="609"/>
      <c r="EW72" s="609"/>
      <c r="EX72" s="816"/>
      <c r="EY72" s="816"/>
      <c r="EZ72" s="816"/>
      <c r="FA72" s="816"/>
      <c r="FB72" s="816"/>
      <c r="FC72" s="816"/>
      <c r="FD72" s="816"/>
      <c r="FE72" s="816"/>
      <c r="FF72" s="816"/>
      <c r="FG72" s="816"/>
      <c r="FH72" s="816"/>
      <c r="FI72" s="816"/>
      <c r="FJ72" s="816"/>
      <c r="FK72" s="816"/>
      <c r="FL72" s="816"/>
      <c r="FM72" s="816"/>
      <c r="FN72" s="816"/>
      <c r="FO72" s="816"/>
      <c r="FP72" s="816"/>
      <c r="FQ72" s="816"/>
      <c r="FR72" s="816"/>
      <c r="FS72" s="816"/>
      <c r="FT72" s="816"/>
      <c r="FU72" s="816"/>
      <c r="FV72" s="816"/>
      <c r="FW72" s="816"/>
      <c r="FX72" s="816"/>
      <c r="FY72" s="816"/>
      <c r="FZ72" s="819"/>
      <c r="GA72" s="816"/>
      <c r="GB72" s="820"/>
      <c r="GC72" s="820"/>
      <c r="GD72" s="820"/>
      <c r="GE72" s="820"/>
      <c r="GF72" s="609"/>
      <c r="GG72" s="609"/>
      <c r="GH72" s="816"/>
      <c r="GI72" s="816"/>
      <c r="GJ72" s="816"/>
      <c r="GK72" s="816"/>
      <c r="GL72" s="816"/>
      <c r="GM72" s="816"/>
      <c r="GN72" s="816"/>
      <c r="GO72" s="816"/>
      <c r="GP72" s="816"/>
      <c r="GQ72" s="816"/>
      <c r="GR72" s="816"/>
      <c r="GS72" s="816"/>
      <c r="GT72" s="818"/>
      <c r="GU72" s="816"/>
      <c r="GV72" s="816"/>
      <c r="GW72" s="816"/>
      <c r="GX72" s="816"/>
      <c r="GY72" s="816"/>
      <c r="GZ72" s="816"/>
      <c r="HA72" s="816"/>
      <c r="HB72" s="609"/>
      <c r="HC72" s="609"/>
      <c r="HD72" s="816"/>
      <c r="HE72" s="816"/>
      <c r="HF72" s="816"/>
      <c r="HG72" s="816"/>
      <c r="HH72" s="816"/>
      <c r="HI72" s="816"/>
      <c r="HJ72" s="609"/>
      <c r="HK72" s="609"/>
      <c r="HL72" s="609"/>
      <c r="HM72" s="816"/>
      <c r="HN72" s="816"/>
      <c r="HO72" s="609"/>
      <c r="HP72" s="609"/>
      <c r="HQ72" s="816"/>
      <c r="HR72" s="816"/>
      <c r="HS72" s="816"/>
      <c r="HT72" s="816"/>
      <c r="HU72" s="816"/>
      <c r="HV72" s="816"/>
      <c r="HW72" s="609"/>
      <c r="HX72" s="609"/>
      <c r="HY72" s="816"/>
      <c r="HZ72" s="816"/>
      <c r="IA72" s="816"/>
      <c r="IB72" s="816"/>
      <c r="IC72" s="816"/>
      <c r="ID72" s="816"/>
      <c r="IE72" s="609"/>
      <c r="IF72" s="609"/>
      <c r="IG72" s="816"/>
      <c r="IH72" s="816"/>
      <c r="II72" s="609"/>
      <c r="IJ72" s="609"/>
      <c r="IK72" s="816"/>
      <c r="IL72" s="816"/>
      <c r="IM72" s="609"/>
      <c r="IN72" s="609"/>
      <c r="IO72" s="816"/>
      <c r="IP72" s="816"/>
      <c r="IQ72" s="816"/>
      <c r="IR72" s="816"/>
      <c r="IS72" s="816"/>
      <c r="IT72" s="816"/>
      <c r="IU72" s="821"/>
      <c r="IV72" s="609"/>
      <c r="IW72" s="816"/>
      <c r="IX72" s="816"/>
      <c r="IY72" s="822"/>
      <c r="IZ72" s="609"/>
      <c r="JA72" s="816"/>
      <c r="JB72" s="816"/>
      <c r="JC72" s="609"/>
      <c r="JD72" s="816"/>
      <c r="JE72" s="816"/>
      <c r="JF72" s="816"/>
      <c r="JG72" s="816"/>
      <c r="JH72" s="816"/>
      <c r="JI72" s="816"/>
      <c r="JJ72" s="816"/>
      <c r="JK72" s="816"/>
      <c r="JL72" s="816"/>
      <c r="JM72" s="816"/>
      <c r="JN72" s="816"/>
      <c r="JO72" s="823"/>
      <c r="JP72" s="824"/>
      <c r="JQ72" s="825"/>
      <c r="JR72" s="825"/>
      <c r="JS72" s="816"/>
      <c r="JU72" s="826"/>
      <c r="JV72" s="826"/>
      <c r="JW72" s="826"/>
      <c r="JX72" s="826"/>
    </row>
    <row r="73" spans="2:284" s="780" customFormat="1"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09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816"/>
      <c r="AE73" s="816"/>
      <c r="AF73" s="816"/>
      <c r="AG73" s="816"/>
      <c r="AH73" s="816"/>
      <c r="AI73" s="816"/>
      <c r="AJ73" s="609"/>
      <c r="AK73" s="609"/>
      <c r="AL73" s="816"/>
      <c r="AM73" s="816"/>
      <c r="AN73" s="609"/>
      <c r="AO73" s="609"/>
      <c r="AP73" s="816"/>
      <c r="AQ73" s="816"/>
      <c r="AR73" s="816"/>
      <c r="AS73" s="816"/>
      <c r="AT73" s="816"/>
      <c r="AU73" s="816"/>
      <c r="AV73" s="609"/>
      <c r="AW73" s="609"/>
      <c r="AX73" s="816"/>
      <c r="AY73" s="816"/>
      <c r="AZ73" s="817"/>
      <c r="BA73" s="609"/>
      <c r="BB73" s="609"/>
      <c r="BC73" s="816"/>
      <c r="BD73" s="816"/>
      <c r="BE73" s="816"/>
      <c r="BF73" s="816"/>
      <c r="BG73" s="816"/>
      <c r="BH73" s="816"/>
      <c r="BI73" s="816"/>
      <c r="BJ73" s="816"/>
      <c r="BK73" s="816"/>
      <c r="BL73" s="816"/>
      <c r="BM73" s="816"/>
      <c r="BN73" s="816"/>
      <c r="BO73" s="816"/>
      <c r="BP73" s="816"/>
      <c r="BQ73" s="816"/>
      <c r="BR73" s="816"/>
      <c r="BS73" s="816"/>
      <c r="BT73" s="816"/>
      <c r="BU73" s="816"/>
      <c r="BV73" s="816"/>
      <c r="BW73" s="816"/>
      <c r="BX73" s="609"/>
      <c r="BY73" s="609"/>
      <c r="BZ73" s="609"/>
      <c r="CA73" s="818"/>
      <c r="CB73" s="816"/>
      <c r="CC73" s="816"/>
      <c r="CD73" s="816"/>
      <c r="CE73" s="816"/>
      <c r="CF73" s="816"/>
      <c r="CG73" s="816"/>
      <c r="CH73" s="816"/>
      <c r="CI73" s="816"/>
      <c r="CJ73" s="819"/>
      <c r="CK73" s="819"/>
      <c r="CL73" s="820"/>
      <c r="CM73" s="820"/>
      <c r="CN73" s="820"/>
      <c r="CO73" s="820"/>
      <c r="CP73" s="820"/>
      <c r="CQ73" s="820"/>
      <c r="CR73" s="609"/>
      <c r="CS73" s="609"/>
      <c r="CT73" s="816"/>
      <c r="CU73" s="816"/>
      <c r="CV73" s="609"/>
      <c r="CW73" s="609"/>
      <c r="CX73" s="816"/>
      <c r="CY73" s="816"/>
      <c r="CZ73" s="609"/>
      <c r="DA73" s="609"/>
      <c r="DB73" s="816"/>
      <c r="DC73" s="816"/>
      <c r="DD73" s="609"/>
      <c r="DE73" s="609"/>
      <c r="DF73" s="816"/>
      <c r="DG73" s="816"/>
      <c r="DH73" s="816"/>
      <c r="DI73" s="816"/>
      <c r="DJ73" s="816"/>
      <c r="DK73" s="816"/>
      <c r="DL73" s="609"/>
      <c r="DM73" s="609"/>
      <c r="DN73" s="816"/>
      <c r="DO73" s="816"/>
      <c r="DP73" s="609"/>
      <c r="DQ73" s="609"/>
      <c r="DR73" s="816"/>
      <c r="DS73" s="816"/>
      <c r="DT73" s="816"/>
      <c r="DU73" s="816"/>
      <c r="DV73" s="816"/>
      <c r="DW73" s="816"/>
      <c r="DX73" s="816"/>
      <c r="DY73" s="816"/>
      <c r="DZ73" s="816"/>
      <c r="EA73" s="816"/>
      <c r="EB73" s="816"/>
      <c r="EC73" s="816"/>
      <c r="ED73" s="816"/>
      <c r="EE73" s="816"/>
      <c r="EF73" s="609"/>
      <c r="EG73" s="609"/>
      <c r="EH73" s="816"/>
      <c r="EI73" s="816"/>
      <c r="EJ73" s="816"/>
      <c r="EK73" s="816"/>
      <c r="EL73" s="816"/>
      <c r="EM73" s="816"/>
      <c r="EN73" s="816"/>
      <c r="EO73" s="816"/>
      <c r="EP73" s="816"/>
      <c r="EQ73" s="816"/>
      <c r="ER73" s="816"/>
      <c r="ES73" s="816"/>
      <c r="ET73" s="816"/>
      <c r="EU73" s="816"/>
      <c r="EV73" s="609"/>
      <c r="EW73" s="609"/>
      <c r="EX73" s="816"/>
      <c r="EY73" s="816"/>
      <c r="EZ73" s="816"/>
      <c r="FA73" s="816"/>
      <c r="FB73" s="816"/>
      <c r="FC73" s="816"/>
      <c r="FD73" s="816"/>
      <c r="FE73" s="816"/>
      <c r="FF73" s="816"/>
      <c r="FG73" s="816"/>
      <c r="FH73" s="816"/>
      <c r="FI73" s="816"/>
      <c r="FJ73" s="816"/>
      <c r="FK73" s="816"/>
      <c r="FL73" s="816"/>
      <c r="FM73" s="816"/>
      <c r="FN73" s="816"/>
      <c r="FO73" s="816"/>
      <c r="FP73" s="816"/>
      <c r="FQ73" s="816"/>
      <c r="FR73" s="816"/>
      <c r="FS73" s="816"/>
      <c r="FT73" s="816"/>
      <c r="FU73" s="816"/>
      <c r="FV73" s="816"/>
      <c r="FW73" s="816"/>
      <c r="FX73" s="816"/>
      <c r="FY73" s="816"/>
      <c r="FZ73" s="819"/>
      <c r="GA73" s="816"/>
      <c r="GB73" s="820"/>
      <c r="GC73" s="820"/>
      <c r="GD73" s="820"/>
      <c r="GE73" s="820"/>
      <c r="GF73" s="817"/>
      <c r="GG73" s="609"/>
      <c r="GH73" s="816"/>
      <c r="GI73" s="816"/>
      <c r="GJ73" s="816"/>
      <c r="GK73" s="816"/>
      <c r="GL73" s="816"/>
      <c r="GM73" s="816"/>
      <c r="GN73" s="816"/>
      <c r="GO73" s="816"/>
      <c r="GP73" s="816"/>
      <c r="GQ73" s="816"/>
      <c r="GR73" s="816"/>
      <c r="GS73" s="816"/>
      <c r="GT73" s="818"/>
      <c r="GU73" s="816"/>
      <c r="GV73" s="816"/>
      <c r="GW73" s="816"/>
      <c r="GX73" s="816"/>
      <c r="GY73" s="816"/>
      <c r="GZ73" s="816"/>
      <c r="HA73" s="816"/>
      <c r="HB73" s="609"/>
      <c r="HC73" s="609"/>
      <c r="HD73" s="816"/>
      <c r="HE73" s="816"/>
      <c r="HF73" s="816"/>
      <c r="HG73" s="816"/>
      <c r="HH73" s="816"/>
      <c r="HI73" s="816"/>
      <c r="HJ73" s="609"/>
      <c r="HK73" s="609"/>
      <c r="HL73" s="609"/>
      <c r="HM73" s="816"/>
      <c r="HN73" s="816"/>
      <c r="HO73" s="609"/>
      <c r="HP73" s="609"/>
      <c r="HQ73" s="816"/>
      <c r="HR73" s="816"/>
      <c r="HS73" s="816"/>
      <c r="HT73" s="816"/>
      <c r="HU73" s="816"/>
      <c r="HV73" s="816"/>
      <c r="HW73" s="609"/>
      <c r="HX73" s="609"/>
      <c r="HY73" s="816"/>
      <c r="HZ73" s="816"/>
      <c r="IA73" s="816"/>
      <c r="IB73" s="816"/>
      <c r="IC73" s="816"/>
      <c r="ID73" s="816"/>
      <c r="IE73" s="609"/>
      <c r="IF73" s="609"/>
      <c r="IG73" s="816"/>
      <c r="IH73" s="816"/>
      <c r="II73" s="609"/>
      <c r="IJ73" s="609"/>
      <c r="IK73" s="816"/>
      <c r="IL73" s="816"/>
      <c r="IM73" s="609"/>
      <c r="IN73" s="609"/>
      <c r="IO73" s="816"/>
      <c r="IP73" s="816"/>
      <c r="IQ73" s="816"/>
      <c r="IR73" s="816"/>
      <c r="IS73" s="816"/>
      <c r="IT73" s="816"/>
      <c r="IU73" s="821"/>
      <c r="IV73" s="609"/>
      <c r="IW73" s="816"/>
      <c r="IX73" s="816"/>
      <c r="IY73" s="822"/>
      <c r="IZ73" s="609"/>
      <c r="JA73" s="816"/>
      <c r="JB73" s="816"/>
      <c r="JC73" s="609"/>
      <c r="JD73" s="816"/>
      <c r="JE73" s="816"/>
      <c r="JF73" s="816"/>
      <c r="JG73" s="816"/>
      <c r="JH73" s="816"/>
      <c r="JI73" s="816"/>
      <c r="JJ73" s="816"/>
      <c r="JK73" s="816"/>
      <c r="JL73" s="816"/>
      <c r="JM73" s="816"/>
      <c r="JN73" s="816"/>
      <c r="JO73" s="823"/>
      <c r="JP73" s="824"/>
      <c r="JQ73" s="825"/>
      <c r="JR73" s="825"/>
      <c r="JS73" s="816"/>
      <c r="JU73" s="826"/>
      <c r="JV73" s="826"/>
      <c r="JW73" s="826"/>
      <c r="JX73" s="826"/>
    </row>
    <row r="74" spans="2:284" s="780" customFormat="1"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09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816"/>
      <c r="AE74" s="816"/>
      <c r="AF74" s="816"/>
      <c r="AG74" s="816"/>
      <c r="AH74" s="816"/>
      <c r="AI74" s="816"/>
      <c r="AJ74" s="609"/>
      <c r="AK74" s="609"/>
      <c r="AL74" s="816"/>
      <c r="AM74" s="816"/>
      <c r="AN74" s="609"/>
      <c r="AO74" s="609"/>
      <c r="AP74" s="816"/>
      <c r="AQ74" s="816"/>
      <c r="AR74" s="816"/>
      <c r="AS74" s="816"/>
      <c r="AT74" s="816"/>
      <c r="AU74" s="816"/>
      <c r="AV74" s="609"/>
      <c r="AW74" s="609"/>
      <c r="AX74" s="816"/>
      <c r="AY74" s="816"/>
      <c r="AZ74" s="817"/>
      <c r="BA74" s="609"/>
      <c r="BB74" s="609"/>
      <c r="BC74" s="816"/>
      <c r="BD74" s="816"/>
      <c r="BE74" s="816"/>
      <c r="BF74" s="816"/>
      <c r="BG74" s="816"/>
      <c r="BH74" s="816"/>
      <c r="BI74" s="816"/>
      <c r="BJ74" s="816"/>
      <c r="BK74" s="816"/>
      <c r="BL74" s="816"/>
      <c r="BM74" s="816"/>
      <c r="BN74" s="816"/>
      <c r="BO74" s="816"/>
      <c r="BP74" s="816"/>
      <c r="BQ74" s="816"/>
      <c r="BR74" s="816"/>
      <c r="BS74" s="816"/>
      <c r="BT74" s="816"/>
      <c r="BU74" s="816"/>
      <c r="BV74" s="816"/>
      <c r="BW74" s="816"/>
      <c r="BX74" s="609"/>
      <c r="BY74" s="609"/>
      <c r="BZ74" s="609"/>
      <c r="CA74" s="818"/>
      <c r="CB74" s="816"/>
      <c r="CC74" s="816"/>
      <c r="CD74" s="816"/>
      <c r="CE74" s="816"/>
      <c r="CF74" s="816"/>
      <c r="CG74" s="816"/>
      <c r="CH74" s="816"/>
      <c r="CI74" s="816"/>
      <c r="CJ74" s="819"/>
      <c r="CK74" s="819"/>
      <c r="CL74" s="820"/>
      <c r="CM74" s="820"/>
      <c r="CN74" s="820"/>
      <c r="CO74" s="820"/>
      <c r="CP74" s="820"/>
      <c r="CQ74" s="820"/>
      <c r="CR74" s="609"/>
      <c r="CS74" s="609"/>
      <c r="CT74" s="816"/>
      <c r="CU74" s="816"/>
      <c r="CV74" s="609"/>
      <c r="CW74" s="609"/>
      <c r="CX74" s="816"/>
      <c r="CY74" s="816"/>
      <c r="CZ74" s="609"/>
      <c r="DA74" s="609"/>
      <c r="DB74" s="816"/>
      <c r="DC74" s="816"/>
      <c r="DD74" s="609"/>
      <c r="DE74" s="609"/>
      <c r="DF74" s="816"/>
      <c r="DG74" s="816"/>
      <c r="DH74" s="816"/>
      <c r="DI74" s="816"/>
      <c r="DJ74" s="816"/>
      <c r="DK74" s="816"/>
      <c r="DL74" s="609"/>
      <c r="DM74" s="609"/>
      <c r="DN74" s="816"/>
      <c r="DO74" s="816"/>
      <c r="DP74" s="609"/>
      <c r="DQ74" s="609"/>
      <c r="DR74" s="816"/>
      <c r="DS74" s="816"/>
      <c r="DT74" s="816"/>
      <c r="DU74" s="816"/>
      <c r="DV74" s="816"/>
      <c r="DW74" s="816"/>
      <c r="DX74" s="816"/>
      <c r="DY74" s="816"/>
      <c r="DZ74" s="816"/>
      <c r="EA74" s="816"/>
      <c r="EB74" s="816"/>
      <c r="EC74" s="816"/>
      <c r="ED74" s="816"/>
      <c r="EE74" s="816"/>
      <c r="EF74" s="609"/>
      <c r="EG74" s="609"/>
      <c r="EH74" s="816"/>
      <c r="EI74" s="816"/>
      <c r="EJ74" s="816"/>
      <c r="EK74" s="816"/>
      <c r="EL74" s="816"/>
      <c r="EM74" s="816"/>
      <c r="EN74" s="816"/>
      <c r="EO74" s="816"/>
      <c r="EP74" s="816"/>
      <c r="EQ74" s="816"/>
      <c r="ER74" s="816"/>
      <c r="ES74" s="816"/>
      <c r="ET74" s="816"/>
      <c r="EU74" s="816"/>
      <c r="EV74" s="609"/>
      <c r="EW74" s="609"/>
      <c r="EX74" s="816"/>
      <c r="EY74" s="816"/>
      <c r="EZ74" s="816"/>
      <c r="FA74" s="816"/>
      <c r="FB74" s="816"/>
      <c r="FC74" s="816"/>
      <c r="FD74" s="816"/>
      <c r="FE74" s="816"/>
      <c r="FF74" s="816"/>
      <c r="FG74" s="816"/>
      <c r="FH74" s="816"/>
      <c r="FI74" s="816"/>
      <c r="FJ74" s="816"/>
      <c r="FK74" s="816"/>
      <c r="FL74" s="816"/>
      <c r="FM74" s="816"/>
      <c r="FN74" s="816"/>
      <c r="FO74" s="816"/>
      <c r="FP74" s="816"/>
      <c r="FQ74" s="816"/>
      <c r="FR74" s="816"/>
      <c r="FS74" s="816"/>
      <c r="FT74" s="816"/>
      <c r="FU74" s="816"/>
      <c r="FV74" s="816"/>
      <c r="FW74" s="816"/>
      <c r="FX74" s="816"/>
      <c r="FY74" s="816"/>
      <c r="FZ74" s="819"/>
      <c r="GA74" s="816"/>
      <c r="GB74" s="820"/>
      <c r="GC74" s="820"/>
      <c r="GD74" s="820"/>
      <c r="GE74" s="820"/>
      <c r="GF74" s="817"/>
      <c r="GG74" s="609"/>
      <c r="GH74" s="816"/>
      <c r="GI74" s="816"/>
      <c r="GJ74" s="816"/>
      <c r="GK74" s="816"/>
      <c r="GL74" s="816"/>
      <c r="GM74" s="816"/>
      <c r="GN74" s="816"/>
      <c r="GO74" s="816"/>
      <c r="GP74" s="816"/>
      <c r="GQ74" s="816"/>
      <c r="GR74" s="816"/>
      <c r="GS74" s="816"/>
      <c r="GT74" s="818"/>
      <c r="GU74" s="816"/>
      <c r="GV74" s="816"/>
      <c r="GW74" s="816"/>
      <c r="GX74" s="816"/>
      <c r="GY74" s="816"/>
      <c r="GZ74" s="816"/>
      <c r="HA74" s="816"/>
      <c r="HB74" s="609"/>
      <c r="HC74" s="609"/>
      <c r="HD74" s="816"/>
      <c r="HE74" s="816"/>
      <c r="HF74" s="816"/>
      <c r="HG74" s="816"/>
      <c r="HH74" s="816"/>
      <c r="HI74" s="816"/>
      <c r="HJ74" s="609"/>
      <c r="HK74" s="609"/>
      <c r="HL74" s="609"/>
      <c r="HM74" s="816"/>
      <c r="HN74" s="816"/>
      <c r="HO74" s="609"/>
      <c r="HP74" s="609"/>
      <c r="HQ74" s="816"/>
      <c r="HR74" s="816"/>
      <c r="HS74" s="816"/>
      <c r="HT74" s="816"/>
      <c r="HU74" s="816"/>
      <c r="HV74" s="816"/>
      <c r="HW74" s="609"/>
      <c r="HX74" s="609"/>
      <c r="HY74" s="816"/>
      <c r="HZ74" s="816"/>
      <c r="IA74" s="816"/>
      <c r="IB74" s="816"/>
      <c r="IC74" s="816"/>
      <c r="ID74" s="816"/>
      <c r="IE74" s="609"/>
      <c r="IF74" s="609"/>
      <c r="IG74" s="816"/>
      <c r="IH74" s="816"/>
      <c r="II74" s="609"/>
      <c r="IJ74" s="609"/>
      <c r="IK74" s="816"/>
      <c r="IL74" s="816"/>
      <c r="IM74" s="609"/>
      <c r="IN74" s="609"/>
      <c r="IO74" s="816"/>
      <c r="IP74" s="816"/>
      <c r="IQ74" s="816"/>
      <c r="IR74" s="816"/>
      <c r="IS74" s="816"/>
      <c r="IT74" s="816"/>
      <c r="IU74" s="821"/>
      <c r="IV74" s="609"/>
      <c r="IW74" s="816"/>
      <c r="IX74" s="816"/>
      <c r="IY74" s="822"/>
      <c r="IZ74" s="609"/>
      <c r="JA74" s="816"/>
      <c r="JB74" s="816"/>
      <c r="JC74" s="609"/>
      <c r="JD74" s="816"/>
      <c r="JE74" s="816"/>
      <c r="JF74" s="816"/>
      <c r="JG74" s="816"/>
      <c r="JH74" s="816"/>
      <c r="JI74" s="816"/>
      <c r="JJ74" s="816"/>
      <c r="JK74" s="816"/>
      <c r="JL74" s="816"/>
      <c r="JM74" s="816"/>
      <c r="JN74" s="816"/>
      <c r="JO74" s="823"/>
      <c r="JP74" s="824"/>
      <c r="JQ74" s="825"/>
      <c r="JR74" s="825"/>
      <c r="JS74" s="816"/>
      <c r="JU74" s="826"/>
      <c r="JV74" s="826"/>
      <c r="JW74" s="826"/>
      <c r="JX74" s="826"/>
    </row>
    <row r="75" spans="2:284" s="780" customFormat="1">
      <c r="B75" s="609"/>
      <c r="C75" s="609"/>
      <c r="D75" s="609"/>
      <c r="E75" s="609"/>
      <c r="F75" s="609"/>
      <c r="G75" s="609"/>
      <c r="H75" s="609"/>
      <c r="I75" s="609"/>
      <c r="J75" s="609"/>
      <c r="K75" s="609"/>
      <c r="L75" s="609"/>
      <c r="M75" s="609"/>
      <c r="N75" s="609"/>
      <c r="O75" s="609"/>
      <c r="P75" s="609"/>
      <c r="Q75" s="609"/>
      <c r="R75" s="609"/>
      <c r="S75" s="609"/>
      <c r="T75" s="609"/>
      <c r="U75" s="609"/>
      <c r="V75" s="609"/>
      <c r="W75" s="609"/>
      <c r="X75" s="609"/>
      <c r="Y75" s="609"/>
      <c r="Z75" s="609"/>
      <c r="AA75" s="609"/>
      <c r="AB75" s="609"/>
      <c r="AC75" s="609"/>
      <c r="AD75" s="816"/>
      <c r="AE75" s="816"/>
      <c r="AF75" s="816"/>
      <c r="AG75" s="816"/>
      <c r="AH75" s="816"/>
      <c r="AI75" s="816"/>
      <c r="AJ75" s="609"/>
      <c r="AK75" s="609"/>
      <c r="AL75" s="816"/>
      <c r="AM75" s="816"/>
      <c r="AN75" s="609"/>
      <c r="AO75" s="609"/>
      <c r="AP75" s="816"/>
      <c r="AQ75" s="816"/>
      <c r="AR75" s="816"/>
      <c r="AS75" s="816"/>
      <c r="AT75" s="816"/>
      <c r="AU75" s="816"/>
      <c r="AV75" s="609"/>
      <c r="AW75" s="609"/>
      <c r="AX75" s="816"/>
      <c r="AY75" s="816"/>
      <c r="AZ75" s="817"/>
      <c r="BA75" s="609"/>
      <c r="BB75" s="609"/>
      <c r="BC75" s="816"/>
      <c r="BD75" s="816"/>
      <c r="BE75" s="816"/>
      <c r="BF75" s="816"/>
      <c r="BG75" s="816"/>
      <c r="BH75" s="816"/>
      <c r="BI75" s="816"/>
      <c r="BJ75" s="816"/>
      <c r="BK75" s="816"/>
      <c r="BL75" s="816"/>
      <c r="BM75" s="816"/>
      <c r="BN75" s="816"/>
      <c r="BO75" s="816"/>
      <c r="BP75" s="816"/>
      <c r="BQ75" s="816"/>
      <c r="BR75" s="816"/>
      <c r="BS75" s="816"/>
      <c r="BT75" s="816"/>
      <c r="BU75" s="816"/>
      <c r="BV75" s="816"/>
      <c r="BW75" s="816"/>
      <c r="BX75" s="609"/>
      <c r="BY75" s="609"/>
      <c r="BZ75" s="609"/>
      <c r="CA75" s="818"/>
      <c r="CB75" s="816"/>
      <c r="CC75" s="816"/>
      <c r="CD75" s="816"/>
      <c r="CE75" s="816"/>
      <c r="CF75" s="816"/>
      <c r="CG75" s="816"/>
      <c r="CH75" s="816"/>
      <c r="CI75" s="816"/>
      <c r="CJ75" s="819"/>
      <c r="CK75" s="819"/>
      <c r="CL75" s="820"/>
      <c r="CM75" s="820"/>
      <c r="CN75" s="820"/>
      <c r="CO75" s="820"/>
      <c r="CP75" s="820"/>
      <c r="CQ75" s="820"/>
      <c r="CR75" s="609"/>
      <c r="CS75" s="609"/>
      <c r="CT75" s="816"/>
      <c r="CU75" s="816"/>
      <c r="CV75" s="609"/>
      <c r="CW75" s="609"/>
      <c r="CX75" s="816"/>
      <c r="CY75" s="816"/>
      <c r="CZ75" s="609"/>
      <c r="DA75" s="609"/>
      <c r="DB75" s="816"/>
      <c r="DC75" s="816"/>
      <c r="DD75" s="609"/>
      <c r="DE75" s="609"/>
      <c r="DF75" s="816"/>
      <c r="DG75" s="816"/>
      <c r="DH75" s="816"/>
      <c r="DI75" s="816"/>
      <c r="DJ75" s="816"/>
      <c r="DK75" s="816"/>
      <c r="DL75" s="609"/>
      <c r="DM75" s="609"/>
      <c r="DN75" s="816"/>
      <c r="DO75" s="816"/>
      <c r="DP75" s="609"/>
      <c r="DQ75" s="609"/>
      <c r="DR75" s="816"/>
      <c r="DS75" s="816"/>
      <c r="DT75" s="816"/>
      <c r="DU75" s="816"/>
      <c r="DV75" s="816"/>
      <c r="DW75" s="816"/>
      <c r="DX75" s="816"/>
      <c r="DY75" s="816"/>
      <c r="DZ75" s="816"/>
      <c r="EA75" s="816"/>
      <c r="EB75" s="816"/>
      <c r="EC75" s="816"/>
      <c r="ED75" s="816"/>
      <c r="EE75" s="816"/>
      <c r="EF75" s="609"/>
      <c r="EG75" s="609"/>
      <c r="EH75" s="816"/>
      <c r="EI75" s="816"/>
      <c r="EJ75" s="816"/>
      <c r="EK75" s="816"/>
      <c r="EL75" s="816"/>
      <c r="EM75" s="816"/>
      <c r="EN75" s="816"/>
      <c r="EO75" s="816"/>
      <c r="EP75" s="816"/>
      <c r="EQ75" s="816"/>
      <c r="ER75" s="816"/>
      <c r="ES75" s="816"/>
      <c r="ET75" s="816"/>
      <c r="EU75" s="816"/>
      <c r="EV75" s="609"/>
      <c r="EW75" s="609"/>
      <c r="EX75" s="816"/>
      <c r="EY75" s="816"/>
      <c r="EZ75" s="816"/>
      <c r="FA75" s="816"/>
      <c r="FB75" s="816"/>
      <c r="FC75" s="816"/>
      <c r="FD75" s="816"/>
      <c r="FE75" s="816"/>
      <c r="FF75" s="816"/>
      <c r="FG75" s="816"/>
      <c r="FH75" s="816"/>
      <c r="FI75" s="816"/>
      <c r="FJ75" s="816"/>
      <c r="FK75" s="816"/>
      <c r="FL75" s="816"/>
      <c r="FM75" s="816"/>
      <c r="FN75" s="816"/>
      <c r="FO75" s="816"/>
      <c r="FP75" s="816"/>
      <c r="FQ75" s="816"/>
      <c r="FR75" s="816"/>
      <c r="FS75" s="816"/>
      <c r="FT75" s="816"/>
      <c r="FU75" s="816"/>
      <c r="FV75" s="816"/>
      <c r="FW75" s="816"/>
      <c r="FX75" s="816"/>
      <c r="FY75" s="816"/>
      <c r="FZ75" s="819"/>
      <c r="GA75" s="816"/>
      <c r="GB75" s="820"/>
      <c r="GC75" s="820"/>
      <c r="GD75" s="820"/>
      <c r="GE75" s="820"/>
      <c r="GF75" s="609"/>
      <c r="GG75" s="609"/>
      <c r="GH75" s="816"/>
      <c r="GI75" s="816"/>
      <c r="GJ75" s="816"/>
      <c r="GK75" s="816"/>
      <c r="GL75" s="816"/>
      <c r="GM75" s="816"/>
      <c r="GN75" s="816"/>
      <c r="GO75" s="816"/>
      <c r="GP75" s="816"/>
      <c r="GQ75" s="816"/>
      <c r="GR75" s="816"/>
      <c r="GS75" s="816"/>
      <c r="GT75" s="818"/>
      <c r="GU75" s="816"/>
      <c r="GV75" s="816"/>
      <c r="GW75" s="816"/>
      <c r="GX75" s="816"/>
      <c r="GY75" s="816"/>
      <c r="GZ75" s="816"/>
      <c r="HA75" s="816"/>
      <c r="HB75" s="609"/>
      <c r="HC75" s="609"/>
      <c r="HD75" s="816"/>
      <c r="HE75" s="816"/>
      <c r="HF75" s="816"/>
      <c r="HG75" s="816"/>
      <c r="HH75" s="816"/>
      <c r="HI75" s="816"/>
      <c r="HJ75" s="609"/>
      <c r="HK75" s="609"/>
      <c r="HL75" s="609"/>
      <c r="HM75" s="816"/>
      <c r="HN75" s="816"/>
      <c r="HO75" s="609"/>
      <c r="HP75" s="609"/>
      <c r="HQ75" s="816"/>
      <c r="HR75" s="816"/>
      <c r="HS75" s="816"/>
      <c r="HT75" s="816"/>
      <c r="HU75" s="816"/>
      <c r="HV75" s="816"/>
      <c r="HW75" s="609"/>
      <c r="HX75" s="609"/>
      <c r="HY75" s="816"/>
      <c r="HZ75" s="816"/>
      <c r="IA75" s="816"/>
      <c r="IB75" s="816"/>
      <c r="IC75" s="816"/>
      <c r="ID75" s="816"/>
      <c r="IE75" s="609"/>
      <c r="IF75" s="609"/>
      <c r="IG75" s="816"/>
      <c r="IH75" s="816"/>
      <c r="II75" s="609"/>
      <c r="IJ75" s="609"/>
      <c r="IK75" s="816"/>
      <c r="IL75" s="816"/>
      <c r="IM75" s="609"/>
      <c r="IN75" s="609"/>
      <c r="IO75" s="816"/>
      <c r="IP75" s="816"/>
      <c r="IQ75" s="816"/>
      <c r="IR75" s="816"/>
      <c r="IS75" s="816"/>
      <c r="IT75" s="816"/>
      <c r="IU75" s="821"/>
      <c r="IV75" s="609"/>
      <c r="IW75" s="816"/>
      <c r="IX75" s="816"/>
      <c r="IY75" s="822"/>
      <c r="IZ75" s="609"/>
      <c r="JA75" s="816"/>
      <c r="JB75" s="816"/>
      <c r="JC75" s="609"/>
      <c r="JD75" s="816"/>
      <c r="JE75" s="816"/>
      <c r="JF75" s="816"/>
      <c r="JG75" s="816"/>
      <c r="JH75" s="816"/>
      <c r="JI75" s="816"/>
      <c r="JJ75" s="816"/>
      <c r="JK75" s="816"/>
      <c r="JL75" s="816"/>
      <c r="JM75" s="816"/>
      <c r="JN75" s="816"/>
      <c r="JO75" s="823"/>
      <c r="JP75" s="824"/>
      <c r="JQ75" s="825"/>
      <c r="JR75" s="825"/>
      <c r="JS75" s="816"/>
      <c r="JU75" s="826"/>
      <c r="JV75" s="826"/>
      <c r="JW75" s="826"/>
      <c r="JX75" s="826"/>
    </row>
    <row r="76" spans="2:284" s="780" customFormat="1">
      <c r="B76" s="609"/>
      <c r="C76" s="609"/>
      <c r="D76" s="609"/>
      <c r="E76" s="609"/>
      <c r="F76" s="609"/>
      <c r="G76" s="609"/>
      <c r="H76" s="609"/>
      <c r="I76" s="609"/>
      <c r="J76" s="609"/>
      <c r="K76" s="609"/>
      <c r="L76" s="609"/>
      <c r="M76" s="609"/>
      <c r="N76" s="609"/>
      <c r="O76" s="609"/>
      <c r="P76" s="609"/>
      <c r="Q76" s="609"/>
      <c r="R76" s="609"/>
      <c r="S76" s="609"/>
      <c r="T76" s="609"/>
      <c r="U76" s="609"/>
      <c r="V76" s="609"/>
      <c r="W76" s="609"/>
      <c r="X76" s="609"/>
      <c r="Y76" s="609"/>
      <c r="Z76" s="609"/>
      <c r="AA76" s="609"/>
      <c r="AB76" s="609"/>
      <c r="AC76" s="609"/>
      <c r="AD76" s="816"/>
      <c r="AE76" s="816"/>
      <c r="AF76" s="816"/>
      <c r="AG76" s="816"/>
      <c r="AH76" s="816"/>
      <c r="AI76" s="816"/>
      <c r="AJ76" s="609"/>
      <c r="AK76" s="609"/>
      <c r="AL76" s="816"/>
      <c r="AM76" s="816"/>
      <c r="AN76" s="609"/>
      <c r="AO76" s="609"/>
      <c r="AP76" s="816"/>
      <c r="AQ76" s="816"/>
      <c r="AR76" s="816"/>
      <c r="AS76" s="816"/>
      <c r="AT76" s="816"/>
      <c r="AU76" s="816"/>
      <c r="AV76" s="609"/>
      <c r="AW76" s="609"/>
      <c r="AX76" s="816"/>
      <c r="AY76" s="816"/>
      <c r="AZ76" s="817"/>
      <c r="BA76" s="609"/>
      <c r="BB76" s="609"/>
      <c r="BC76" s="816"/>
      <c r="BD76" s="816"/>
      <c r="BE76" s="816"/>
      <c r="BF76" s="816"/>
      <c r="BG76" s="816"/>
      <c r="BH76" s="816"/>
      <c r="BI76" s="816"/>
      <c r="BJ76" s="816"/>
      <c r="BK76" s="816"/>
      <c r="BL76" s="816"/>
      <c r="BM76" s="816"/>
      <c r="BN76" s="816"/>
      <c r="BO76" s="816"/>
      <c r="BP76" s="816"/>
      <c r="BQ76" s="816"/>
      <c r="BR76" s="816"/>
      <c r="BS76" s="816"/>
      <c r="BT76" s="816"/>
      <c r="BU76" s="816"/>
      <c r="BV76" s="816"/>
      <c r="BW76" s="816"/>
      <c r="BX76" s="609"/>
      <c r="BY76" s="609"/>
      <c r="BZ76" s="609"/>
      <c r="CA76" s="818"/>
      <c r="CB76" s="816"/>
      <c r="CC76" s="816"/>
      <c r="CD76" s="816"/>
      <c r="CE76" s="816"/>
      <c r="CF76" s="816"/>
      <c r="CG76" s="816"/>
      <c r="CH76" s="816"/>
      <c r="CI76" s="816"/>
      <c r="CJ76" s="819"/>
      <c r="CK76" s="819"/>
      <c r="CL76" s="820"/>
      <c r="CM76" s="820"/>
      <c r="CN76" s="820"/>
      <c r="CO76" s="820"/>
      <c r="CP76" s="820"/>
      <c r="CQ76" s="820"/>
      <c r="CR76" s="609"/>
      <c r="CS76" s="609"/>
      <c r="CT76" s="816"/>
      <c r="CU76" s="816"/>
      <c r="CV76" s="609"/>
      <c r="CW76" s="609"/>
      <c r="CX76" s="816"/>
      <c r="CY76" s="816"/>
      <c r="CZ76" s="609"/>
      <c r="DA76" s="609"/>
      <c r="DB76" s="816"/>
      <c r="DC76" s="816"/>
      <c r="DD76" s="609"/>
      <c r="DE76" s="609"/>
      <c r="DF76" s="816"/>
      <c r="DG76" s="816"/>
      <c r="DH76" s="816"/>
      <c r="DI76" s="816"/>
      <c r="DJ76" s="816"/>
      <c r="DK76" s="816"/>
      <c r="DL76" s="609"/>
      <c r="DM76" s="609"/>
      <c r="DN76" s="816"/>
      <c r="DO76" s="816"/>
      <c r="DP76" s="609"/>
      <c r="DQ76" s="609"/>
      <c r="DR76" s="816"/>
      <c r="DS76" s="816"/>
      <c r="DT76" s="816"/>
      <c r="DU76" s="816"/>
      <c r="DV76" s="816"/>
      <c r="DW76" s="816"/>
      <c r="DX76" s="816"/>
      <c r="DY76" s="816"/>
      <c r="DZ76" s="816"/>
      <c r="EA76" s="816"/>
      <c r="EB76" s="816"/>
      <c r="EC76" s="816"/>
      <c r="ED76" s="816"/>
      <c r="EE76" s="816"/>
      <c r="EF76" s="609"/>
      <c r="EG76" s="609"/>
      <c r="EH76" s="816"/>
      <c r="EI76" s="816"/>
      <c r="EJ76" s="816"/>
      <c r="EK76" s="816"/>
      <c r="EL76" s="816"/>
      <c r="EM76" s="816"/>
      <c r="EN76" s="816"/>
      <c r="EO76" s="816"/>
      <c r="EP76" s="816"/>
      <c r="EQ76" s="816"/>
      <c r="ER76" s="816"/>
      <c r="ES76" s="816"/>
      <c r="ET76" s="816"/>
      <c r="EU76" s="816"/>
      <c r="EV76" s="609"/>
      <c r="EW76" s="609"/>
      <c r="EX76" s="816"/>
      <c r="EY76" s="816"/>
      <c r="EZ76" s="816"/>
      <c r="FA76" s="816"/>
      <c r="FB76" s="816"/>
      <c r="FC76" s="816"/>
      <c r="FD76" s="816"/>
      <c r="FE76" s="816"/>
      <c r="FF76" s="816"/>
      <c r="FG76" s="816"/>
      <c r="FH76" s="816"/>
      <c r="FI76" s="816"/>
      <c r="FJ76" s="816"/>
      <c r="FK76" s="816"/>
      <c r="FL76" s="816"/>
      <c r="FM76" s="816"/>
      <c r="FN76" s="816"/>
      <c r="FO76" s="816"/>
      <c r="FP76" s="816"/>
      <c r="FQ76" s="816"/>
      <c r="FR76" s="816"/>
      <c r="FS76" s="816"/>
      <c r="FT76" s="816"/>
      <c r="FU76" s="816"/>
      <c r="FV76" s="816"/>
      <c r="FW76" s="816"/>
      <c r="FX76" s="816"/>
      <c r="FY76" s="816"/>
      <c r="FZ76" s="819"/>
      <c r="GA76" s="816"/>
      <c r="GB76" s="820"/>
      <c r="GC76" s="820"/>
      <c r="GD76" s="820"/>
      <c r="GE76" s="820"/>
      <c r="GF76" s="817"/>
      <c r="GG76" s="609"/>
      <c r="GH76" s="816"/>
      <c r="GI76" s="816"/>
      <c r="GJ76" s="816"/>
      <c r="GK76" s="816"/>
      <c r="GL76" s="816"/>
      <c r="GM76" s="816"/>
      <c r="GN76" s="816"/>
      <c r="GO76" s="816"/>
      <c r="GP76" s="816"/>
      <c r="GQ76" s="816"/>
      <c r="GR76" s="816"/>
      <c r="GS76" s="816"/>
      <c r="GT76" s="818"/>
      <c r="GU76" s="816"/>
      <c r="GV76" s="816"/>
      <c r="GW76" s="816"/>
      <c r="GX76" s="816"/>
      <c r="GY76" s="816"/>
      <c r="GZ76" s="816"/>
      <c r="HA76" s="816"/>
      <c r="HB76" s="609"/>
      <c r="HC76" s="609"/>
      <c r="HD76" s="816"/>
      <c r="HE76" s="816"/>
      <c r="HF76" s="816"/>
      <c r="HG76" s="816"/>
      <c r="HH76" s="816"/>
      <c r="HI76" s="816"/>
      <c r="HJ76" s="609"/>
      <c r="HK76" s="609"/>
      <c r="HL76" s="609"/>
      <c r="HM76" s="816"/>
      <c r="HN76" s="816"/>
      <c r="HO76" s="609"/>
      <c r="HP76" s="609"/>
      <c r="HQ76" s="816"/>
      <c r="HR76" s="816"/>
      <c r="HS76" s="816"/>
      <c r="HT76" s="816"/>
      <c r="HU76" s="816"/>
      <c r="HV76" s="816"/>
      <c r="HW76" s="609"/>
      <c r="HX76" s="609"/>
      <c r="HY76" s="816"/>
      <c r="HZ76" s="816"/>
      <c r="IA76" s="816"/>
      <c r="IB76" s="816"/>
      <c r="IC76" s="816"/>
      <c r="ID76" s="816"/>
      <c r="IE76" s="609"/>
      <c r="IF76" s="609"/>
      <c r="IG76" s="816"/>
      <c r="IH76" s="816"/>
      <c r="II76" s="609"/>
      <c r="IJ76" s="609"/>
      <c r="IK76" s="816"/>
      <c r="IL76" s="816"/>
      <c r="IM76" s="609"/>
      <c r="IN76" s="609"/>
      <c r="IO76" s="816"/>
      <c r="IP76" s="816"/>
      <c r="IQ76" s="816"/>
      <c r="IR76" s="816"/>
      <c r="IS76" s="816"/>
      <c r="IT76" s="816"/>
      <c r="IU76" s="821"/>
      <c r="IV76" s="609"/>
      <c r="IW76" s="816"/>
      <c r="IX76" s="816"/>
      <c r="IY76" s="822"/>
      <c r="IZ76" s="609"/>
      <c r="JA76" s="816"/>
      <c r="JB76" s="816"/>
      <c r="JC76" s="609"/>
      <c r="JD76" s="816"/>
      <c r="JE76" s="816"/>
      <c r="JF76" s="816"/>
      <c r="JG76" s="816"/>
      <c r="JH76" s="816"/>
      <c r="JI76" s="816"/>
      <c r="JJ76" s="816"/>
      <c r="JK76" s="816"/>
      <c r="JL76" s="816"/>
      <c r="JM76" s="816"/>
      <c r="JN76" s="816"/>
      <c r="JO76" s="823"/>
      <c r="JP76" s="824"/>
      <c r="JQ76" s="825"/>
      <c r="JR76" s="825"/>
      <c r="JS76" s="816"/>
      <c r="JU76" s="826"/>
      <c r="JV76" s="826"/>
      <c r="JW76" s="826"/>
      <c r="JX76" s="826"/>
    </row>
    <row r="77" spans="2:284" s="780" customFormat="1">
      <c r="B77" s="609"/>
      <c r="C77" s="609"/>
      <c r="D77" s="609"/>
      <c r="E77" s="609"/>
      <c r="F77" s="609"/>
      <c r="G77" s="609"/>
      <c r="H77" s="609"/>
      <c r="I77" s="609"/>
      <c r="J77" s="609"/>
      <c r="K77" s="609"/>
      <c r="L77" s="609"/>
      <c r="M77" s="609"/>
      <c r="N77" s="609"/>
      <c r="O77" s="609"/>
      <c r="P77" s="609"/>
      <c r="Q77" s="609"/>
      <c r="R77" s="609"/>
      <c r="S77" s="609"/>
      <c r="T77" s="609"/>
      <c r="U77" s="609"/>
      <c r="V77" s="609"/>
      <c r="W77" s="609"/>
      <c r="X77" s="609"/>
      <c r="Y77" s="609"/>
      <c r="Z77" s="609"/>
      <c r="AA77" s="609"/>
      <c r="AB77" s="609"/>
      <c r="AC77" s="609"/>
      <c r="AD77" s="816"/>
      <c r="AE77" s="816"/>
      <c r="AF77" s="816"/>
      <c r="AG77" s="816"/>
      <c r="AH77" s="816"/>
      <c r="AI77" s="816"/>
      <c r="AJ77" s="609"/>
      <c r="AK77" s="609"/>
      <c r="AL77" s="816"/>
      <c r="AM77" s="816"/>
      <c r="AN77" s="609"/>
      <c r="AO77" s="609"/>
      <c r="AP77" s="816"/>
      <c r="AQ77" s="816"/>
      <c r="AR77" s="816"/>
      <c r="AS77" s="816"/>
      <c r="AT77" s="816"/>
      <c r="AU77" s="816"/>
      <c r="AV77" s="609"/>
      <c r="AW77" s="609"/>
      <c r="AX77" s="816"/>
      <c r="AY77" s="816"/>
      <c r="AZ77" s="817"/>
      <c r="BA77" s="609"/>
      <c r="BB77" s="609"/>
      <c r="BC77" s="816"/>
      <c r="BD77" s="816"/>
      <c r="BE77" s="816"/>
      <c r="BF77" s="816"/>
      <c r="BG77" s="816"/>
      <c r="BH77" s="816"/>
      <c r="BI77" s="816"/>
      <c r="BJ77" s="816"/>
      <c r="BK77" s="816"/>
      <c r="BL77" s="816"/>
      <c r="BM77" s="816"/>
      <c r="BN77" s="816"/>
      <c r="BO77" s="816"/>
      <c r="BP77" s="816"/>
      <c r="BQ77" s="816"/>
      <c r="BR77" s="816"/>
      <c r="BS77" s="816"/>
      <c r="BT77" s="816"/>
      <c r="BU77" s="816"/>
      <c r="BV77" s="816"/>
      <c r="BW77" s="816"/>
      <c r="BX77" s="609"/>
      <c r="BY77" s="609"/>
      <c r="BZ77" s="609"/>
      <c r="CA77" s="818"/>
      <c r="CB77" s="816"/>
      <c r="CC77" s="816"/>
      <c r="CD77" s="816"/>
      <c r="CE77" s="816"/>
      <c r="CF77" s="816"/>
      <c r="CG77" s="816"/>
      <c r="CH77" s="816"/>
      <c r="CI77" s="816"/>
      <c r="CJ77" s="819"/>
      <c r="CK77" s="819"/>
      <c r="CL77" s="820"/>
      <c r="CM77" s="820"/>
      <c r="CN77" s="820"/>
      <c r="CO77" s="820"/>
      <c r="CP77" s="820"/>
      <c r="CQ77" s="820"/>
      <c r="CR77" s="609"/>
      <c r="CS77" s="609"/>
      <c r="CT77" s="816"/>
      <c r="CU77" s="816"/>
      <c r="CV77" s="609"/>
      <c r="CW77" s="609"/>
      <c r="CX77" s="816"/>
      <c r="CY77" s="816"/>
      <c r="CZ77" s="609"/>
      <c r="DA77" s="609"/>
      <c r="DB77" s="816"/>
      <c r="DC77" s="816"/>
      <c r="DD77" s="609"/>
      <c r="DE77" s="609"/>
      <c r="DF77" s="816"/>
      <c r="DG77" s="816"/>
      <c r="DH77" s="816"/>
      <c r="DI77" s="816"/>
      <c r="DJ77" s="816"/>
      <c r="DK77" s="816"/>
      <c r="DL77" s="609"/>
      <c r="DM77" s="609"/>
      <c r="DN77" s="816"/>
      <c r="DO77" s="816"/>
      <c r="DP77" s="609"/>
      <c r="DQ77" s="609"/>
      <c r="DR77" s="816"/>
      <c r="DS77" s="816"/>
      <c r="DT77" s="816"/>
      <c r="DU77" s="816"/>
      <c r="DV77" s="816"/>
      <c r="DW77" s="816"/>
      <c r="DX77" s="816"/>
      <c r="DY77" s="816"/>
      <c r="DZ77" s="816"/>
      <c r="EA77" s="816"/>
      <c r="EB77" s="816"/>
      <c r="EC77" s="816"/>
      <c r="ED77" s="816"/>
      <c r="EE77" s="816"/>
      <c r="EF77" s="609"/>
      <c r="EG77" s="609"/>
      <c r="EH77" s="816"/>
      <c r="EI77" s="816"/>
      <c r="EJ77" s="816"/>
      <c r="EK77" s="816"/>
      <c r="EL77" s="816"/>
      <c r="EM77" s="816"/>
      <c r="EN77" s="816"/>
      <c r="EO77" s="816"/>
      <c r="EP77" s="816"/>
      <c r="EQ77" s="816"/>
      <c r="ER77" s="816"/>
      <c r="ES77" s="816"/>
      <c r="ET77" s="816"/>
      <c r="EU77" s="816"/>
      <c r="EV77" s="609"/>
      <c r="EW77" s="609"/>
      <c r="EX77" s="816"/>
      <c r="EY77" s="816"/>
      <c r="EZ77" s="816"/>
      <c r="FA77" s="816"/>
      <c r="FB77" s="816"/>
      <c r="FC77" s="816"/>
      <c r="FD77" s="816"/>
      <c r="FE77" s="816"/>
      <c r="FF77" s="816"/>
      <c r="FG77" s="816"/>
      <c r="FH77" s="816"/>
      <c r="FI77" s="816"/>
      <c r="FJ77" s="816"/>
      <c r="FK77" s="816"/>
      <c r="FL77" s="816"/>
      <c r="FM77" s="816"/>
      <c r="FN77" s="816"/>
      <c r="FO77" s="816"/>
      <c r="FP77" s="816"/>
      <c r="FQ77" s="816"/>
      <c r="FR77" s="816"/>
      <c r="FS77" s="816"/>
      <c r="FT77" s="816"/>
      <c r="FU77" s="816"/>
      <c r="FV77" s="816"/>
      <c r="FW77" s="816"/>
      <c r="FX77" s="816"/>
      <c r="FY77" s="816"/>
      <c r="FZ77" s="819"/>
      <c r="GA77" s="816"/>
      <c r="GB77" s="820"/>
      <c r="GC77" s="820"/>
      <c r="GD77" s="820"/>
      <c r="GE77" s="820"/>
      <c r="GF77" s="817"/>
      <c r="GG77" s="609"/>
      <c r="GH77" s="816"/>
      <c r="GI77" s="816"/>
      <c r="GJ77" s="816"/>
      <c r="GK77" s="816"/>
      <c r="GL77" s="816"/>
      <c r="GM77" s="816"/>
      <c r="GN77" s="816"/>
      <c r="GO77" s="816"/>
      <c r="GP77" s="816"/>
      <c r="GQ77" s="816"/>
      <c r="GR77" s="816"/>
      <c r="GS77" s="816"/>
      <c r="GT77" s="818"/>
      <c r="GU77" s="816"/>
      <c r="GV77" s="816"/>
      <c r="GW77" s="816"/>
      <c r="GX77" s="816"/>
      <c r="GY77" s="816"/>
      <c r="GZ77" s="816"/>
      <c r="HA77" s="816"/>
      <c r="HB77" s="609"/>
      <c r="HC77" s="609"/>
      <c r="HD77" s="816"/>
      <c r="HE77" s="816"/>
      <c r="HF77" s="816"/>
      <c r="HG77" s="816"/>
      <c r="HH77" s="816"/>
      <c r="HI77" s="816"/>
      <c r="HJ77" s="609"/>
      <c r="HK77" s="609"/>
      <c r="HL77" s="609"/>
      <c r="HM77" s="816"/>
      <c r="HN77" s="816"/>
      <c r="HO77" s="609"/>
      <c r="HP77" s="609"/>
      <c r="HQ77" s="816"/>
      <c r="HR77" s="816"/>
      <c r="HS77" s="816"/>
      <c r="HT77" s="816"/>
      <c r="HU77" s="816"/>
      <c r="HV77" s="816"/>
      <c r="HW77" s="609"/>
      <c r="HX77" s="609"/>
      <c r="HY77" s="816"/>
      <c r="HZ77" s="816"/>
      <c r="IA77" s="816"/>
      <c r="IB77" s="816"/>
      <c r="IC77" s="816"/>
      <c r="ID77" s="816"/>
      <c r="IE77" s="609"/>
      <c r="IF77" s="609"/>
      <c r="IG77" s="816"/>
      <c r="IH77" s="816"/>
      <c r="II77" s="609"/>
      <c r="IJ77" s="609"/>
      <c r="IK77" s="816"/>
      <c r="IL77" s="816"/>
      <c r="IM77" s="609"/>
      <c r="IN77" s="609"/>
      <c r="IO77" s="816"/>
      <c r="IP77" s="816"/>
      <c r="IQ77" s="816"/>
      <c r="IR77" s="816"/>
      <c r="IS77" s="816"/>
      <c r="IT77" s="816"/>
      <c r="IU77" s="821"/>
      <c r="IV77" s="609"/>
      <c r="IW77" s="816"/>
      <c r="IX77" s="816"/>
      <c r="IY77" s="822"/>
      <c r="IZ77" s="609"/>
      <c r="JA77" s="816"/>
      <c r="JB77" s="816"/>
      <c r="JC77" s="609"/>
      <c r="JD77" s="816"/>
      <c r="JE77" s="816"/>
      <c r="JF77" s="816"/>
      <c r="JG77" s="816"/>
      <c r="JH77" s="816"/>
      <c r="JI77" s="816"/>
      <c r="JJ77" s="816"/>
      <c r="JK77" s="816"/>
      <c r="JL77" s="816"/>
      <c r="JM77" s="816"/>
      <c r="JN77" s="816"/>
      <c r="JO77" s="823"/>
      <c r="JP77" s="824"/>
      <c r="JQ77" s="825"/>
      <c r="JR77" s="825"/>
      <c r="JS77" s="816"/>
      <c r="JU77" s="826"/>
      <c r="JV77" s="826"/>
      <c r="JW77" s="826"/>
      <c r="JX77" s="826"/>
    </row>
    <row r="78" spans="2:284" s="780" customFormat="1">
      <c r="B78" s="609"/>
      <c r="C78" s="609"/>
      <c r="D78" s="609"/>
      <c r="E78" s="609"/>
      <c r="F78" s="609"/>
      <c r="G78" s="609"/>
      <c r="H78" s="609"/>
      <c r="I78" s="609"/>
      <c r="J78" s="609"/>
      <c r="K78" s="609"/>
      <c r="L78" s="609"/>
      <c r="M78" s="609"/>
      <c r="N78" s="609"/>
      <c r="O78" s="609"/>
      <c r="P78" s="609"/>
      <c r="Q78" s="609"/>
      <c r="R78" s="609"/>
      <c r="S78" s="609"/>
      <c r="T78" s="609"/>
      <c r="U78" s="609"/>
      <c r="V78" s="609"/>
      <c r="W78" s="609"/>
      <c r="X78" s="609"/>
      <c r="Y78" s="609"/>
      <c r="Z78" s="609"/>
      <c r="AA78" s="609"/>
      <c r="AB78" s="609"/>
      <c r="AC78" s="609"/>
      <c r="AD78" s="816"/>
      <c r="AE78" s="816"/>
      <c r="AF78" s="816"/>
      <c r="AG78" s="816"/>
      <c r="AH78" s="816"/>
      <c r="AI78" s="816"/>
      <c r="AJ78" s="609"/>
      <c r="AK78" s="609"/>
      <c r="AL78" s="816"/>
      <c r="AM78" s="816"/>
      <c r="AN78" s="609"/>
      <c r="AO78" s="609"/>
      <c r="AP78" s="816"/>
      <c r="AQ78" s="816"/>
      <c r="AR78" s="816"/>
      <c r="AS78" s="816"/>
      <c r="AT78" s="816"/>
      <c r="AU78" s="816"/>
      <c r="AV78" s="609"/>
      <c r="AW78" s="609"/>
      <c r="AX78" s="816"/>
      <c r="AY78" s="816"/>
      <c r="AZ78" s="817"/>
      <c r="BA78" s="609"/>
      <c r="BB78" s="609"/>
      <c r="BC78" s="816"/>
      <c r="BD78" s="816"/>
      <c r="BE78" s="816"/>
      <c r="BF78" s="816"/>
      <c r="BG78" s="816"/>
      <c r="BH78" s="816"/>
      <c r="BI78" s="816"/>
      <c r="BJ78" s="816"/>
      <c r="BK78" s="816"/>
      <c r="BL78" s="816"/>
      <c r="BM78" s="816"/>
      <c r="BN78" s="816"/>
      <c r="BO78" s="816"/>
      <c r="BP78" s="816"/>
      <c r="BQ78" s="816"/>
      <c r="BR78" s="816"/>
      <c r="BS78" s="816"/>
      <c r="BT78" s="816"/>
      <c r="BU78" s="816"/>
      <c r="BV78" s="816"/>
      <c r="BW78" s="816"/>
      <c r="BX78" s="609"/>
      <c r="BY78" s="609"/>
      <c r="BZ78" s="609"/>
      <c r="CA78" s="818"/>
      <c r="CB78" s="816"/>
      <c r="CC78" s="816"/>
      <c r="CD78" s="816"/>
      <c r="CE78" s="816"/>
      <c r="CF78" s="816"/>
      <c r="CG78" s="816"/>
      <c r="CH78" s="816"/>
      <c r="CI78" s="816"/>
      <c r="CJ78" s="819"/>
      <c r="CK78" s="819"/>
      <c r="CL78" s="820"/>
      <c r="CM78" s="820"/>
      <c r="CN78" s="820"/>
      <c r="CO78" s="820"/>
      <c r="CP78" s="820"/>
      <c r="CQ78" s="820"/>
      <c r="CR78" s="609"/>
      <c r="CS78" s="609"/>
      <c r="CT78" s="816"/>
      <c r="CU78" s="816"/>
      <c r="CV78" s="609"/>
      <c r="CW78" s="609"/>
      <c r="CX78" s="816"/>
      <c r="CY78" s="816"/>
      <c r="CZ78" s="609"/>
      <c r="DA78" s="609"/>
      <c r="DB78" s="816"/>
      <c r="DC78" s="816"/>
      <c r="DD78" s="609"/>
      <c r="DE78" s="609"/>
      <c r="DF78" s="816"/>
      <c r="DG78" s="816"/>
      <c r="DH78" s="816"/>
      <c r="DI78" s="816"/>
      <c r="DJ78" s="816"/>
      <c r="DK78" s="816"/>
      <c r="DL78" s="609"/>
      <c r="DM78" s="609"/>
      <c r="DN78" s="816"/>
      <c r="DO78" s="816"/>
      <c r="DP78" s="609"/>
      <c r="DQ78" s="609"/>
      <c r="DR78" s="816"/>
      <c r="DS78" s="816"/>
      <c r="DT78" s="816"/>
      <c r="DU78" s="816"/>
      <c r="DV78" s="816"/>
      <c r="DW78" s="816"/>
      <c r="DX78" s="816"/>
      <c r="DY78" s="816"/>
      <c r="DZ78" s="816"/>
      <c r="EA78" s="816"/>
      <c r="EB78" s="816"/>
      <c r="EC78" s="816"/>
      <c r="ED78" s="816"/>
      <c r="EE78" s="816"/>
      <c r="EF78" s="609"/>
      <c r="EG78" s="609"/>
      <c r="EH78" s="816"/>
      <c r="EI78" s="816"/>
      <c r="EJ78" s="816"/>
      <c r="EK78" s="816"/>
      <c r="EL78" s="816"/>
      <c r="EM78" s="816"/>
      <c r="EN78" s="816"/>
      <c r="EO78" s="816"/>
      <c r="EP78" s="816"/>
      <c r="EQ78" s="816"/>
      <c r="ER78" s="816"/>
      <c r="ES78" s="816"/>
      <c r="ET78" s="816"/>
      <c r="EU78" s="816"/>
      <c r="EV78" s="609"/>
      <c r="EW78" s="609"/>
      <c r="EX78" s="816"/>
      <c r="EY78" s="816"/>
      <c r="EZ78" s="816"/>
      <c r="FA78" s="816"/>
      <c r="FB78" s="816"/>
      <c r="FC78" s="816"/>
      <c r="FD78" s="816"/>
      <c r="FE78" s="816"/>
      <c r="FF78" s="816"/>
      <c r="FG78" s="816"/>
      <c r="FH78" s="816"/>
      <c r="FI78" s="816"/>
      <c r="FJ78" s="816"/>
      <c r="FK78" s="816"/>
      <c r="FL78" s="816"/>
      <c r="FM78" s="816"/>
      <c r="FN78" s="816"/>
      <c r="FO78" s="816"/>
      <c r="FP78" s="816"/>
      <c r="FQ78" s="816"/>
      <c r="FR78" s="816"/>
      <c r="FS78" s="816"/>
      <c r="FT78" s="816"/>
      <c r="FU78" s="816"/>
      <c r="FV78" s="816"/>
      <c r="FW78" s="816"/>
      <c r="FX78" s="816"/>
      <c r="FY78" s="816"/>
      <c r="FZ78" s="819"/>
      <c r="GA78" s="816"/>
      <c r="GB78" s="820"/>
      <c r="GC78" s="820"/>
      <c r="GD78" s="820"/>
      <c r="GE78" s="820"/>
      <c r="GF78" s="817"/>
      <c r="GG78" s="609"/>
      <c r="GH78" s="816"/>
      <c r="GI78" s="816"/>
      <c r="GJ78" s="816"/>
      <c r="GK78" s="816"/>
      <c r="GL78" s="816"/>
      <c r="GM78" s="816"/>
      <c r="GN78" s="816"/>
      <c r="GO78" s="816"/>
      <c r="GP78" s="816"/>
      <c r="GQ78" s="816"/>
      <c r="GR78" s="816"/>
      <c r="GS78" s="816"/>
      <c r="GT78" s="818"/>
      <c r="GU78" s="816"/>
      <c r="GV78" s="816"/>
      <c r="GW78" s="816"/>
      <c r="GX78" s="816"/>
      <c r="GY78" s="816"/>
      <c r="GZ78" s="816"/>
      <c r="HA78" s="816"/>
      <c r="HB78" s="609"/>
      <c r="HC78" s="609"/>
      <c r="HD78" s="816"/>
      <c r="HE78" s="816"/>
      <c r="HF78" s="816"/>
      <c r="HG78" s="816"/>
      <c r="HH78" s="816"/>
      <c r="HI78" s="816"/>
      <c r="HJ78" s="609"/>
      <c r="HK78" s="609"/>
      <c r="HL78" s="609"/>
      <c r="HM78" s="816"/>
      <c r="HN78" s="816"/>
      <c r="HO78" s="609"/>
      <c r="HP78" s="609"/>
      <c r="HQ78" s="816"/>
      <c r="HR78" s="816"/>
      <c r="HS78" s="816"/>
      <c r="HT78" s="816"/>
      <c r="HU78" s="816"/>
      <c r="HV78" s="816"/>
      <c r="HW78" s="609"/>
      <c r="HX78" s="609"/>
      <c r="HY78" s="816"/>
      <c r="HZ78" s="816"/>
      <c r="IA78" s="816"/>
      <c r="IB78" s="816"/>
      <c r="IC78" s="816"/>
      <c r="ID78" s="816"/>
      <c r="IE78" s="609"/>
      <c r="IF78" s="609"/>
      <c r="IG78" s="816"/>
      <c r="IH78" s="816"/>
      <c r="II78" s="609"/>
      <c r="IJ78" s="609"/>
      <c r="IK78" s="816"/>
      <c r="IL78" s="816"/>
      <c r="IM78" s="609"/>
      <c r="IN78" s="609"/>
      <c r="IO78" s="816"/>
      <c r="IP78" s="816"/>
      <c r="IQ78" s="816"/>
      <c r="IR78" s="816"/>
      <c r="IS78" s="816"/>
      <c r="IT78" s="816"/>
      <c r="IU78" s="821"/>
      <c r="IV78" s="609"/>
      <c r="IW78" s="816"/>
      <c r="IX78" s="816"/>
      <c r="IY78" s="822"/>
      <c r="IZ78" s="609"/>
      <c r="JA78" s="816"/>
      <c r="JB78" s="816"/>
      <c r="JC78" s="609"/>
      <c r="JD78" s="816"/>
      <c r="JE78" s="816"/>
      <c r="JF78" s="816"/>
      <c r="JG78" s="816"/>
      <c r="JH78" s="816"/>
      <c r="JI78" s="816"/>
      <c r="JJ78" s="816"/>
      <c r="JK78" s="816"/>
      <c r="JL78" s="816"/>
      <c r="JM78" s="816"/>
      <c r="JN78" s="816"/>
      <c r="JO78" s="823"/>
      <c r="JP78" s="824"/>
      <c r="JQ78" s="825"/>
      <c r="JR78" s="825"/>
      <c r="JS78" s="816"/>
      <c r="JU78" s="826"/>
      <c r="JV78" s="826"/>
      <c r="JW78" s="826"/>
      <c r="JX78" s="826"/>
    </row>
    <row r="79" spans="2:284" s="780" customFormat="1">
      <c r="B79" s="609"/>
      <c r="C79" s="609"/>
      <c r="D79" s="609"/>
      <c r="E79" s="609"/>
      <c r="F79" s="609"/>
      <c r="G79" s="609"/>
      <c r="H79" s="609"/>
      <c r="I79" s="609"/>
      <c r="J79" s="609"/>
      <c r="K79" s="609"/>
      <c r="L79" s="609"/>
      <c r="M79" s="609"/>
      <c r="N79" s="609"/>
      <c r="O79" s="609"/>
      <c r="P79" s="609"/>
      <c r="Q79" s="609"/>
      <c r="R79" s="609"/>
      <c r="S79" s="609"/>
      <c r="T79" s="609"/>
      <c r="U79" s="609"/>
      <c r="V79" s="609"/>
      <c r="W79" s="609"/>
      <c r="X79" s="609"/>
      <c r="Y79" s="609"/>
      <c r="Z79" s="609"/>
      <c r="AA79" s="609"/>
      <c r="AB79" s="609"/>
      <c r="AC79" s="609"/>
      <c r="AD79" s="816"/>
      <c r="AE79" s="816"/>
      <c r="AF79" s="816"/>
      <c r="AG79" s="816"/>
      <c r="AH79" s="816"/>
      <c r="AI79" s="816"/>
      <c r="AJ79" s="609"/>
      <c r="AK79" s="609"/>
      <c r="AL79" s="816"/>
      <c r="AM79" s="816"/>
      <c r="AN79" s="609"/>
      <c r="AO79" s="609"/>
      <c r="AP79" s="816"/>
      <c r="AQ79" s="816"/>
      <c r="AR79" s="816"/>
      <c r="AS79" s="816"/>
      <c r="AT79" s="816"/>
      <c r="AU79" s="816"/>
      <c r="AV79" s="609"/>
      <c r="AW79" s="609"/>
      <c r="AX79" s="816"/>
      <c r="AY79" s="816"/>
      <c r="AZ79" s="817"/>
      <c r="BA79" s="609"/>
      <c r="BB79" s="609"/>
      <c r="BC79" s="816"/>
      <c r="BD79" s="816"/>
      <c r="BE79" s="816"/>
      <c r="BF79" s="816"/>
      <c r="BG79" s="816"/>
      <c r="BH79" s="816"/>
      <c r="BI79" s="816"/>
      <c r="BJ79" s="816"/>
      <c r="BK79" s="816"/>
      <c r="BL79" s="816"/>
      <c r="BM79" s="816"/>
      <c r="BN79" s="816"/>
      <c r="BO79" s="816"/>
      <c r="BP79" s="816"/>
      <c r="BQ79" s="816"/>
      <c r="BR79" s="816"/>
      <c r="BS79" s="816"/>
      <c r="BT79" s="816"/>
      <c r="BU79" s="816"/>
      <c r="BV79" s="816"/>
      <c r="BW79" s="816"/>
      <c r="BX79" s="609"/>
      <c r="BY79" s="609"/>
      <c r="BZ79" s="609"/>
      <c r="CA79" s="818"/>
      <c r="CB79" s="816"/>
      <c r="CC79" s="816"/>
      <c r="CD79" s="816"/>
      <c r="CE79" s="816"/>
      <c r="CF79" s="816"/>
      <c r="CG79" s="816"/>
      <c r="CH79" s="816"/>
      <c r="CI79" s="816"/>
      <c r="CJ79" s="819"/>
      <c r="CK79" s="819"/>
      <c r="CL79" s="820"/>
      <c r="CM79" s="820"/>
      <c r="CN79" s="820"/>
      <c r="CO79" s="820"/>
      <c r="CP79" s="820"/>
      <c r="CQ79" s="820"/>
      <c r="CR79" s="609"/>
      <c r="CS79" s="609"/>
      <c r="CT79" s="816"/>
      <c r="CU79" s="816"/>
      <c r="CV79" s="609"/>
      <c r="CW79" s="609"/>
      <c r="CX79" s="816"/>
      <c r="CY79" s="816"/>
      <c r="CZ79" s="609"/>
      <c r="DA79" s="609"/>
      <c r="DB79" s="816"/>
      <c r="DC79" s="816"/>
      <c r="DD79" s="609"/>
      <c r="DE79" s="609"/>
      <c r="DF79" s="816"/>
      <c r="DG79" s="816"/>
      <c r="DH79" s="816"/>
      <c r="DI79" s="816"/>
      <c r="DJ79" s="816"/>
      <c r="DK79" s="816"/>
      <c r="DL79" s="609"/>
      <c r="DM79" s="609"/>
      <c r="DN79" s="816"/>
      <c r="DO79" s="816"/>
      <c r="DP79" s="609"/>
      <c r="DQ79" s="609"/>
      <c r="DR79" s="816"/>
      <c r="DS79" s="816"/>
      <c r="DT79" s="816"/>
      <c r="DU79" s="816"/>
      <c r="DV79" s="816"/>
      <c r="DW79" s="816"/>
      <c r="DX79" s="816"/>
      <c r="DY79" s="816"/>
      <c r="DZ79" s="816"/>
      <c r="EA79" s="816"/>
      <c r="EB79" s="816"/>
      <c r="EC79" s="816"/>
      <c r="ED79" s="816"/>
      <c r="EE79" s="816"/>
      <c r="EF79" s="609"/>
      <c r="EG79" s="609"/>
      <c r="EH79" s="816"/>
      <c r="EI79" s="816"/>
      <c r="EJ79" s="816"/>
      <c r="EK79" s="816"/>
      <c r="EL79" s="816"/>
      <c r="EM79" s="816"/>
      <c r="EN79" s="816"/>
      <c r="EO79" s="816"/>
      <c r="EP79" s="816"/>
      <c r="EQ79" s="816"/>
      <c r="ER79" s="816"/>
      <c r="ES79" s="816"/>
      <c r="ET79" s="816"/>
      <c r="EU79" s="816"/>
      <c r="EV79" s="609"/>
      <c r="EW79" s="609"/>
      <c r="EX79" s="816"/>
      <c r="EY79" s="816"/>
      <c r="EZ79" s="816"/>
      <c r="FA79" s="816"/>
      <c r="FB79" s="816"/>
      <c r="FC79" s="816"/>
      <c r="FD79" s="816"/>
      <c r="FE79" s="816"/>
      <c r="FF79" s="816"/>
      <c r="FG79" s="816"/>
      <c r="FH79" s="816"/>
      <c r="FI79" s="816"/>
      <c r="FJ79" s="816"/>
      <c r="FK79" s="816"/>
      <c r="FL79" s="816"/>
      <c r="FM79" s="816"/>
      <c r="FN79" s="816"/>
      <c r="FO79" s="816"/>
      <c r="FP79" s="816"/>
      <c r="FQ79" s="816"/>
      <c r="FR79" s="816"/>
      <c r="FS79" s="816"/>
      <c r="FT79" s="816"/>
      <c r="FU79" s="816"/>
      <c r="FV79" s="816"/>
      <c r="FW79" s="816"/>
      <c r="FX79" s="816"/>
      <c r="FY79" s="816"/>
      <c r="FZ79" s="819"/>
      <c r="GA79" s="816"/>
      <c r="GB79" s="820"/>
      <c r="GC79" s="820"/>
      <c r="GD79" s="820"/>
      <c r="GE79" s="820"/>
      <c r="GF79" s="609"/>
      <c r="GG79" s="609"/>
      <c r="GH79" s="816"/>
      <c r="GI79" s="816"/>
      <c r="GJ79" s="816"/>
      <c r="GK79" s="816"/>
      <c r="GL79" s="816"/>
      <c r="GM79" s="816"/>
      <c r="GN79" s="816"/>
      <c r="GO79" s="816"/>
      <c r="GP79" s="816"/>
      <c r="GQ79" s="816"/>
      <c r="GR79" s="816"/>
      <c r="GS79" s="816"/>
      <c r="GT79" s="818"/>
      <c r="GU79" s="816"/>
      <c r="GV79" s="816"/>
      <c r="GW79" s="816"/>
      <c r="GX79" s="816"/>
      <c r="GY79" s="816"/>
      <c r="GZ79" s="816"/>
      <c r="HA79" s="816"/>
      <c r="HB79" s="609"/>
      <c r="HC79" s="609"/>
      <c r="HD79" s="816"/>
      <c r="HE79" s="816"/>
      <c r="HF79" s="816"/>
      <c r="HG79" s="816"/>
      <c r="HH79" s="816"/>
      <c r="HI79" s="816"/>
      <c r="HJ79" s="609"/>
      <c r="HK79" s="609"/>
      <c r="HL79" s="609"/>
      <c r="HM79" s="816"/>
      <c r="HN79" s="816"/>
      <c r="HO79" s="609"/>
      <c r="HP79" s="609"/>
      <c r="HQ79" s="816"/>
      <c r="HR79" s="816"/>
      <c r="HS79" s="816"/>
      <c r="HT79" s="816"/>
      <c r="HU79" s="816"/>
      <c r="HV79" s="816"/>
      <c r="HW79" s="609"/>
      <c r="HX79" s="609"/>
      <c r="HY79" s="816"/>
      <c r="HZ79" s="816"/>
      <c r="IA79" s="816"/>
      <c r="IB79" s="816"/>
      <c r="IC79" s="816"/>
      <c r="ID79" s="816"/>
      <c r="IE79" s="609"/>
      <c r="IF79" s="609"/>
      <c r="IG79" s="816"/>
      <c r="IH79" s="816"/>
      <c r="II79" s="609"/>
      <c r="IJ79" s="609"/>
      <c r="IK79" s="816"/>
      <c r="IL79" s="816"/>
      <c r="IM79" s="609"/>
      <c r="IN79" s="609"/>
      <c r="IO79" s="816"/>
      <c r="IP79" s="816"/>
      <c r="IQ79" s="816"/>
      <c r="IR79" s="816"/>
      <c r="IS79" s="816"/>
      <c r="IT79" s="816"/>
      <c r="IU79" s="821"/>
      <c r="IV79" s="609"/>
      <c r="IW79" s="816"/>
      <c r="IX79" s="816"/>
      <c r="IY79" s="822"/>
      <c r="IZ79" s="609"/>
      <c r="JA79" s="816"/>
      <c r="JB79" s="816"/>
      <c r="JC79" s="609"/>
      <c r="JD79" s="816"/>
      <c r="JE79" s="816"/>
      <c r="JF79" s="816"/>
      <c r="JG79" s="816"/>
      <c r="JH79" s="816"/>
      <c r="JI79" s="816"/>
      <c r="JJ79" s="816"/>
      <c r="JK79" s="816"/>
      <c r="JL79" s="816"/>
      <c r="JM79" s="816"/>
      <c r="JN79" s="816"/>
      <c r="JO79" s="823"/>
      <c r="JP79" s="824"/>
      <c r="JQ79" s="825"/>
      <c r="JR79" s="825"/>
      <c r="JS79" s="816"/>
      <c r="JU79" s="826"/>
      <c r="JV79" s="826"/>
      <c r="JW79" s="826"/>
      <c r="JX79" s="826"/>
    </row>
    <row r="80" spans="2:284" s="780" customFormat="1">
      <c r="B80" s="609"/>
      <c r="C80" s="609"/>
      <c r="D80" s="609"/>
      <c r="E80" s="609"/>
      <c r="F80" s="609"/>
      <c r="G80" s="609"/>
      <c r="H80" s="609"/>
      <c r="I80" s="609"/>
      <c r="J80" s="609"/>
      <c r="K80" s="609"/>
      <c r="L80" s="609"/>
      <c r="M80" s="609"/>
      <c r="N80" s="609"/>
      <c r="O80" s="609"/>
      <c r="P80" s="609"/>
      <c r="Q80" s="609"/>
      <c r="R80" s="609"/>
      <c r="S80" s="609"/>
      <c r="T80" s="609"/>
      <c r="U80" s="609"/>
      <c r="V80" s="609"/>
      <c r="W80" s="609"/>
      <c r="X80" s="609"/>
      <c r="Y80" s="609"/>
      <c r="Z80" s="609"/>
      <c r="AA80" s="609"/>
      <c r="AB80" s="609"/>
      <c r="AC80" s="609"/>
      <c r="AD80" s="816"/>
      <c r="AE80" s="816"/>
      <c r="AF80" s="816"/>
      <c r="AG80" s="816"/>
      <c r="AH80" s="816"/>
      <c r="AI80" s="816"/>
      <c r="AJ80" s="609"/>
      <c r="AK80" s="609"/>
      <c r="AL80" s="816"/>
      <c r="AM80" s="816"/>
      <c r="AN80" s="609"/>
      <c r="AO80" s="609"/>
      <c r="AP80" s="816"/>
      <c r="AQ80" s="816"/>
      <c r="AR80" s="816"/>
      <c r="AS80" s="816"/>
      <c r="AT80" s="816"/>
      <c r="AU80" s="816"/>
      <c r="AV80" s="609"/>
      <c r="AW80" s="609"/>
      <c r="AX80" s="816"/>
      <c r="AY80" s="816"/>
      <c r="AZ80" s="817"/>
      <c r="BA80" s="609"/>
      <c r="BB80" s="609"/>
      <c r="BC80" s="816"/>
      <c r="BD80" s="816"/>
      <c r="BE80" s="816"/>
      <c r="BF80" s="816"/>
      <c r="BG80" s="816"/>
      <c r="BH80" s="816"/>
      <c r="BI80" s="816"/>
      <c r="BJ80" s="816"/>
      <c r="BK80" s="816"/>
      <c r="BL80" s="816"/>
      <c r="BM80" s="816"/>
      <c r="BN80" s="816"/>
      <c r="BO80" s="816"/>
      <c r="BP80" s="816"/>
      <c r="BQ80" s="816"/>
      <c r="BR80" s="816"/>
      <c r="BS80" s="816"/>
      <c r="BT80" s="816"/>
      <c r="BU80" s="816"/>
      <c r="BV80" s="816"/>
      <c r="BW80" s="816"/>
      <c r="BX80" s="609"/>
      <c r="BY80" s="609"/>
      <c r="BZ80" s="609"/>
      <c r="CA80" s="818"/>
      <c r="CB80" s="816"/>
      <c r="CC80" s="816"/>
      <c r="CD80" s="816"/>
      <c r="CE80" s="816"/>
      <c r="CF80" s="816"/>
      <c r="CG80" s="816"/>
      <c r="CH80" s="816"/>
      <c r="CI80" s="816"/>
      <c r="CJ80" s="819"/>
      <c r="CK80" s="819"/>
      <c r="CL80" s="820"/>
      <c r="CM80" s="820"/>
      <c r="CN80" s="820"/>
      <c r="CO80" s="820"/>
      <c r="CP80" s="820"/>
      <c r="CQ80" s="820"/>
      <c r="CR80" s="609"/>
      <c r="CS80" s="609"/>
      <c r="CT80" s="816"/>
      <c r="CU80" s="816"/>
      <c r="CV80" s="609"/>
      <c r="CW80" s="609"/>
      <c r="CX80" s="816"/>
      <c r="CY80" s="816"/>
      <c r="CZ80" s="609"/>
      <c r="DA80" s="609"/>
      <c r="DB80" s="816"/>
      <c r="DC80" s="816"/>
      <c r="DD80" s="609"/>
      <c r="DE80" s="609"/>
      <c r="DF80" s="816"/>
      <c r="DG80" s="816"/>
      <c r="DH80" s="816"/>
      <c r="DI80" s="816"/>
      <c r="DJ80" s="816"/>
      <c r="DK80" s="816"/>
      <c r="DL80" s="609"/>
      <c r="DM80" s="609"/>
      <c r="DN80" s="816"/>
      <c r="DO80" s="816"/>
      <c r="DP80" s="609"/>
      <c r="DQ80" s="609"/>
      <c r="DR80" s="816"/>
      <c r="DS80" s="816"/>
      <c r="DT80" s="816"/>
      <c r="DU80" s="816"/>
      <c r="DV80" s="816"/>
      <c r="DW80" s="816"/>
      <c r="DX80" s="816"/>
      <c r="DY80" s="816"/>
      <c r="DZ80" s="816"/>
      <c r="EA80" s="816"/>
      <c r="EB80" s="816"/>
      <c r="EC80" s="816"/>
      <c r="ED80" s="816"/>
      <c r="EE80" s="816"/>
      <c r="EF80" s="609"/>
      <c r="EG80" s="609"/>
      <c r="EH80" s="816"/>
      <c r="EI80" s="816"/>
      <c r="EJ80" s="816"/>
      <c r="EK80" s="816"/>
      <c r="EL80" s="816"/>
      <c r="EM80" s="816"/>
      <c r="EN80" s="816"/>
      <c r="EO80" s="816"/>
      <c r="EP80" s="816"/>
      <c r="EQ80" s="816"/>
      <c r="ER80" s="816"/>
      <c r="ES80" s="816"/>
      <c r="ET80" s="816"/>
      <c r="EU80" s="816"/>
      <c r="EV80" s="609"/>
      <c r="EW80" s="609"/>
      <c r="EX80" s="816"/>
      <c r="EY80" s="816"/>
      <c r="EZ80" s="816"/>
      <c r="FA80" s="816"/>
      <c r="FB80" s="816"/>
      <c r="FC80" s="816"/>
      <c r="FD80" s="816"/>
      <c r="FE80" s="816"/>
      <c r="FF80" s="816"/>
      <c r="FG80" s="816"/>
      <c r="FH80" s="816"/>
      <c r="FI80" s="816"/>
      <c r="FJ80" s="816"/>
      <c r="FK80" s="816"/>
      <c r="FL80" s="816"/>
      <c r="FM80" s="816"/>
      <c r="FN80" s="816"/>
      <c r="FO80" s="816"/>
      <c r="FP80" s="816"/>
      <c r="FQ80" s="816"/>
      <c r="FR80" s="816"/>
      <c r="FS80" s="816"/>
      <c r="FT80" s="816"/>
      <c r="FU80" s="816"/>
      <c r="FV80" s="816"/>
      <c r="FW80" s="816"/>
      <c r="FX80" s="816"/>
      <c r="FY80" s="816"/>
      <c r="FZ80" s="819"/>
      <c r="GA80" s="816"/>
      <c r="GB80" s="820"/>
      <c r="GC80" s="820"/>
      <c r="GD80" s="820"/>
      <c r="GE80" s="820"/>
      <c r="GF80" s="609"/>
      <c r="GG80" s="609"/>
      <c r="GH80" s="816"/>
      <c r="GI80" s="816"/>
      <c r="GJ80" s="816"/>
      <c r="GK80" s="816"/>
      <c r="GL80" s="816"/>
      <c r="GM80" s="816"/>
      <c r="GN80" s="816"/>
      <c r="GO80" s="816"/>
      <c r="GP80" s="816"/>
      <c r="GQ80" s="816"/>
      <c r="GR80" s="816"/>
      <c r="GS80" s="816"/>
      <c r="GT80" s="818"/>
      <c r="GU80" s="816"/>
      <c r="GV80" s="816"/>
      <c r="GW80" s="816"/>
      <c r="GX80" s="816"/>
      <c r="GY80" s="816"/>
      <c r="GZ80" s="816"/>
      <c r="HA80" s="816"/>
      <c r="HB80" s="609"/>
      <c r="HC80" s="609"/>
      <c r="HD80" s="816"/>
      <c r="HE80" s="816"/>
      <c r="HF80" s="816"/>
      <c r="HG80" s="816"/>
      <c r="HH80" s="816"/>
      <c r="HI80" s="816"/>
      <c r="HJ80" s="609"/>
      <c r="HK80" s="609"/>
      <c r="HL80" s="609"/>
      <c r="HM80" s="816"/>
      <c r="HN80" s="816"/>
      <c r="HO80" s="609"/>
      <c r="HP80" s="609"/>
      <c r="HQ80" s="816"/>
      <c r="HR80" s="816"/>
      <c r="HS80" s="816"/>
      <c r="HT80" s="816"/>
      <c r="HU80" s="816"/>
      <c r="HV80" s="816"/>
      <c r="HW80" s="609"/>
      <c r="HX80" s="609"/>
      <c r="HY80" s="816"/>
      <c r="HZ80" s="816"/>
      <c r="IA80" s="816"/>
      <c r="IB80" s="816"/>
      <c r="IC80" s="816"/>
      <c r="ID80" s="816"/>
      <c r="IE80" s="609"/>
      <c r="IF80" s="609"/>
      <c r="IG80" s="816"/>
      <c r="IH80" s="816"/>
      <c r="II80" s="609"/>
      <c r="IJ80" s="609"/>
      <c r="IK80" s="816"/>
      <c r="IL80" s="816"/>
      <c r="IM80" s="609"/>
      <c r="IN80" s="609"/>
      <c r="IO80" s="816"/>
      <c r="IP80" s="816"/>
      <c r="IQ80" s="816"/>
      <c r="IR80" s="816"/>
      <c r="IS80" s="816"/>
      <c r="IT80" s="816"/>
      <c r="IU80" s="821"/>
      <c r="IV80" s="609"/>
      <c r="IW80" s="816"/>
      <c r="IX80" s="816"/>
      <c r="IY80" s="822"/>
      <c r="IZ80" s="609"/>
      <c r="JA80" s="816"/>
      <c r="JB80" s="816"/>
      <c r="JC80" s="609"/>
      <c r="JD80" s="816"/>
      <c r="JE80" s="816"/>
      <c r="JF80" s="816"/>
      <c r="JG80" s="816"/>
      <c r="JH80" s="816"/>
      <c r="JI80" s="816"/>
      <c r="JJ80" s="816"/>
      <c r="JK80" s="816"/>
      <c r="JL80" s="816"/>
      <c r="JM80" s="816"/>
      <c r="JN80" s="816"/>
      <c r="JO80" s="823"/>
      <c r="JP80" s="824"/>
      <c r="JQ80" s="825"/>
      <c r="JR80" s="825"/>
      <c r="JS80" s="816"/>
      <c r="JU80" s="826"/>
      <c r="JV80" s="826"/>
      <c r="JW80" s="826"/>
      <c r="JX80" s="826"/>
    </row>
    <row r="81" spans="2:284" s="780" customFormat="1">
      <c r="B81" s="609"/>
      <c r="C81" s="609"/>
      <c r="D81" s="609"/>
      <c r="E81" s="609"/>
      <c r="F81" s="609"/>
      <c r="G81" s="609"/>
      <c r="H81" s="609"/>
      <c r="I81" s="609"/>
      <c r="J81" s="609"/>
      <c r="K81" s="609"/>
      <c r="L81" s="609"/>
      <c r="M81" s="609"/>
      <c r="N81" s="609"/>
      <c r="O81" s="609"/>
      <c r="P81" s="609"/>
      <c r="Q81" s="609"/>
      <c r="R81" s="609"/>
      <c r="S81" s="609"/>
      <c r="T81" s="609"/>
      <c r="U81" s="609"/>
      <c r="V81" s="609"/>
      <c r="W81" s="609"/>
      <c r="X81" s="609"/>
      <c r="Y81" s="609"/>
      <c r="Z81" s="609"/>
      <c r="AA81" s="609"/>
      <c r="AB81" s="609"/>
      <c r="AC81" s="609"/>
      <c r="AD81" s="816"/>
      <c r="AE81" s="816"/>
      <c r="AF81" s="816"/>
      <c r="AG81" s="816"/>
      <c r="AH81" s="816"/>
      <c r="AI81" s="816"/>
      <c r="AJ81" s="609"/>
      <c r="AK81" s="609"/>
      <c r="AL81" s="816"/>
      <c r="AM81" s="816"/>
      <c r="AN81" s="609"/>
      <c r="AO81" s="609"/>
      <c r="AP81" s="816"/>
      <c r="AQ81" s="816"/>
      <c r="AR81" s="816"/>
      <c r="AS81" s="816"/>
      <c r="AT81" s="816"/>
      <c r="AU81" s="816"/>
      <c r="AV81" s="609"/>
      <c r="AW81" s="609"/>
      <c r="AX81" s="816"/>
      <c r="AY81" s="816"/>
      <c r="AZ81" s="817"/>
      <c r="BA81" s="609"/>
      <c r="BB81" s="609"/>
      <c r="BC81" s="816"/>
      <c r="BD81" s="816"/>
      <c r="BE81" s="816"/>
      <c r="BF81" s="816"/>
      <c r="BG81" s="816"/>
      <c r="BH81" s="816"/>
      <c r="BI81" s="816"/>
      <c r="BJ81" s="816"/>
      <c r="BK81" s="816"/>
      <c r="BL81" s="816"/>
      <c r="BM81" s="816"/>
      <c r="BN81" s="816"/>
      <c r="BO81" s="816"/>
      <c r="BP81" s="816"/>
      <c r="BQ81" s="816"/>
      <c r="BR81" s="816"/>
      <c r="BS81" s="816"/>
      <c r="BT81" s="816"/>
      <c r="BU81" s="816"/>
      <c r="BV81" s="816"/>
      <c r="BW81" s="816"/>
      <c r="BX81" s="609"/>
      <c r="BY81" s="609"/>
      <c r="BZ81" s="609"/>
      <c r="CA81" s="818"/>
      <c r="CB81" s="816"/>
      <c r="CC81" s="816"/>
      <c r="CD81" s="816"/>
      <c r="CE81" s="816"/>
      <c r="CF81" s="816"/>
      <c r="CG81" s="816"/>
      <c r="CH81" s="816"/>
      <c r="CI81" s="816"/>
      <c r="CJ81" s="819"/>
      <c r="CK81" s="819"/>
      <c r="CL81" s="820"/>
      <c r="CM81" s="820"/>
      <c r="CN81" s="820"/>
      <c r="CO81" s="820"/>
      <c r="CP81" s="820"/>
      <c r="CQ81" s="820"/>
      <c r="CR81" s="609"/>
      <c r="CS81" s="609"/>
      <c r="CT81" s="816"/>
      <c r="CU81" s="816"/>
      <c r="CV81" s="609"/>
      <c r="CW81" s="609"/>
      <c r="CX81" s="816"/>
      <c r="CY81" s="816"/>
      <c r="CZ81" s="609"/>
      <c r="DA81" s="609"/>
      <c r="DB81" s="816"/>
      <c r="DC81" s="816"/>
      <c r="DD81" s="609"/>
      <c r="DE81" s="609"/>
      <c r="DF81" s="816"/>
      <c r="DG81" s="816"/>
      <c r="DH81" s="816"/>
      <c r="DI81" s="816"/>
      <c r="DJ81" s="816"/>
      <c r="DK81" s="816"/>
      <c r="DL81" s="609"/>
      <c r="DM81" s="609"/>
      <c r="DN81" s="816"/>
      <c r="DO81" s="816"/>
      <c r="DP81" s="609"/>
      <c r="DQ81" s="609"/>
      <c r="DR81" s="816"/>
      <c r="DS81" s="816"/>
      <c r="DT81" s="816"/>
      <c r="DU81" s="816"/>
      <c r="DV81" s="816"/>
      <c r="DW81" s="816"/>
      <c r="DX81" s="816"/>
      <c r="DY81" s="816"/>
      <c r="DZ81" s="816"/>
      <c r="EA81" s="816"/>
      <c r="EB81" s="816"/>
      <c r="EC81" s="816"/>
      <c r="ED81" s="816"/>
      <c r="EE81" s="816"/>
      <c r="EF81" s="609"/>
      <c r="EG81" s="609"/>
      <c r="EH81" s="816"/>
      <c r="EI81" s="816"/>
      <c r="EJ81" s="816"/>
      <c r="EK81" s="816"/>
      <c r="EL81" s="816"/>
      <c r="EM81" s="816"/>
      <c r="EN81" s="816"/>
      <c r="EO81" s="816"/>
      <c r="EP81" s="816"/>
      <c r="EQ81" s="816"/>
      <c r="ER81" s="816"/>
      <c r="ES81" s="816"/>
      <c r="ET81" s="816"/>
      <c r="EU81" s="816"/>
      <c r="EV81" s="609"/>
      <c r="EW81" s="609"/>
      <c r="EX81" s="816"/>
      <c r="EY81" s="816"/>
      <c r="EZ81" s="816"/>
      <c r="FA81" s="816"/>
      <c r="FB81" s="816"/>
      <c r="FC81" s="816"/>
      <c r="FD81" s="816"/>
      <c r="FE81" s="816"/>
      <c r="FF81" s="816"/>
      <c r="FG81" s="816"/>
      <c r="FH81" s="816"/>
      <c r="FI81" s="816"/>
      <c r="FJ81" s="816"/>
      <c r="FK81" s="816"/>
      <c r="FL81" s="816"/>
      <c r="FM81" s="816"/>
      <c r="FN81" s="816"/>
      <c r="FO81" s="816"/>
      <c r="FP81" s="816"/>
      <c r="FQ81" s="816"/>
      <c r="FR81" s="816"/>
      <c r="FS81" s="816"/>
      <c r="FT81" s="816"/>
      <c r="FU81" s="816"/>
      <c r="FV81" s="816"/>
      <c r="FW81" s="816"/>
      <c r="FX81" s="816"/>
      <c r="FY81" s="816"/>
      <c r="FZ81" s="819"/>
      <c r="GA81" s="816"/>
      <c r="GB81" s="820"/>
      <c r="GC81" s="820"/>
      <c r="GD81" s="820"/>
      <c r="GE81" s="820"/>
      <c r="GF81" s="609"/>
      <c r="GG81" s="609"/>
      <c r="GH81" s="816"/>
      <c r="GI81" s="816"/>
      <c r="GJ81" s="816"/>
      <c r="GK81" s="816"/>
      <c r="GL81" s="816"/>
      <c r="GM81" s="816"/>
      <c r="GN81" s="816"/>
      <c r="GO81" s="816"/>
      <c r="GP81" s="816"/>
      <c r="GQ81" s="816"/>
      <c r="GR81" s="816"/>
      <c r="GS81" s="816"/>
      <c r="GT81" s="818"/>
      <c r="GU81" s="816"/>
      <c r="GV81" s="816"/>
      <c r="GW81" s="816"/>
      <c r="GX81" s="816"/>
      <c r="GY81" s="816"/>
      <c r="GZ81" s="816"/>
      <c r="HA81" s="816"/>
      <c r="HB81" s="609"/>
      <c r="HC81" s="609"/>
      <c r="HD81" s="816"/>
      <c r="HE81" s="816"/>
      <c r="HF81" s="816"/>
      <c r="HG81" s="816"/>
      <c r="HH81" s="816"/>
      <c r="HI81" s="816"/>
      <c r="HJ81" s="609"/>
      <c r="HK81" s="609"/>
      <c r="HL81" s="609"/>
      <c r="HM81" s="816"/>
      <c r="HN81" s="816"/>
      <c r="HO81" s="609"/>
      <c r="HP81" s="609"/>
      <c r="HQ81" s="816"/>
      <c r="HR81" s="816"/>
      <c r="HS81" s="816"/>
      <c r="HT81" s="816"/>
      <c r="HU81" s="816"/>
      <c r="HV81" s="816"/>
      <c r="HW81" s="609"/>
      <c r="HX81" s="609"/>
      <c r="HY81" s="816"/>
      <c r="HZ81" s="816"/>
      <c r="IA81" s="816"/>
      <c r="IB81" s="816"/>
      <c r="IC81" s="816"/>
      <c r="ID81" s="816"/>
      <c r="IE81" s="609"/>
      <c r="IF81" s="609"/>
      <c r="IG81" s="816"/>
      <c r="IH81" s="816"/>
      <c r="II81" s="609"/>
      <c r="IJ81" s="609"/>
      <c r="IK81" s="816"/>
      <c r="IL81" s="816"/>
      <c r="IM81" s="609"/>
      <c r="IN81" s="609"/>
      <c r="IO81" s="816"/>
      <c r="IP81" s="816"/>
      <c r="IQ81" s="816"/>
      <c r="IR81" s="816"/>
      <c r="IS81" s="816"/>
      <c r="IT81" s="816"/>
      <c r="IU81" s="821"/>
      <c r="IV81" s="609"/>
      <c r="IW81" s="816"/>
      <c r="IX81" s="816"/>
      <c r="IY81" s="822"/>
      <c r="IZ81" s="609"/>
      <c r="JA81" s="816"/>
      <c r="JB81" s="816"/>
      <c r="JC81" s="609"/>
      <c r="JD81" s="816"/>
      <c r="JE81" s="816"/>
      <c r="JF81" s="816"/>
      <c r="JG81" s="816"/>
      <c r="JH81" s="816"/>
      <c r="JI81" s="816"/>
      <c r="JJ81" s="816"/>
      <c r="JK81" s="816"/>
      <c r="JL81" s="816"/>
      <c r="JM81" s="816"/>
      <c r="JN81" s="816"/>
      <c r="JO81" s="823"/>
      <c r="JP81" s="824"/>
      <c r="JQ81" s="825"/>
      <c r="JR81" s="825"/>
      <c r="JS81" s="816"/>
      <c r="JU81" s="826"/>
      <c r="JV81" s="826"/>
      <c r="JW81" s="826"/>
      <c r="JX81" s="826"/>
    </row>
    <row r="82" spans="2:284" s="780" customFormat="1"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09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816"/>
      <c r="AE82" s="816"/>
      <c r="AF82" s="816"/>
      <c r="AG82" s="816"/>
      <c r="AH82" s="816"/>
      <c r="AI82" s="816"/>
      <c r="AJ82" s="609"/>
      <c r="AK82" s="609"/>
      <c r="AL82" s="816"/>
      <c r="AM82" s="816"/>
      <c r="AN82" s="609"/>
      <c r="AO82" s="609"/>
      <c r="AP82" s="816"/>
      <c r="AQ82" s="816"/>
      <c r="AR82" s="816"/>
      <c r="AS82" s="816"/>
      <c r="AT82" s="816"/>
      <c r="AU82" s="816"/>
      <c r="AV82" s="609"/>
      <c r="AW82" s="609"/>
      <c r="AX82" s="816"/>
      <c r="AY82" s="816"/>
      <c r="AZ82" s="817"/>
      <c r="BA82" s="609"/>
      <c r="BB82" s="609"/>
      <c r="BC82" s="816"/>
      <c r="BD82" s="816"/>
      <c r="BE82" s="816"/>
      <c r="BF82" s="816"/>
      <c r="BG82" s="816"/>
      <c r="BH82" s="816"/>
      <c r="BI82" s="816"/>
      <c r="BJ82" s="816"/>
      <c r="BK82" s="816"/>
      <c r="BL82" s="816"/>
      <c r="BM82" s="816"/>
      <c r="BN82" s="816"/>
      <c r="BO82" s="816"/>
      <c r="BP82" s="816"/>
      <c r="BQ82" s="816"/>
      <c r="BR82" s="816"/>
      <c r="BS82" s="816"/>
      <c r="BT82" s="816"/>
      <c r="BU82" s="816"/>
      <c r="BV82" s="816"/>
      <c r="BW82" s="816"/>
      <c r="BX82" s="609"/>
      <c r="BY82" s="609"/>
      <c r="BZ82" s="609"/>
      <c r="CA82" s="818"/>
      <c r="CB82" s="816"/>
      <c r="CC82" s="816"/>
      <c r="CD82" s="816"/>
      <c r="CE82" s="816"/>
      <c r="CF82" s="816"/>
      <c r="CG82" s="816"/>
      <c r="CH82" s="816"/>
      <c r="CI82" s="816"/>
      <c r="CJ82" s="819"/>
      <c r="CK82" s="819"/>
      <c r="CL82" s="820"/>
      <c r="CM82" s="820"/>
      <c r="CN82" s="820"/>
      <c r="CO82" s="820"/>
      <c r="CP82" s="820"/>
      <c r="CQ82" s="820"/>
      <c r="CR82" s="609"/>
      <c r="CS82" s="609"/>
      <c r="CT82" s="816"/>
      <c r="CU82" s="816"/>
      <c r="CV82" s="609"/>
      <c r="CW82" s="609"/>
      <c r="CX82" s="816"/>
      <c r="CY82" s="816"/>
      <c r="CZ82" s="609"/>
      <c r="DA82" s="609"/>
      <c r="DB82" s="816"/>
      <c r="DC82" s="816"/>
      <c r="DD82" s="609"/>
      <c r="DE82" s="609"/>
      <c r="DF82" s="816"/>
      <c r="DG82" s="816"/>
      <c r="DH82" s="816"/>
      <c r="DI82" s="816"/>
      <c r="DJ82" s="816"/>
      <c r="DK82" s="816"/>
      <c r="DL82" s="609"/>
      <c r="DM82" s="609"/>
      <c r="DN82" s="816"/>
      <c r="DO82" s="816"/>
      <c r="DP82" s="609"/>
      <c r="DQ82" s="609"/>
      <c r="DR82" s="816"/>
      <c r="DS82" s="816"/>
      <c r="DT82" s="816"/>
      <c r="DU82" s="816"/>
      <c r="DV82" s="816"/>
      <c r="DW82" s="816"/>
      <c r="DX82" s="816"/>
      <c r="DY82" s="816"/>
      <c r="DZ82" s="816"/>
      <c r="EA82" s="816"/>
      <c r="EB82" s="816"/>
      <c r="EC82" s="816"/>
      <c r="ED82" s="816"/>
      <c r="EE82" s="816"/>
      <c r="EF82" s="609"/>
      <c r="EG82" s="609"/>
      <c r="EH82" s="816"/>
      <c r="EI82" s="816"/>
      <c r="EJ82" s="816"/>
      <c r="EK82" s="816"/>
      <c r="EL82" s="816"/>
      <c r="EM82" s="816"/>
      <c r="EN82" s="816"/>
      <c r="EO82" s="816"/>
      <c r="EP82" s="816"/>
      <c r="EQ82" s="816"/>
      <c r="ER82" s="816"/>
      <c r="ES82" s="816"/>
      <c r="ET82" s="816"/>
      <c r="EU82" s="816"/>
      <c r="EV82" s="609"/>
      <c r="EW82" s="609"/>
      <c r="EX82" s="816"/>
      <c r="EY82" s="816"/>
      <c r="EZ82" s="816"/>
      <c r="FA82" s="816"/>
      <c r="FB82" s="816"/>
      <c r="FC82" s="816"/>
      <c r="FD82" s="816"/>
      <c r="FE82" s="816"/>
      <c r="FF82" s="816"/>
      <c r="FG82" s="816"/>
      <c r="FH82" s="816"/>
      <c r="FI82" s="816"/>
      <c r="FJ82" s="816"/>
      <c r="FK82" s="816"/>
      <c r="FL82" s="816"/>
      <c r="FM82" s="816"/>
      <c r="FN82" s="816"/>
      <c r="FO82" s="816"/>
      <c r="FP82" s="816"/>
      <c r="FQ82" s="816"/>
      <c r="FR82" s="816"/>
      <c r="FS82" s="816"/>
      <c r="FT82" s="816"/>
      <c r="FU82" s="816"/>
      <c r="FV82" s="816"/>
      <c r="FW82" s="816"/>
      <c r="FX82" s="816"/>
      <c r="FY82" s="816"/>
      <c r="FZ82" s="819"/>
      <c r="GA82" s="816"/>
      <c r="GB82" s="820"/>
      <c r="GC82" s="820"/>
      <c r="GD82" s="820"/>
      <c r="GE82" s="820"/>
      <c r="GF82" s="609"/>
      <c r="GG82" s="609"/>
      <c r="GH82" s="816"/>
      <c r="GI82" s="816"/>
      <c r="GJ82" s="816"/>
      <c r="GK82" s="816"/>
      <c r="GL82" s="816"/>
      <c r="GM82" s="816"/>
      <c r="GN82" s="816"/>
      <c r="GO82" s="816"/>
      <c r="GP82" s="816"/>
      <c r="GQ82" s="816"/>
      <c r="GR82" s="816"/>
      <c r="GS82" s="816"/>
      <c r="GT82" s="818"/>
      <c r="GU82" s="816"/>
      <c r="GV82" s="816"/>
      <c r="GW82" s="816"/>
      <c r="GX82" s="816"/>
      <c r="GY82" s="816"/>
      <c r="GZ82" s="816"/>
      <c r="HA82" s="816"/>
      <c r="HB82" s="609"/>
      <c r="HC82" s="609"/>
      <c r="HD82" s="816"/>
      <c r="HE82" s="816"/>
      <c r="HF82" s="816"/>
      <c r="HG82" s="816"/>
      <c r="HH82" s="816"/>
      <c r="HI82" s="816"/>
      <c r="HJ82" s="609"/>
      <c r="HK82" s="609"/>
      <c r="HL82" s="609"/>
      <c r="HM82" s="816"/>
      <c r="HN82" s="816"/>
      <c r="HO82" s="609"/>
      <c r="HP82" s="609"/>
      <c r="HQ82" s="816"/>
      <c r="HR82" s="816"/>
      <c r="HS82" s="816"/>
      <c r="HT82" s="816"/>
      <c r="HU82" s="816"/>
      <c r="HV82" s="816"/>
      <c r="HW82" s="609"/>
      <c r="HX82" s="609"/>
      <c r="HY82" s="816"/>
      <c r="HZ82" s="816"/>
      <c r="IA82" s="816"/>
      <c r="IB82" s="816"/>
      <c r="IC82" s="816"/>
      <c r="ID82" s="816"/>
      <c r="IE82" s="609"/>
      <c r="IF82" s="609"/>
      <c r="IG82" s="816"/>
      <c r="IH82" s="816"/>
      <c r="II82" s="609"/>
      <c r="IJ82" s="609"/>
      <c r="IK82" s="816"/>
      <c r="IL82" s="816"/>
      <c r="IM82" s="609"/>
      <c r="IN82" s="609"/>
      <c r="IO82" s="816"/>
      <c r="IP82" s="816"/>
      <c r="IQ82" s="816"/>
      <c r="IR82" s="816"/>
      <c r="IS82" s="816"/>
      <c r="IT82" s="816"/>
      <c r="IU82" s="821"/>
      <c r="IV82" s="609"/>
      <c r="IW82" s="816"/>
      <c r="IX82" s="816"/>
      <c r="IY82" s="822"/>
      <c r="IZ82" s="609"/>
      <c r="JA82" s="816"/>
      <c r="JB82" s="816"/>
      <c r="JC82" s="609"/>
      <c r="JD82" s="816"/>
      <c r="JE82" s="816"/>
      <c r="JF82" s="816"/>
      <c r="JG82" s="816"/>
      <c r="JH82" s="816"/>
      <c r="JI82" s="816"/>
      <c r="JJ82" s="816"/>
      <c r="JK82" s="816"/>
      <c r="JL82" s="816"/>
      <c r="JM82" s="816"/>
      <c r="JN82" s="816"/>
      <c r="JO82" s="823"/>
      <c r="JP82" s="824"/>
      <c r="JQ82" s="825"/>
      <c r="JR82" s="825"/>
      <c r="JS82" s="816"/>
      <c r="JU82" s="826"/>
      <c r="JV82" s="826"/>
      <c r="JW82" s="826"/>
      <c r="JX82" s="826"/>
    </row>
    <row r="83" spans="2:284" s="780" customFormat="1">
      <c r="B83" s="609"/>
      <c r="C83" s="609"/>
      <c r="D83" s="609"/>
      <c r="E83" s="609"/>
      <c r="F83" s="609"/>
      <c r="G83" s="609"/>
      <c r="H83" s="609"/>
      <c r="I83" s="609"/>
      <c r="J83" s="609"/>
      <c r="K83" s="609"/>
      <c r="L83" s="609"/>
      <c r="M83" s="609"/>
      <c r="N83" s="609"/>
      <c r="O83" s="609"/>
      <c r="P83" s="609"/>
      <c r="Q83" s="609"/>
      <c r="R83" s="609"/>
      <c r="S83" s="609"/>
      <c r="T83" s="609"/>
      <c r="U83" s="609"/>
      <c r="V83" s="609"/>
      <c r="W83" s="609"/>
      <c r="X83" s="609"/>
      <c r="Y83" s="609"/>
      <c r="Z83" s="609"/>
      <c r="AA83" s="609"/>
      <c r="AB83" s="609"/>
      <c r="AC83" s="609"/>
      <c r="AD83" s="816"/>
      <c r="AE83" s="816"/>
      <c r="AF83" s="816"/>
      <c r="AG83" s="816"/>
      <c r="AH83" s="816"/>
      <c r="AI83" s="816"/>
      <c r="AJ83" s="609"/>
      <c r="AK83" s="609"/>
      <c r="AL83" s="816"/>
      <c r="AM83" s="816"/>
      <c r="AN83" s="609"/>
      <c r="AO83" s="609"/>
      <c r="AP83" s="816"/>
      <c r="AQ83" s="816"/>
      <c r="AR83" s="816"/>
      <c r="AS83" s="816"/>
      <c r="AT83" s="816"/>
      <c r="AU83" s="816"/>
      <c r="AV83" s="609"/>
      <c r="AW83" s="609"/>
      <c r="AX83" s="816"/>
      <c r="AY83" s="816"/>
      <c r="AZ83" s="817"/>
      <c r="BA83" s="609"/>
      <c r="BB83" s="609"/>
      <c r="BC83" s="816"/>
      <c r="BD83" s="816"/>
      <c r="BE83" s="816"/>
      <c r="BF83" s="816"/>
      <c r="BG83" s="816"/>
      <c r="BH83" s="816"/>
      <c r="BI83" s="816"/>
      <c r="BJ83" s="816"/>
      <c r="BK83" s="816"/>
      <c r="BL83" s="816"/>
      <c r="BM83" s="816"/>
      <c r="BN83" s="816"/>
      <c r="BO83" s="816"/>
      <c r="BP83" s="816"/>
      <c r="BQ83" s="816"/>
      <c r="BR83" s="816"/>
      <c r="BS83" s="816"/>
      <c r="BT83" s="816"/>
      <c r="BU83" s="816"/>
      <c r="BV83" s="816"/>
      <c r="BW83" s="816"/>
      <c r="BX83" s="609"/>
      <c r="BY83" s="609"/>
      <c r="BZ83" s="609"/>
      <c r="CA83" s="818"/>
      <c r="CB83" s="816"/>
      <c r="CC83" s="816"/>
      <c r="CD83" s="816"/>
      <c r="CE83" s="816"/>
      <c r="CF83" s="816"/>
      <c r="CG83" s="816"/>
      <c r="CH83" s="816"/>
      <c r="CI83" s="816"/>
      <c r="CJ83" s="819"/>
      <c r="CK83" s="819"/>
      <c r="CL83" s="820"/>
      <c r="CM83" s="820"/>
      <c r="CN83" s="820"/>
      <c r="CO83" s="820"/>
      <c r="CP83" s="820"/>
      <c r="CQ83" s="820"/>
      <c r="CR83" s="609"/>
      <c r="CS83" s="609"/>
      <c r="CT83" s="816"/>
      <c r="CU83" s="816"/>
      <c r="CV83" s="609"/>
      <c r="CW83" s="609"/>
      <c r="CX83" s="816"/>
      <c r="CY83" s="816"/>
      <c r="CZ83" s="609"/>
      <c r="DA83" s="609"/>
      <c r="DB83" s="816"/>
      <c r="DC83" s="816"/>
      <c r="DD83" s="609"/>
      <c r="DE83" s="609"/>
      <c r="DF83" s="816"/>
      <c r="DG83" s="816"/>
      <c r="DH83" s="816"/>
      <c r="DI83" s="816"/>
      <c r="DJ83" s="816"/>
      <c r="DK83" s="816"/>
      <c r="DL83" s="609"/>
      <c r="DM83" s="609"/>
      <c r="DN83" s="816"/>
      <c r="DO83" s="816"/>
      <c r="DP83" s="609"/>
      <c r="DQ83" s="609"/>
      <c r="DR83" s="816"/>
      <c r="DS83" s="816"/>
      <c r="DT83" s="816"/>
      <c r="DU83" s="816"/>
      <c r="DV83" s="816"/>
      <c r="DW83" s="816"/>
      <c r="DX83" s="816"/>
      <c r="DY83" s="816"/>
      <c r="DZ83" s="816"/>
      <c r="EA83" s="816"/>
      <c r="EB83" s="816"/>
      <c r="EC83" s="816"/>
      <c r="ED83" s="816"/>
      <c r="EE83" s="816"/>
      <c r="EF83" s="609"/>
      <c r="EG83" s="609"/>
      <c r="EH83" s="816"/>
      <c r="EI83" s="816"/>
      <c r="EJ83" s="816"/>
      <c r="EK83" s="816"/>
      <c r="EL83" s="816"/>
      <c r="EM83" s="816"/>
      <c r="EN83" s="816"/>
      <c r="EO83" s="816"/>
      <c r="EP83" s="816"/>
      <c r="EQ83" s="816"/>
      <c r="ER83" s="816"/>
      <c r="ES83" s="816"/>
      <c r="ET83" s="816"/>
      <c r="EU83" s="816"/>
      <c r="EV83" s="609"/>
      <c r="EW83" s="609"/>
      <c r="EX83" s="816"/>
      <c r="EY83" s="816"/>
      <c r="EZ83" s="816"/>
      <c r="FA83" s="816"/>
      <c r="FB83" s="816"/>
      <c r="FC83" s="816"/>
      <c r="FD83" s="816"/>
      <c r="FE83" s="816"/>
      <c r="FF83" s="816"/>
      <c r="FG83" s="816"/>
      <c r="FH83" s="816"/>
      <c r="FI83" s="816"/>
      <c r="FJ83" s="816"/>
      <c r="FK83" s="816"/>
      <c r="FL83" s="816"/>
      <c r="FM83" s="816"/>
      <c r="FN83" s="816"/>
      <c r="FO83" s="816"/>
      <c r="FP83" s="816"/>
      <c r="FQ83" s="816"/>
      <c r="FR83" s="816"/>
      <c r="FS83" s="816"/>
      <c r="FT83" s="816"/>
      <c r="FU83" s="816"/>
      <c r="FV83" s="816"/>
      <c r="FW83" s="816"/>
      <c r="FX83" s="816"/>
      <c r="FY83" s="816"/>
      <c r="FZ83" s="819"/>
      <c r="GA83" s="816"/>
      <c r="GB83" s="820"/>
      <c r="GC83" s="820"/>
      <c r="GD83" s="820"/>
      <c r="GE83" s="820"/>
      <c r="GF83" s="609"/>
      <c r="GG83" s="609"/>
      <c r="GH83" s="816"/>
      <c r="GI83" s="816"/>
      <c r="GJ83" s="816"/>
      <c r="GK83" s="816"/>
      <c r="GL83" s="816"/>
      <c r="GM83" s="816"/>
      <c r="GN83" s="816"/>
      <c r="GO83" s="816"/>
      <c r="GP83" s="816"/>
      <c r="GQ83" s="816"/>
      <c r="GR83" s="816"/>
      <c r="GS83" s="816"/>
      <c r="GT83" s="818"/>
      <c r="GU83" s="816"/>
      <c r="GV83" s="816"/>
      <c r="GW83" s="816"/>
      <c r="GX83" s="816"/>
      <c r="GY83" s="816"/>
      <c r="GZ83" s="816"/>
      <c r="HA83" s="816"/>
      <c r="HB83" s="609"/>
      <c r="HC83" s="609"/>
      <c r="HD83" s="816"/>
      <c r="HE83" s="816"/>
      <c r="HF83" s="816"/>
      <c r="HG83" s="816"/>
      <c r="HH83" s="816"/>
      <c r="HI83" s="816"/>
      <c r="HJ83" s="609"/>
      <c r="HK83" s="609"/>
      <c r="HL83" s="609"/>
      <c r="HM83" s="816"/>
      <c r="HN83" s="816"/>
      <c r="HO83" s="609"/>
      <c r="HP83" s="609"/>
      <c r="HQ83" s="816"/>
      <c r="HR83" s="816"/>
      <c r="HS83" s="816"/>
      <c r="HT83" s="816"/>
      <c r="HU83" s="816"/>
      <c r="HV83" s="816"/>
      <c r="HW83" s="609"/>
      <c r="HX83" s="609"/>
      <c r="HY83" s="816"/>
      <c r="HZ83" s="816"/>
      <c r="IA83" s="816"/>
      <c r="IB83" s="816"/>
      <c r="IC83" s="816"/>
      <c r="ID83" s="816"/>
      <c r="IE83" s="609"/>
      <c r="IF83" s="609"/>
      <c r="IG83" s="816"/>
      <c r="IH83" s="816"/>
      <c r="II83" s="609"/>
      <c r="IJ83" s="609"/>
      <c r="IK83" s="816"/>
      <c r="IL83" s="816"/>
      <c r="IM83" s="609"/>
      <c r="IN83" s="609"/>
      <c r="IO83" s="816"/>
      <c r="IP83" s="816"/>
      <c r="IQ83" s="816"/>
      <c r="IR83" s="816"/>
      <c r="IS83" s="816"/>
      <c r="IT83" s="816"/>
      <c r="IU83" s="821"/>
      <c r="IV83" s="609"/>
      <c r="IW83" s="816"/>
      <c r="IX83" s="816"/>
      <c r="IY83" s="822"/>
      <c r="IZ83" s="609"/>
      <c r="JA83" s="816"/>
      <c r="JB83" s="816"/>
      <c r="JC83" s="609"/>
      <c r="JD83" s="816"/>
      <c r="JE83" s="816"/>
      <c r="JF83" s="816"/>
      <c r="JG83" s="816"/>
      <c r="JH83" s="816"/>
      <c r="JI83" s="816"/>
      <c r="JJ83" s="816"/>
      <c r="JK83" s="816"/>
      <c r="JL83" s="816"/>
      <c r="JM83" s="816"/>
      <c r="JN83" s="816"/>
      <c r="JO83" s="823"/>
      <c r="JP83" s="824"/>
      <c r="JQ83" s="825"/>
      <c r="JR83" s="825"/>
      <c r="JS83" s="816"/>
      <c r="JU83" s="826"/>
      <c r="JV83" s="826"/>
      <c r="JW83" s="826"/>
      <c r="JX83" s="826"/>
    </row>
    <row r="84" spans="2:284" s="780" customFormat="1">
      <c r="B84" s="609"/>
      <c r="C84" s="609"/>
      <c r="D84" s="609"/>
      <c r="E84" s="609"/>
      <c r="F84" s="609"/>
      <c r="G84" s="609"/>
      <c r="H84" s="609"/>
      <c r="I84" s="609"/>
      <c r="J84" s="609"/>
      <c r="K84" s="609"/>
      <c r="L84" s="609"/>
      <c r="M84" s="609"/>
      <c r="N84" s="609"/>
      <c r="O84" s="609"/>
      <c r="P84" s="609"/>
      <c r="Q84" s="609"/>
      <c r="R84" s="609"/>
      <c r="S84" s="609"/>
      <c r="T84" s="609"/>
      <c r="U84" s="609"/>
      <c r="V84" s="609"/>
      <c r="W84" s="609"/>
      <c r="X84" s="609"/>
      <c r="Y84" s="609"/>
      <c r="Z84" s="609"/>
      <c r="AA84" s="609"/>
      <c r="AB84" s="609"/>
      <c r="AC84" s="609"/>
      <c r="AD84" s="816"/>
      <c r="AE84" s="816"/>
      <c r="AF84" s="816"/>
      <c r="AG84" s="816"/>
      <c r="AH84" s="816"/>
      <c r="AI84" s="816"/>
      <c r="AJ84" s="609"/>
      <c r="AK84" s="609"/>
      <c r="AL84" s="816"/>
      <c r="AM84" s="816"/>
      <c r="AN84" s="609"/>
      <c r="AO84" s="609"/>
      <c r="AP84" s="816"/>
      <c r="AQ84" s="816"/>
      <c r="AR84" s="816"/>
      <c r="AS84" s="816"/>
      <c r="AT84" s="816"/>
      <c r="AU84" s="816"/>
      <c r="AV84" s="609"/>
      <c r="AW84" s="609"/>
      <c r="AX84" s="816"/>
      <c r="AY84" s="816"/>
      <c r="AZ84" s="817"/>
      <c r="BA84" s="609"/>
      <c r="BB84" s="609"/>
      <c r="BC84" s="816"/>
      <c r="BD84" s="816"/>
      <c r="BE84" s="816"/>
      <c r="BF84" s="816"/>
      <c r="BG84" s="816"/>
      <c r="BH84" s="816"/>
      <c r="BI84" s="816"/>
      <c r="BJ84" s="816"/>
      <c r="BK84" s="816"/>
      <c r="BL84" s="816"/>
      <c r="BM84" s="816"/>
      <c r="BN84" s="816"/>
      <c r="BO84" s="816"/>
      <c r="BP84" s="816"/>
      <c r="BQ84" s="816"/>
      <c r="BR84" s="816"/>
      <c r="BS84" s="816"/>
      <c r="BT84" s="816"/>
      <c r="BU84" s="816"/>
      <c r="BV84" s="816"/>
      <c r="BW84" s="816"/>
      <c r="BX84" s="609"/>
      <c r="BY84" s="609"/>
      <c r="BZ84" s="609"/>
      <c r="CA84" s="818"/>
      <c r="CB84" s="816"/>
      <c r="CC84" s="816"/>
      <c r="CD84" s="816"/>
      <c r="CE84" s="816"/>
      <c r="CF84" s="816"/>
      <c r="CG84" s="816"/>
      <c r="CH84" s="816"/>
      <c r="CI84" s="816"/>
      <c r="CJ84" s="819"/>
      <c r="CK84" s="819"/>
      <c r="CL84" s="820"/>
      <c r="CM84" s="820"/>
      <c r="CN84" s="820"/>
      <c r="CO84" s="820"/>
      <c r="CP84" s="820"/>
      <c r="CQ84" s="820"/>
      <c r="CR84" s="609"/>
      <c r="CS84" s="609"/>
      <c r="CT84" s="816"/>
      <c r="CU84" s="816"/>
      <c r="CV84" s="609"/>
      <c r="CW84" s="609"/>
      <c r="CX84" s="816"/>
      <c r="CY84" s="816"/>
      <c r="CZ84" s="609"/>
      <c r="DA84" s="609"/>
      <c r="DB84" s="816"/>
      <c r="DC84" s="816"/>
      <c r="DD84" s="609"/>
      <c r="DE84" s="609"/>
      <c r="DF84" s="816"/>
      <c r="DG84" s="816"/>
      <c r="DH84" s="816"/>
      <c r="DI84" s="816"/>
      <c r="DJ84" s="816"/>
      <c r="DK84" s="816"/>
      <c r="DL84" s="609"/>
      <c r="DM84" s="609"/>
      <c r="DN84" s="816"/>
      <c r="DO84" s="816"/>
      <c r="DP84" s="609"/>
      <c r="DQ84" s="609"/>
      <c r="DR84" s="816"/>
      <c r="DS84" s="816"/>
      <c r="DT84" s="816"/>
      <c r="DU84" s="816"/>
      <c r="DV84" s="816"/>
      <c r="DW84" s="816"/>
      <c r="DX84" s="816"/>
      <c r="DY84" s="816"/>
      <c r="DZ84" s="816"/>
      <c r="EA84" s="816"/>
      <c r="EB84" s="816"/>
      <c r="EC84" s="816"/>
      <c r="ED84" s="816"/>
      <c r="EE84" s="816"/>
      <c r="EF84" s="609"/>
      <c r="EG84" s="609"/>
      <c r="EH84" s="816"/>
      <c r="EI84" s="816"/>
      <c r="EJ84" s="816"/>
      <c r="EK84" s="816"/>
      <c r="EL84" s="816"/>
      <c r="EM84" s="816"/>
      <c r="EN84" s="816"/>
      <c r="EO84" s="816"/>
      <c r="EP84" s="816"/>
      <c r="EQ84" s="816"/>
      <c r="ER84" s="816"/>
      <c r="ES84" s="816"/>
      <c r="ET84" s="816"/>
      <c r="EU84" s="816"/>
      <c r="EV84" s="609"/>
      <c r="EW84" s="609"/>
      <c r="EX84" s="816"/>
      <c r="EY84" s="816"/>
      <c r="EZ84" s="816"/>
      <c r="FA84" s="816"/>
      <c r="FB84" s="816"/>
      <c r="FC84" s="816"/>
      <c r="FD84" s="816"/>
      <c r="FE84" s="816"/>
      <c r="FF84" s="816"/>
      <c r="FG84" s="816"/>
      <c r="FH84" s="816"/>
      <c r="FI84" s="816"/>
      <c r="FJ84" s="816"/>
      <c r="FK84" s="816"/>
      <c r="FL84" s="816"/>
      <c r="FM84" s="816"/>
      <c r="FN84" s="816"/>
      <c r="FO84" s="816"/>
      <c r="FP84" s="816"/>
      <c r="FQ84" s="816"/>
      <c r="FR84" s="816"/>
      <c r="FS84" s="816"/>
      <c r="FT84" s="816"/>
      <c r="FU84" s="816"/>
      <c r="FV84" s="816"/>
      <c r="FW84" s="816"/>
      <c r="FX84" s="816"/>
      <c r="FY84" s="816"/>
      <c r="FZ84" s="819"/>
      <c r="GA84" s="816"/>
      <c r="GB84" s="820"/>
      <c r="GC84" s="820"/>
      <c r="GD84" s="820"/>
      <c r="GE84" s="820"/>
      <c r="GF84" s="817"/>
      <c r="GG84" s="609"/>
      <c r="GH84" s="816"/>
      <c r="GI84" s="816"/>
      <c r="GJ84" s="816"/>
      <c r="GK84" s="816"/>
      <c r="GL84" s="816"/>
      <c r="GM84" s="816"/>
      <c r="GN84" s="816"/>
      <c r="GO84" s="816"/>
      <c r="GP84" s="816"/>
      <c r="GQ84" s="816"/>
      <c r="GR84" s="816"/>
      <c r="GS84" s="816"/>
      <c r="GT84" s="818"/>
      <c r="GU84" s="816"/>
      <c r="GV84" s="816"/>
      <c r="GW84" s="816"/>
      <c r="GX84" s="816"/>
      <c r="GY84" s="816"/>
      <c r="GZ84" s="816"/>
      <c r="HA84" s="816"/>
      <c r="HB84" s="609"/>
      <c r="HC84" s="609"/>
      <c r="HD84" s="816"/>
      <c r="HE84" s="816"/>
      <c r="HF84" s="816"/>
      <c r="HG84" s="816"/>
      <c r="HH84" s="816"/>
      <c r="HI84" s="816"/>
      <c r="HJ84" s="609"/>
      <c r="HK84" s="609"/>
      <c r="HL84" s="609"/>
      <c r="HM84" s="816"/>
      <c r="HN84" s="816"/>
      <c r="HO84" s="609"/>
      <c r="HP84" s="609"/>
      <c r="HQ84" s="816"/>
      <c r="HR84" s="816"/>
      <c r="HS84" s="816"/>
      <c r="HT84" s="816"/>
      <c r="HU84" s="816"/>
      <c r="HV84" s="816"/>
      <c r="HW84" s="609"/>
      <c r="HX84" s="609"/>
      <c r="HY84" s="816"/>
      <c r="HZ84" s="816"/>
      <c r="IA84" s="816"/>
      <c r="IB84" s="816"/>
      <c r="IC84" s="816"/>
      <c r="ID84" s="816"/>
      <c r="IE84" s="609"/>
      <c r="IF84" s="609"/>
      <c r="IG84" s="816"/>
      <c r="IH84" s="816"/>
      <c r="II84" s="609"/>
      <c r="IJ84" s="609"/>
      <c r="IK84" s="816"/>
      <c r="IL84" s="816"/>
      <c r="IM84" s="609"/>
      <c r="IN84" s="609"/>
      <c r="IO84" s="816"/>
      <c r="IP84" s="816"/>
      <c r="IQ84" s="816"/>
      <c r="IR84" s="816"/>
      <c r="IS84" s="816"/>
      <c r="IT84" s="816"/>
      <c r="IU84" s="821"/>
      <c r="IV84" s="609"/>
      <c r="IW84" s="816"/>
      <c r="IX84" s="816"/>
      <c r="IY84" s="822"/>
      <c r="IZ84" s="609"/>
      <c r="JA84" s="816"/>
      <c r="JB84" s="816"/>
      <c r="JC84" s="609"/>
      <c r="JD84" s="816"/>
      <c r="JE84" s="816"/>
      <c r="JF84" s="816"/>
      <c r="JG84" s="816"/>
      <c r="JH84" s="816"/>
      <c r="JI84" s="816"/>
      <c r="JJ84" s="816"/>
      <c r="JK84" s="816"/>
      <c r="JL84" s="816"/>
      <c r="JM84" s="816"/>
      <c r="JN84" s="816"/>
      <c r="JO84" s="823"/>
      <c r="JP84" s="824"/>
      <c r="JQ84" s="825"/>
      <c r="JR84" s="825"/>
      <c r="JS84" s="816"/>
      <c r="JU84" s="826"/>
      <c r="JV84" s="826"/>
      <c r="JW84" s="826"/>
      <c r="JX84" s="826"/>
    </row>
    <row r="85" spans="2:284" s="780" customFormat="1"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609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816"/>
      <c r="AE85" s="816"/>
      <c r="AF85" s="816"/>
      <c r="AG85" s="816"/>
      <c r="AH85" s="816"/>
      <c r="AI85" s="816"/>
      <c r="AJ85" s="609"/>
      <c r="AK85" s="609"/>
      <c r="AL85" s="816"/>
      <c r="AM85" s="816"/>
      <c r="AN85" s="609"/>
      <c r="AO85" s="609"/>
      <c r="AP85" s="816"/>
      <c r="AQ85" s="816"/>
      <c r="AR85" s="816"/>
      <c r="AS85" s="816"/>
      <c r="AT85" s="816"/>
      <c r="AU85" s="816"/>
      <c r="AV85" s="609"/>
      <c r="AW85" s="609"/>
      <c r="AX85" s="816"/>
      <c r="AY85" s="816"/>
      <c r="AZ85" s="817"/>
      <c r="BA85" s="609"/>
      <c r="BB85" s="609"/>
      <c r="BC85" s="816"/>
      <c r="BD85" s="816"/>
      <c r="BE85" s="816"/>
      <c r="BF85" s="816"/>
      <c r="BG85" s="816"/>
      <c r="BH85" s="816"/>
      <c r="BI85" s="816"/>
      <c r="BJ85" s="816"/>
      <c r="BK85" s="816"/>
      <c r="BL85" s="816"/>
      <c r="BM85" s="816"/>
      <c r="BN85" s="816"/>
      <c r="BO85" s="816"/>
      <c r="BP85" s="816"/>
      <c r="BQ85" s="816"/>
      <c r="BR85" s="816"/>
      <c r="BS85" s="816"/>
      <c r="BT85" s="816"/>
      <c r="BU85" s="816"/>
      <c r="BV85" s="816"/>
      <c r="BW85" s="816"/>
      <c r="BX85" s="609"/>
      <c r="BY85" s="609"/>
      <c r="BZ85" s="609"/>
      <c r="CA85" s="818"/>
      <c r="CB85" s="816"/>
      <c r="CC85" s="816"/>
      <c r="CD85" s="816"/>
      <c r="CE85" s="816"/>
      <c r="CF85" s="816"/>
      <c r="CG85" s="816"/>
      <c r="CH85" s="816"/>
      <c r="CI85" s="816"/>
      <c r="CJ85" s="819"/>
      <c r="CK85" s="819"/>
      <c r="CL85" s="820"/>
      <c r="CM85" s="820"/>
      <c r="CN85" s="820"/>
      <c r="CO85" s="820"/>
      <c r="CP85" s="820"/>
      <c r="CQ85" s="820"/>
      <c r="CR85" s="609"/>
      <c r="CS85" s="609"/>
      <c r="CT85" s="816"/>
      <c r="CU85" s="816"/>
      <c r="CV85" s="609"/>
      <c r="CW85" s="609"/>
      <c r="CX85" s="816"/>
      <c r="CY85" s="816"/>
      <c r="CZ85" s="609"/>
      <c r="DA85" s="609"/>
      <c r="DB85" s="816"/>
      <c r="DC85" s="816"/>
      <c r="DD85" s="609"/>
      <c r="DE85" s="609"/>
      <c r="DF85" s="816"/>
      <c r="DG85" s="816"/>
      <c r="DH85" s="816"/>
      <c r="DI85" s="816"/>
      <c r="DJ85" s="816"/>
      <c r="DK85" s="816"/>
      <c r="DL85" s="609"/>
      <c r="DM85" s="609"/>
      <c r="DN85" s="816"/>
      <c r="DO85" s="816"/>
      <c r="DP85" s="609"/>
      <c r="DQ85" s="609"/>
      <c r="DR85" s="816"/>
      <c r="DS85" s="816"/>
      <c r="DT85" s="816"/>
      <c r="DU85" s="816"/>
      <c r="DV85" s="816"/>
      <c r="DW85" s="816"/>
      <c r="DX85" s="816"/>
      <c r="DY85" s="816"/>
      <c r="DZ85" s="816"/>
      <c r="EA85" s="816"/>
      <c r="EB85" s="816"/>
      <c r="EC85" s="816"/>
      <c r="ED85" s="816"/>
      <c r="EE85" s="816"/>
      <c r="EF85" s="609"/>
      <c r="EG85" s="609"/>
      <c r="EH85" s="816"/>
      <c r="EI85" s="816"/>
      <c r="EJ85" s="816"/>
      <c r="EK85" s="816"/>
      <c r="EL85" s="816"/>
      <c r="EM85" s="816"/>
      <c r="EN85" s="816"/>
      <c r="EO85" s="816"/>
      <c r="EP85" s="816"/>
      <c r="EQ85" s="816"/>
      <c r="ER85" s="816"/>
      <c r="ES85" s="816"/>
      <c r="ET85" s="816"/>
      <c r="EU85" s="816"/>
      <c r="EV85" s="609"/>
      <c r="EW85" s="609"/>
      <c r="EX85" s="816"/>
      <c r="EY85" s="816"/>
      <c r="EZ85" s="816"/>
      <c r="FA85" s="816"/>
      <c r="FB85" s="816"/>
      <c r="FC85" s="816"/>
      <c r="FD85" s="816"/>
      <c r="FE85" s="816"/>
      <c r="FF85" s="816"/>
      <c r="FG85" s="816"/>
      <c r="FH85" s="816"/>
      <c r="FI85" s="816"/>
      <c r="FJ85" s="816"/>
      <c r="FK85" s="816"/>
      <c r="FL85" s="816"/>
      <c r="FM85" s="816"/>
      <c r="FN85" s="816"/>
      <c r="FO85" s="816"/>
      <c r="FP85" s="816"/>
      <c r="FQ85" s="816"/>
      <c r="FR85" s="816"/>
      <c r="FS85" s="816"/>
      <c r="FT85" s="816"/>
      <c r="FU85" s="816"/>
      <c r="FV85" s="816"/>
      <c r="FW85" s="816"/>
      <c r="FX85" s="816"/>
      <c r="FY85" s="816"/>
      <c r="FZ85" s="819"/>
      <c r="GA85" s="816"/>
      <c r="GB85" s="820"/>
      <c r="GC85" s="820"/>
      <c r="GD85" s="820"/>
      <c r="GE85" s="820"/>
      <c r="GF85" s="817"/>
      <c r="GG85" s="609"/>
      <c r="GH85" s="816"/>
      <c r="GI85" s="816"/>
      <c r="GJ85" s="816"/>
      <c r="GK85" s="816"/>
      <c r="GL85" s="816"/>
      <c r="GM85" s="816"/>
      <c r="GN85" s="816"/>
      <c r="GO85" s="816"/>
      <c r="GP85" s="816"/>
      <c r="GQ85" s="816"/>
      <c r="GR85" s="816"/>
      <c r="GS85" s="816"/>
      <c r="GT85" s="818"/>
      <c r="GU85" s="816"/>
      <c r="GV85" s="816"/>
      <c r="GW85" s="816"/>
      <c r="GX85" s="816"/>
      <c r="GY85" s="816"/>
      <c r="GZ85" s="816"/>
      <c r="HA85" s="816"/>
      <c r="HB85" s="609"/>
      <c r="HC85" s="609"/>
      <c r="HD85" s="816"/>
      <c r="HE85" s="816"/>
      <c r="HF85" s="816"/>
      <c r="HG85" s="816"/>
      <c r="HH85" s="816"/>
      <c r="HI85" s="816"/>
      <c r="HJ85" s="609"/>
      <c r="HK85" s="609"/>
      <c r="HL85" s="609"/>
      <c r="HM85" s="816"/>
      <c r="HN85" s="816"/>
      <c r="HO85" s="609"/>
      <c r="HP85" s="609"/>
      <c r="HQ85" s="816"/>
      <c r="HR85" s="816"/>
      <c r="HS85" s="816"/>
      <c r="HT85" s="816"/>
      <c r="HU85" s="816"/>
      <c r="HV85" s="816"/>
      <c r="HW85" s="609"/>
      <c r="HX85" s="609"/>
      <c r="HY85" s="816"/>
      <c r="HZ85" s="816"/>
      <c r="IA85" s="816"/>
      <c r="IB85" s="816"/>
      <c r="IC85" s="816"/>
      <c r="ID85" s="816"/>
      <c r="IE85" s="609"/>
      <c r="IF85" s="609"/>
      <c r="IG85" s="816"/>
      <c r="IH85" s="816"/>
      <c r="II85" s="609"/>
      <c r="IJ85" s="609"/>
      <c r="IK85" s="816"/>
      <c r="IL85" s="816"/>
      <c r="IM85" s="609"/>
      <c r="IN85" s="609"/>
      <c r="IO85" s="816"/>
      <c r="IP85" s="816"/>
      <c r="IQ85" s="816"/>
      <c r="IR85" s="816"/>
      <c r="IS85" s="816"/>
      <c r="IT85" s="816"/>
      <c r="IU85" s="821"/>
      <c r="IV85" s="609"/>
      <c r="IW85" s="816"/>
      <c r="IX85" s="816"/>
      <c r="IY85" s="822"/>
      <c r="IZ85" s="609"/>
      <c r="JA85" s="816"/>
      <c r="JB85" s="816"/>
      <c r="JC85" s="609"/>
      <c r="JD85" s="816"/>
      <c r="JE85" s="816"/>
      <c r="JF85" s="816"/>
      <c r="JG85" s="816"/>
      <c r="JH85" s="816"/>
      <c r="JI85" s="816"/>
      <c r="JJ85" s="816"/>
      <c r="JK85" s="816"/>
      <c r="JL85" s="816"/>
      <c r="JM85" s="816"/>
      <c r="JN85" s="816"/>
      <c r="JO85" s="823"/>
      <c r="JP85" s="824"/>
      <c r="JQ85" s="825"/>
      <c r="JR85" s="825"/>
      <c r="JS85" s="816"/>
      <c r="JU85" s="826"/>
      <c r="JV85" s="826"/>
      <c r="JW85" s="826"/>
      <c r="JX85" s="826"/>
    </row>
    <row r="86" spans="2:284" s="780" customFormat="1"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609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816"/>
      <c r="AE86" s="816"/>
      <c r="AF86" s="816"/>
      <c r="AG86" s="816"/>
      <c r="AH86" s="816"/>
      <c r="AI86" s="816"/>
      <c r="AJ86" s="609"/>
      <c r="AK86" s="609"/>
      <c r="AL86" s="816"/>
      <c r="AM86" s="816"/>
      <c r="AN86" s="609"/>
      <c r="AO86" s="609"/>
      <c r="AP86" s="816"/>
      <c r="AQ86" s="816"/>
      <c r="AR86" s="816"/>
      <c r="AS86" s="816"/>
      <c r="AT86" s="816"/>
      <c r="AU86" s="816"/>
      <c r="AV86" s="609"/>
      <c r="AW86" s="609"/>
      <c r="AX86" s="816"/>
      <c r="AY86" s="816"/>
      <c r="AZ86" s="817"/>
      <c r="BA86" s="609"/>
      <c r="BB86" s="609"/>
      <c r="BC86" s="816"/>
      <c r="BD86" s="816"/>
      <c r="BE86" s="816"/>
      <c r="BF86" s="816"/>
      <c r="BG86" s="816"/>
      <c r="BH86" s="816"/>
      <c r="BI86" s="816"/>
      <c r="BJ86" s="816"/>
      <c r="BK86" s="816"/>
      <c r="BL86" s="816"/>
      <c r="BM86" s="816"/>
      <c r="BN86" s="816"/>
      <c r="BO86" s="816"/>
      <c r="BP86" s="816"/>
      <c r="BQ86" s="816"/>
      <c r="BR86" s="816"/>
      <c r="BS86" s="816"/>
      <c r="BT86" s="816"/>
      <c r="BU86" s="816"/>
      <c r="BV86" s="816"/>
      <c r="BW86" s="816"/>
      <c r="BX86" s="609"/>
      <c r="BY86" s="609"/>
      <c r="BZ86" s="609"/>
      <c r="CA86" s="818"/>
      <c r="CB86" s="816"/>
      <c r="CC86" s="816"/>
      <c r="CD86" s="816"/>
      <c r="CE86" s="816"/>
      <c r="CF86" s="816"/>
      <c r="CG86" s="816"/>
      <c r="CH86" s="816"/>
      <c r="CI86" s="816"/>
      <c r="CJ86" s="819"/>
      <c r="CK86" s="819"/>
      <c r="CL86" s="820"/>
      <c r="CM86" s="820"/>
      <c r="CN86" s="820"/>
      <c r="CO86" s="820"/>
      <c r="CP86" s="820"/>
      <c r="CQ86" s="820"/>
      <c r="CR86" s="609"/>
      <c r="CS86" s="609"/>
      <c r="CT86" s="816"/>
      <c r="CU86" s="816"/>
      <c r="CV86" s="609"/>
      <c r="CW86" s="609"/>
      <c r="CX86" s="816"/>
      <c r="CY86" s="816"/>
      <c r="CZ86" s="609"/>
      <c r="DA86" s="609"/>
      <c r="DB86" s="816"/>
      <c r="DC86" s="816"/>
      <c r="DD86" s="609"/>
      <c r="DE86" s="609"/>
      <c r="DF86" s="816"/>
      <c r="DG86" s="816"/>
      <c r="DH86" s="816"/>
      <c r="DI86" s="816"/>
      <c r="DJ86" s="816"/>
      <c r="DK86" s="816"/>
      <c r="DL86" s="609"/>
      <c r="DM86" s="609"/>
      <c r="DN86" s="816"/>
      <c r="DO86" s="816"/>
      <c r="DP86" s="609"/>
      <c r="DQ86" s="609"/>
      <c r="DR86" s="816"/>
      <c r="DS86" s="816"/>
      <c r="DT86" s="816"/>
      <c r="DU86" s="816"/>
      <c r="DV86" s="816"/>
      <c r="DW86" s="816"/>
      <c r="DX86" s="816"/>
      <c r="DY86" s="816"/>
      <c r="DZ86" s="816"/>
      <c r="EA86" s="816"/>
      <c r="EB86" s="816"/>
      <c r="EC86" s="816"/>
      <c r="ED86" s="816"/>
      <c r="EE86" s="816"/>
      <c r="EF86" s="609"/>
      <c r="EG86" s="609"/>
      <c r="EH86" s="816"/>
      <c r="EI86" s="816"/>
      <c r="EJ86" s="816"/>
      <c r="EK86" s="816"/>
      <c r="EL86" s="816"/>
      <c r="EM86" s="816"/>
      <c r="EN86" s="816"/>
      <c r="EO86" s="816"/>
      <c r="EP86" s="816"/>
      <c r="EQ86" s="816"/>
      <c r="ER86" s="816"/>
      <c r="ES86" s="816"/>
      <c r="ET86" s="816"/>
      <c r="EU86" s="816"/>
      <c r="EV86" s="609"/>
      <c r="EW86" s="609"/>
      <c r="EX86" s="816"/>
      <c r="EY86" s="816"/>
      <c r="EZ86" s="816"/>
      <c r="FA86" s="816"/>
      <c r="FB86" s="816"/>
      <c r="FC86" s="816"/>
      <c r="FD86" s="816"/>
      <c r="FE86" s="816"/>
      <c r="FF86" s="816"/>
      <c r="FG86" s="816"/>
      <c r="FH86" s="816"/>
      <c r="FI86" s="816"/>
      <c r="FJ86" s="816"/>
      <c r="FK86" s="816"/>
      <c r="FL86" s="816"/>
      <c r="FM86" s="816"/>
      <c r="FN86" s="816"/>
      <c r="FO86" s="816"/>
      <c r="FP86" s="816"/>
      <c r="FQ86" s="816"/>
      <c r="FR86" s="816"/>
      <c r="FS86" s="816"/>
      <c r="FT86" s="816"/>
      <c r="FU86" s="816"/>
      <c r="FV86" s="816"/>
      <c r="FW86" s="816"/>
      <c r="FX86" s="816"/>
      <c r="FY86" s="816"/>
      <c r="FZ86" s="819"/>
      <c r="GA86" s="816"/>
      <c r="GB86" s="820"/>
      <c r="GC86" s="820"/>
      <c r="GD86" s="820"/>
      <c r="GE86" s="820"/>
      <c r="GF86" s="817"/>
      <c r="GG86" s="609"/>
      <c r="GH86" s="816"/>
      <c r="GI86" s="816"/>
      <c r="GJ86" s="816"/>
      <c r="GK86" s="816"/>
      <c r="GL86" s="816"/>
      <c r="GM86" s="816"/>
      <c r="GN86" s="816"/>
      <c r="GO86" s="816"/>
      <c r="GP86" s="816"/>
      <c r="GQ86" s="816"/>
      <c r="GR86" s="816"/>
      <c r="GS86" s="816"/>
      <c r="GT86" s="818"/>
      <c r="GU86" s="816"/>
      <c r="GV86" s="816"/>
      <c r="GW86" s="816"/>
      <c r="GX86" s="816"/>
      <c r="GY86" s="816"/>
      <c r="GZ86" s="816"/>
      <c r="HA86" s="816"/>
      <c r="HB86" s="609"/>
      <c r="HC86" s="609"/>
      <c r="HD86" s="816"/>
      <c r="HE86" s="816"/>
      <c r="HF86" s="816"/>
      <c r="HG86" s="816"/>
      <c r="HH86" s="816"/>
      <c r="HI86" s="816"/>
      <c r="HJ86" s="609"/>
      <c r="HK86" s="609"/>
      <c r="HL86" s="609"/>
      <c r="HM86" s="816"/>
      <c r="HN86" s="816"/>
      <c r="HO86" s="609"/>
      <c r="HP86" s="609"/>
      <c r="HQ86" s="816"/>
      <c r="HR86" s="816"/>
      <c r="HS86" s="816"/>
      <c r="HT86" s="816"/>
      <c r="HU86" s="816"/>
      <c r="HV86" s="816"/>
      <c r="HW86" s="609"/>
      <c r="HX86" s="609"/>
      <c r="HY86" s="816"/>
      <c r="HZ86" s="816"/>
      <c r="IA86" s="816"/>
      <c r="IB86" s="816"/>
      <c r="IC86" s="816"/>
      <c r="ID86" s="816"/>
      <c r="IE86" s="609"/>
      <c r="IF86" s="609"/>
      <c r="IG86" s="816"/>
      <c r="IH86" s="816"/>
      <c r="II86" s="609"/>
      <c r="IJ86" s="609"/>
      <c r="IK86" s="816"/>
      <c r="IL86" s="816"/>
      <c r="IM86" s="609"/>
      <c r="IN86" s="609"/>
      <c r="IO86" s="816"/>
      <c r="IP86" s="816"/>
      <c r="IQ86" s="816"/>
      <c r="IR86" s="816"/>
      <c r="IS86" s="816"/>
      <c r="IT86" s="816"/>
      <c r="IU86" s="821"/>
      <c r="IV86" s="609"/>
      <c r="IW86" s="816"/>
      <c r="IX86" s="816"/>
      <c r="IY86" s="822"/>
      <c r="IZ86" s="609"/>
      <c r="JA86" s="816"/>
      <c r="JB86" s="816"/>
      <c r="JC86" s="609"/>
      <c r="JD86" s="816"/>
      <c r="JE86" s="816"/>
      <c r="JF86" s="816"/>
      <c r="JG86" s="816"/>
      <c r="JH86" s="816"/>
      <c r="JI86" s="816"/>
      <c r="JJ86" s="816"/>
      <c r="JK86" s="816"/>
      <c r="JL86" s="816"/>
      <c r="JM86" s="816"/>
      <c r="JN86" s="816"/>
      <c r="JO86" s="823"/>
      <c r="JP86" s="824"/>
      <c r="JQ86" s="825"/>
      <c r="JR86" s="825"/>
      <c r="JS86" s="816"/>
      <c r="JU86" s="826"/>
      <c r="JV86" s="826"/>
      <c r="JW86" s="826"/>
      <c r="JX86" s="826"/>
    </row>
    <row r="87" spans="2:284" s="780" customFormat="1">
      <c r="B87" s="609"/>
      <c r="C87" s="609"/>
      <c r="D87" s="609"/>
      <c r="E87" s="609"/>
      <c r="F87" s="609"/>
      <c r="G87" s="609"/>
      <c r="H87" s="609"/>
      <c r="I87" s="609"/>
      <c r="J87" s="609"/>
      <c r="K87" s="609"/>
      <c r="L87" s="609"/>
      <c r="M87" s="609"/>
      <c r="N87" s="609"/>
      <c r="O87" s="609"/>
      <c r="P87" s="609"/>
      <c r="Q87" s="609"/>
      <c r="R87" s="609"/>
      <c r="S87" s="609"/>
      <c r="T87" s="609"/>
      <c r="U87" s="609"/>
      <c r="V87" s="609"/>
      <c r="W87" s="609"/>
      <c r="X87" s="609"/>
      <c r="Y87" s="609"/>
      <c r="Z87" s="609"/>
      <c r="AA87" s="609"/>
      <c r="AB87" s="609"/>
      <c r="AC87" s="609"/>
      <c r="AD87" s="816"/>
      <c r="AE87" s="816"/>
      <c r="AF87" s="816"/>
      <c r="AG87" s="816"/>
      <c r="AH87" s="816"/>
      <c r="AI87" s="816"/>
      <c r="AJ87" s="609"/>
      <c r="AK87" s="609"/>
      <c r="AL87" s="816"/>
      <c r="AM87" s="816"/>
      <c r="AN87" s="609"/>
      <c r="AO87" s="609"/>
      <c r="AP87" s="816"/>
      <c r="AQ87" s="816"/>
      <c r="AR87" s="816"/>
      <c r="AS87" s="816"/>
      <c r="AT87" s="816"/>
      <c r="AU87" s="816"/>
      <c r="AV87" s="609"/>
      <c r="AW87" s="609"/>
      <c r="AX87" s="816"/>
      <c r="AY87" s="816"/>
      <c r="AZ87" s="817"/>
      <c r="BA87" s="609"/>
      <c r="BB87" s="609"/>
      <c r="BC87" s="816"/>
      <c r="BD87" s="816"/>
      <c r="BE87" s="816"/>
      <c r="BF87" s="816"/>
      <c r="BG87" s="816"/>
      <c r="BH87" s="816"/>
      <c r="BI87" s="816"/>
      <c r="BJ87" s="816"/>
      <c r="BK87" s="816"/>
      <c r="BL87" s="816"/>
      <c r="BM87" s="816"/>
      <c r="BN87" s="816"/>
      <c r="BO87" s="816"/>
      <c r="BP87" s="816"/>
      <c r="BQ87" s="816"/>
      <c r="BR87" s="816"/>
      <c r="BS87" s="816"/>
      <c r="BT87" s="816"/>
      <c r="BU87" s="816"/>
      <c r="BV87" s="816"/>
      <c r="BW87" s="816"/>
      <c r="BX87" s="609"/>
      <c r="BY87" s="609"/>
      <c r="BZ87" s="609"/>
      <c r="CA87" s="818"/>
      <c r="CB87" s="816"/>
      <c r="CC87" s="816"/>
      <c r="CD87" s="816"/>
      <c r="CE87" s="816"/>
      <c r="CF87" s="816"/>
      <c r="CG87" s="816"/>
      <c r="CH87" s="816"/>
      <c r="CI87" s="816"/>
      <c r="CJ87" s="819"/>
      <c r="CK87" s="819"/>
      <c r="CL87" s="820"/>
      <c r="CM87" s="820"/>
      <c r="CN87" s="820"/>
      <c r="CO87" s="820"/>
      <c r="CP87" s="820"/>
      <c r="CQ87" s="820"/>
      <c r="CR87" s="609"/>
      <c r="CS87" s="609"/>
      <c r="CT87" s="816"/>
      <c r="CU87" s="816"/>
      <c r="CV87" s="609"/>
      <c r="CW87" s="609"/>
      <c r="CX87" s="816"/>
      <c r="CY87" s="816"/>
      <c r="CZ87" s="609"/>
      <c r="DA87" s="609"/>
      <c r="DB87" s="816"/>
      <c r="DC87" s="816"/>
      <c r="DD87" s="609"/>
      <c r="DE87" s="609"/>
      <c r="DF87" s="816"/>
      <c r="DG87" s="816"/>
      <c r="DH87" s="816"/>
      <c r="DI87" s="816"/>
      <c r="DJ87" s="816"/>
      <c r="DK87" s="816"/>
      <c r="DL87" s="609"/>
      <c r="DM87" s="609"/>
      <c r="DN87" s="816"/>
      <c r="DO87" s="816"/>
      <c r="DP87" s="609"/>
      <c r="DQ87" s="609"/>
      <c r="DR87" s="816"/>
      <c r="DS87" s="816"/>
      <c r="DT87" s="816"/>
      <c r="DU87" s="816"/>
      <c r="DV87" s="816"/>
      <c r="DW87" s="816"/>
      <c r="DX87" s="816"/>
      <c r="DY87" s="816"/>
      <c r="DZ87" s="816"/>
      <c r="EA87" s="816"/>
      <c r="EB87" s="816"/>
      <c r="EC87" s="816"/>
      <c r="ED87" s="816"/>
      <c r="EE87" s="816"/>
      <c r="EF87" s="609"/>
      <c r="EG87" s="609"/>
      <c r="EH87" s="816"/>
      <c r="EI87" s="816"/>
      <c r="EJ87" s="816"/>
      <c r="EK87" s="816"/>
      <c r="EL87" s="816"/>
      <c r="EM87" s="816"/>
      <c r="EN87" s="816"/>
      <c r="EO87" s="816"/>
      <c r="EP87" s="816"/>
      <c r="EQ87" s="816"/>
      <c r="ER87" s="816"/>
      <c r="ES87" s="816"/>
      <c r="ET87" s="816"/>
      <c r="EU87" s="816"/>
      <c r="EV87" s="609"/>
      <c r="EW87" s="609"/>
      <c r="EX87" s="816"/>
      <c r="EY87" s="816"/>
      <c r="EZ87" s="816"/>
      <c r="FA87" s="816"/>
      <c r="FB87" s="816"/>
      <c r="FC87" s="816"/>
      <c r="FD87" s="816"/>
      <c r="FE87" s="816"/>
      <c r="FF87" s="816"/>
      <c r="FG87" s="816"/>
      <c r="FH87" s="816"/>
      <c r="FI87" s="816"/>
      <c r="FJ87" s="816"/>
      <c r="FK87" s="816"/>
      <c r="FL87" s="816"/>
      <c r="FM87" s="816"/>
      <c r="FN87" s="816"/>
      <c r="FO87" s="816"/>
      <c r="FP87" s="816"/>
      <c r="FQ87" s="816"/>
      <c r="FR87" s="816"/>
      <c r="FS87" s="816"/>
      <c r="FT87" s="816"/>
      <c r="FU87" s="816"/>
      <c r="FV87" s="816"/>
      <c r="FW87" s="816"/>
      <c r="FX87" s="816"/>
      <c r="FY87" s="816"/>
      <c r="FZ87" s="819"/>
      <c r="GA87" s="816"/>
      <c r="GB87" s="820"/>
      <c r="GC87" s="820"/>
      <c r="GD87" s="820"/>
      <c r="GE87" s="820"/>
      <c r="GF87" s="817"/>
      <c r="GG87" s="609"/>
      <c r="GH87" s="816"/>
      <c r="GI87" s="816"/>
      <c r="GJ87" s="816"/>
      <c r="GK87" s="816"/>
      <c r="GL87" s="816"/>
      <c r="GM87" s="816"/>
      <c r="GN87" s="816"/>
      <c r="GO87" s="816"/>
      <c r="GP87" s="816"/>
      <c r="GQ87" s="816"/>
      <c r="GR87" s="816"/>
      <c r="GS87" s="816"/>
      <c r="GT87" s="818"/>
      <c r="GU87" s="816"/>
      <c r="GV87" s="816"/>
      <c r="GW87" s="816"/>
      <c r="GX87" s="816"/>
      <c r="GY87" s="816"/>
      <c r="GZ87" s="816"/>
      <c r="HA87" s="816"/>
      <c r="HB87" s="609"/>
      <c r="HC87" s="609"/>
      <c r="HD87" s="816"/>
      <c r="HE87" s="816"/>
      <c r="HF87" s="816"/>
      <c r="HG87" s="816"/>
      <c r="HH87" s="816"/>
      <c r="HI87" s="816"/>
      <c r="HJ87" s="609"/>
      <c r="HK87" s="609"/>
      <c r="HL87" s="609"/>
      <c r="HM87" s="816"/>
      <c r="HN87" s="816"/>
      <c r="HO87" s="609"/>
      <c r="HP87" s="609"/>
      <c r="HQ87" s="816"/>
      <c r="HR87" s="816"/>
      <c r="HS87" s="816"/>
      <c r="HT87" s="816"/>
      <c r="HU87" s="816"/>
      <c r="HV87" s="816"/>
      <c r="HW87" s="609"/>
      <c r="HX87" s="609"/>
      <c r="HY87" s="816"/>
      <c r="HZ87" s="816"/>
      <c r="IA87" s="816"/>
      <c r="IB87" s="816"/>
      <c r="IC87" s="816"/>
      <c r="ID87" s="816"/>
      <c r="IE87" s="609"/>
      <c r="IF87" s="609"/>
      <c r="IG87" s="816"/>
      <c r="IH87" s="816"/>
      <c r="II87" s="609"/>
      <c r="IJ87" s="609"/>
      <c r="IK87" s="816"/>
      <c r="IL87" s="816"/>
      <c r="IM87" s="609"/>
      <c r="IN87" s="609"/>
      <c r="IO87" s="816"/>
      <c r="IP87" s="816"/>
      <c r="IQ87" s="816"/>
      <c r="IR87" s="816"/>
      <c r="IS87" s="816"/>
      <c r="IT87" s="816"/>
      <c r="IU87" s="821"/>
      <c r="IV87" s="609"/>
      <c r="IW87" s="816"/>
      <c r="IX87" s="816"/>
      <c r="IY87" s="822"/>
      <c r="IZ87" s="609"/>
      <c r="JA87" s="816"/>
      <c r="JB87" s="816"/>
      <c r="JC87" s="609"/>
      <c r="JD87" s="816"/>
      <c r="JE87" s="816"/>
      <c r="JF87" s="816"/>
      <c r="JG87" s="816"/>
      <c r="JH87" s="816"/>
      <c r="JI87" s="816"/>
      <c r="JJ87" s="816"/>
      <c r="JK87" s="816"/>
      <c r="JL87" s="816"/>
      <c r="JM87" s="816"/>
      <c r="JN87" s="816"/>
      <c r="JO87" s="823"/>
      <c r="JP87" s="824"/>
      <c r="JQ87" s="825"/>
      <c r="JR87" s="825"/>
      <c r="JS87" s="816"/>
      <c r="JU87" s="826"/>
      <c r="JV87" s="826"/>
      <c r="JW87" s="826"/>
      <c r="JX87" s="826"/>
    </row>
    <row r="88" spans="2:284" s="780" customFormat="1">
      <c r="B88" s="609"/>
      <c r="C88" s="609"/>
      <c r="D88" s="609"/>
      <c r="E88" s="609"/>
      <c r="F88" s="609"/>
      <c r="G88" s="609"/>
      <c r="H88" s="609"/>
      <c r="I88" s="609"/>
      <c r="J88" s="609"/>
      <c r="K88" s="609"/>
      <c r="L88" s="609"/>
      <c r="M88" s="609"/>
      <c r="N88" s="609"/>
      <c r="O88" s="609"/>
      <c r="P88" s="609"/>
      <c r="Q88" s="609"/>
      <c r="R88" s="609"/>
      <c r="S88" s="609"/>
      <c r="T88" s="609"/>
      <c r="U88" s="609"/>
      <c r="V88" s="609"/>
      <c r="W88" s="609"/>
      <c r="X88" s="609"/>
      <c r="Y88" s="609"/>
      <c r="Z88" s="609"/>
      <c r="AA88" s="609"/>
      <c r="AB88" s="609"/>
      <c r="AC88" s="609"/>
      <c r="AD88" s="816"/>
      <c r="AE88" s="816"/>
      <c r="AF88" s="816"/>
      <c r="AG88" s="816"/>
      <c r="AH88" s="816"/>
      <c r="AI88" s="816"/>
      <c r="AJ88" s="609"/>
      <c r="AK88" s="609"/>
      <c r="AL88" s="816"/>
      <c r="AM88" s="816"/>
      <c r="AN88" s="609"/>
      <c r="AO88" s="609"/>
      <c r="AP88" s="816"/>
      <c r="AQ88" s="816"/>
      <c r="AR88" s="816"/>
      <c r="AS88" s="816"/>
      <c r="AT88" s="816"/>
      <c r="AU88" s="816"/>
      <c r="AV88" s="609"/>
      <c r="AW88" s="609"/>
      <c r="AX88" s="816"/>
      <c r="AY88" s="816"/>
      <c r="AZ88" s="817"/>
      <c r="BA88" s="609"/>
      <c r="BB88" s="609"/>
      <c r="BC88" s="816"/>
      <c r="BD88" s="816"/>
      <c r="BE88" s="816"/>
      <c r="BF88" s="816"/>
      <c r="BG88" s="816"/>
      <c r="BH88" s="816"/>
      <c r="BI88" s="816"/>
      <c r="BJ88" s="816"/>
      <c r="BK88" s="816"/>
      <c r="BL88" s="816"/>
      <c r="BM88" s="816"/>
      <c r="BN88" s="816"/>
      <c r="BO88" s="816"/>
      <c r="BP88" s="816"/>
      <c r="BQ88" s="816"/>
      <c r="BR88" s="816"/>
      <c r="BS88" s="816"/>
      <c r="BT88" s="816"/>
      <c r="BU88" s="816"/>
      <c r="BV88" s="816"/>
      <c r="BW88" s="816"/>
      <c r="BX88" s="609"/>
      <c r="BY88" s="609"/>
      <c r="BZ88" s="609"/>
      <c r="CA88" s="818"/>
      <c r="CB88" s="816"/>
      <c r="CC88" s="816"/>
      <c r="CD88" s="816"/>
      <c r="CE88" s="816"/>
      <c r="CF88" s="816"/>
      <c r="CG88" s="816"/>
      <c r="CH88" s="816"/>
      <c r="CI88" s="816"/>
      <c r="CJ88" s="819"/>
      <c r="CK88" s="819"/>
      <c r="CL88" s="820"/>
      <c r="CM88" s="820"/>
      <c r="CN88" s="820"/>
      <c r="CO88" s="820"/>
      <c r="CP88" s="820"/>
      <c r="CQ88" s="820"/>
      <c r="CR88" s="609"/>
      <c r="CS88" s="609"/>
      <c r="CT88" s="816"/>
      <c r="CU88" s="816"/>
      <c r="CV88" s="609"/>
      <c r="CW88" s="609"/>
      <c r="CX88" s="816"/>
      <c r="CY88" s="816"/>
      <c r="CZ88" s="609"/>
      <c r="DA88" s="609"/>
      <c r="DB88" s="816"/>
      <c r="DC88" s="816"/>
      <c r="DD88" s="609"/>
      <c r="DE88" s="609"/>
      <c r="DF88" s="816"/>
      <c r="DG88" s="816"/>
      <c r="DH88" s="816"/>
      <c r="DI88" s="816"/>
      <c r="DJ88" s="816"/>
      <c r="DK88" s="816"/>
      <c r="DL88" s="609"/>
      <c r="DM88" s="609"/>
      <c r="DN88" s="816"/>
      <c r="DO88" s="816"/>
      <c r="DP88" s="609"/>
      <c r="DQ88" s="609"/>
      <c r="DR88" s="816"/>
      <c r="DS88" s="816"/>
      <c r="DT88" s="816"/>
      <c r="DU88" s="816"/>
      <c r="DV88" s="816"/>
      <c r="DW88" s="816"/>
      <c r="DX88" s="816"/>
      <c r="DY88" s="816"/>
      <c r="DZ88" s="816"/>
      <c r="EA88" s="816"/>
      <c r="EB88" s="816"/>
      <c r="EC88" s="816"/>
      <c r="ED88" s="816"/>
      <c r="EE88" s="816"/>
      <c r="EF88" s="609"/>
      <c r="EG88" s="609"/>
      <c r="EH88" s="816"/>
      <c r="EI88" s="816"/>
      <c r="EJ88" s="816"/>
      <c r="EK88" s="816"/>
      <c r="EL88" s="816"/>
      <c r="EM88" s="816"/>
      <c r="EN88" s="816"/>
      <c r="EO88" s="816"/>
      <c r="EP88" s="816"/>
      <c r="EQ88" s="816"/>
      <c r="ER88" s="816"/>
      <c r="ES88" s="816"/>
      <c r="ET88" s="816"/>
      <c r="EU88" s="816"/>
      <c r="EV88" s="609"/>
      <c r="EW88" s="609"/>
      <c r="EX88" s="816"/>
      <c r="EY88" s="816"/>
      <c r="EZ88" s="816"/>
      <c r="FA88" s="816"/>
      <c r="FB88" s="816"/>
      <c r="FC88" s="816"/>
      <c r="FD88" s="816"/>
      <c r="FE88" s="816"/>
      <c r="FF88" s="816"/>
      <c r="FG88" s="816"/>
      <c r="FH88" s="816"/>
      <c r="FI88" s="816"/>
      <c r="FJ88" s="816"/>
      <c r="FK88" s="816"/>
      <c r="FL88" s="816"/>
      <c r="FM88" s="816"/>
      <c r="FN88" s="816"/>
      <c r="FO88" s="816"/>
      <c r="FP88" s="816"/>
      <c r="FQ88" s="816"/>
      <c r="FR88" s="816"/>
      <c r="FS88" s="816"/>
      <c r="FT88" s="816"/>
      <c r="FU88" s="816"/>
      <c r="FV88" s="816"/>
      <c r="FW88" s="816"/>
      <c r="FX88" s="816"/>
      <c r="FY88" s="816"/>
      <c r="FZ88" s="819"/>
      <c r="GA88" s="816"/>
      <c r="GB88" s="820"/>
      <c r="GC88" s="820"/>
      <c r="GD88" s="820"/>
      <c r="GE88" s="820"/>
      <c r="GF88" s="609"/>
      <c r="GG88" s="609"/>
      <c r="GH88" s="816"/>
      <c r="GI88" s="816"/>
      <c r="GJ88" s="816"/>
      <c r="GK88" s="816"/>
      <c r="GL88" s="816"/>
      <c r="GM88" s="816"/>
      <c r="GN88" s="816"/>
      <c r="GO88" s="816"/>
      <c r="GP88" s="816"/>
      <c r="GQ88" s="816"/>
      <c r="GR88" s="816"/>
      <c r="GS88" s="816"/>
      <c r="GT88" s="818"/>
      <c r="GU88" s="816"/>
      <c r="GV88" s="816"/>
      <c r="GW88" s="816"/>
      <c r="GX88" s="816"/>
      <c r="GY88" s="816"/>
      <c r="GZ88" s="816"/>
      <c r="HA88" s="816"/>
      <c r="HB88" s="609"/>
      <c r="HC88" s="609"/>
      <c r="HD88" s="816"/>
      <c r="HE88" s="816"/>
      <c r="HF88" s="816"/>
      <c r="HG88" s="816"/>
      <c r="HH88" s="816"/>
      <c r="HI88" s="816"/>
      <c r="HJ88" s="609"/>
      <c r="HK88" s="609"/>
      <c r="HL88" s="609"/>
      <c r="HM88" s="816"/>
      <c r="HN88" s="816"/>
      <c r="HO88" s="609"/>
      <c r="HP88" s="609"/>
      <c r="HQ88" s="816"/>
      <c r="HR88" s="816"/>
      <c r="HS88" s="816"/>
      <c r="HT88" s="816"/>
      <c r="HU88" s="816"/>
      <c r="HV88" s="816"/>
      <c r="HW88" s="609"/>
      <c r="HX88" s="609"/>
      <c r="HY88" s="816"/>
      <c r="HZ88" s="816"/>
      <c r="IA88" s="816"/>
      <c r="IB88" s="816"/>
      <c r="IC88" s="816"/>
      <c r="ID88" s="816"/>
      <c r="IE88" s="609"/>
      <c r="IF88" s="609"/>
      <c r="IG88" s="816"/>
      <c r="IH88" s="816"/>
      <c r="II88" s="609"/>
      <c r="IJ88" s="609"/>
      <c r="IK88" s="816"/>
      <c r="IL88" s="816"/>
      <c r="IM88" s="609"/>
      <c r="IN88" s="609"/>
      <c r="IO88" s="816"/>
      <c r="IP88" s="816"/>
      <c r="IQ88" s="816"/>
      <c r="IR88" s="816"/>
      <c r="IS88" s="816"/>
      <c r="IT88" s="816"/>
      <c r="IU88" s="821"/>
      <c r="IV88" s="609"/>
      <c r="IW88" s="816"/>
      <c r="IX88" s="816"/>
      <c r="IY88" s="822"/>
      <c r="IZ88" s="609"/>
      <c r="JA88" s="816"/>
      <c r="JB88" s="816"/>
      <c r="JC88" s="609"/>
      <c r="JD88" s="816"/>
      <c r="JE88" s="816"/>
      <c r="JF88" s="816"/>
      <c r="JG88" s="816"/>
      <c r="JH88" s="816"/>
      <c r="JI88" s="816"/>
      <c r="JJ88" s="816"/>
      <c r="JK88" s="816"/>
      <c r="JL88" s="816"/>
      <c r="JM88" s="816"/>
      <c r="JN88" s="816"/>
      <c r="JO88" s="823"/>
      <c r="JP88" s="824"/>
      <c r="JQ88" s="825"/>
      <c r="JR88" s="825"/>
      <c r="JS88" s="816"/>
      <c r="JU88" s="826"/>
      <c r="JV88" s="826"/>
      <c r="JW88" s="826"/>
      <c r="JX88" s="826"/>
    </row>
    <row r="89" spans="2:284" s="780" customFormat="1">
      <c r="B89" s="609"/>
      <c r="C89" s="609"/>
      <c r="D89" s="609"/>
      <c r="E89" s="609"/>
      <c r="F89" s="609"/>
      <c r="G89" s="609"/>
      <c r="H89" s="609"/>
      <c r="I89" s="609"/>
      <c r="J89" s="609"/>
      <c r="K89" s="609"/>
      <c r="L89" s="609"/>
      <c r="M89" s="609"/>
      <c r="N89" s="609"/>
      <c r="O89" s="609"/>
      <c r="P89" s="609"/>
      <c r="Q89" s="609"/>
      <c r="R89" s="609"/>
      <c r="S89" s="609"/>
      <c r="T89" s="609"/>
      <c r="U89" s="609"/>
      <c r="V89" s="609"/>
      <c r="W89" s="609"/>
      <c r="X89" s="609"/>
      <c r="Y89" s="609"/>
      <c r="Z89" s="609"/>
      <c r="AA89" s="609"/>
      <c r="AB89" s="609"/>
      <c r="AC89" s="609"/>
      <c r="AD89" s="816"/>
      <c r="AE89" s="816"/>
      <c r="AF89" s="816"/>
      <c r="AG89" s="816"/>
      <c r="AH89" s="816"/>
      <c r="AI89" s="816"/>
      <c r="AJ89" s="609"/>
      <c r="AK89" s="609"/>
      <c r="AL89" s="816"/>
      <c r="AM89" s="816"/>
      <c r="AN89" s="609"/>
      <c r="AO89" s="609"/>
      <c r="AP89" s="816"/>
      <c r="AQ89" s="816"/>
      <c r="AR89" s="816"/>
      <c r="AS89" s="816"/>
      <c r="AT89" s="816"/>
      <c r="AU89" s="816"/>
      <c r="AV89" s="609"/>
      <c r="AW89" s="609"/>
      <c r="AX89" s="816"/>
      <c r="AY89" s="816"/>
      <c r="AZ89" s="817"/>
      <c r="BA89" s="609"/>
      <c r="BB89" s="609"/>
      <c r="BC89" s="816"/>
      <c r="BD89" s="816"/>
      <c r="BE89" s="816"/>
      <c r="BF89" s="816"/>
      <c r="BG89" s="816"/>
      <c r="BH89" s="816"/>
      <c r="BI89" s="816"/>
      <c r="BJ89" s="816"/>
      <c r="BK89" s="816"/>
      <c r="BL89" s="816"/>
      <c r="BM89" s="816"/>
      <c r="BN89" s="816"/>
      <c r="BO89" s="816"/>
      <c r="BP89" s="816"/>
      <c r="BQ89" s="816"/>
      <c r="BR89" s="816"/>
      <c r="BS89" s="816"/>
      <c r="BT89" s="816"/>
      <c r="BU89" s="816"/>
      <c r="BV89" s="816"/>
      <c r="BW89" s="816"/>
      <c r="BX89" s="609"/>
      <c r="BY89" s="609"/>
      <c r="BZ89" s="609"/>
      <c r="CA89" s="818"/>
      <c r="CB89" s="816"/>
      <c r="CC89" s="816"/>
      <c r="CD89" s="816"/>
      <c r="CE89" s="816"/>
      <c r="CF89" s="816"/>
      <c r="CG89" s="816"/>
      <c r="CH89" s="816"/>
      <c r="CI89" s="816"/>
      <c r="CJ89" s="819"/>
      <c r="CK89" s="819"/>
      <c r="CL89" s="820"/>
      <c r="CM89" s="820"/>
      <c r="CN89" s="820"/>
      <c r="CO89" s="820"/>
      <c r="CP89" s="820"/>
      <c r="CQ89" s="820"/>
      <c r="CR89" s="609"/>
      <c r="CS89" s="609"/>
      <c r="CT89" s="816"/>
      <c r="CU89" s="816"/>
      <c r="CV89" s="609"/>
      <c r="CW89" s="609"/>
      <c r="CX89" s="816"/>
      <c r="CY89" s="816"/>
      <c r="CZ89" s="609"/>
      <c r="DA89" s="609"/>
      <c r="DB89" s="816"/>
      <c r="DC89" s="816"/>
      <c r="DD89" s="609"/>
      <c r="DE89" s="609"/>
      <c r="DF89" s="816"/>
      <c r="DG89" s="816"/>
      <c r="DH89" s="816"/>
      <c r="DI89" s="816"/>
      <c r="DJ89" s="816"/>
      <c r="DK89" s="816"/>
      <c r="DL89" s="609"/>
      <c r="DM89" s="609"/>
      <c r="DN89" s="816"/>
      <c r="DO89" s="816"/>
      <c r="DP89" s="609"/>
      <c r="DQ89" s="609"/>
      <c r="DR89" s="816"/>
      <c r="DS89" s="816"/>
      <c r="DT89" s="816"/>
      <c r="DU89" s="816"/>
      <c r="DV89" s="816"/>
      <c r="DW89" s="816"/>
      <c r="DX89" s="816"/>
      <c r="DY89" s="816"/>
      <c r="DZ89" s="816"/>
      <c r="EA89" s="816"/>
      <c r="EB89" s="816"/>
      <c r="EC89" s="816"/>
      <c r="ED89" s="816"/>
      <c r="EE89" s="816"/>
      <c r="EF89" s="609"/>
      <c r="EG89" s="609"/>
      <c r="EH89" s="816"/>
      <c r="EI89" s="816"/>
      <c r="EJ89" s="816"/>
      <c r="EK89" s="816"/>
      <c r="EL89" s="816"/>
      <c r="EM89" s="816"/>
      <c r="EN89" s="816"/>
      <c r="EO89" s="816"/>
      <c r="EP89" s="816"/>
      <c r="EQ89" s="816"/>
      <c r="ER89" s="816"/>
      <c r="ES89" s="816"/>
      <c r="ET89" s="816"/>
      <c r="EU89" s="816"/>
      <c r="EV89" s="609"/>
      <c r="EW89" s="609"/>
      <c r="EX89" s="816"/>
      <c r="EY89" s="816"/>
      <c r="EZ89" s="816"/>
      <c r="FA89" s="816"/>
      <c r="FB89" s="816"/>
      <c r="FC89" s="816"/>
      <c r="FD89" s="816"/>
      <c r="FE89" s="816"/>
      <c r="FF89" s="816"/>
      <c r="FG89" s="816"/>
      <c r="FH89" s="816"/>
      <c r="FI89" s="816"/>
      <c r="FJ89" s="816"/>
      <c r="FK89" s="816"/>
      <c r="FL89" s="816"/>
      <c r="FM89" s="816"/>
      <c r="FN89" s="816"/>
      <c r="FO89" s="816"/>
      <c r="FP89" s="816"/>
      <c r="FQ89" s="816"/>
      <c r="FR89" s="816"/>
      <c r="FS89" s="816"/>
      <c r="FT89" s="816"/>
      <c r="FU89" s="816"/>
      <c r="FV89" s="816"/>
      <c r="FW89" s="816"/>
      <c r="FX89" s="816"/>
      <c r="FY89" s="816"/>
      <c r="FZ89" s="819"/>
      <c r="GA89" s="816"/>
      <c r="GB89" s="820"/>
      <c r="GC89" s="820"/>
      <c r="GD89" s="820"/>
      <c r="GE89" s="820"/>
      <c r="GF89" s="817"/>
      <c r="GG89" s="609"/>
      <c r="GH89" s="816"/>
      <c r="GI89" s="816"/>
      <c r="GJ89" s="816"/>
      <c r="GK89" s="816"/>
      <c r="GL89" s="816"/>
      <c r="GM89" s="816"/>
      <c r="GN89" s="816"/>
      <c r="GO89" s="816"/>
      <c r="GP89" s="816"/>
      <c r="GQ89" s="816"/>
      <c r="GR89" s="816"/>
      <c r="GS89" s="816"/>
      <c r="GT89" s="818"/>
      <c r="GU89" s="816"/>
      <c r="GV89" s="816"/>
      <c r="GW89" s="816"/>
      <c r="GX89" s="816"/>
      <c r="GY89" s="816"/>
      <c r="GZ89" s="816"/>
      <c r="HA89" s="816"/>
      <c r="HB89" s="609"/>
      <c r="HC89" s="609"/>
      <c r="HD89" s="816"/>
      <c r="HE89" s="816"/>
      <c r="HF89" s="816"/>
      <c r="HG89" s="816"/>
      <c r="HH89" s="816"/>
      <c r="HI89" s="816"/>
      <c r="HJ89" s="609"/>
      <c r="HK89" s="609"/>
      <c r="HL89" s="609"/>
      <c r="HM89" s="816"/>
      <c r="HN89" s="816"/>
      <c r="HO89" s="609"/>
      <c r="HP89" s="609"/>
      <c r="HQ89" s="816"/>
      <c r="HR89" s="816"/>
      <c r="HS89" s="816"/>
      <c r="HT89" s="816"/>
      <c r="HU89" s="816"/>
      <c r="HV89" s="816"/>
      <c r="HW89" s="609"/>
      <c r="HX89" s="609"/>
      <c r="HY89" s="816"/>
      <c r="HZ89" s="816"/>
      <c r="IA89" s="816"/>
      <c r="IB89" s="816"/>
      <c r="IC89" s="816"/>
      <c r="ID89" s="816"/>
      <c r="IE89" s="609"/>
      <c r="IF89" s="609"/>
      <c r="IG89" s="816"/>
      <c r="IH89" s="816"/>
      <c r="II89" s="609"/>
      <c r="IJ89" s="609"/>
      <c r="IK89" s="816"/>
      <c r="IL89" s="816"/>
      <c r="IM89" s="609"/>
      <c r="IN89" s="609"/>
      <c r="IO89" s="816"/>
      <c r="IP89" s="816"/>
      <c r="IQ89" s="816"/>
      <c r="IR89" s="816"/>
      <c r="IS89" s="816"/>
      <c r="IT89" s="816"/>
      <c r="IU89" s="821"/>
      <c r="IV89" s="609"/>
      <c r="IW89" s="816"/>
      <c r="IX89" s="816"/>
      <c r="IY89" s="822"/>
      <c r="IZ89" s="609"/>
      <c r="JA89" s="816"/>
      <c r="JB89" s="816"/>
      <c r="JC89" s="609"/>
      <c r="JD89" s="816"/>
      <c r="JE89" s="816"/>
      <c r="JF89" s="816"/>
      <c r="JG89" s="816"/>
      <c r="JH89" s="816"/>
      <c r="JI89" s="816"/>
      <c r="JJ89" s="816"/>
      <c r="JK89" s="816"/>
      <c r="JL89" s="816"/>
      <c r="JM89" s="816"/>
      <c r="JN89" s="816"/>
      <c r="JO89" s="823"/>
      <c r="JP89" s="824"/>
      <c r="JQ89" s="825"/>
      <c r="JR89" s="825"/>
      <c r="JS89" s="816"/>
      <c r="JU89" s="826"/>
      <c r="JV89" s="826"/>
      <c r="JW89" s="826"/>
      <c r="JX89" s="826"/>
    </row>
    <row r="90" spans="2:284" s="780" customFormat="1">
      <c r="B90" s="609"/>
      <c r="C90" s="609"/>
      <c r="D90" s="609"/>
      <c r="E90" s="609"/>
      <c r="F90" s="609"/>
      <c r="G90" s="609"/>
      <c r="H90" s="609"/>
      <c r="I90" s="609"/>
      <c r="J90" s="609"/>
      <c r="K90" s="609"/>
      <c r="L90" s="609"/>
      <c r="M90" s="609"/>
      <c r="N90" s="609"/>
      <c r="O90" s="609"/>
      <c r="P90" s="609"/>
      <c r="Q90" s="609"/>
      <c r="R90" s="609"/>
      <c r="S90" s="609"/>
      <c r="T90" s="609"/>
      <c r="U90" s="609"/>
      <c r="V90" s="609"/>
      <c r="W90" s="609"/>
      <c r="X90" s="609"/>
      <c r="Y90" s="609"/>
      <c r="Z90" s="609"/>
      <c r="AA90" s="609"/>
      <c r="AB90" s="609"/>
      <c r="AC90" s="609"/>
      <c r="AD90" s="816"/>
      <c r="AE90" s="816"/>
      <c r="AF90" s="816"/>
      <c r="AG90" s="816"/>
      <c r="AH90" s="816"/>
      <c r="AI90" s="816"/>
      <c r="AJ90" s="609"/>
      <c r="AK90" s="609"/>
      <c r="AL90" s="816"/>
      <c r="AM90" s="816"/>
      <c r="AN90" s="609"/>
      <c r="AO90" s="609"/>
      <c r="AP90" s="816"/>
      <c r="AQ90" s="816"/>
      <c r="AR90" s="816"/>
      <c r="AS90" s="816"/>
      <c r="AT90" s="816"/>
      <c r="AU90" s="816"/>
      <c r="AV90" s="609"/>
      <c r="AW90" s="609"/>
      <c r="AX90" s="816"/>
      <c r="AY90" s="816"/>
      <c r="AZ90" s="817"/>
      <c r="BA90" s="609"/>
      <c r="BB90" s="609"/>
      <c r="BC90" s="816"/>
      <c r="BD90" s="816"/>
      <c r="BE90" s="816"/>
      <c r="BF90" s="816"/>
      <c r="BG90" s="816"/>
      <c r="BH90" s="816"/>
      <c r="BI90" s="816"/>
      <c r="BJ90" s="816"/>
      <c r="BK90" s="816"/>
      <c r="BL90" s="816"/>
      <c r="BM90" s="816"/>
      <c r="BN90" s="816"/>
      <c r="BO90" s="816"/>
      <c r="BP90" s="816"/>
      <c r="BQ90" s="816"/>
      <c r="BR90" s="816"/>
      <c r="BS90" s="816"/>
      <c r="BT90" s="816"/>
      <c r="BU90" s="816"/>
      <c r="BV90" s="816"/>
      <c r="BW90" s="816"/>
      <c r="BX90" s="609"/>
      <c r="BY90" s="609"/>
      <c r="BZ90" s="609"/>
      <c r="CA90" s="818"/>
      <c r="CB90" s="816"/>
      <c r="CC90" s="816"/>
      <c r="CD90" s="816"/>
      <c r="CE90" s="816"/>
      <c r="CF90" s="816"/>
      <c r="CG90" s="816"/>
      <c r="CH90" s="816"/>
      <c r="CI90" s="816"/>
      <c r="CJ90" s="819"/>
      <c r="CK90" s="819"/>
      <c r="CL90" s="820"/>
      <c r="CM90" s="820"/>
      <c r="CN90" s="820"/>
      <c r="CO90" s="820"/>
      <c r="CP90" s="820"/>
      <c r="CQ90" s="820"/>
      <c r="CR90" s="609"/>
      <c r="CS90" s="609"/>
      <c r="CT90" s="816"/>
      <c r="CU90" s="816"/>
      <c r="CV90" s="609"/>
      <c r="CW90" s="609"/>
      <c r="CX90" s="816"/>
      <c r="CY90" s="816"/>
      <c r="CZ90" s="609"/>
      <c r="DA90" s="609"/>
      <c r="DB90" s="816"/>
      <c r="DC90" s="816"/>
      <c r="DD90" s="609"/>
      <c r="DE90" s="609"/>
      <c r="DF90" s="816"/>
      <c r="DG90" s="816"/>
      <c r="DH90" s="816"/>
      <c r="DI90" s="816"/>
      <c r="DJ90" s="816"/>
      <c r="DK90" s="816"/>
      <c r="DL90" s="609"/>
      <c r="DM90" s="609"/>
      <c r="DN90" s="816"/>
      <c r="DO90" s="816"/>
      <c r="DP90" s="609"/>
      <c r="DQ90" s="609"/>
      <c r="DR90" s="816"/>
      <c r="DS90" s="816"/>
      <c r="DT90" s="816"/>
      <c r="DU90" s="816"/>
      <c r="DV90" s="816"/>
      <c r="DW90" s="816"/>
      <c r="DX90" s="816"/>
      <c r="DY90" s="816"/>
      <c r="DZ90" s="816"/>
      <c r="EA90" s="816"/>
      <c r="EB90" s="816"/>
      <c r="EC90" s="816"/>
      <c r="ED90" s="816"/>
      <c r="EE90" s="816"/>
      <c r="EF90" s="609"/>
      <c r="EG90" s="609"/>
      <c r="EH90" s="816"/>
      <c r="EI90" s="816"/>
      <c r="EJ90" s="816"/>
      <c r="EK90" s="816"/>
      <c r="EL90" s="816"/>
      <c r="EM90" s="816"/>
      <c r="EN90" s="816"/>
      <c r="EO90" s="816"/>
      <c r="EP90" s="816"/>
      <c r="EQ90" s="816"/>
      <c r="ER90" s="816"/>
      <c r="ES90" s="816"/>
      <c r="ET90" s="816"/>
      <c r="EU90" s="816"/>
      <c r="EV90" s="609"/>
      <c r="EW90" s="609"/>
      <c r="EX90" s="816"/>
      <c r="EY90" s="816"/>
      <c r="EZ90" s="816"/>
      <c r="FA90" s="816"/>
      <c r="FB90" s="816"/>
      <c r="FC90" s="816"/>
      <c r="FD90" s="816"/>
      <c r="FE90" s="816"/>
      <c r="FF90" s="816"/>
      <c r="FG90" s="816"/>
      <c r="FH90" s="816"/>
      <c r="FI90" s="816"/>
      <c r="FJ90" s="816"/>
      <c r="FK90" s="816"/>
      <c r="FL90" s="816"/>
      <c r="FM90" s="816"/>
      <c r="FN90" s="816"/>
      <c r="FO90" s="816"/>
      <c r="FP90" s="816"/>
      <c r="FQ90" s="816"/>
      <c r="FR90" s="816"/>
      <c r="FS90" s="816"/>
      <c r="FT90" s="816"/>
      <c r="FU90" s="816"/>
      <c r="FV90" s="816"/>
      <c r="FW90" s="816"/>
      <c r="FX90" s="816"/>
      <c r="FY90" s="816"/>
      <c r="FZ90" s="819"/>
      <c r="GA90" s="816"/>
      <c r="GB90" s="820"/>
      <c r="GC90" s="820"/>
      <c r="GD90" s="820"/>
      <c r="GE90" s="820"/>
      <c r="GF90" s="817"/>
      <c r="GG90" s="609"/>
      <c r="GH90" s="816"/>
      <c r="GI90" s="816"/>
      <c r="GJ90" s="816"/>
      <c r="GK90" s="816"/>
      <c r="GL90" s="816"/>
      <c r="GM90" s="816"/>
      <c r="GN90" s="816"/>
      <c r="GO90" s="816"/>
      <c r="GP90" s="816"/>
      <c r="GQ90" s="816"/>
      <c r="GR90" s="816"/>
      <c r="GS90" s="816"/>
      <c r="GT90" s="818"/>
      <c r="GU90" s="816"/>
      <c r="GV90" s="816"/>
      <c r="GW90" s="816"/>
      <c r="GX90" s="816"/>
      <c r="GY90" s="816"/>
      <c r="GZ90" s="816"/>
      <c r="HA90" s="816"/>
      <c r="HB90" s="609"/>
      <c r="HC90" s="609"/>
      <c r="HD90" s="816"/>
      <c r="HE90" s="816"/>
      <c r="HF90" s="816"/>
      <c r="HG90" s="816"/>
      <c r="HH90" s="816"/>
      <c r="HI90" s="816"/>
      <c r="HJ90" s="609"/>
      <c r="HK90" s="609"/>
      <c r="HL90" s="609"/>
      <c r="HM90" s="816"/>
      <c r="HN90" s="816"/>
      <c r="HO90" s="609"/>
      <c r="HP90" s="609"/>
      <c r="HQ90" s="816"/>
      <c r="HR90" s="816"/>
      <c r="HS90" s="816"/>
      <c r="HT90" s="816"/>
      <c r="HU90" s="816"/>
      <c r="HV90" s="816"/>
      <c r="HW90" s="609"/>
      <c r="HX90" s="609"/>
      <c r="HY90" s="816"/>
      <c r="HZ90" s="816"/>
      <c r="IA90" s="816"/>
      <c r="IB90" s="816"/>
      <c r="IC90" s="816"/>
      <c r="ID90" s="816"/>
      <c r="IE90" s="609"/>
      <c r="IF90" s="609"/>
      <c r="IG90" s="816"/>
      <c r="IH90" s="816"/>
      <c r="II90" s="609"/>
      <c r="IJ90" s="609"/>
      <c r="IK90" s="816"/>
      <c r="IL90" s="816"/>
      <c r="IM90" s="609"/>
      <c r="IN90" s="609"/>
      <c r="IO90" s="816"/>
      <c r="IP90" s="816"/>
      <c r="IQ90" s="816"/>
      <c r="IR90" s="816"/>
      <c r="IS90" s="816"/>
      <c r="IT90" s="816"/>
      <c r="IU90" s="821"/>
      <c r="IV90" s="609"/>
      <c r="IW90" s="816"/>
      <c r="IX90" s="816"/>
      <c r="IY90" s="822"/>
      <c r="IZ90" s="609"/>
      <c r="JA90" s="816"/>
      <c r="JB90" s="816"/>
      <c r="JC90" s="609"/>
      <c r="JD90" s="816"/>
      <c r="JE90" s="816"/>
      <c r="JF90" s="816"/>
      <c r="JG90" s="816"/>
      <c r="JH90" s="816"/>
      <c r="JI90" s="816"/>
      <c r="JJ90" s="816"/>
      <c r="JK90" s="816"/>
      <c r="JL90" s="816"/>
      <c r="JM90" s="816"/>
      <c r="JN90" s="816"/>
      <c r="JO90" s="823"/>
      <c r="JP90" s="824"/>
      <c r="JQ90" s="825"/>
      <c r="JR90" s="825"/>
      <c r="JS90" s="816"/>
      <c r="JU90" s="826"/>
      <c r="JV90" s="826"/>
      <c r="JW90" s="826"/>
      <c r="JX90" s="826"/>
    </row>
    <row r="91" spans="2:284" s="780" customFormat="1"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609"/>
      <c r="AA91" s="609"/>
      <c r="AB91" s="609"/>
      <c r="AC91" s="609"/>
      <c r="AD91" s="816"/>
      <c r="AE91" s="816"/>
      <c r="AF91" s="816"/>
      <c r="AG91" s="816"/>
      <c r="AH91" s="816"/>
      <c r="AI91" s="816"/>
      <c r="AJ91" s="609"/>
      <c r="AK91" s="609"/>
      <c r="AL91" s="816"/>
      <c r="AM91" s="816"/>
      <c r="AN91" s="609"/>
      <c r="AO91" s="609"/>
      <c r="AP91" s="816"/>
      <c r="AQ91" s="816"/>
      <c r="AR91" s="816"/>
      <c r="AS91" s="816"/>
      <c r="AT91" s="816"/>
      <c r="AU91" s="816"/>
      <c r="AV91" s="609"/>
      <c r="AW91" s="609"/>
      <c r="AX91" s="816"/>
      <c r="AY91" s="816"/>
      <c r="AZ91" s="817"/>
      <c r="BA91" s="609"/>
      <c r="BB91" s="609"/>
      <c r="BC91" s="816"/>
      <c r="BD91" s="816"/>
      <c r="BE91" s="816"/>
      <c r="BF91" s="816"/>
      <c r="BG91" s="816"/>
      <c r="BH91" s="816"/>
      <c r="BI91" s="816"/>
      <c r="BJ91" s="816"/>
      <c r="BK91" s="816"/>
      <c r="BL91" s="816"/>
      <c r="BM91" s="816"/>
      <c r="BN91" s="816"/>
      <c r="BO91" s="816"/>
      <c r="BP91" s="816"/>
      <c r="BQ91" s="816"/>
      <c r="BR91" s="816"/>
      <c r="BS91" s="816"/>
      <c r="BT91" s="816"/>
      <c r="BU91" s="816"/>
      <c r="BV91" s="816"/>
      <c r="BW91" s="816"/>
      <c r="BX91" s="609"/>
      <c r="BY91" s="609"/>
      <c r="BZ91" s="609"/>
      <c r="CA91" s="818"/>
      <c r="CB91" s="816"/>
      <c r="CC91" s="816"/>
      <c r="CD91" s="816"/>
      <c r="CE91" s="816"/>
      <c r="CF91" s="816"/>
      <c r="CG91" s="816"/>
      <c r="CH91" s="816"/>
      <c r="CI91" s="816"/>
      <c r="CJ91" s="819"/>
      <c r="CK91" s="819"/>
      <c r="CL91" s="820"/>
      <c r="CM91" s="820"/>
      <c r="CN91" s="820"/>
      <c r="CO91" s="820"/>
      <c r="CP91" s="820"/>
      <c r="CQ91" s="820"/>
      <c r="CR91" s="609"/>
      <c r="CS91" s="609"/>
      <c r="CT91" s="816"/>
      <c r="CU91" s="816"/>
      <c r="CV91" s="609"/>
      <c r="CW91" s="609"/>
      <c r="CX91" s="816"/>
      <c r="CY91" s="816"/>
      <c r="CZ91" s="609"/>
      <c r="DA91" s="609"/>
      <c r="DB91" s="816"/>
      <c r="DC91" s="816"/>
      <c r="DD91" s="609"/>
      <c r="DE91" s="609"/>
      <c r="DF91" s="816"/>
      <c r="DG91" s="816"/>
      <c r="DH91" s="816"/>
      <c r="DI91" s="816"/>
      <c r="DJ91" s="816"/>
      <c r="DK91" s="816"/>
      <c r="DL91" s="609"/>
      <c r="DM91" s="609"/>
      <c r="DN91" s="816"/>
      <c r="DO91" s="816"/>
      <c r="DP91" s="609"/>
      <c r="DQ91" s="609"/>
      <c r="DR91" s="816"/>
      <c r="DS91" s="816"/>
      <c r="DT91" s="816"/>
      <c r="DU91" s="816"/>
      <c r="DV91" s="816"/>
      <c r="DW91" s="816"/>
      <c r="DX91" s="816"/>
      <c r="DY91" s="816"/>
      <c r="DZ91" s="816"/>
      <c r="EA91" s="816"/>
      <c r="EB91" s="816"/>
      <c r="EC91" s="816"/>
      <c r="ED91" s="816"/>
      <c r="EE91" s="816"/>
      <c r="EF91" s="609"/>
      <c r="EG91" s="609"/>
      <c r="EH91" s="816"/>
      <c r="EI91" s="816"/>
      <c r="EJ91" s="816"/>
      <c r="EK91" s="816"/>
      <c r="EL91" s="816"/>
      <c r="EM91" s="816"/>
      <c r="EN91" s="816"/>
      <c r="EO91" s="816"/>
      <c r="EP91" s="816"/>
      <c r="EQ91" s="816"/>
      <c r="ER91" s="816"/>
      <c r="ES91" s="816"/>
      <c r="ET91" s="816"/>
      <c r="EU91" s="816"/>
      <c r="EV91" s="609"/>
      <c r="EW91" s="609"/>
      <c r="EX91" s="816"/>
      <c r="EY91" s="816"/>
      <c r="EZ91" s="816"/>
      <c r="FA91" s="816"/>
      <c r="FB91" s="816"/>
      <c r="FC91" s="816"/>
      <c r="FD91" s="816"/>
      <c r="FE91" s="816"/>
      <c r="FF91" s="816"/>
      <c r="FG91" s="816"/>
      <c r="FH91" s="816"/>
      <c r="FI91" s="816"/>
      <c r="FJ91" s="816"/>
      <c r="FK91" s="816"/>
      <c r="FL91" s="816"/>
      <c r="FM91" s="816"/>
      <c r="FN91" s="816"/>
      <c r="FO91" s="816"/>
      <c r="FP91" s="816"/>
      <c r="FQ91" s="816"/>
      <c r="FR91" s="816"/>
      <c r="FS91" s="816"/>
      <c r="FT91" s="816"/>
      <c r="FU91" s="816"/>
      <c r="FV91" s="816"/>
      <c r="FW91" s="816"/>
      <c r="FX91" s="816"/>
      <c r="FY91" s="816"/>
      <c r="FZ91" s="819"/>
      <c r="GA91" s="816"/>
      <c r="GB91" s="820"/>
      <c r="GC91" s="820"/>
      <c r="GD91" s="820"/>
      <c r="GE91" s="820"/>
      <c r="GF91" s="817"/>
      <c r="GG91" s="609"/>
      <c r="GH91" s="816"/>
      <c r="GI91" s="816"/>
      <c r="GJ91" s="816"/>
      <c r="GK91" s="816"/>
      <c r="GL91" s="816"/>
      <c r="GM91" s="816"/>
      <c r="GN91" s="816"/>
      <c r="GO91" s="816"/>
      <c r="GP91" s="816"/>
      <c r="GQ91" s="816"/>
      <c r="GR91" s="816"/>
      <c r="GS91" s="816"/>
      <c r="GT91" s="818"/>
      <c r="GU91" s="816"/>
      <c r="GV91" s="816"/>
      <c r="GW91" s="816"/>
      <c r="GX91" s="816"/>
      <c r="GY91" s="816"/>
      <c r="GZ91" s="816"/>
      <c r="HA91" s="816"/>
      <c r="HB91" s="609"/>
      <c r="HC91" s="609"/>
      <c r="HD91" s="816"/>
      <c r="HE91" s="816"/>
      <c r="HF91" s="816"/>
      <c r="HG91" s="816"/>
      <c r="HH91" s="816"/>
      <c r="HI91" s="816"/>
      <c r="HJ91" s="609"/>
      <c r="HK91" s="609"/>
      <c r="HL91" s="609"/>
      <c r="HM91" s="816"/>
      <c r="HN91" s="816"/>
      <c r="HO91" s="609"/>
      <c r="HP91" s="609"/>
      <c r="HQ91" s="816"/>
      <c r="HR91" s="816"/>
      <c r="HS91" s="816"/>
      <c r="HT91" s="816"/>
      <c r="HU91" s="816"/>
      <c r="HV91" s="816"/>
      <c r="HW91" s="609"/>
      <c r="HX91" s="609"/>
      <c r="HY91" s="816"/>
      <c r="HZ91" s="816"/>
      <c r="IA91" s="816"/>
      <c r="IB91" s="816"/>
      <c r="IC91" s="816"/>
      <c r="ID91" s="816"/>
      <c r="IE91" s="609"/>
      <c r="IF91" s="609"/>
      <c r="IG91" s="816"/>
      <c r="IH91" s="816"/>
      <c r="II91" s="609"/>
      <c r="IJ91" s="609"/>
      <c r="IK91" s="816"/>
      <c r="IL91" s="816"/>
      <c r="IM91" s="609"/>
      <c r="IN91" s="609"/>
      <c r="IO91" s="816"/>
      <c r="IP91" s="816"/>
      <c r="IQ91" s="816"/>
      <c r="IR91" s="816"/>
      <c r="IS91" s="816"/>
      <c r="IT91" s="816"/>
      <c r="IU91" s="821"/>
      <c r="IV91" s="609"/>
      <c r="IW91" s="816"/>
      <c r="IX91" s="816"/>
      <c r="IY91" s="822"/>
      <c r="IZ91" s="609"/>
      <c r="JA91" s="816"/>
      <c r="JB91" s="816"/>
      <c r="JC91" s="609"/>
      <c r="JD91" s="816"/>
      <c r="JE91" s="816"/>
      <c r="JF91" s="816"/>
      <c r="JG91" s="816"/>
      <c r="JH91" s="816"/>
      <c r="JI91" s="816"/>
      <c r="JJ91" s="816"/>
      <c r="JK91" s="816"/>
      <c r="JL91" s="816"/>
      <c r="JM91" s="816"/>
      <c r="JN91" s="816"/>
      <c r="JO91" s="823"/>
      <c r="JP91" s="824"/>
      <c r="JQ91" s="825"/>
      <c r="JR91" s="825"/>
      <c r="JS91" s="816"/>
      <c r="JU91" s="826"/>
      <c r="JV91" s="826"/>
      <c r="JW91" s="826"/>
      <c r="JX91" s="826"/>
    </row>
    <row r="92" spans="2:284" s="780" customFormat="1">
      <c r="B92" s="609"/>
      <c r="C92" s="609"/>
      <c r="D92" s="609"/>
      <c r="E92" s="609"/>
      <c r="F92" s="609"/>
      <c r="G92" s="609"/>
      <c r="H92" s="609"/>
      <c r="I92" s="609"/>
      <c r="J92" s="609"/>
      <c r="K92" s="609"/>
      <c r="L92" s="609"/>
      <c r="M92" s="609"/>
      <c r="N92" s="609"/>
      <c r="O92" s="609"/>
      <c r="P92" s="609"/>
      <c r="Q92" s="609"/>
      <c r="R92" s="609"/>
      <c r="S92" s="609"/>
      <c r="T92" s="609"/>
      <c r="U92" s="609"/>
      <c r="V92" s="609"/>
      <c r="W92" s="609"/>
      <c r="X92" s="609"/>
      <c r="Y92" s="609"/>
      <c r="Z92" s="609"/>
      <c r="AA92" s="609"/>
      <c r="AB92" s="609"/>
      <c r="AC92" s="609"/>
      <c r="AD92" s="816"/>
      <c r="AE92" s="816"/>
      <c r="AF92" s="816"/>
      <c r="AG92" s="816"/>
      <c r="AH92" s="816"/>
      <c r="AI92" s="816"/>
      <c r="AJ92" s="609"/>
      <c r="AK92" s="609"/>
      <c r="AL92" s="816"/>
      <c r="AM92" s="816"/>
      <c r="AN92" s="609"/>
      <c r="AO92" s="609"/>
      <c r="AP92" s="816"/>
      <c r="AQ92" s="816"/>
      <c r="AR92" s="816"/>
      <c r="AS92" s="816"/>
      <c r="AT92" s="816"/>
      <c r="AU92" s="816"/>
      <c r="AV92" s="609"/>
      <c r="AW92" s="609"/>
      <c r="AX92" s="816"/>
      <c r="AY92" s="816"/>
      <c r="AZ92" s="817"/>
      <c r="BA92" s="609"/>
      <c r="BB92" s="609"/>
      <c r="BC92" s="816"/>
      <c r="BD92" s="816"/>
      <c r="BE92" s="816"/>
      <c r="BF92" s="816"/>
      <c r="BG92" s="816"/>
      <c r="BH92" s="816"/>
      <c r="BI92" s="816"/>
      <c r="BJ92" s="816"/>
      <c r="BK92" s="816"/>
      <c r="BL92" s="816"/>
      <c r="BM92" s="816"/>
      <c r="BN92" s="816"/>
      <c r="BO92" s="816"/>
      <c r="BP92" s="816"/>
      <c r="BQ92" s="816"/>
      <c r="BR92" s="816"/>
      <c r="BS92" s="816"/>
      <c r="BT92" s="816"/>
      <c r="BU92" s="816"/>
      <c r="BV92" s="816"/>
      <c r="BW92" s="816"/>
      <c r="BX92" s="609"/>
      <c r="BY92" s="609"/>
      <c r="BZ92" s="609"/>
      <c r="CA92" s="818"/>
      <c r="CB92" s="816"/>
      <c r="CC92" s="816"/>
      <c r="CD92" s="816"/>
      <c r="CE92" s="816"/>
      <c r="CF92" s="816"/>
      <c r="CG92" s="816"/>
      <c r="CH92" s="816"/>
      <c r="CI92" s="816"/>
      <c r="CJ92" s="819"/>
      <c r="CK92" s="819"/>
      <c r="CL92" s="820"/>
      <c r="CM92" s="820"/>
      <c r="CN92" s="820"/>
      <c r="CO92" s="820"/>
      <c r="CP92" s="820"/>
      <c r="CQ92" s="820"/>
      <c r="CR92" s="609"/>
      <c r="CS92" s="609"/>
      <c r="CT92" s="816"/>
      <c r="CU92" s="816"/>
      <c r="CV92" s="609"/>
      <c r="CW92" s="609"/>
      <c r="CX92" s="816"/>
      <c r="CY92" s="816"/>
      <c r="CZ92" s="609"/>
      <c r="DA92" s="609"/>
      <c r="DB92" s="816"/>
      <c r="DC92" s="816"/>
      <c r="DD92" s="609"/>
      <c r="DE92" s="609"/>
      <c r="DF92" s="816"/>
      <c r="DG92" s="816"/>
      <c r="DH92" s="816"/>
      <c r="DI92" s="816"/>
      <c r="DJ92" s="816"/>
      <c r="DK92" s="816"/>
      <c r="DL92" s="609"/>
      <c r="DM92" s="609"/>
      <c r="DN92" s="816"/>
      <c r="DO92" s="816"/>
      <c r="DP92" s="609"/>
      <c r="DQ92" s="609"/>
      <c r="DR92" s="816"/>
      <c r="DS92" s="816"/>
      <c r="DT92" s="816"/>
      <c r="DU92" s="816"/>
      <c r="DV92" s="816"/>
      <c r="DW92" s="816"/>
      <c r="DX92" s="816"/>
      <c r="DY92" s="816"/>
      <c r="DZ92" s="816"/>
      <c r="EA92" s="816"/>
      <c r="EB92" s="816"/>
      <c r="EC92" s="816"/>
      <c r="ED92" s="816"/>
      <c r="EE92" s="816"/>
      <c r="EF92" s="609"/>
      <c r="EG92" s="609"/>
      <c r="EH92" s="816"/>
      <c r="EI92" s="816"/>
      <c r="EJ92" s="816"/>
      <c r="EK92" s="816"/>
      <c r="EL92" s="816"/>
      <c r="EM92" s="816"/>
      <c r="EN92" s="816"/>
      <c r="EO92" s="816"/>
      <c r="EP92" s="816"/>
      <c r="EQ92" s="816"/>
      <c r="ER92" s="816"/>
      <c r="ES92" s="816"/>
      <c r="ET92" s="816"/>
      <c r="EU92" s="816"/>
      <c r="EV92" s="609"/>
      <c r="EW92" s="609"/>
      <c r="EX92" s="816"/>
      <c r="EY92" s="816"/>
      <c r="EZ92" s="816"/>
      <c r="FA92" s="816"/>
      <c r="FB92" s="816"/>
      <c r="FC92" s="816"/>
      <c r="FD92" s="816"/>
      <c r="FE92" s="816"/>
      <c r="FF92" s="816"/>
      <c r="FG92" s="816"/>
      <c r="FH92" s="816"/>
      <c r="FI92" s="816"/>
      <c r="FJ92" s="816"/>
      <c r="FK92" s="816"/>
      <c r="FL92" s="816"/>
      <c r="FM92" s="816"/>
      <c r="FN92" s="816"/>
      <c r="FO92" s="816"/>
      <c r="FP92" s="816"/>
      <c r="FQ92" s="816"/>
      <c r="FR92" s="816"/>
      <c r="FS92" s="816"/>
      <c r="FT92" s="816"/>
      <c r="FU92" s="816"/>
      <c r="FV92" s="816"/>
      <c r="FW92" s="816"/>
      <c r="FX92" s="816"/>
      <c r="FY92" s="816"/>
      <c r="FZ92" s="819"/>
      <c r="GA92" s="816"/>
      <c r="GB92" s="820"/>
      <c r="GC92" s="820"/>
      <c r="GD92" s="820"/>
      <c r="GE92" s="820"/>
      <c r="GF92" s="817"/>
      <c r="GG92" s="609"/>
      <c r="GH92" s="816"/>
      <c r="GI92" s="816"/>
      <c r="GJ92" s="816"/>
      <c r="GK92" s="816"/>
      <c r="GL92" s="816"/>
      <c r="GM92" s="816"/>
      <c r="GN92" s="816"/>
      <c r="GO92" s="816"/>
      <c r="GP92" s="816"/>
      <c r="GQ92" s="816"/>
      <c r="GR92" s="816"/>
      <c r="GS92" s="816"/>
      <c r="GT92" s="818"/>
      <c r="GU92" s="816"/>
      <c r="GV92" s="816"/>
      <c r="GW92" s="816"/>
      <c r="GX92" s="816"/>
      <c r="GY92" s="816"/>
      <c r="GZ92" s="816"/>
      <c r="HA92" s="816"/>
      <c r="HB92" s="609"/>
      <c r="HC92" s="609"/>
      <c r="HD92" s="816"/>
      <c r="HE92" s="816"/>
      <c r="HF92" s="816"/>
      <c r="HG92" s="816"/>
      <c r="HH92" s="816"/>
      <c r="HI92" s="816"/>
      <c r="HJ92" s="609"/>
      <c r="HK92" s="609"/>
      <c r="HL92" s="609"/>
      <c r="HM92" s="816"/>
      <c r="HN92" s="816"/>
      <c r="HO92" s="609"/>
      <c r="HP92" s="609"/>
      <c r="HQ92" s="816"/>
      <c r="HR92" s="816"/>
      <c r="HS92" s="816"/>
      <c r="HT92" s="816"/>
      <c r="HU92" s="816"/>
      <c r="HV92" s="816"/>
      <c r="HW92" s="609"/>
      <c r="HX92" s="609"/>
      <c r="HY92" s="816"/>
      <c r="HZ92" s="816"/>
      <c r="IA92" s="816"/>
      <c r="IB92" s="816"/>
      <c r="IC92" s="816"/>
      <c r="ID92" s="816"/>
      <c r="IE92" s="609"/>
      <c r="IF92" s="609"/>
      <c r="IG92" s="816"/>
      <c r="IH92" s="816"/>
      <c r="II92" s="609"/>
      <c r="IJ92" s="609"/>
      <c r="IK92" s="816"/>
      <c r="IL92" s="816"/>
      <c r="IM92" s="609"/>
      <c r="IN92" s="609"/>
      <c r="IO92" s="816"/>
      <c r="IP92" s="816"/>
      <c r="IQ92" s="816"/>
      <c r="IR92" s="816"/>
      <c r="IS92" s="816"/>
      <c r="IT92" s="816"/>
      <c r="IU92" s="821"/>
      <c r="IV92" s="609"/>
      <c r="IW92" s="816"/>
      <c r="IX92" s="816"/>
      <c r="IY92" s="822"/>
      <c r="IZ92" s="609"/>
      <c r="JA92" s="816"/>
      <c r="JB92" s="816"/>
      <c r="JC92" s="609"/>
      <c r="JD92" s="816"/>
      <c r="JE92" s="816"/>
      <c r="JF92" s="816"/>
      <c r="JG92" s="816"/>
      <c r="JH92" s="816"/>
      <c r="JI92" s="816"/>
      <c r="JJ92" s="816"/>
      <c r="JK92" s="816"/>
      <c r="JL92" s="816"/>
      <c r="JM92" s="816"/>
      <c r="JN92" s="816"/>
      <c r="JO92" s="823"/>
      <c r="JP92" s="824"/>
      <c r="JQ92" s="825"/>
      <c r="JR92" s="825"/>
      <c r="JS92" s="816"/>
      <c r="JU92" s="826"/>
      <c r="JV92" s="826"/>
      <c r="JW92" s="826"/>
      <c r="JX92" s="826"/>
    </row>
    <row r="93" spans="2:284" s="780" customFormat="1">
      <c r="B93" s="609"/>
      <c r="C93" s="609"/>
      <c r="D93" s="609"/>
      <c r="E93" s="609"/>
      <c r="F93" s="609"/>
      <c r="G93" s="609"/>
      <c r="H93" s="609"/>
      <c r="I93" s="609"/>
      <c r="J93" s="609"/>
      <c r="K93" s="609"/>
      <c r="L93" s="609"/>
      <c r="M93" s="609"/>
      <c r="N93" s="609"/>
      <c r="O93" s="609"/>
      <c r="P93" s="609"/>
      <c r="Q93" s="609"/>
      <c r="R93" s="609"/>
      <c r="S93" s="609"/>
      <c r="T93" s="609"/>
      <c r="U93" s="609"/>
      <c r="V93" s="609"/>
      <c r="W93" s="609"/>
      <c r="X93" s="609"/>
      <c r="Y93" s="609"/>
      <c r="Z93" s="609"/>
      <c r="AA93" s="609"/>
      <c r="AB93" s="609"/>
      <c r="AC93" s="609"/>
      <c r="AD93" s="816"/>
      <c r="AE93" s="816"/>
      <c r="AF93" s="816"/>
      <c r="AG93" s="816"/>
      <c r="AH93" s="816"/>
      <c r="AI93" s="816"/>
      <c r="AJ93" s="609"/>
      <c r="AK93" s="609"/>
      <c r="AL93" s="816"/>
      <c r="AM93" s="816"/>
      <c r="AN93" s="609"/>
      <c r="AO93" s="609"/>
      <c r="AP93" s="816"/>
      <c r="AQ93" s="816"/>
      <c r="AR93" s="816"/>
      <c r="AS93" s="816"/>
      <c r="AT93" s="816"/>
      <c r="AU93" s="816"/>
      <c r="AV93" s="609"/>
      <c r="AW93" s="609"/>
      <c r="AX93" s="816"/>
      <c r="AY93" s="816"/>
      <c r="AZ93" s="817"/>
      <c r="BA93" s="609"/>
      <c r="BB93" s="609"/>
      <c r="BC93" s="816"/>
      <c r="BD93" s="816"/>
      <c r="BE93" s="816"/>
      <c r="BF93" s="816"/>
      <c r="BG93" s="816"/>
      <c r="BH93" s="816"/>
      <c r="BI93" s="816"/>
      <c r="BJ93" s="816"/>
      <c r="BK93" s="816"/>
      <c r="BL93" s="816"/>
      <c r="BM93" s="816"/>
      <c r="BN93" s="816"/>
      <c r="BO93" s="816"/>
      <c r="BP93" s="816"/>
      <c r="BQ93" s="816"/>
      <c r="BR93" s="816"/>
      <c r="BS93" s="816"/>
      <c r="BT93" s="816"/>
      <c r="BU93" s="816"/>
      <c r="BV93" s="816"/>
      <c r="BW93" s="816"/>
      <c r="BX93" s="609"/>
      <c r="BY93" s="609"/>
      <c r="BZ93" s="609"/>
      <c r="CA93" s="818"/>
      <c r="CB93" s="816"/>
      <c r="CC93" s="816"/>
      <c r="CD93" s="816"/>
      <c r="CE93" s="816"/>
      <c r="CF93" s="816"/>
      <c r="CG93" s="816"/>
      <c r="CH93" s="816"/>
      <c r="CI93" s="816"/>
      <c r="CJ93" s="819"/>
      <c r="CK93" s="819"/>
      <c r="CL93" s="820"/>
      <c r="CM93" s="820"/>
      <c r="CN93" s="820"/>
      <c r="CO93" s="820"/>
      <c r="CP93" s="820"/>
      <c r="CQ93" s="820"/>
      <c r="CR93" s="609"/>
      <c r="CS93" s="609"/>
      <c r="CT93" s="816"/>
      <c r="CU93" s="816"/>
      <c r="CV93" s="609"/>
      <c r="CW93" s="609"/>
      <c r="CX93" s="816"/>
      <c r="CY93" s="816"/>
      <c r="CZ93" s="609"/>
      <c r="DA93" s="609"/>
      <c r="DB93" s="816"/>
      <c r="DC93" s="816"/>
      <c r="DD93" s="609"/>
      <c r="DE93" s="609"/>
      <c r="DF93" s="816"/>
      <c r="DG93" s="816"/>
      <c r="DH93" s="816"/>
      <c r="DI93" s="816"/>
      <c r="DJ93" s="816"/>
      <c r="DK93" s="816"/>
      <c r="DL93" s="609"/>
      <c r="DM93" s="609"/>
      <c r="DN93" s="816"/>
      <c r="DO93" s="816"/>
      <c r="DP93" s="609"/>
      <c r="DQ93" s="609"/>
      <c r="DR93" s="816"/>
      <c r="DS93" s="816"/>
      <c r="DT93" s="816"/>
      <c r="DU93" s="816"/>
      <c r="DV93" s="816"/>
      <c r="DW93" s="816"/>
      <c r="DX93" s="816"/>
      <c r="DY93" s="816"/>
      <c r="DZ93" s="816"/>
      <c r="EA93" s="816"/>
      <c r="EB93" s="816"/>
      <c r="EC93" s="816"/>
      <c r="ED93" s="816"/>
      <c r="EE93" s="816"/>
      <c r="EF93" s="609"/>
      <c r="EG93" s="609"/>
      <c r="EH93" s="816"/>
      <c r="EI93" s="816"/>
      <c r="EJ93" s="816"/>
      <c r="EK93" s="816"/>
      <c r="EL93" s="816"/>
      <c r="EM93" s="816"/>
      <c r="EN93" s="816"/>
      <c r="EO93" s="816"/>
      <c r="EP93" s="816"/>
      <c r="EQ93" s="816"/>
      <c r="ER93" s="816"/>
      <c r="ES93" s="816"/>
      <c r="ET93" s="816"/>
      <c r="EU93" s="816"/>
      <c r="EV93" s="609"/>
      <c r="EW93" s="609"/>
      <c r="EX93" s="816"/>
      <c r="EY93" s="816"/>
      <c r="EZ93" s="816"/>
      <c r="FA93" s="816"/>
      <c r="FB93" s="816"/>
      <c r="FC93" s="816"/>
      <c r="FD93" s="816"/>
      <c r="FE93" s="816"/>
      <c r="FF93" s="816"/>
      <c r="FG93" s="816"/>
      <c r="FH93" s="816"/>
      <c r="FI93" s="816"/>
      <c r="FJ93" s="816"/>
      <c r="FK93" s="816"/>
      <c r="FL93" s="816"/>
      <c r="FM93" s="816"/>
      <c r="FN93" s="816"/>
      <c r="FO93" s="816"/>
      <c r="FP93" s="816"/>
      <c r="FQ93" s="816"/>
      <c r="FR93" s="816"/>
      <c r="FS93" s="816"/>
      <c r="FT93" s="816"/>
      <c r="FU93" s="816"/>
      <c r="FV93" s="816"/>
      <c r="FW93" s="816"/>
      <c r="FX93" s="816"/>
      <c r="FY93" s="816"/>
      <c r="FZ93" s="819"/>
      <c r="GA93" s="816"/>
      <c r="GB93" s="820"/>
      <c r="GC93" s="820"/>
      <c r="GD93" s="820"/>
      <c r="GE93" s="820"/>
      <c r="GF93" s="609"/>
      <c r="GG93" s="609"/>
      <c r="GH93" s="816"/>
      <c r="GI93" s="816"/>
      <c r="GJ93" s="816"/>
      <c r="GK93" s="816"/>
      <c r="GL93" s="816"/>
      <c r="GM93" s="816"/>
      <c r="GN93" s="816"/>
      <c r="GO93" s="816"/>
      <c r="GP93" s="816"/>
      <c r="GQ93" s="816"/>
      <c r="GR93" s="816"/>
      <c r="GS93" s="816"/>
      <c r="GT93" s="818"/>
      <c r="GU93" s="816"/>
      <c r="GV93" s="816"/>
      <c r="GW93" s="816"/>
      <c r="GX93" s="816"/>
      <c r="GY93" s="816"/>
      <c r="GZ93" s="816"/>
      <c r="HA93" s="816"/>
      <c r="HB93" s="609"/>
      <c r="HC93" s="609"/>
      <c r="HD93" s="816"/>
      <c r="HE93" s="816"/>
      <c r="HF93" s="816"/>
      <c r="HG93" s="816"/>
      <c r="HH93" s="816"/>
      <c r="HI93" s="816"/>
      <c r="HJ93" s="609"/>
      <c r="HK93" s="609"/>
      <c r="HL93" s="609"/>
      <c r="HM93" s="816"/>
      <c r="HN93" s="816"/>
      <c r="HO93" s="609"/>
      <c r="HP93" s="609"/>
      <c r="HQ93" s="816"/>
      <c r="HR93" s="816"/>
      <c r="HS93" s="816"/>
      <c r="HT93" s="816"/>
      <c r="HU93" s="816"/>
      <c r="HV93" s="816"/>
      <c r="HW93" s="609"/>
      <c r="HX93" s="609"/>
      <c r="HY93" s="816"/>
      <c r="HZ93" s="816"/>
      <c r="IA93" s="816"/>
      <c r="IB93" s="816"/>
      <c r="IC93" s="816"/>
      <c r="ID93" s="816"/>
      <c r="IE93" s="609"/>
      <c r="IF93" s="609"/>
      <c r="IG93" s="816"/>
      <c r="IH93" s="816"/>
      <c r="II93" s="609"/>
      <c r="IJ93" s="609"/>
      <c r="IK93" s="816"/>
      <c r="IL93" s="816"/>
      <c r="IM93" s="609"/>
      <c r="IN93" s="609"/>
      <c r="IO93" s="816"/>
      <c r="IP93" s="816"/>
      <c r="IQ93" s="816"/>
      <c r="IR93" s="816"/>
      <c r="IS93" s="816"/>
      <c r="IT93" s="816"/>
      <c r="IU93" s="821"/>
      <c r="IV93" s="609"/>
      <c r="IW93" s="816"/>
      <c r="IX93" s="816"/>
      <c r="IY93" s="822"/>
      <c r="IZ93" s="609"/>
      <c r="JA93" s="816"/>
      <c r="JB93" s="816"/>
      <c r="JC93" s="609"/>
      <c r="JD93" s="816"/>
      <c r="JE93" s="816"/>
      <c r="JF93" s="816"/>
      <c r="JG93" s="816"/>
      <c r="JH93" s="816"/>
      <c r="JI93" s="816"/>
      <c r="JJ93" s="816"/>
      <c r="JK93" s="816"/>
      <c r="JL93" s="816"/>
      <c r="JM93" s="816"/>
      <c r="JN93" s="816"/>
      <c r="JO93" s="823"/>
      <c r="JP93" s="824"/>
      <c r="JQ93" s="825"/>
      <c r="JR93" s="825"/>
      <c r="JS93" s="816"/>
      <c r="JU93" s="826"/>
      <c r="JV93" s="826"/>
      <c r="JW93" s="826"/>
      <c r="JX93" s="826"/>
    </row>
    <row r="94" spans="2:284" s="780" customFormat="1">
      <c r="B94" s="609"/>
      <c r="C94" s="609"/>
      <c r="D94" s="609"/>
      <c r="E94" s="609"/>
      <c r="F94" s="609"/>
      <c r="G94" s="609"/>
      <c r="H94" s="609"/>
      <c r="I94" s="609"/>
      <c r="J94" s="609"/>
      <c r="K94" s="609"/>
      <c r="L94" s="609"/>
      <c r="M94" s="609"/>
      <c r="N94" s="609"/>
      <c r="O94" s="609"/>
      <c r="P94" s="609"/>
      <c r="Q94" s="609"/>
      <c r="R94" s="609"/>
      <c r="S94" s="609"/>
      <c r="T94" s="609"/>
      <c r="U94" s="609"/>
      <c r="V94" s="609"/>
      <c r="W94" s="609"/>
      <c r="X94" s="609"/>
      <c r="Y94" s="609"/>
      <c r="Z94" s="609"/>
      <c r="AA94" s="609"/>
      <c r="AB94" s="609"/>
      <c r="AC94" s="609"/>
      <c r="AD94" s="816"/>
      <c r="AE94" s="816"/>
      <c r="AF94" s="816"/>
      <c r="AG94" s="816"/>
      <c r="AH94" s="816"/>
      <c r="AI94" s="816"/>
      <c r="AJ94" s="609"/>
      <c r="AK94" s="609"/>
      <c r="AL94" s="816"/>
      <c r="AM94" s="816"/>
      <c r="AN94" s="609"/>
      <c r="AO94" s="609"/>
      <c r="AP94" s="816"/>
      <c r="AQ94" s="816"/>
      <c r="AR94" s="816"/>
      <c r="AS94" s="816"/>
      <c r="AT94" s="816"/>
      <c r="AU94" s="816"/>
      <c r="AV94" s="609"/>
      <c r="AW94" s="609"/>
      <c r="AX94" s="816"/>
      <c r="AY94" s="816"/>
      <c r="AZ94" s="817"/>
      <c r="BA94" s="609"/>
      <c r="BB94" s="609"/>
      <c r="BC94" s="816"/>
      <c r="BD94" s="816"/>
      <c r="BE94" s="816"/>
      <c r="BF94" s="816"/>
      <c r="BG94" s="816"/>
      <c r="BH94" s="816"/>
      <c r="BI94" s="816"/>
      <c r="BJ94" s="816"/>
      <c r="BK94" s="816"/>
      <c r="BL94" s="816"/>
      <c r="BM94" s="816"/>
      <c r="BN94" s="816"/>
      <c r="BO94" s="816"/>
      <c r="BP94" s="816"/>
      <c r="BQ94" s="816"/>
      <c r="BR94" s="816"/>
      <c r="BS94" s="816"/>
      <c r="BT94" s="816"/>
      <c r="BU94" s="816"/>
      <c r="BV94" s="816"/>
      <c r="BW94" s="816"/>
      <c r="BX94" s="609"/>
      <c r="BY94" s="609"/>
      <c r="BZ94" s="609"/>
      <c r="CA94" s="818"/>
      <c r="CB94" s="816"/>
      <c r="CC94" s="816"/>
      <c r="CD94" s="816"/>
      <c r="CE94" s="816"/>
      <c r="CF94" s="816"/>
      <c r="CG94" s="816"/>
      <c r="CH94" s="816"/>
      <c r="CI94" s="816"/>
      <c r="CJ94" s="819"/>
      <c r="CK94" s="819"/>
      <c r="CL94" s="820"/>
      <c r="CM94" s="820"/>
      <c r="CN94" s="820"/>
      <c r="CO94" s="820"/>
      <c r="CP94" s="820"/>
      <c r="CQ94" s="820"/>
      <c r="CR94" s="609"/>
      <c r="CS94" s="609"/>
      <c r="CT94" s="816"/>
      <c r="CU94" s="816"/>
      <c r="CV94" s="609"/>
      <c r="CW94" s="609"/>
      <c r="CX94" s="816"/>
      <c r="CY94" s="816"/>
      <c r="CZ94" s="609"/>
      <c r="DA94" s="609"/>
      <c r="DB94" s="816"/>
      <c r="DC94" s="816"/>
      <c r="DD94" s="609"/>
      <c r="DE94" s="609"/>
      <c r="DF94" s="816"/>
      <c r="DG94" s="816"/>
      <c r="DH94" s="816"/>
      <c r="DI94" s="816"/>
      <c r="DJ94" s="816"/>
      <c r="DK94" s="816"/>
      <c r="DL94" s="609"/>
      <c r="DM94" s="609"/>
      <c r="DN94" s="816"/>
      <c r="DO94" s="816"/>
      <c r="DP94" s="609"/>
      <c r="DQ94" s="609"/>
      <c r="DR94" s="816"/>
      <c r="DS94" s="816"/>
      <c r="DT94" s="816"/>
      <c r="DU94" s="816"/>
      <c r="DV94" s="816"/>
      <c r="DW94" s="816"/>
      <c r="DX94" s="816"/>
      <c r="DY94" s="816"/>
      <c r="DZ94" s="816"/>
      <c r="EA94" s="816"/>
      <c r="EB94" s="816"/>
      <c r="EC94" s="816"/>
      <c r="ED94" s="816"/>
      <c r="EE94" s="816"/>
      <c r="EF94" s="609"/>
      <c r="EG94" s="609"/>
      <c r="EH94" s="816"/>
      <c r="EI94" s="816"/>
      <c r="EJ94" s="816"/>
      <c r="EK94" s="816"/>
      <c r="EL94" s="816"/>
      <c r="EM94" s="816"/>
      <c r="EN94" s="816"/>
      <c r="EO94" s="816"/>
      <c r="EP94" s="816"/>
      <c r="EQ94" s="816"/>
      <c r="ER94" s="816"/>
      <c r="ES94" s="816"/>
      <c r="ET94" s="816"/>
      <c r="EU94" s="816"/>
      <c r="EV94" s="609"/>
      <c r="EW94" s="609"/>
      <c r="EX94" s="816"/>
      <c r="EY94" s="816"/>
      <c r="EZ94" s="816"/>
      <c r="FA94" s="816"/>
      <c r="FB94" s="816"/>
      <c r="FC94" s="816"/>
      <c r="FD94" s="816"/>
      <c r="FE94" s="816"/>
      <c r="FF94" s="816"/>
      <c r="FG94" s="816"/>
      <c r="FH94" s="816"/>
      <c r="FI94" s="816"/>
      <c r="FJ94" s="816"/>
      <c r="FK94" s="816"/>
      <c r="FL94" s="816"/>
      <c r="FM94" s="816"/>
      <c r="FN94" s="816"/>
      <c r="FO94" s="816"/>
      <c r="FP94" s="816"/>
      <c r="FQ94" s="816"/>
      <c r="FR94" s="816"/>
      <c r="FS94" s="816"/>
      <c r="FT94" s="816"/>
      <c r="FU94" s="816"/>
      <c r="FV94" s="816"/>
      <c r="FW94" s="816"/>
      <c r="FX94" s="816"/>
      <c r="FY94" s="816"/>
      <c r="FZ94" s="819"/>
      <c r="GA94" s="816"/>
      <c r="GB94" s="820"/>
      <c r="GC94" s="820"/>
      <c r="GD94" s="820"/>
      <c r="GE94" s="820"/>
      <c r="GF94" s="609"/>
      <c r="GG94" s="609"/>
      <c r="GH94" s="816"/>
      <c r="GI94" s="816"/>
      <c r="GJ94" s="816"/>
      <c r="GK94" s="816"/>
      <c r="GL94" s="816"/>
      <c r="GM94" s="816"/>
      <c r="GN94" s="816"/>
      <c r="GO94" s="816"/>
      <c r="GP94" s="816"/>
      <c r="GQ94" s="816"/>
      <c r="GR94" s="816"/>
      <c r="GS94" s="816"/>
      <c r="GT94" s="818"/>
      <c r="GU94" s="816"/>
      <c r="GV94" s="816"/>
      <c r="GW94" s="816"/>
      <c r="GX94" s="816"/>
      <c r="GY94" s="816"/>
      <c r="GZ94" s="816"/>
      <c r="HA94" s="816"/>
      <c r="HB94" s="609"/>
      <c r="HC94" s="609"/>
      <c r="HD94" s="816"/>
      <c r="HE94" s="816"/>
      <c r="HF94" s="816"/>
      <c r="HG94" s="816"/>
      <c r="HH94" s="816"/>
      <c r="HI94" s="816"/>
      <c r="HJ94" s="609"/>
      <c r="HK94" s="609"/>
      <c r="HL94" s="609"/>
      <c r="HM94" s="816"/>
      <c r="HN94" s="816"/>
      <c r="HO94" s="609"/>
      <c r="HP94" s="609"/>
      <c r="HQ94" s="816"/>
      <c r="HR94" s="816"/>
      <c r="HS94" s="816"/>
      <c r="HT94" s="816"/>
      <c r="HU94" s="816"/>
      <c r="HV94" s="816"/>
      <c r="HW94" s="609"/>
      <c r="HX94" s="609"/>
      <c r="HY94" s="816"/>
      <c r="HZ94" s="816"/>
      <c r="IA94" s="816"/>
      <c r="IB94" s="816"/>
      <c r="IC94" s="816"/>
      <c r="ID94" s="816"/>
      <c r="IE94" s="609"/>
      <c r="IF94" s="609"/>
      <c r="IG94" s="816"/>
      <c r="IH94" s="816"/>
      <c r="II94" s="609"/>
      <c r="IJ94" s="609"/>
      <c r="IK94" s="816"/>
      <c r="IL94" s="816"/>
      <c r="IM94" s="609"/>
      <c r="IN94" s="609"/>
      <c r="IO94" s="816"/>
      <c r="IP94" s="816"/>
      <c r="IQ94" s="816"/>
      <c r="IR94" s="816"/>
      <c r="IS94" s="816"/>
      <c r="IT94" s="816"/>
      <c r="IU94" s="821"/>
      <c r="IV94" s="609"/>
      <c r="IW94" s="816"/>
      <c r="IX94" s="816"/>
      <c r="IY94" s="822"/>
      <c r="IZ94" s="609"/>
      <c r="JA94" s="816"/>
      <c r="JB94" s="816"/>
      <c r="JC94" s="609"/>
      <c r="JD94" s="816"/>
      <c r="JE94" s="816"/>
      <c r="JF94" s="816"/>
      <c r="JG94" s="816"/>
      <c r="JH94" s="816"/>
      <c r="JI94" s="816"/>
      <c r="JJ94" s="816"/>
      <c r="JK94" s="816"/>
      <c r="JL94" s="816"/>
      <c r="JM94" s="816"/>
      <c r="JN94" s="816"/>
      <c r="JO94" s="823"/>
      <c r="JP94" s="824"/>
      <c r="JQ94" s="825"/>
      <c r="JR94" s="825"/>
      <c r="JS94" s="816"/>
      <c r="JU94" s="826"/>
      <c r="JV94" s="826"/>
      <c r="JW94" s="826"/>
      <c r="JX94" s="826"/>
    </row>
    <row r="95" spans="2:284" s="780" customFormat="1">
      <c r="B95" s="609"/>
      <c r="C95" s="609"/>
      <c r="D95" s="609"/>
      <c r="E95" s="609"/>
      <c r="F95" s="609"/>
      <c r="G95" s="609"/>
      <c r="H95" s="609"/>
      <c r="I95" s="609"/>
      <c r="J95" s="609"/>
      <c r="K95" s="609"/>
      <c r="L95" s="609"/>
      <c r="M95" s="609"/>
      <c r="N95" s="609"/>
      <c r="O95" s="609"/>
      <c r="P95" s="609"/>
      <c r="Q95" s="609"/>
      <c r="R95" s="609"/>
      <c r="S95" s="609"/>
      <c r="T95" s="609"/>
      <c r="U95" s="609"/>
      <c r="V95" s="609"/>
      <c r="W95" s="609"/>
      <c r="X95" s="609"/>
      <c r="Y95" s="609"/>
      <c r="Z95" s="609"/>
      <c r="AA95" s="609"/>
      <c r="AB95" s="609"/>
      <c r="AC95" s="609"/>
      <c r="AD95" s="816"/>
      <c r="AE95" s="816"/>
      <c r="AF95" s="816"/>
      <c r="AG95" s="816"/>
      <c r="AH95" s="816"/>
      <c r="AI95" s="816"/>
      <c r="AJ95" s="609"/>
      <c r="AK95" s="609"/>
      <c r="AL95" s="816"/>
      <c r="AM95" s="816"/>
      <c r="AN95" s="609"/>
      <c r="AO95" s="609"/>
      <c r="AP95" s="816"/>
      <c r="AQ95" s="816"/>
      <c r="AR95" s="816"/>
      <c r="AS95" s="816"/>
      <c r="AT95" s="816"/>
      <c r="AU95" s="816"/>
      <c r="AV95" s="609"/>
      <c r="AW95" s="609"/>
      <c r="AX95" s="816"/>
      <c r="AY95" s="816"/>
      <c r="AZ95" s="817"/>
      <c r="BA95" s="609"/>
      <c r="BB95" s="609"/>
      <c r="BC95" s="816"/>
      <c r="BD95" s="816"/>
      <c r="BE95" s="816"/>
      <c r="BF95" s="816"/>
      <c r="BG95" s="816"/>
      <c r="BH95" s="816"/>
      <c r="BI95" s="816"/>
      <c r="BJ95" s="816"/>
      <c r="BK95" s="816"/>
      <c r="BL95" s="816"/>
      <c r="BM95" s="816"/>
      <c r="BN95" s="816"/>
      <c r="BO95" s="816"/>
      <c r="BP95" s="816"/>
      <c r="BQ95" s="816"/>
      <c r="BR95" s="816"/>
      <c r="BS95" s="816"/>
      <c r="BT95" s="816"/>
      <c r="BU95" s="816"/>
      <c r="BV95" s="816"/>
      <c r="BW95" s="816"/>
      <c r="BX95" s="609"/>
      <c r="BY95" s="609"/>
      <c r="BZ95" s="609"/>
      <c r="CA95" s="818"/>
      <c r="CB95" s="816"/>
      <c r="CC95" s="816"/>
      <c r="CD95" s="816"/>
      <c r="CE95" s="816"/>
      <c r="CF95" s="816"/>
      <c r="CG95" s="816"/>
      <c r="CH95" s="816"/>
      <c r="CI95" s="816"/>
      <c r="CJ95" s="819"/>
      <c r="CK95" s="819"/>
      <c r="CL95" s="820"/>
      <c r="CM95" s="820"/>
      <c r="CN95" s="820"/>
      <c r="CO95" s="820"/>
      <c r="CP95" s="820"/>
      <c r="CQ95" s="820"/>
      <c r="CR95" s="609"/>
      <c r="CS95" s="609"/>
      <c r="CT95" s="816"/>
      <c r="CU95" s="816"/>
      <c r="CV95" s="609"/>
      <c r="CW95" s="609"/>
      <c r="CX95" s="816"/>
      <c r="CY95" s="816"/>
      <c r="CZ95" s="609"/>
      <c r="DA95" s="609"/>
      <c r="DB95" s="816"/>
      <c r="DC95" s="816"/>
      <c r="DD95" s="609"/>
      <c r="DE95" s="609"/>
      <c r="DF95" s="816"/>
      <c r="DG95" s="816"/>
      <c r="DH95" s="816"/>
      <c r="DI95" s="816"/>
      <c r="DJ95" s="816"/>
      <c r="DK95" s="816"/>
      <c r="DL95" s="609"/>
      <c r="DM95" s="609"/>
      <c r="DN95" s="816"/>
      <c r="DO95" s="816"/>
      <c r="DP95" s="609"/>
      <c r="DQ95" s="609"/>
      <c r="DR95" s="816"/>
      <c r="DS95" s="816"/>
      <c r="DT95" s="816"/>
      <c r="DU95" s="816"/>
      <c r="DV95" s="816"/>
      <c r="DW95" s="816"/>
      <c r="DX95" s="816"/>
      <c r="DY95" s="816"/>
      <c r="DZ95" s="816"/>
      <c r="EA95" s="816"/>
      <c r="EB95" s="816"/>
      <c r="EC95" s="816"/>
      <c r="ED95" s="816"/>
      <c r="EE95" s="816"/>
      <c r="EF95" s="609"/>
      <c r="EG95" s="609"/>
      <c r="EH95" s="816"/>
      <c r="EI95" s="816"/>
      <c r="EJ95" s="816"/>
      <c r="EK95" s="816"/>
      <c r="EL95" s="816"/>
      <c r="EM95" s="816"/>
      <c r="EN95" s="816"/>
      <c r="EO95" s="816"/>
      <c r="EP95" s="816"/>
      <c r="EQ95" s="816"/>
      <c r="ER95" s="816"/>
      <c r="ES95" s="816"/>
      <c r="ET95" s="816"/>
      <c r="EU95" s="816"/>
      <c r="EV95" s="609"/>
      <c r="EW95" s="609"/>
      <c r="EX95" s="816"/>
      <c r="EY95" s="816"/>
      <c r="EZ95" s="816"/>
      <c r="FA95" s="816"/>
      <c r="FB95" s="816"/>
      <c r="FC95" s="816"/>
      <c r="FD95" s="816"/>
      <c r="FE95" s="816"/>
      <c r="FF95" s="816"/>
      <c r="FG95" s="816"/>
      <c r="FH95" s="816"/>
      <c r="FI95" s="816"/>
      <c r="FJ95" s="816"/>
      <c r="FK95" s="816"/>
      <c r="FL95" s="816"/>
      <c r="FM95" s="816"/>
      <c r="FN95" s="816"/>
      <c r="FO95" s="816"/>
      <c r="FP95" s="816"/>
      <c r="FQ95" s="816"/>
      <c r="FR95" s="816"/>
      <c r="FS95" s="816"/>
      <c r="FT95" s="816"/>
      <c r="FU95" s="816"/>
      <c r="FV95" s="816"/>
      <c r="FW95" s="816"/>
      <c r="FX95" s="816"/>
      <c r="FY95" s="816"/>
      <c r="FZ95" s="819"/>
      <c r="GA95" s="816"/>
      <c r="GB95" s="820"/>
      <c r="GC95" s="820"/>
      <c r="GD95" s="820"/>
      <c r="GE95" s="820"/>
      <c r="GF95" s="609"/>
      <c r="GG95" s="609"/>
      <c r="GH95" s="816"/>
      <c r="GI95" s="816"/>
      <c r="GJ95" s="816"/>
      <c r="GK95" s="816"/>
      <c r="GL95" s="816"/>
      <c r="GM95" s="816"/>
      <c r="GN95" s="816"/>
      <c r="GO95" s="816"/>
      <c r="GP95" s="816"/>
      <c r="GQ95" s="816"/>
      <c r="GR95" s="816"/>
      <c r="GS95" s="816"/>
      <c r="GT95" s="818"/>
      <c r="GU95" s="816"/>
      <c r="GV95" s="816"/>
      <c r="GW95" s="816"/>
      <c r="GX95" s="816"/>
      <c r="GY95" s="816"/>
      <c r="GZ95" s="816"/>
      <c r="HA95" s="816"/>
      <c r="HB95" s="609"/>
      <c r="HC95" s="609"/>
      <c r="HD95" s="816"/>
      <c r="HE95" s="816"/>
      <c r="HF95" s="816"/>
      <c r="HG95" s="816"/>
      <c r="HH95" s="816"/>
      <c r="HI95" s="816"/>
      <c r="HJ95" s="609"/>
      <c r="HK95" s="609"/>
      <c r="HL95" s="609"/>
      <c r="HM95" s="816"/>
      <c r="HN95" s="816"/>
      <c r="HO95" s="609"/>
      <c r="HP95" s="609"/>
      <c r="HQ95" s="816"/>
      <c r="HR95" s="816"/>
      <c r="HS95" s="816"/>
      <c r="HT95" s="816"/>
      <c r="HU95" s="816"/>
      <c r="HV95" s="816"/>
      <c r="HW95" s="609"/>
      <c r="HX95" s="609"/>
      <c r="HY95" s="816"/>
      <c r="HZ95" s="816"/>
      <c r="IA95" s="816"/>
      <c r="IB95" s="816"/>
      <c r="IC95" s="816"/>
      <c r="ID95" s="816"/>
      <c r="IE95" s="609"/>
      <c r="IF95" s="609"/>
      <c r="IG95" s="816"/>
      <c r="IH95" s="816"/>
      <c r="II95" s="609"/>
      <c r="IJ95" s="609"/>
      <c r="IK95" s="816"/>
      <c r="IL95" s="816"/>
      <c r="IM95" s="609"/>
      <c r="IN95" s="609"/>
      <c r="IO95" s="816"/>
      <c r="IP95" s="816"/>
      <c r="IQ95" s="816"/>
      <c r="IR95" s="816"/>
      <c r="IS95" s="816"/>
      <c r="IT95" s="816"/>
      <c r="IU95" s="821"/>
      <c r="IV95" s="609"/>
      <c r="IW95" s="816"/>
      <c r="IX95" s="816"/>
      <c r="IY95" s="822"/>
      <c r="IZ95" s="609"/>
      <c r="JA95" s="816"/>
      <c r="JB95" s="816"/>
      <c r="JC95" s="609"/>
      <c r="JD95" s="816"/>
      <c r="JE95" s="816"/>
      <c r="JF95" s="816"/>
      <c r="JG95" s="816"/>
      <c r="JH95" s="816"/>
      <c r="JI95" s="816"/>
      <c r="JJ95" s="816"/>
      <c r="JK95" s="816"/>
      <c r="JL95" s="816"/>
      <c r="JM95" s="816"/>
      <c r="JN95" s="816"/>
      <c r="JO95" s="823"/>
      <c r="JP95" s="824"/>
      <c r="JQ95" s="825"/>
      <c r="JR95" s="825"/>
      <c r="JS95" s="816"/>
      <c r="JU95" s="826"/>
      <c r="JV95" s="826"/>
      <c r="JW95" s="826"/>
      <c r="JX95" s="826"/>
    </row>
    <row r="96" spans="2:284" s="780" customFormat="1">
      <c r="B96" s="609"/>
      <c r="C96" s="609"/>
      <c r="D96" s="609"/>
      <c r="E96" s="609"/>
      <c r="F96" s="609"/>
      <c r="G96" s="609"/>
      <c r="H96" s="609"/>
      <c r="I96" s="609"/>
      <c r="J96" s="609"/>
      <c r="K96" s="609"/>
      <c r="L96" s="609"/>
      <c r="M96" s="609"/>
      <c r="N96" s="609"/>
      <c r="O96" s="609"/>
      <c r="P96" s="609"/>
      <c r="Q96" s="609"/>
      <c r="R96" s="609"/>
      <c r="S96" s="609"/>
      <c r="T96" s="609"/>
      <c r="U96" s="609"/>
      <c r="V96" s="609"/>
      <c r="W96" s="609"/>
      <c r="X96" s="609"/>
      <c r="Y96" s="609"/>
      <c r="Z96" s="609"/>
      <c r="AA96" s="609"/>
      <c r="AB96" s="609"/>
      <c r="AC96" s="609"/>
      <c r="AD96" s="816"/>
      <c r="AE96" s="816"/>
      <c r="AF96" s="816"/>
      <c r="AG96" s="816"/>
      <c r="AH96" s="816"/>
      <c r="AI96" s="816"/>
      <c r="AJ96" s="609"/>
      <c r="AK96" s="609"/>
      <c r="AL96" s="816"/>
      <c r="AM96" s="816"/>
      <c r="AN96" s="609"/>
      <c r="AO96" s="609"/>
      <c r="AP96" s="816"/>
      <c r="AQ96" s="816"/>
      <c r="AR96" s="816"/>
      <c r="AS96" s="816"/>
      <c r="AT96" s="816"/>
      <c r="AU96" s="816"/>
      <c r="AV96" s="609"/>
      <c r="AW96" s="609"/>
      <c r="AX96" s="816"/>
      <c r="AY96" s="816"/>
      <c r="AZ96" s="817"/>
      <c r="BA96" s="609"/>
      <c r="BB96" s="609"/>
      <c r="BC96" s="816"/>
      <c r="BD96" s="816"/>
      <c r="BE96" s="816"/>
      <c r="BF96" s="816"/>
      <c r="BG96" s="816"/>
      <c r="BH96" s="816"/>
      <c r="BI96" s="816"/>
      <c r="BJ96" s="816"/>
      <c r="BK96" s="816"/>
      <c r="BL96" s="816"/>
      <c r="BM96" s="816"/>
      <c r="BN96" s="816"/>
      <c r="BO96" s="816"/>
      <c r="BP96" s="816"/>
      <c r="BQ96" s="816"/>
      <c r="BR96" s="816"/>
      <c r="BS96" s="816"/>
      <c r="BT96" s="816"/>
      <c r="BU96" s="816"/>
      <c r="BV96" s="816"/>
      <c r="BW96" s="816"/>
      <c r="BX96" s="609"/>
      <c r="BY96" s="609"/>
      <c r="BZ96" s="609"/>
      <c r="CA96" s="818"/>
      <c r="CB96" s="816"/>
      <c r="CC96" s="816"/>
      <c r="CD96" s="816"/>
      <c r="CE96" s="816"/>
      <c r="CF96" s="816"/>
      <c r="CG96" s="816"/>
      <c r="CH96" s="816"/>
      <c r="CI96" s="816"/>
      <c r="CJ96" s="819"/>
      <c r="CK96" s="819"/>
      <c r="CL96" s="820"/>
      <c r="CM96" s="820"/>
      <c r="CN96" s="820"/>
      <c r="CO96" s="820"/>
      <c r="CP96" s="820"/>
      <c r="CQ96" s="820"/>
      <c r="CR96" s="609"/>
      <c r="CS96" s="609"/>
      <c r="CT96" s="816"/>
      <c r="CU96" s="816"/>
      <c r="CV96" s="609"/>
      <c r="CW96" s="609"/>
      <c r="CX96" s="816"/>
      <c r="CY96" s="816"/>
      <c r="CZ96" s="609"/>
      <c r="DA96" s="609"/>
      <c r="DB96" s="816"/>
      <c r="DC96" s="816"/>
      <c r="DD96" s="609"/>
      <c r="DE96" s="609"/>
      <c r="DF96" s="816"/>
      <c r="DG96" s="816"/>
      <c r="DH96" s="816"/>
      <c r="DI96" s="816"/>
      <c r="DJ96" s="816"/>
      <c r="DK96" s="816"/>
      <c r="DL96" s="609"/>
      <c r="DM96" s="609"/>
      <c r="DN96" s="816"/>
      <c r="DO96" s="816"/>
      <c r="DP96" s="609"/>
      <c r="DQ96" s="609"/>
      <c r="DR96" s="816"/>
      <c r="DS96" s="816"/>
      <c r="DT96" s="816"/>
      <c r="DU96" s="816"/>
      <c r="DV96" s="816"/>
      <c r="DW96" s="816"/>
      <c r="DX96" s="816"/>
      <c r="DY96" s="816"/>
      <c r="DZ96" s="816"/>
      <c r="EA96" s="816"/>
      <c r="EB96" s="816"/>
      <c r="EC96" s="816"/>
      <c r="ED96" s="816"/>
      <c r="EE96" s="816"/>
      <c r="EF96" s="609"/>
      <c r="EG96" s="609"/>
      <c r="EH96" s="816"/>
      <c r="EI96" s="816"/>
      <c r="EJ96" s="816"/>
      <c r="EK96" s="816"/>
      <c r="EL96" s="816"/>
      <c r="EM96" s="816"/>
      <c r="EN96" s="816"/>
      <c r="EO96" s="816"/>
      <c r="EP96" s="816"/>
      <c r="EQ96" s="816"/>
      <c r="ER96" s="816"/>
      <c r="ES96" s="816"/>
      <c r="ET96" s="816"/>
      <c r="EU96" s="816"/>
      <c r="EV96" s="609"/>
      <c r="EW96" s="609"/>
      <c r="EX96" s="816"/>
      <c r="EY96" s="816"/>
      <c r="EZ96" s="816"/>
      <c r="FA96" s="816"/>
      <c r="FB96" s="816"/>
      <c r="FC96" s="816"/>
      <c r="FD96" s="816"/>
      <c r="FE96" s="816"/>
      <c r="FF96" s="816"/>
      <c r="FG96" s="816"/>
      <c r="FH96" s="816"/>
      <c r="FI96" s="816"/>
      <c r="FJ96" s="816"/>
      <c r="FK96" s="816"/>
      <c r="FL96" s="816"/>
      <c r="FM96" s="816"/>
      <c r="FN96" s="816"/>
      <c r="FO96" s="816"/>
      <c r="FP96" s="816"/>
      <c r="FQ96" s="816"/>
      <c r="FR96" s="816"/>
      <c r="FS96" s="816"/>
      <c r="FT96" s="816"/>
      <c r="FU96" s="816"/>
      <c r="FV96" s="816"/>
      <c r="FW96" s="816"/>
      <c r="FX96" s="816"/>
      <c r="FY96" s="816"/>
      <c r="FZ96" s="819"/>
      <c r="GA96" s="816"/>
      <c r="GB96" s="820"/>
      <c r="GC96" s="820"/>
      <c r="GD96" s="820"/>
      <c r="GE96" s="820"/>
      <c r="GF96" s="817"/>
      <c r="GG96" s="609"/>
      <c r="GH96" s="816"/>
      <c r="GI96" s="816"/>
      <c r="GJ96" s="816"/>
      <c r="GK96" s="816"/>
      <c r="GL96" s="816"/>
      <c r="GM96" s="816"/>
      <c r="GN96" s="816"/>
      <c r="GO96" s="816"/>
      <c r="GP96" s="816"/>
      <c r="GQ96" s="816"/>
      <c r="GR96" s="816"/>
      <c r="GS96" s="816"/>
      <c r="GT96" s="818"/>
      <c r="GU96" s="816"/>
      <c r="GV96" s="816"/>
      <c r="GW96" s="816"/>
      <c r="GX96" s="816"/>
      <c r="GY96" s="816"/>
      <c r="GZ96" s="816"/>
      <c r="HA96" s="816"/>
      <c r="HB96" s="609"/>
      <c r="HC96" s="609"/>
      <c r="HD96" s="816"/>
      <c r="HE96" s="816"/>
      <c r="HF96" s="816"/>
      <c r="HG96" s="816"/>
      <c r="HH96" s="816"/>
      <c r="HI96" s="816"/>
      <c r="HJ96" s="609"/>
      <c r="HK96" s="609"/>
      <c r="HL96" s="609"/>
      <c r="HM96" s="816"/>
      <c r="HN96" s="816"/>
      <c r="HO96" s="609"/>
      <c r="HP96" s="609"/>
      <c r="HQ96" s="816"/>
      <c r="HR96" s="816"/>
      <c r="HS96" s="816"/>
      <c r="HT96" s="816"/>
      <c r="HU96" s="816"/>
      <c r="HV96" s="816"/>
      <c r="HW96" s="609"/>
      <c r="HX96" s="609"/>
      <c r="HY96" s="816"/>
      <c r="HZ96" s="816"/>
      <c r="IA96" s="816"/>
      <c r="IB96" s="816"/>
      <c r="IC96" s="816"/>
      <c r="ID96" s="816"/>
      <c r="IE96" s="609"/>
      <c r="IF96" s="609"/>
      <c r="IG96" s="816"/>
      <c r="IH96" s="816"/>
      <c r="II96" s="609"/>
      <c r="IJ96" s="609"/>
      <c r="IK96" s="816"/>
      <c r="IL96" s="816"/>
      <c r="IM96" s="609"/>
      <c r="IN96" s="609"/>
      <c r="IO96" s="816"/>
      <c r="IP96" s="816"/>
      <c r="IQ96" s="816"/>
      <c r="IR96" s="816"/>
      <c r="IS96" s="816"/>
      <c r="IT96" s="816"/>
      <c r="IU96" s="821"/>
      <c r="IV96" s="609"/>
      <c r="IW96" s="816"/>
      <c r="IX96" s="816"/>
      <c r="IY96" s="822"/>
      <c r="IZ96" s="609"/>
      <c r="JA96" s="816"/>
      <c r="JB96" s="816"/>
      <c r="JC96" s="609"/>
      <c r="JD96" s="816"/>
      <c r="JE96" s="816"/>
      <c r="JF96" s="816"/>
      <c r="JG96" s="816"/>
      <c r="JH96" s="816"/>
      <c r="JI96" s="816"/>
      <c r="JJ96" s="816"/>
      <c r="JK96" s="816"/>
      <c r="JL96" s="816"/>
      <c r="JM96" s="816"/>
      <c r="JN96" s="816"/>
      <c r="JO96" s="823"/>
      <c r="JP96" s="824"/>
      <c r="JQ96" s="825"/>
      <c r="JR96" s="825"/>
      <c r="JS96" s="816"/>
      <c r="JU96" s="826"/>
      <c r="JV96" s="826"/>
      <c r="JW96" s="826"/>
      <c r="JX96" s="826"/>
    </row>
    <row r="97" spans="2:284" s="780" customFormat="1">
      <c r="B97" s="609"/>
      <c r="C97" s="609"/>
      <c r="D97" s="609"/>
      <c r="E97" s="609"/>
      <c r="F97" s="609"/>
      <c r="G97" s="609"/>
      <c r="H97" s="609"/>
      <c r="I97" s="609"/>
      <c r="J97" s="609"/>
      <c r="K97" s="609"/>
      <c r="L97" s="609"/>
      <c r="M97" s="609"/>
      <c r="N97" s="609"/>
      <c r="O97" s="609"/>
      <c r="P97" s="609"/>
      <c r="Q97" s="609"/>
      <c r="R97" s="609"/>
      <c r="S97" s="609"/>
      <c r="T97" s="609"/>
      <c r="U97" s="609"/>
      <c r="V97" s="609"/>
      <c r="W97" s="609"/>
      <c r="X97" s="609"/>
      <c r="Y97" s="609"/>
      <c r="Z97" s="609"/>
      <c r="AA97" s="609"/>
      <c r="AB97" s="609"/>
      <c r="AC97" s="609"/>
      <c r="AD97" s="816"/>
      <c r="AE97" s="816"/>
      <c r="AF97" s="816"/>
      <c r="AG97" s="816"/>
      <c r="AH97" s="816"/>
      <c r="AI97" s="816"/>
      <c r="AJ97" s="609"/>
      <c r="AK97" s="609"/>
      <c r="AL97" s="816"/>
      <c r="AM97" s="816"/>
      <c r="AN97" s="609"/>
      <c r="AO97" s="609"/>
      <c r="AP97" s="816"/>
      <c r="AQ97" s="816"/>
      <c r="AR97" s="816"/>
      <c r="AS97" s="816"/>
      <c r="AT97" s="816"/>
      <c r="AU97" s="816"/>
      <c r="AV97" s="609"/>
      <c r="AW97" s="609"/>
      <c r="AX97" s="816"/>
      <c r="AY97" s="816"/>
      <c r="AZ97" s="817"/>
      <c r="BA97" s="609"/>
      <c r="BB97" s="609"/>
      <c r="BC97" s="816"/>
      <c r="BD97" s="816"/>
      <c r="BE97" s="816"/>
      <c r="BF97" s="816"/>
      <c r="BG97" s="816"/>
      <c r="BH97" s="816"/>
      <c r="BI97" s="816"/>
      <c r="BJ97" s="816"/>
      <c r="BK97" s="816"/>
      <c r="BL97" s="816"/>
      <c r="BM97" s="816"/>
      <c r="BN97" s="816"/>
      <c r="BO97" s="816"/>
      <c r="BP97" s="816"/>
      <c r="BQ97" s="816"/>
      <c r="BR97" s="816"/>
      <c r="BS97" s="816"/>
      <c r="BT97" s="816"/>
      <c r="BU97" s="816"/>
      <c r="BV97" s="816"/>
      <c r="BW97" s="816"/>
      <c r="BX97" s="609"/>
      <c r="BY97" s="609"/>
      <c r="BZ97" s="609"/>
      <c r="CA97" s="818"/>
      <c r="CB97" s="816"/>
      <c r="CC97" s="816"/>
      <c r="CD97" s="816"/>
      <c r="CE97" s="816"/>
      <c r="CF97" s="816"/>
      <c r="CG97" s="816"/>
      <c r="CH97" s="816"/>
      <c r="CI97" s="816"/>
      <c r="CJ97" s="819"/>
      <c r="CK97" s="819"/>
      <c r="CL97" s="820"/>
      <c r="CM97" s="820"/>
      <c r="CN97" s="820"/>
      <c r="CO97" s="820"/>
      <c r="CP97" s="820"/>
      <c r="CQ97" s="820"/>
      <c r="CR97" s="609"/>
      <c r="CS97" s="609"/>
      <c r="CT97" s="816"/>
      <c r="CU97" s="816"/>
      <c r="CV97" s="609"/>
      <c r="CW97" s="609"/>
      <c r="CX97" s="816"/>
      <c r="CY97" s="816"/>
      <c r="CZ97" s="609"/>
      <c r="DA97" s="609"/>
      <c r="DB97" s="816"/>
      <c r="DC97" s="816"/>
      <c r="DD97" s="609"/>
      <c r="DE97" s="609"/>
      <c r="DF97" s="816"/>
      <c r="DG97" s="816"/>
      <c r="DH97" s="816"/>
      <c r="DI97" s="816"/>
      <c r="DJ97" s="816"/>
      <c r="DK97" s="816"/>
      <c r="DL97" s="609"/>
      <c r="DM97" s="609"/>
      <c r="DN97" s="816"/>
      <c r="DO97" s="816"/>
      <c r="DP97" s="609"/>
      <c r="DQ97" s="609"/>
      <c r="DR97" s="816"/>
      <c r="DS97" s="816"/>
      <c r="DT97" s="816"/>
      <c r="DU97" s="816"/>
      <c r="DV97" s="816"/>
      <c r="DW97" s="816"/>
      <c r="DX97" s="816"/>
      <c r="DY97" s="816"/>
      <c r="DZ97" s="816"/>
      <c r="EA97" s="816"/>
      <c r="EB97" s="816"/>
      <c r="EC97" s="816"/>
      <c r="ED97" s="816"/>
      <c r="EE97" s="816"/>
      <c r="EF97" s="609"/>
      <c r="EG97" s="609"/>
      <c r="EH97" s="816"/>
      <c r="EI97" s="816"/>
      <c r="EJ97" s="816"/>
      <c r="EK97" s="816"/>
      <c r="EL97" s="816"/>
      <c r="EM97" s="816"/>
      <c r="EN97" s="816"/>
      <c r="EO97" s="816"/>
      <c r="EP97" s="816"/>
      <c r="EQ97" s="816"/>
      <c r="ER97" s="816"/>
      <c r="ES97" s="816"/>
      <c r="ET97" s="816"/>
      <c r="EU97" s="816"/>
      <c r="EV97" s="609"/>
      <c r="EW97" s="609"/>
      <c r="EX97" s="816"/>
      <c r="EY97" s="816"/>
      <c r="EZ97" s="816"/>
      <c r="FA97" s="816"/>
      <c r="FB97" s="816"/>
      <c r="FC97" s="816"/>
      <c r="FD97" s="816"/>
      <c r="FE97" s="816"/>
      <c r="FF97" s="816"/>
      <c r="FG97" s="816"/>
      <c r="FH97" s="816"/>
      <c r="FI97" s="816"/>
      <c r="FJ97" s="816"/>
      <c r="FK97" s="816"/>
      <c r="FL97" s="816"/>
      <c r="FM97" s="816"/>
      <c r="FN97" s="816"/>
      <c r="FO97" s="816"/>
      <c r="FP97" s="816"/>
      <c r="FQ97" s="816"/>
      <c r="FR97" s="816"/>
      <c r="FS97" s="816"/>
      <c r="FT97" s="816"/>
      <c r="FU97" s="816"/>
      <c r="FV97" s="816"/>
      <c r="FW97" s="816"/>
      <c r="FX97" s="816"/>
      <c r="FY97" s="816"/>
      <c r="FZ97" s="819"/>
      <c r="GA97" s="816"/>
      <c r="GB97" s="820"/>
      <c r="GC97" s="820"/>
      <c r="GD97" s="820"/>
      <c r="GE97" s="820"/>
      <c r="GF97" s="817"/>
      <c r="GG97" s="609"/>
      <c r="GH97" s="816"/>
      <c r="GI97" s="816"/>
      <c r="GJ97" s="816"/>
      <c r="GK97" s="816"/>
      <c r="GL97" s="816"/>
      <c r="GM97" s="816"/>
      <c r="GN97" s="816"/>
      <c r="GO97" s="816"/>
      <c r="GP97" s="816"/>
      <c r="GQ97" s="816"/>
      <c r="GR97" s="816"/>
      <c r="GS97" s="816"/>
      <c r="GT97" s="818"/>
      <c r="GU97" s="816"/>
      <c r="GV97" s="816"/>
      <c r="GW97" s="816"/>
      <c r="GX97" s="816"/>
      <c r="GY97" s="816"/>
      <c r="GZ97" s="816"/>
      <c r="HA97" s="816"/>
      <c r="HB97" s="609"/>
      <c r="HC97" s="609"/>
      <c r="HD97" s="816"/>
      <c r="HE97" s="816"/>
      <c r="HF97" s="816"/>
      <c r="HG97" s="816"/>
      <c r="HH97" s="816"/>
      <c r="HI97" s="816"/>
      <c r="HJ97" s="609"/>
      <c r="HK97" s="609"/>
      <c r="HL97" s="609"/>
      <c r="HM97" s="816"/>
      <c r="HN97" s="816"/>
      <c r="HO97" s="609"/>
      <c r="HP97" s="609"/>
      <c r="HQ97" s="816"/>
      <c r="HR97" s="816"/>
      <c r="HS97" s="816"/>
      <c r="HT97" s="816"/>
      <c r="HU97" s="816"/>
      <c r="HV97" s="816"/>
      <c r="HW97" s="609"/>
      <c r="HX97" s="609"/>
      <c r="HY97" s="816"/>
      <c r="HZ97" s="816"/>
      <c r="IA97" s="816"/>
      <c r="IB97" s="816"/>
      <c r="IC97" s="816"/>
      <c r="ID97" s="816"/>
      <c r="IE97" s="609"/>
      <c r="IF97" s="609"/>
      <c r="IG97" s="816"/>
      <c r="IH97" s="816"/>
      <c r="II97" s="609"/>
      <c r="IJ97" s="609"/>
      <c r="IK97" s="816"/>
      <c r="IL97" s="816"/>
      <c r="IM97" s="609"/>
      <c r="IN97" s="609"/>
      <c r="IO97" s="816"/>
      <c r="IP97" s="816"/>
      <c r="IQ97" s="816"/>
      <c r="IR97" s="816"/>
      <c r="IS97" s="816"/>
      <c r="IT97" s="816"/>
      <c r="IU97" s="821"/>
      <c r="IV97" s="609"/>
      <c r="IW97" s="816"/>
      <c r="IX97" s="816"/>
      <c r="IY97" s="822"/>
      <c r="IZ97" s="609"/>
      <c r="JA97" s="816"/>
      <c r="JB97" s="816"/>
      <c r="JC97" s="609"/>
      <c r="JD97" s="816"/>
      <c r="JE97" s="816"/>
      <c r="JF97" s="816"/>
      <c r="JG97" s="816"/>
      <c r="JH97" s="816"/>
      <c r="JI97" s="816"/>
      <c r="JJ97" s="816"/>
      <c r="JK97" s="816"/>
      <c r="JL97" s="816"/>
      <c r="JM97" s="816"/>
      <c r="JN97" s="816"/>
      <c r="JO97" s="823"/>
      <c r="JP97" s="824"/>
      <c r="JQ97" s="825"/>
      <c r="JR97" s="825"/>
      <c r="JS97" s="816"/>
      <c r="JU97" s="826"/>
      <c r="JV97" s="826"/>
      <c r="JW97" s="826"/>
      <c r="JX97" s="826"/>
    </row>
    <row r="98" spans="2:284" s="780" customFormat="1">
      <c r="B98" s="609"/>
      <c r="C98" s="609"/>
      <c r="D98" s="609"/>
      <c r="E98" s="609"/>
      <c r="F98" s="609"/>
      <c r="G98" s="609"/>
      <c r="H98" s="609"/>
      <c r="I98" s="609"/>
      <c r="J98" s="609"/>
      <c r="K98" s="609"/>
      <c r="L98" s="609"/>
      <c r="M98" s="609"/>
      <c r="N98" s="609"/>
      <c r="O98" s="609"/>
      <c r="P98" s="609"/>
      <c r="Q98" s="609"/>
      <c r="R98" s="609"/>
      <c r="S98" s="609"/>
      <c r="T98" s="609"/>
      <c r="U98" s="609"/>
      <c r="V98" s="609"/>
      <c r="W98" s="609"/>
      <c r="X98" s="609"/>
      <c r="Y98" s="609"/>
      <c r="Z98" s="609"/>
      <c r="AA98" s="609"/>
      <c r="AB98" s="609"/>
      <c r="AC98" s="609"/>
      <c r="AD98" s="816"/>
      <c r="AE98" s="816"/>
      <c r="AF98" s="816"/>
      <c r="AG98" s="816"/>
      <c r="AH98" s="816"/>
      <c r="AI98" s="816"/>
      <c r="AJ98" s="609"/>
      <c r="AK98" s="609"/>
      <c r="AL98" s="816"/>
      <c r="AM98" s="816"/>
      <c r="AN98" s="609"/>
      <c r="AO98" s="609"/>
      <c r="AP98" s="816"/>
      <c r="AQ98" s="816"/>
      <c r="AR98" s="816"/>
      <c r="AS98" s="816"/>
      <c r="AT98" s="816"/>
      <c r="AU98" s="816"/>
      <c r="AV98" s="609"/>
      <c r="AW98" s="609"/>
      <c r="AX98" s="816"/>
      <c r="AY98" s="816"/>
      <c r="AZ98" s="817"/>
      <c r="BA98" s="609"/>
      <c r="BB98" s="609"/>
      <c r="BC98" s="816"/>
      <c r="BD98" s="816"/>
      <c r="BE98" s="816"/>
      <c r="BF98" s="816"/>
      <c r="BG98" s="816"/>
      <c r="BH98" s="816"/>
      <c r="BI98" s="816"/>
      <c r="BJ98" s="816"/>
      <c r="BK98" s="816"/>
      <c r="BL98" s="816"/>
      <c r="BM98" s="816"/>
      <c r="BN98" s="816"/>
      <c r="BO98" s="816"/>
      <c r="BP98" s="816"/>
      <c r="BQ98" s="816"/>
      <c r="BR98" s="816"/>
      <c r="BS98" s="816"/>
      <c r="BT98" s="816"/>
      <c r="BU98" s="816"/>
      <c r="BV98" s="816"/>
      <c r="BW98" s="816"/>
      <c r="BX98" s="609"/>
      <c r="BY98" s="609"/>
      <c r="BZ98" s="609"/>
      <c r="CA98" s="818"/>
      <c r="CB98" s="816"/>
      <c r="CC98" s="816"/>
      <c r="CD98" s="816"/>
      <c r="CE98" s="816"/>
      <c r="CF98" s="816"/>
      <c r="CG98" s="816"/>
      <c r="CH98" s="816"/>
      <c r="CI98" s="816"/>
      <c r="CJ98" s="819"/>
      <c r="CK98" s="819"/>
      <c r="CL98" s="820"/>
      <c r="CM98" s="820"/>
      <c r="CN98" s="820"/>
      <c r="CO98" s="820"/>
      <c r="CP98" s="820"/>
      <c r="CQ98" s="820"/>
      <c r="CR98" s="609"/>
      <c r="CS98" s="609"/>
      <c r="CT98" s="816"/>
      <c r="CU98" s="816"/>
      <c r="CV98" s="609"/>
      <c r="CW98" s="609"/>
      <c r="CX98" s="816"/>
      <c r="CY98" s="816"/>
      <c r="CZ98" s="609"/>
      <c r="DA98" s="609"/>
      <c r="DB98" s="816"/>
      <c r="DC98" s="816"/>
      <c r="DD98" s="609"/>
      <c r="DE98" s="609"/>
      <c r="DF98" s="816"/>
      <c r="DG98" s="816"/>
      <c r="DH98" s="816"/>
      <c r="DI98" s="816"/>
      <c r="DJ98" s="816"/>
      <c r="DK98" s="816"/>
      <c r="DL98" s="609"/>
      <c r="DM98" s="609"/>
      <c r="DN98" s="816"/>
      <c r="DO98" s="816"/>
      <c r="DP98" s="609"/>
      <c r="DQ98" s="609"/>
      <c r="DR98" s="816"/>
      <c r="DS98" s="816"/>
      <c r="DT98" s="816"/>
      <c r="DU98" s="816"/>
      <c r="DV98" s="816"/>
      <c r="DW98" s="816"/>
      <c r="DX98" s="816"/>
      <c r="DY98" s="816"/>
      <c r="DZ98" s="816"/>
      <c r="EA98" s="816"/>
      <c r="EB98" s="816"/>
      <c r="EC98" s="816"/>
      <c r="ED98" s="816"/>
      <c r="EE98" s="816"/>
      <c r="EF98" s="609"/>
      <c r="EG98" s="609"/>
      <c r="EH98" s="816"/>
      <c r="EI98" s="816"/>
      <c r="EJ98" s="816"/>
      <c r="EK98" s="816"/>
      <c r="EL98" s="816"/>
      <c r="EM98" s="816"/>
      <c r="EN98" s="816"/>
      <c r="EO98" s="816"/>
      <c r="EP98" s="816"/>
      <c r="EQ98" s="816"/>
      <c r="ER98" s="816"/>
      <c r="ES98" s="816"/>
      <c r="ET98" s="816"/>
      <c r="EU98" s="816"/>
      <c r="EV98" s="609"/>
      <c r="EW98" s="609"/>
      <c r="EX98" s="816"/>
      <c r="EY98" s="816"/>
      <c r="EZ98" s="816"/>
      <c r="FA98" s="816"/>
      <c r="FB98" s="816"/>
      <c r="FC98" s="816"/>
      <c r="FD98" s="816"/>
      <c r="FE98" s="816"/>
      <c r="FF98" s="816"/>
      <c r="FG98" s="816"/>
      <c r="FH98" s="816"/>
      <c r="FI98" s="816"/>
      <c r="FJ98" s="816"/>
      <c r="FK98" s="816"/>
      <c r="FL98" s="816"/>
      <c r="FM98" s="816"/>
      <c r="FN98" s="816"/>
      <c r="FO98" s="816"/>
      <c r="FP98" s="816"/>
      <c r="FQ98" s="816"/>
      <c r="FR98" s="816"/>
      <c r="FS98" s="816"/>
      <c r="FT98" s="816"/>
      <c r="FU98" s="816"/>
      <c r="FV98" s="816"/>
      <c r="FW98" s="816"/>
      <c r="FX98" s="816"/>
      <c r="FY98" s="816"/>
      <c r="FZ98" s="819"/>
      <c r="GA98" s="816"/>
      <c r="GB98" s="820"/>
      <c r="GC98" s="820"/>
      <c r="GD98" s="820"/>
      <c r="GE98" s="820"/>
      <c r="GF98" s="609"/>
      <c r="GG98" s="609"/>
      <c r="GH98" s="816"/>
      <c r="GI98" s="816"/>
      <c r="GJ98" s="816"/>
      <c r="GK98" s="816"/>
      <c r="GL98" s="816"/>
      <c r="GM98" s="816"/>
      <c r="GN98" s="816"/>
      <c r="GO98" s="816"/>
      <c r="GP98" s="816"/>
      <c r="GQ98" s="816"/>
      <c r="GR98" s="816"/>
      <c r="GS98" s="816"/>
      <c r="GT98" s="818"/>
      <c r="GU98" s="816"/>
      <c r="GV98" s="816"/>
      <c r="GW98" s="816"/>
      <c r="GX98" s="816"/>
      <c r="GY98" s="816"/>
      <c r="GZ98" s="816"/>
      <c r="HA98" s="816"/>
      <c r="HB98" s="609"/>
      <c r="HC98" s="609"/>
      <c r="HD98" s="816"/>
      <c r="HE98" s="816"/>
      <c r="HF98" s="816"/>
      <c r="HG98" s="816"/>
      <c r="HH98" s="816"/>
      <c r="HI98" s="816"/>
      <c r="HJ98" s="609"/>
      <c r="HK98" s="609"/>
      <c r="HL98" s="609"/>
      <c r="HM98" s="816"/>
      <c r="HN98" s="816"/>
      <c r="HO98" s="609"/>
      <c r="HP98" s="609"/>
      <c r="HQ98" s="816"/>
      <c r="HR98" s="816"/>
      <c r="HS98" s="816"/>
      <c r="HT98" s="816"/>
      <c r="HU98" s="816"/>
      <c r="HV98" s="816"/>
      <c r="HW98" s="609"/>
      <c r="HX98" s="609"/>
      <c r="HY98" s="816"/>
      <c r="HZ98" s="816"/>
      <c r="IA98" s="816"/>
      <c r="IB98" s="816"/>
      <c r="IC98" s="816"/>
      <c r="ID98" s="816"/>
      <c r="IE98" s="609"/>
      <c r="IF98" s="609"/>
      <c r="IG98" s="816"/>
      <c r="IH98" s="816"/>
      <c r="II98" s="609"/>
      <c r="IJ98" s="609"/>
      <c r="IK98" s="816"/>
      <c r="IL98" s="816"/>
      <c r="IM98" s="609"/>
      <c r="IN98" s="609"/>
      <c r="IO98" s="816"/>
      <c r="IP98" s="816"/>
      <c r="IQ98" s="816"/>
      <c r="IR98" s="816"/>
      <c r="IS98" s="816"/>
      <c r="IT98" s="816"/>
      <c r="IU98" s="821"/>
      <c r="IV98" s="609"/>
      <c r="IW98" s="816"/>
      <c r="IX98" s="816"/>
      <c r="IY98" s="822"/>
      <c r="IZ98" s="609"/>
      <c r="JA98" s="816"/>
      <c r="JB98" s="816"/>
      <c r="JC98" s="609"/>
      <c r="JD98" s="816"/>
      <c r="JE98" s="816"/>
      <c r="JF98" s="816"/>
      <c r="JG98" s="816"/>
      <c r="JH98" s="816"/>
      <c r="JI98" s="816"/>
      <c r="JJ98" s="816"/>
      <c r="JK98" s="816"/>
      <c r="JL98" s="816"/>
      <c r="JM98" s="816"/>
      <c r="JN98" s="816"/>
      <c r="JO98" s="823"/>
      <c r="JP98" s="824"/>
      <c r="JQ98" s="825"/>
      <c r="JR98" s="825"/>
      <c r="JS98" s="816"/>
      <c r="JU98" s="826"/>
      <c r="JV98" s="826"/>
      <c r="JW98" s="826"/>
      <c r="JX98" s="826"/>
    </row>
    <row r="99" spans="2:284" s="780" customFormat="1">
      <c r="B99" s="609"/>
      <c r="C99" s="609"/>
      <c r="D99" s="609"/>
      <c r="E99" s="609"/>
      <c r="F99" s="609"/>
      <c r="G99" s="609"/>
      <c r="H99" s="609"/>
      <c r="I99" s="609"/>
      <c r="J99" s="609"/>
      <c r="K99" s="609"/>
      <c r="L99" s="609"/>
      <c r="M99" s="609"/>
      <c r="N99" s="609"/>
      <c r="O99" s="609"/>
      <c r="P99" s="609"/>
      <c r="Q99" s="609"/>
      <c r="R99" s="609"/>
      <c r="S99" s="609"/>
      <c r="T99" s="609"/>
      <c r="U99" s="609"/>
      <c r="V99" s="609"/>
      <c r="W99" s="609"/>
      <c r="X99" s="609"/>
      <c r="Y99" s="609"/>
      <c r="Z99" s="609"/>
      <c r="AA99" s="609"/>
      <c r="AB99" s="609"/>
      <c r="AC99" s="609"/>
      <c r="AD99" s="816"/>
      <c r="AE99" s="816"/>
      <c r="AF99" s="816"/>
      <c r="AG99" s="816"/>
      <c r="AH99" s="816"/>
      <c r="AI99" s="816"/>
      <c r="AJ99" s="609"/>
      <c r="AK99" s="609"/>
      <c r="AL99" s="816"/>
      <c r="AM99" s="816"/>
      <c r="AN99" s="609"/>
      <c r="AO99" s="609"/>
      <c r="AP99" s="816"/>
      <c r="AQ99" s="816"/>
      <c r="AR99" s="816"/>
      <c r="AS99" s="816"/>
      <c r="AT99" s="816"/>
      <c r="AU99" s="816"/>
      <c r="AV99" s="609"/>
      <c r="AW99" s="609"/>
      <c r="AX99" s="816"/>
      <c r="AY99" s="816"/>
      <c r="AZ99" s="817"/>
      <c r="BA99" s="609"/>
      <c r="BB99" s="609"/>
      <c r="BC99" s="816"/>
      <c r="BD99" s="816"/>
      <c r="BE99" s="816"/>
      <c r="BF99" s="816"/>
      <c r="BG99" s="816"/>
      <c r="BH99" s="816"/>
      <c r="BI99" s="816"/>
      <c r="BJ99" s="816"/>
      <c r="BK99" s="816"/>
      <c r="BL99" s="816"/>
      <c r="BM99" s="816"/>
      <c r="BN99" s="816"/>
      <c r="BO99" s="816"/>
      <c r="BP99" s="816"/>
      <c r="BQ99" s="816"/>
      <c r="BR99" s="816"/>
      <c r="BS99" s="816"/>
      <c r="BT99" s="816"/>
      <c r="BU99" s="816"/>
      <c r="BV99" s="816"/>
      <c r="BW99" s="816"/>
      <c r="BX99" s="609"/>
      <c r="BY99" s="609"/>
      <c r="BZ99" s="609"/>
      <c r="CA99" s="818"/>
      <c r="CB99" s="816"/>
      <c r="CC99" s="816"/>
      <c r="CD99" s="816"/>
      <c r="CE99" s="816"/>
      <c r="CF99" s="816"/>
      <c r="CG99" s="816"/>
      <c r="CH99" s="816"/>
      <c r="CI99" s="816"/>
      <c r="CJ99" s="819"/>
      <c r="CK99" s="819"/>
      <c r="CL99" s="820"/>
      <c r="CM99" s="820"/>
      <c r="CN99" s="820"/>
      <c r="CO99" s="820"/>
      <c r="CP99" s="820"/>
      <c r="CQ99" s="820"/>
      <c r="CR99" s="609"/>
      <c r="CS99" s="609"/>
      <c r="CT99" s="816"/>
      <c r="CU99" s="816"/>
      <c r="CV99" s="609"/>
      <c r="CW99" s="609"/>
      <c r="CX99" s="816"/>
      <c r="CY99" s="816"/>
      <c r="CZ99" s="609"/>
      <c r="DA99" s="609"/>
      <c r="DB99" s="816"/>
      <c r="DC99" s="816"/>
      <c r="DD99" s="609"/>
      <c r="DE99" s="609"/>
      <c r="DF99" s="816"/>
      <c r="DG99" s="816"/>
      <c r="DH99" s="816"/>
      <c r="DI99" s="816"/>
      <c r="DJ99" s="816"/>
      <c r="DK99" s="816"/>
      <c r="DL99" s="609"/>
      <c r="DM99" s="609"/>
      <c r="DN99" s="816"/>
      <c r="DO99" s="816"/>
      <c r="DP99" s="609"/>
      <c r="DQ99" s="609"/>
      <c r="DR99" s="816"/>
      <c r="DS99" s="816"/>
      <c r="DT99" s="816"/>
      <c r="DU99" s="816"/>
      <c r="DV99" s="816"/>
      <c r="DW99" s="816"/>
      <c r="DX99" s="816"/>
      <c r="DY99" s="816"/>
      <c r="DZ99" s="816"/>
      <c r="EA99" s="816"/>
      <c r="EB99" s="816"/>
      <c r="EC99" s="816"/>
      <c r="ED99" s="816"/>
      <c r="EE99" s="816"/>
      <c r="EF99" s="609"/>
      <c r="EG99" s="609"/>
      <c r="EH99" s="816"/>
      <c r="EI99" s="816"/>
      <c r="EJ99" s="816"/>
      <c r="EK99" s="816"/>
      <c r="EL99" s="816"/>
      <c r="EM99" s="816"/>
      <c r="EN99" s="816"/>
      <c r="EO99" s="816"/>
      <c r="EP99" s="816"/>
      <c r="EQ99" s="816"/>
      <c r="ER99" s="816"/>
      <c r="ES99" s="816"/>
      <c r="ET99" s="816"/>
      <c r="EU99" s="816"/>
      <c r="EV99" s="609"/>
      <c r="EW99" s="609"/>
      <c r="EX99" s="816"/>
      <c r="EY99" s="816"/>
      <c r="EZ99" s="816"/>
      <c r="FA99" s="816"/>
      <c r="FB99" s="816"/>
      <c r="FC99" s="816"/>
      <c r="FD99" s="816"/>
      <c r="FE99" s="816"/>
      <c r="FF99" s="816"/>
      <c r="FG99" s="816"/>
      <c r="FH99" s="816"/>
      <c r="FI99" s="816"/>
      <c r="FJ99" s="816"/>
      <c r="FK99" s="816"/>
      <c r="FL99" s="816"/>
      <c r="FM99" s="816"/>
      <c r="FN99" s="816"/>
      <c r="FO99" s="816"/>
      <c r="FP99" s="816"/>
      <c r="FQ99" s="816"/>
      <c r="FR99" s="816"/>
      <c r="FS99" s="816"/>
      <c r="FT99" s="816"/>
      <c r="FU99" s="816"/>
      <c r="FV99" s="816"/>
      <c r="FW99" s="816"/>
      <c r="FX99" s="816"/>
      <c r="FY99" s="816"/>
      <c r="FZ99" s="819"/>
      <c r="GA99" s="816"/>
      <c r="GB99" s="820"/>
      <c r="GC99" s="820"/>
      <c r="GD99" s="820"/>
      <c r="GE99" s="820"/>
      <c r="GF99" s="609"/>
      <c r="GG99" s="609"/>
      <c r="GH99" s="816"/>
      <c r="GI99" s="816"/>
      <c r="GJ99" s="816"/>
      <c r="GK99" s="816"/>
      <c r="GL99" s="816"/>
      <c r="GM99" s="816"/>
      <c r="GN99" s="816"/>
      <c r="GO99" s="816"/>
      <c r="GP99" s="816"/>
      <c r="GQ99" s="816"/>
      <c r="GR99" s="816"/>
      <c r="GS99" s="816"/>
      <c r="GT99" s="818"/>
      <c r="GU99" s="816"/>
      <c r="GV99" s="816"/>
      <c r="GW99" s="816"/>
      <c r="GX99" s="816"/>
      <c r="GY99" s="816"/>
      <c r="GZ99" s="816"/>
      <c r="HA99" s="816"/>
      <c r="HB99" s="609"/>
      <c r="HC99" s="609"/>
      <c r="HD99" s="816"/>
      <c r="HE99" s="816"/>
      <c r="HF99" s="816"/>
      <c r="HG99" s="816"/>
      <c r="HH99" s="816"/>
      <c r="HI99" s="816"/>
      <c r="HJ99" s="609"/>
      <c r="HK99" s="609"/>
      <c r="HL99" s="609"/>
      <c r="HM99" s="816"/>
      <c r="HN99" s="816"/>
      <c r="HO99" s="609"/>
      <c r="HP99" s="609"/>
      <c r="HQ99" s="816"/>
      <c r="HR99" s="816"/>
      <c r="HS99" s="816"/>
      <c r="HT99" s="816"/>
      <c r="HU99" s="816"/>
      <c r="HV99" s="816"/>
      <c r="HW99" s="609"/>
      <c r="HX99" s="609"/>
      <c r="HY99" s="816"/>
      <c r="HZ99" s="816"/>
      <c r="IA99" s="816"/>
      <c r="IB99" s="816"/>
      <c r="IC99" s="816"/>
      <c r="ID99" s="816"/>
      <c r="IE99" s="609"/>
      <c r="IF99" s="609"/>
      <c r="IG99" s="816"/>
      <c r="IH99" s="816"/>
      <c r="II99" s="609"/>
      <c r="IJ99" s="609"/>
      <c r="IK99" s="816"/>
      <c r="IL99" s="816"/>
      <c r="IM99" s="609"/>
      <c r="IN99" s="609"/>
      <c r="IO99" s="816"/>
      <c r="IP99" s="816"/>
      <c r="IQ99" s="816"/>
      <c r="IR99" s="816"/>
      <c r="IS99" s="816"/>
      <c r="IT99" s="816"/>
      <c r="IU99" s="821"/>
      <c r="IV99" s="609"/>
      <c r="IW99" s="816"/>
      <c r="IX99" s="816"/>
      <c r="IY99" s="822"/>
      <c r="IZ99" s="609"/>
      <c r="JA99" s="816"/>
      <c r="JB99" s="816"/>
      <c r="JC99" s="609"/>
      <c r="JD99" s="816"/>
      <c r="JE99" s="816"/>
      <c r="JF99" s="816"/>
      <c r="JG99" s="816"/>
      <c r="JH99" s="816"/>
      <c r="JI99" s="816"/>
      <c r="JJ99" s="816"/>
      <c r="JK99" s="816"/>
      <c r="JL99" s="816"/>
      <c r="JM99" s="816"/>
      <c r="JN99" s="816"/>
      <c r="JO99" s="823"/>
      <c r="JP99" s="824"/>
      <c r="JQ99" s="825"/>
      <c r="JR99" s="825"/>
      <c r="JS99" s="816"/>
      <c r="JU99" s="826"/>
      <c r="JV99" s="826"/>
      <c r="JW99" s="826"/>
      <c r="JX99" s="826"/>
    </row>
    <row r="100" spans="2:284" s="780" customFormat="1">
      <c r="B100" s="609"/>
      <c r="C100" s="609"/>
      <c r="D100" s="609"/>
      <c r="E100" s="609"/>
      <c r="F100" s="609"/>
      <c r="G100" s="609"/>
      <c r="H100" s="609"/>
      <c r="I100" s="609"/>
      <c r="J100" s="609"/>
      <c r="K100" s="609"/>
      <c r="L100" s="609"/>
      <c r="M100" s="609"/>
      <c r="N100" s="609"/>
      <c r="O100" s="609"/>
      <c r="P100" s="609"/>
      <c r="Q100" s="609"/>
      <c r="R100" s="609"/>
      <c r="S100" s="609"/>
      <c r="T100" s="609"/>
      <c r="U100" s="609"/>
      <c r="V100" s="609"/>
      <c r="W100" s="609"/>
      <c r="X100" s="609"/>
      <c r="Y100" s="609"/>
      <c r="Z100" s="609"/>
      <c r="AA100" s="609"/>
      <c r="AB100" s="609"/>
      <c r="AC100" s="609"/>
      <c r="AD100" s="816"/>
      <c r="AE100" s="816"/>
      <c r="AF100" s="816"/>
      <c r="AG100" s="816"/>
      <c r="AH100" s="816"/>
      <c r="AI100" s="816"/>
      <c r="AJ100" s="609"/>
      <c r="AK100" s="609"/>
      <c r="AL100" s="816"/>
      <c r="AM100" s="816"/>
      <c r="AN100" s="609"/>
      <c r="AO100" s="609"/>
      <c r="AP100" s="816"/>
      <c r="AQ100" s="816"/>
      <c r="AR100" s="816"/>
      <c r="AS100" s="816"/>
      <c r="AT100" s="816"/>
      <c r="AU100" s="816"/>
      <c r="AV100" s="609"/>
      <c r="AW100" s="609"/>
      <c r="AX100" s="816"/>
      <c r="AY100" s="816"/>
      <c r="AZ100" s="817"/>
      <c r="BA100" s="609"/>
      <c r="BB100" s="609"/>
      <c r="BC100" s="816"/>
      <c r="BD100" s="816"/>
      <c r="BE100" s="816"/>
      <c r="BF100" s="816"/>
      <c r="BG100" s="816"/>
      <c r="BH100" s="816"/>
      <c r="BI100" s="816"/>
      <c r="BJ100" s="816"/>
      <c r="BK100" s="816"/>
      <c r="BL100" s="816"/>
      <c r="BM100" s="816"/>
      <c r="BN100" s="816"/>
      <c r="BO100" s="816"/>
      <c r="BP100" s="816"/>
      <c r="BQ100" s="816"/>
      <c r="BR100" s="816"/>
      <c r="BS100" s="816"/>
      <c r="BT100" s="816"/>
      <c r="BU100" s="816"/>
      <c r="BV100" s="816"/>
      <c r="BW100" s="816"/>
      <c r="BX100" s="609"/>
      <c r="BY100" s="609"/>
      <c r="BZ100" s="609"/>
      <c r="CA100" s="818"/>
      <c r="CB100" s="816"/>
      <c r="CC100" s="816"/>
      <c r="CD100" s="816"/>
      <c r="CE100" s="816"/>
      <c r="CF100" s="816"/>
      <c r="CG100" s="816"/>
      <c r="CH100" s="816"/>
      <c r="CI100" s="816"/>
      <c r="CJ100" s="819"/>
      <c r="CK100" s="819"/>
      <c r="CL100" s="820"/>
      <c r="CM100" s="820"/>
      <c r="CN100" s="820"/>
      <c r="CO100" s="820"/>
      <c r="CP100" s="820"/>
      <c r="CQ100" s="820"/>
      <c r="CR100" s="609"/>
      <c r="CS100" s="609"/>
      <c r="CT100" s="816"/>
      <c r="CU100" s="816"/>
      <c r="CV100" s="609"/>
      <c r="CW100" s="609"/>
      <c r="CX100" s="816"/>
      <c r="CY100" s="816"/>
      <c r="CZ100" s="609"/>
      <c r="DA100" s="609"/>
      <c r="DB100" s="816"/>
      <c r="DC100" s="816"/>
      <c r="DD100" s="609"/>
      <c r="DE100" s="609"/>
      <c r="DF100" s="816"/>
      <c r="DG100" s="816"/>
      <c r="DH100" s="816"/>
      <c r="DI100" s="816"/>
      <c r="DJ100" s="816"/>
      <c r="DK100" s="816"/>
      <c r="DL100" s="609"/>
      <c r="DM100" s="609"/>
      <c r="DN100" s="816"/>
      <c r="DO100" s="816"/>
      <c r="DP100" s="609"/>
      <c r="DQ100" s="609"/>
      <c r="DR100" s="816"/>
      <c r="DS100" s="816"/>
      <c r="DT100" s="816"/>
      <c r="DU100" s="816"/>
      <c r="DV100" s="816"/>
      <c r="DW100" s="816"/>
      <c r="DX100" s="816"/>
      <c r="DY100" s="816"/>
      <c r="DZ100" s="816"/>
      <c r="EA100" s="816"/>
      <c r="EB100" s="816"/>
      <c r="EC100" s="816"/>
      <c r="ED100" s="816"/>
      <c r="EE100" s="816"/>
      <c r="EF100" s="609"/>
      <c r="EG100" s="609"/>
      <c r="EH100" s="816"/>
      <c r="EI100" s="816"/>
      <c r="EJ100" s="816"/>
      <c r="EK100" s="816"/>
      <c r="EL100" s="816"/>
      <c r="EM100" s="816"/>
      <c r="EN100" s="816"/>
      <c r="EO100" s="816"/>
      <c r="EP100" s="816"/>
      <c r="EQ100" s="816"/>
      <c r="ER100" s="816"/>
      <c r="ES100" s="816"/>
      <c r="ET100" s="816"/>
      <c r="EU100" s="816"/>
      <c r="EV100" s="609"/>
      <c r="EW100" s="609"/>
      <c r="EX100" s="816"/>
      <c r="EY100" s="816"/>
      <c r="EZ100" s="816"/>
      <c r="FA100" s="816"/>
      <c r="FB100" s="816"/>
      <c r="FC100" s="816"/>
      <c r="FD100" s="816"/>
      <c r="FE100" s="816"/>
      <c r="FF100" s="816"/>
      <c r="FG100" s="816"/>
      <c r="FH100" s="816"/>
      <c r="FI100" s="816"/>
      <c r="FJ100" s="816"/>
      <c r="FK100" s="816"/>
      <c r="FL100" s="816"/>
      <c r="FM100" s="816"/>
      <c r="FN100" s="816"/>
      <c r="FO100" s="816"/>
      <c r="FP100" s="816"/>
      <c r="FQ100" s="816"/>
      <c r="FR100" s="816"/>
      <c r="FS100" s="816"/>
      <c r="FT100" s="816"/>
      <c r="FU100" s="816"/>
      <c r="FV100" s="816"/>
      <c r="FW100" s="816"/>
      <c r="FX100" s="816"/>
      <c r="FY100" s="816"/>
      <c r="FZ100" s="819"/>
      <c r="GA100" s="816"/>
      <c r="GB100" s="820"/>
      <c r="GC100" s="820"/>
      <c r="GD100" s="820"/>
      <c r="GE100" s="820"/>
      <c r="GF100" s="609"/>
      <c r="GG100" s="609"/>
      <c r="GH100" s="816"/>
      <c r="GI100" s="816"/>
      <c r="GJ100" s="816"/>
      <c r="GK100" s="816"/>
      <c r="GL100" s="816"/>
      <c r="GM100" s="816"/>
      <c r="GN100" s="816"/>
      <c r="GO100" s="816"/>
      <c r="GP100" s="816"/>
      <c r="GQ100" s="816"/>
      <c r="GR100" s="816"/>
      <c r="GS100" s="816"/>
      <c r="GT100" s="818"/>
      <c r="GU100" s="816"/>
      <c r="GV100" s="816"/>
      <c r="GW100" s="816"/>
      <c r="GX100" s="816"/>
      <c r="GY100" s="816"/>
      <c r="GZ100" s="816"/>
      <c r="HA100" s="816"/>
      <c r="HB100" s="609"/>
      <c r="HC100" s="609"/>
      <c r="HD100" s="816"/>
      <c r="HE100" s="816"/>
      <c r="HF100" s="816"/>
      <c r="HG100" s="816"/>
      <c r="HH100" s="816"/>
      <c r="HI100" s="816"/>
      <c r="HJ100" s="609"/>
      <c r="HK100" s="609"/>
      <c r="HL100" s="609"/>
      <c r="HM100" s="816"/>
      <c r="HN100" s="816"/>
      <c r="HO100" s="609"/>
      <c r="HP100" s="609"/>
      <c r="HQ100" s="816"/>
      <c r="HR100" s="816"/>
      <c r="HS100" s="816"/>
      <c r="HT100" s="816"/>
      <c r="HU100" s="816"/>
      <c r="HV100" s="816"/>
      <c r="HW100" s="609"/>
      <c r="HX100" s="609"/>
      <c r="HY100" s="816"/>
      <c r="HZ100" s="816"/>
      <c r="IA100" s="816"/>
      <c r="IB100" s="816"/>
      <c r="IC100" s="816"/>
      <c r="ID100" s="816"/>
      <c r="IE100" s="609"/>
      <c r="IF100" s="609"/>
      <c r="IG100" s="816"/>
      <c r="IH100" s="816"/>
      <c r="II100" s="609"/>
      <c r="IJ100" s="609"/>
      <c r="IK100" s="816"/>
      <c r="IL100" s="816"/>
      <c r="IM100" s="609"/>
      <c r="IN100" s="609"/>
      <c r="IO100" s="816"/>
      <c r="IP100" s="816"/>
      <c r="IQ100" s="816"/>
      <c r="IR100" s="816"/>
      <c r="IS100" s="816"/>
      <c r="IT100" s="816"/>
      <c r="IU100" s="821"/>
      <c r="IV100" s="609"/>
      <c r="IW100" s="816"/>
      <c r="IX100" s="816"/>
      <c r="IY100" s="822"/>
      <c r="IZ100" s="609"/>
      <c r="JA100" s="816"/>
      <c r="JB100" s="816"/>
      <c r="JC100" s="609"/>
      <c r="JD100" s="816"/>
      <c r="JE100" s="816"/>
      <c r="JF100" s="816"/>
      <c r="JG100" s="816"/>
      <c r="JH100" s="816"/>
      <c r="JI100" s="816"/>
      <c r="JJ100" s="816"/>
      <c r="JK100" s="816"/>
      <c r="JL100" s="816"/>
      <c r="JM100" s="816"/>
      <c r="JN100" s="816"/>
      <c r="JO100" s="823"/>
      <c r="JP100" s="824"/>
      <c r="JQ100" s="825"/>
      <c r="JR100" s="825"/>
      <c r="JS100" s="816"/>
      <c r="JU100" s="826"/>
      <c r="JV100" s="826"/>
      <c r="JW100" s="826"/>
      <c r="JX100" s="826"/>
    </row>
    <row r="101" spans="2:284" s="780" customFormat="1"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09"/>
      <c r="P101" s="609"/>
      <c r="Q101" s="609"/>
      <c r="R101" s="609"/>
      <c r="S101" s="609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816"/>
      <c r="AE101" s="816"/>
      <c r="AF101" s="816"/>
      <c r="AG101" s="816"/>
      <c r="AH101" s="816"/>
      <c r="AI101" s="816"/>
      <c r="AJ101" s="609"/>
      <c r="AK101" s="609"/>
      <c r="AL101" s="816"/>
      <c r="AM101" s="816"/>
      <c r="AN101" s="609"/>
      <c r="AO101" s="609"/>
      <c r="AP101" s="816"/>
      <c r="AQ101" s="816"/>
      <c r="AR101" s="816"/>
      <c r="AS101" s="816"/>
      <c r="AT101" s="816"/>
      <c r="AU101" s="816"/>
      <c r="AV101" s="609"/>
      <c r="AW101" s="609"/>
      <c r="AX101" s="816"/>
      <c r="AY101" s="816"/>
      <c r="AZ101" s="817"/>
      <c r="BA101" s="609"/>
      <c r="BB101" s="609"/>
      <c r="BC101" s="816"/>
      <c r="BD101" s="816"/>
      <c r="BE101" s="816"/>
      <c r="BF101" s="816"/>
      <c r="BG101" s="816"/>
      <c r="BH101" s="816"/>
      <c r="BI101" s="816"/>
      <c r="BJ101" s="816"/>
      <c r="BK101" s="816"/>
      <c r="BL101" s="816"/>
      <c r="BM101" s="816"/>
      <c r="BN101" s="816"/>
      <c r="BO101" s="816"/>
      <c r="BP101" s="816"/>
      <c r="BQ101" s="816"/>
      <c r="BR101" s="816"/>
      <c r="BS101" s="816"/>
      <c r="BT101" s="816"/>
      <c r="BU101" s="816"/>
      <c r="BV101" s="816"/>
      <c r="BW101" s="816"/>
      <c r="BX101" s="609"/>
      <c r="BY101" s="609"/>
      <c r="BZ101" s="609"/>
      <c r="CA101" s="818"/>
      <c r="CB101" s="816"/>
      <c r="CC101" s="816"/>
      <c r="CD101" s="816"/>
      <c r="CE101" s="816"/>
      <c r="CF101" s="816"/>
      <c r="CG101" s="816"/>
      <c r="CH101" s="816"/>
      <c r="CI101" s="816"/>
      <c r="CJ101" s="819"/>
      <c r="CK101" s="819"/>
      <c r="CL101" s="820"/>
      <c r="CM101" s="820"/>
      <c r="CN101" s="820"/>
      <c r="CO101" s="820"/>
      <c r="CP101" s="820"/>
      <c r="CQ101" s="820"/>
      <c r="CR101" s="609"/>
      <c r="CS101" s="609"/>
      <c r="CT101" s="816"/>
      <c r="CU101" s="816"/>
      <c r="CV101" s="609"/>
      <c r="CW101" s="609"/>
      <c r="CX101" s="816"/>
      <c r="CY101" s="816"/>
      <c r="CZ101" s="609"/>
      <c r="DA101" s="609"/>
      <c r="DB101" s="816"/>
      <c r="DC101" s="816"/>
      <c r="DD101" s="609"/>
      <c r="DE101" s="609"/>
      <c r="DF101" s="816"/>
      <c r="DG101" s="816"/>
      <c r="DH101" s="816"/>
      <c r="DI101" s="816"/>
      <c r="DJ101" s="816"/>
      <c r="DK101" s="816"/>
      <c r="DL101" s="609"/>
      <c r="DM101" s="609"/>
      <c r="DN101" s="816"/>
      <c r="DO101" s="816"/>
      <c r="DP101" s="609"/>
      <c r="DQ101" s="609"/>
      <c r="DR101" s="816"/>
      <c r="DS101" s="816"/>
      <c r="DT101" s="816"/>
      <c r="DU101" s="816"/>
      <c r="DV101" s="816"/>
      <c r="DW101" s="816"/>
      <c r="DX101" s="816"/>
      <c r="DY101" s="816"/>
      <c r="DZ101" s="816"/>
      <c r="EA101" s="816"/>
      <c r="EB101" s="816"/>
      <c r="EC101" s="816"/>
      <c r="ED101" s="816"/>
      <c r="EE101" s="816"/>
      <c r="EF101" s="609"/>
      <c r="EG101" s="609"/>
      <c r="EH101" s="816"/>
      <c r="EI101" s="816"/>
      <c r="EJ101" s="816"/>
      <c r="EK101" s="816"/>
      <c r="EL101" s="816"/>
      <c r="EM101" s="816"/>
      <c r="EN101" s="816"/>
      <c r="EO101" s="816"/>
      <c r="EP101" s="816"/>
      <c r="EQ101" s="816"/>
      <c r="ER101" s="816"/>
      <c r="ES101" s="816"/>
      <c r="ET101" s="816"/>
      <c r="EU101" s="816"/>
      <c r="EV101" s="609"/>
      <c r="EW101" s="609"/>
      <c r="EX101" s="816"/>
      <c r="EY101" s="816"/>
      <c r="EZ101" s="816"/>
      <c r="FA101" s="816"/>
      <c r="FB101" s="816"/>
      <c r="FC101" s="816"/>
      <c r="FD101" s="816"/>
      <c r="FE101" s="816"/>
      <c r="FF101" s="816"/>
      <c r="FG101" s="816"/>
      <c r="FH101" s="816"/>
      <c r="FI101" s="816"/>
      <c r="FJ101" s="816"/>
      <c r="FK101" s="816"/>
      <c r="FL101" s="816"/>
      <c r="FM101" s="816"/>
      <c r="FN101" s="816"/>
      <c r="FO101" s="816"/>
      <c r="FP101" s="816"/>
      <c r="FQ101" s="816"/>
      <c r="FR101" s="816"/>
      <c r="FS101" s="816"/>
      <c r="FT101" s="816"/>
      <c r="FU101" s="816"/>
      <c r="FV101" s="816"/>
      <c r="FW101" s="816"/>
      <c r="FX101" s="816"/>
      <c r="FY101" s="816"/>
      <c r="FZ101" s="819"/>
      <c r="GA101" s="816"/>
      <c r="GB101" s="820"/>
      <c r="GC101" s="820"/>
      <c r="GD101" s="820"/>
      <c r="GE101" s="820"/>
      <c r="GF101" s="609"/>
      <c r="GG101" s="609"/>
      <c r="GH101" s="816"/>
      <c r="GI101" s="816"/>
      <c r="GJ101" s="816"/>
      <c r="GK101" s="816"/>
      <c r="GL101" s="816"/>
      <c r="GM101" s="816"/>
      <c r="GN101" s="816"/>
      <c r="GO101" s="816"/>
      <c r="GP101" s="816"/>
      <c r="GQ101" s="816"/>
      <c r="GR101" s="816"/>
      <c r="GS101" s="816"/>
      <c r="GT101" s="818"/>
      <c r="GU101" s="816"/>
      <c r="GV101" s="816"/>
      <c r="GW101" s="816"/>
      <c r="GX101" s="816"/>
      <c r="GY101" s="816"/>
      <c r="GZ101" s="816"/>
      <c r="HA101" s="816"/>
      <c r="HB101" s="609"/>
      <c r="HC101" s="609"/>
      <c r="HD101" s="816"/>
      <c r="HE101" s="816"/>
      <c r="HF101" s="816"/>
      <c r="HG101" s="816"/>
      <c r="HH101" s="816"/>
      <c r="HI101" s="816"/>
      <c r="HJ101" s="609"/>
      <c r="HK101" s="609"/>
      <c r="HL101" s="609"/>
      <c r="HM101" s="816"/>
      <c r="HN101" s="816"/>
      <c r="HO101" s="609"/>
      <c r="HP101" s="609"/>
      <c r="HQ101" s="816"/>
      <c r="HR101" s="816"/>
      <c r="HS101" s="816"/>
      <c r="HT101" s="816"/>
      <c r="HU101" s="816"/>
      <c r="HV101" s="816"/>
      <c r="HW101" s="609"/>
      <c r="HX101" s="609"/>
      <c r="HY101" s="816"/>
      <c r="HZ101" s="816"/>
      <c r="IA101" s="816"/>
      <c r="IB101" s="816"/>
      <c r="IC101" s="816"/>
      <c r="ID101" s="816"/>
      <c r="IE101" s="609"/>
      <c r="IF101" s="609"/>
      <c r="IG101" s="816"/>
      <c r="IH101" s="816"/>
      <c r="II101" s="609"/>
      <c r="IJ101" s="609"/>
      <c r="IK101" s="816"/>
      <c r="IL101" s="816"/>
      <c r="IM101" s="609"/>
      <c r="IN101" s="609"/>
      <c r="IO101" s="816"/>
      <c r="IP101" s="816"/>
      <c r="IQ101" s="816"/>
      <c r="IR101" s="816"/>
      <c r="IS101" s="816"/>
      <c r="IT101" s="816"/>
      <c r="IU101" s="821"/>
      <c r="IV101" s="609"/>
      <c r="IW101" s="816"/>
      <c r="IX101" s="816"/>
      <c r="IY101" s="822"/>
      <c r="IZ101" s="609"/>
      <c r="JA101" s="816"/>
      <c r="JB101" s="816"/>
      <c r="JC101" s="609"/>
      <c r="JD101" s="816"/>
      <c r="JE101" s="816"/>
      <c r="JF101" s="816"/>
      <c r="JG101" s="816"/>
      <c r="JH101" s="816"/>
      <c r="JI101" s="816"/>
      <c r="JJ101" s="816"/>
      <c r="JK101" s="816"/>
      <c r="JL101" s="816"/>
      <c r="JM101" s="816"/>
      <c r="JN101" s="816"/>
      <c r="JO101" s="823"/>
      <c r="JP101" s="824"/>
      <c r="JQ101" s="825"/>
      <c r="JR101" s="825"/>
      <c r="JS101" s="816"/>
      <c r="JU101" s="826"/>
      <c r="JV101" s="826"/>
      <c r="JW101" s="826"/>
      <c r="JX101" s="826"/>
    </row>
    <row r="102" spans="2:284" s="780" customFormat="1">
      <c r="B102" s="609"/>
      <c r="C102" s="609"/>
      <c r="D102" s="609"/>
      <c r="E102" s="609"/>
      <c r="F102" s="609"/>
      <c r="G102" s="609"/>
      <c r="H102" s="609"/>
      <c r="I102" s="609"/>
      <c r="J102" s="609"/>
      <c r="K102" s="609"/>
      <c r="L102" s="609"/>
      <c r="M102" s="609"/>
      <c r="N102" s="609"/>
      <c r="O102" s="609"/>
      <c r="P102" s="609"/>
      <c r="Q102" s="609"/>
      <c r="R102" s="609"/>
      <c r="S102" s="609"/>
      <c r="T102" s="609"/>
      <c r="U102" s="609"/>
      <c r="V102" s="609"/>
      <c r="W102" s="609"/>
      <c r="X102" s="609"/>
      <c r="Y102" s="609"/>
      <c r="Z102" s="609"/>
      <c r="AA102" s="609"/>
      <c r="AB102" s="609"/>
      <c r="AC102" s="609"/>
      <c r="AD102" s="816"/>
      <c r="AE102" s="816"/>
      <c r="AF102" s="816"/>
      <c r="AG102" s="816"/>
      <c r="AH102" s="816"/>
      <c r="AI102" s="816"/>
      <c r="AJ102" s="609"/>
      <c r="AK102" s="609"/>
      <c r="AL102" s="816"/>
      <c r="AM102" s="816"/>
      <c r="AN102" s="609"/>
      <c r="AO102" s="609"/>
      <c r="AP102" s="816"/>
      <c r="AQ102" s="816"/>
      <c r="AR102" s="816"/>
      <c r="AS102" s="816"/>
      <c r="AT102" s="816"/>
      <c r="AU102" s="816"/>
      <c r="AV102" s="609"/>
      <c r="AW102" s="609"/>
      <c r="AX102" s="816"/>
      <c r="AY102" s="816"/>
      <c r="AZ102" s="817"/>
      <c r="BA102" s="609"/>
      <c r="BB102" s="609"/>
      <c r="BC102" s="816"/>
      <c r="BD102" s="816"/>
      <c r="BE102" s="816"/>
      <c r="BF102" s="816"/>
      <c r="BG102" s="816"/>
      <c r="BH102" s="816"/>
      <c r="BI102" s="816"/>
      <c r="BJ102" s="816"/>
      <c r="BK102" s="816"/>
      <c r="BL102" s="816"/>
      <c r="BM102" s="816"/>
      <c r="BN102" s="816"/>
      <c r="BO102" s="816"/>
      <c r="BP102" s="816"/>
      <c r="BQ102" s="816"/>
      <c r="BR102" s="816"/>
      <c r="BS102" s="816"/>
      <c r="BT102" s="816"/>
      <c r="BU102" s="816"/>
      <c r="BV102" s="816"/>
      <c r="BW102" s="816"/>
      <c r="BX102" s="609"/>
      <c r="BY102" s="609"/>
      <c r="BZ102" s="609"/>
      <c r="CA102" s="818"/>
      <c r="CB102" s="816"/>
      <c r="CC102" s="816"/>
      <c r="CD102" s="816"/>
      <c r="CE102" s="816"/>
      <c r="CF102" s="816"/>
      <c r="CG102" s="816"/>
      <c r="CH102" s="816"/>
      <c r="CI102" s="816"/>
      <c r="CJ102" s="819"/>
      <c r="CK102" s="819"/>
      <c r="CL102" s="820"/>
      <c r="CM102" s="820"/>
      <c r="CN102" s="820"/>
      <c r="CO102" s="820"/>
      <c r="CP102" s="820"/>
      <c r="CQ102" s="820"/>
      <c r="CR102" s="609"/>
      <c r="CS102" s="609"/>
      <c r="CT102" s="816"/>
      <c r="CU102" s="816"/>
      <c r="CV102" s="609"/>
      <c r="CW102" s="609"/>
      <c r="CX102" s="816"/>
      <c r="CY102" s="816"/>
      <c r="CZ102" s="609"/>
      <c r="DA102" s="609"/>
      <c r="DB102" s="816"/>
      <c r="DC102" s="816"/>
      <c r="DD102" s="609"/>
      <c r="DE102" s="609"/>
      <c r="DF102" s="816"/>
      <c r="DG102" s="816"/>
      <c r="DH102" s="816"/>
      <c r="DI102" s="816"/>
      <c r="DJ102" s="816"/>
      <c r="DK102" s="816"/>
      <c r="DL102" s="609"/>
      <c r="DM102" s="609"/>
      <c r="DN102" s="816"/>
      <c r="DO102" s="816"/>
      <c r="DP102" s="609"/>
      <c r="DQ102" s="609"/>
      <c r="DR102" s="816"/>
      <c r="DS102" s="816"/>
      <c r="DT102" s="816"/>
      <c r="DU102" s="816"/>
      <c r="DV102" s="816"/>
      <c r="DW102" s="816"/>
      <c r="DX102" s="816"/>
      <c r="DY102" s="816"/>
      <c r="DZ102" s="816"/>
      <c r="EA102" s="816"/>
      <c r="EB102" s="816"/>
      <c r="EC102" s="816"/>
      <c r="ED102" s="816"/>
      <c r="EE102" s="816"/>
      <c r="EF102" s="609"/>
      <c r="EG102" s="609"/>
      <c r="EH102" s="816"/>
      <c r="EI102" s="816"/>
      <c r="EJ102" s="816"/>
      <c r="EK102" s="816"/>
      <c r="EL102" s="816"/>
      <c r="EM102" s="816"/>
      <c r="EN102" s="816"/>
      <c r="EO102" s="816"/>
      <c r="EP102" s="816"/>
      <c r="EQ102" s="816"/>
      <c r="ER102" s="816"/>
      <c r="ES102" s="816"/>
      <c r="ET102" s="816"/>
      <c r="EU102" s="816"/>
      <c r="EV102" s="609"/>
      <c r="EW102" s="609"/>
      <c r="EX102" s="816"/>
      <c r="EY102" s="816"/>
      <c r="EZ102" s="816"/>
      <c r="FA102" s="816"/>
      <c r="FB102" s="816"/>
      <c r="FC102" s="816"/>
      <c r="FD102" s="816"/>
      <c r="FE102" s="816"/>
      <c r="FF102" s="816"/>
      <c r="FG102" s="816"/>
      <c r="FH102" s="816"/>
      <c r="FI102" s="816"/>
      <c r="FJ102" s="816"/>
      <c r="FK102" s="816"/>
      <c r="FL102" s="816"/>
      <c r="FM102" s="816"/>
      <c r="FN102" s="816"/>
      <c r="FO102" s="816"/>
      <c r="FP102" s="816"/>
      <c r="FQ102" s="816"/>
      <c r="FR102" s="816"/>
      <c r="FS102" s="816"/>
      <c r="FT102" s="816"/>
      <c r="FU102" s="816"/>
      <c r="FV102" s="816"/>
      <c r="FW102" s="816"/>
      <c r="FX102" s="816"/>
      <c r="FY102" s="816"/>
      <c r="FZ102" s="819"/>
      <c r="GA102" s="816"/>
      <c r="GB102" s="820"/>
      <c r="GC102" s="820"/>
      <c r="GD102" s="820"/>
      <c r="GE102" s="820"/>
      <c r="GF102" s="609"/>
      <c r="GG102" s="609"/>
      <c r="GH102" s="816"/>
      <c r="GI102" s="816"/>
      <c r="GJ102" s="816"/>
      <c r="GK102" s="816"/>
      <c r="GL102" s="816"/>
      <c r="GM102" s="816"/>
      <c r="GN102" s="816"/>
      <c r="GO102" s="816"/>
      <c r="GP102" s="816"/>
      <c r="GQ102" s="816"/>
      <c r="GR102" s="816"/>
      <c r="GS102" s="816"/>
      <c r="GT102" s="818"/>
      <c r="GU102" s="816"/>
      <c r="GV102" s="816"/>
      <c r="GW102" s="816"/>
      <c r="GX102" s="816"/>
      <c r="GY102" s="816"/>
      <c r="GZ102" s="816"/>
      <c r="HA102" s="816"/>
      <c r="HB102" s="609"/>
      <c r="HC102" s="609"/>
      <c r="HD102" s="816"/>
      <c r="HE102" s="816"/>
      <c r="HF102" s="816"/>
      <c r="HG102" s="816"/>
      <c r="HH102" s="816"/>
      <c r="HI102" s="816"/>
      <c r="HJ102" s="609"/>
      <c r="HK102" s="609"/>
      <c r="HL102" s="609"/>
      <c r="HM102" s="816"/>
      <c r="HN102" s="816"/>
      <c r="HO102" s="609"/>
      <c r="HP102" s="609"/>
      <c r="HQ102" s="816"/>
      <c r="HR102" s="816"/>
      <c r="HS102" s="816"/>
      <c r="HT102" s="816"/>
      <c r="HU102" s="816"/>
      <c r="HV102" s="816"/>
      <c r="HW102" s="609"/>
      <c r="HX102" s="609"/>
      <c r="HY102" s="816"/>
      <c r="HZ102" s="816"/>
      <c r="IA102" s="816"/>
      <c r="IB102" s="816"/>
      <c r="IC102" s="816"/>
      <c r="ID102" s="816"/>
      <c r="IE102" s="609"/>
      <c r="IF102" s="609"/>
      <c r="IG102" s="816"/>
      <c r="IH102" s="816"/>
      <c r="II102" s="609"/>
      <c r="IJ102" s="609"/>
      <c r="IK102" s="816"/>
      <c r="IL102" s="816"/>
      <c r="IM102" s="609"/>
      <c r="IN102" s="609"/>
      <c r="IO102" s="816"/>
      <c r="IP102" s="816"/>
      <c r="IQ102" s="816"/>
      <c r="IR102" s="816"/>
      <c r="IS102" s="816"/>
      <c r="IT102" s="816"/>
      <c r="IU102" s="821"/>
      <c r="IV102" s="609"/>
      <c r="IW102" s="816"/>
      <c r="IX102" s="816"/>
      <c r="IY102" s="822"/>
      <c r="IZ102" s="609"/>
      <c r="JA102" s="816"/>
      <c r="JB102" s="816"/>
      <c r="JC102" s="609"/>
      <c r="JD102" s="816"/>
      <c r="JE102" s="816"/>
      <c r="JF102" s="816"/>
      <c r="JG102" s="816"/>
      <c r="JH102" s="816"/>
      <c r="JI102" s="816"/>
      <c r="JJ102" s="816"/>
      <c r="JK102" s="816"/>
      <c r="JL102" s="816"/>
      <c r="JM102" s="816"/>
      <c r="JN102" s="816"/>
      <c r="JO102" s="823"/>
      <c r="JP102" s="824"/>
      <c r="JQ102" s="825"/>
      <c r="JR102" s="825"/>
      <c r="JS102" s="816"/>
      <c r="JU102" s="826"/>
      <c r="JV102" s="826"/>
      <c r="JW102" s="826"/>
      <c r="JX102" s="826"/>
    </row>
    <row r="103" spans="2:284" s="780" customFormat="1">
      <c r="B103" s="609"/>
      <c r="C103" s="609"/>
      <c r="D103" s="609"/>
      <c r="E103" s="609"/>
      <c r="F103" s="609"/>
      <c r="G103" s="609"/>
      <c r="H103" s="609"/>
      <c r="I103" s="609"/>
      <c r="J103" s="609"/>
      <c r="K103" s="609"/>
      <c r="L103" s="609"/>
      <c r="M103" s="609"/>
      <c r="N103" s="609"/>
      <c r="O103" s="609"/>
      <c r="P103" s="609"/>
      <c r="Q103" s="609"/>
      <c r="R103" s="609"/>
      <c r="S103" s="609"/>
      <c r="T103" s="609"/>
      <c r="U103" s="609"/>
      <c r="V103" s="609"/>
      <c r="W103" s="609"/>
      <c r="X103" s="609"/>
      <c r="Y103" s="609"/>
      <c r="Z103" s="609"/>
      <c r="AA103" s="609"/>
      <c r="AB103" s="609"/>
      <c r="AC103" s="609"/>
      <c r="AD103" s="816"/>
      <c r="AE103" s="816"/>
      <c r="AF103" s="816"/>
      <c r="AG103" s="816"/>
      <c r="AH103" s="816"/>
      <c r="AI103" s="816"/>
      <c r="AJ103" s="609"/>
      <c r="AK103" s="609"/>
      <c r="AL103" s="816"/>
      <c r="AM103" s="816"/>
      <c r="AN103" s="609"/>
      <c r="AO103" s="609"/>
      <c r="AP103" s="816"/>
      <c r="AQ103" s="816"/>
      <c r="AR103" s="816"/>
      <c r="AS103" s="816"/>
      <c r="AT103" s="816"/>
      <c r="AU103" s="816"/>
      <c r="AV103" s="609"/>
      <c r="AW103" s="609"/>
      <c r="AX103" s="816"/>
      <c r="AY103" s="816"/>
      <c r="AZ103" s="817"/>
      <c r="BA103" s="609"/>
      <c r="BB103" s="609"/>
      <c r="BC103" s="816"/>
      <c r="BD103" s="816"/>
      <c r="BE103" s="816"/>
      <c r="BF103" s="816"/>
      <c r="BG103" s="816"/>
      <c r="BH103" s="816"/>
      <c r="BI103" s="816"/>
      <c r="BJ103" s="816"/>
      <c r="BK103" s="816"/>
      <c r="BL103" s="816"/>
      <c r="BM103" s="816"/>
      <c r="BN103" s="816"/>
      <c r="BO103" s="816"/>
      <c r="BP103" s="816"/>
      <c r="BQ103" s="816"/>
      <c r="BR103" s="816"/>
      <c r="BS103" s="816"/>
      <c r="BT103" s="816"/>
      <c r="BU103" s="816"/>
      <c r="BV103" s="816"/>
      <c r="BW103" s="816"/>
      <c r="BX103" s="609"/>
      <c r="BY103" s="609"/>
      <c r="BZ103" s="609"/>
      <c r="CA103" s="818"/>
      <c r="CB103" s="816"/>
      <c r="CC103" s="816"/>
      <c r="CD103" s="816"/>
      <c r="CE103" s="816"/>
      <c r="CF103" s="816"/>
      <c r="CG103" s="816"/>
      <c r="CH103" s="816"/>
      <c r="CI103" s="816"/>
      <c r="CJ103" s="819"/>
      <c r="CK103" s="819"/>
      <c r="CL103" s="820"/>
      <c r="CM103" s="820"/>
      <c r="CN103" s="820"/>
      <c r="CO103" s="820"/>
      <c r="CP103" s="820"/>
      <c r="CQ103" s="820"/>
      <c r="CR103" s="609"/>
      <c r="CS103" s="609"/>
      <c r="CT103" s="816"/>
      <c r="CU103" s="816"/>
      <c r="CV103" s="609"/>
      <c r="CW103" s="609"/>
      <c r="CX103" s="816"/>
      <c r="CY103" s="816"/>
      <c r="CZ103" s="609"/>
      <c r="DA103" s="609"/>
      <c r="DB103" s="816"/>
      <c r="DC103" s="816"/>
      <c r="DD103" s="609"/>
      <c r="DE103" s="609"/>
      <c r="DF103" s="816"/>
      <c r="DG103" s="816"/>
      <c r="DH103" s="816"/>
      <c r="DI103" s="816"/>
      <c r="DJ103" s="816"/>
      <c r="DK103" s="816"/>
      <c r="DL103" s="609"/>
      <c r="DM103" s="609"/>
      <c r="DN103" s="816"/>
      <c r="DO103" s="816"/>
      <c r="DP103" s="609"/>
      <c r="DQ103" s="609"/>
      <c r="DR103" s="816"/>
      <c r="DS103" s="816"/>
      <c r="DT103" s="816"/>
      <c r="DU103" s="816"/>
      <c r="DV103" s="816"/>
      <c r="DW103" s="816"/>
      <c r="DX103" s="816"/>
      <c r="DY103" s="816"/>
      <c r="DZ103" s="816"/>
      <c r="EA103" s="816"/>
      <c r="EB103" s="816"/>
      <c r="EC103" s="816"/>
      <c r="ED103" s="816"/>
      <c r="EE103" s="816"/>
      <c r="EF103" s="609"/>
      <c r="EG103" s="609"/>
      <c r="EH103" s="816"/>
      <c r="EI103" s="816"/>
      <c r="EJ103" s="816"/>
      <c r="EK103" s="816"/>
      <c r="EL103" s="816"/>
      <c r="EM103" s="816"/>
      <c r="EN103" s="816"/>
      <c r="EO103" s="816"/>
      <c r="EP103" s="816"/>
      <c r="EQ103" s="816"/>
      <c r="ER103" s="816"/>
      <c r="ES103" s="816"/>
      <c r="ET103" s="816"/>
      <c r="EU103" s="816"/>
      <c r="EV103" s="609"/>
      <c r="EW103" s="609"/>
      <c r="EX103" s="816"/>
      <c r="EY103" s="816"/>
      <c r="EZ103" s="816"/>
      <c r="FA103" s="816"/>
      <c r="FB103" s="816"/>
      <c r="FC103" s="816"/>
      <c r="FD103" s="816"/>
      <c r="FE103" s="816"/>
      <c r="FF103" s="816"/>
      <c r="FG103" s="816"/>
      <c r="FH103" s="816"/>
      <c r="FI103" s="816"/>
      <c r="FJ103" s="816"/>
      <c r="FK103" s="816"/>
      <c r="FL103" s="816"/>
      <c r="FM103" s="816"/>
      <c r="FN103" s="816"/>
      <c r="FO103" s="816"/>
      <c r="FP103" s="816"/>
      <c r="FQ103" s="816"/>
      <c r="FR103" s="816"/>
      <c r="FS103" s="816"/>
      <c r="FT103" s="816"/>
      <c r="FU103" s="816"/>
      <c r="FV103" s="816"/>
      <c r="FW103" s="816"/>
      <c r="FX103" s="816"/>
      <c r="FY103" s="816"/>
      <c r="FZ103" s="819"/>
      <c r="GA103" s="816"/>
      <c r="GB103" s="820"/>
      <c r="GC103" s="820"/>
      <c r="GD103" s="820"/>
      <c r="GE103" s="820"/>
      <c r="GF103" s="609"/>
      <c r="GG103" s="609"/>
      <c r="GH103" s="816"/>
      <c r="GI103" s="816"/>
      <c r="GJ103" s="816"/>
      <c r="GK103" s="816"/>
      <c r="GL103" s="816"/>
      <c r="GM103" s="816"/>
      <c r="GN103" s="816"/>
      <c r="GO103" s="816"/>
      <c r="GP103" s="816"/>
      <c r="GQ103" s="816"/>
      <c r="GR103" s="816"/>
      <c r="GS103" s="816"/>
      <c r="GT103" s="818"/>
      <c r="GU103" s="816"/>
      <c r="GV103" s="816"/>
      <c r="GW103" s="816"/>
      <c r="GX103" s="816"/>
      <c r="GY103" s="816"/>
      <c r="GZ103" s="816"/>
      <c r="HA103" s="816"/>
      <c r="HB103" s="609"/>
      <c r="HC103" s="609"/>
      <c r="HD103" s="816"/>
      <c r="HE103" s="816"/>
      <c r="HF103" s="816"/>
      <c r="HG103" s="816"/>
      <c r="HH103" s="816"/>
      <c r="HI103" s="816"/>
      <c r="HJ103" s="609"/>
      <c r="HK103" s="609"/>
      <c r="HL103" s="609"/>
      <c r="HM103" s="816"/>
      <c r="HN103" s="816"/>
      <c r="HO103" s="609"/>
      <c r="HP103" s="609"/>
      <c r="HQ103" s="816"/>
      <c r="HR103" s="816"/>
      <c r="HS103" s="816"/>
      <c r="HT103" s="816"/>
      <c r="HU103" s="816"/>
      <c r="HV103" s="816"/>
      <c r="HW103" s="609"/>
      <c r="HX103" s="609"/>
      <c r="HY103" s="816"/>
      <c r="HZ103" s="816"/>
      <c r="IA103" s="816"/>
      <c r="IB103" s="816"/>
      <c r="IC103" s="816"/>
      <c r="ID103" s="816"/>
      <c r="IE103" s="609"/>
      <c r="IF103" s="609"/>
      <c r="IG103" s="816"/>
      <c r="IH103" s="816"/>
      <c r="II103" s="609"/>
      <c r="IJ103" s="609"/>
      <c r="IK103" s="816"/>
      <c r="IL103" s="816"/>
      <c r="IM103" s="609"/>
      <c r="IN103" s="609"/>
      <c r="IO103" s="816"/>
      <c r="IP103" s="816"/>
      <c r="IQ103" s="816"/>
      <c r="IR103" s="816"/>
      <c r="IS103" s="816"/>
      <c r="IT103" s="816"/>
      <c r="IU103" s="821"/>
      <c r="IV103" s="609"/>
      <c r="IW103" s="816"/>
      <c r="IX103" s="816"/>
      <c r="IY103" s="822"/>
      <c r="IZ103" s="609"/>
      <c r="JA103" s="816"/>
      <c r="JB103" s="816"/>
      <c r="JC103" s="609"/>
      <c r="JD103" s="816"/>
      <c r="JE103" s="816"/>
      <c r="JF103" s="816"/>
      <c r="JG103" s="816"/>
      <c r="JH103" s="816"/>
      <c r="JI103" s="816"/>
      <c r="JJ103" s="816"/>
      <c r="JK103" s="816"/>
      <c r="JL103" s="816"/>
      <c r="JM103" s="816"/>
      <c r="JN103" s="816"/>
      <c r="JO103" s="823"/>
      <c r="JP103" s="824"/>
      <c r="JQ103" s="825"/>
      <c r="JR103" s="825"/>
      <c r="JS103" s="816"/>
      <c r="JU103" s="826"/>
      <c r="JV103" s="826"/>
      <c r="JW103" s="826"/>
      <c r="JX103" s="826"/>
    </row>
    <row r="104" spans="2:284" s="780" customFormat="1">
      <c r="B104" s="609"/>
      <c r="C104" s="609"/>
      <c r="D104" s="609"/>
      <c r="E104" s="609"/>
      <c r="F104" s="609"/>
      <c r="G104" s="609"/>
      <c r="H104" s="609"/>
      <c r="I104" s="609"/>
      <c r="J104" s="609"/>
      <c r="K104" s="609"/>
      <c r="L104" s="609"/>
      <c r="M104" s="609"/>
      <c r="N104" s="609"/>
      <c r="O104" s="609"/>
      <c r="P104" s="609"/>
      <c r="Q104" s="609"/>
      <c r="R104" s="609"/>
      <c r="S104" s="609"/>
      <c r="T104" s="609"/>
      <c r="U104" s="609"/>
      <c r="V104" s="609"/>
      <c r="W104" s="609"/>
      <c r="X104" s="609"/>
      <c r="Y104" s="609"/>
      <c r="Z104" s="609"/>
      <c r="AA104" s="609"/>
      <c r="AB104" s="609"/>
      <c r="AC104" s="609"/>
      <c r="AD104" s="816"/>
      <c r="AE104" s="816"/>
      <c r="AF104" s="816"/>
      <c r="AG104" s="816"/>
      <c r="AH104" s="816"/>
      <c r="AI104" s="816"/>
      <c r="AJ104" s="609"/>
      <c r="AK104" s="609"/>
      <c r="AL104" s="816"/>
      <c r="AM104" s="816"/>
      <c r="AN104" s="609"/>
      <c r="AO104" s="609"/>
      <c r="AP104" s="816"/>
      <c r="AQ104" s="816"/>
      <c r="AR104" s="816"/>
      <c r="AS104" s="816"/>
      <c r="AT104" s="816"/>
      <c r="AU104" s="816"/>
      <c r="AV104" s="609"/>
      <c r="AW104" s="609"/>
      <c r="AX104" s="816"/>
      <c r="AY104" s="816"/>
      <c r="AZ104" s="817"/>
      <c r="BA104" s="609"/>
      <c r="BB104" s="609"/>
      <c r="BC104" s="816"/>
      <c r="BD104" s="816"/>
      <c r="BE104" s="816"/>
      <c r="BF104" s="816"/>
      <c r="BG104" s="816"/>
      <c r="BH104" s="816"/>
      <c r="BI104" s="816"/>
      <c r="BJ104" s="816"/>
      <c r="BK104" s="816"/>
      <c r="BL104" s="816"/>
      <c r="BM104" s="816"/>
      <c r="BN104" s="816"/>
      <c r="BO104" s="816"/>
      <c r="BP104" s="816"/>
      <c r="BQ104" s="816"/>
      <c r="BR104" s="816"/>
      <c r="BS104" s="816"/>
      <c r="BT104" s="816"/>
      <c r="BU104" s="816"/>
      <c r="BV104" s="816"/>
      <c r="BW104" s="816"/>
      <c r="BX104" s="609"/>
      <c r="BY104" s="609"/>
      <c r="BZ104" s="609"/>
      <c r="CA104" s="818"/>
      <c r="CB104" s="816"/>
      <c r="CC104" s="816"/>
      <c r="CD104" s="816"/>
      <c r="CE104" s="816"/>
      <c r="CF104" s="816"/>
      <c r="CG104" s="816"/>
      <c r="CH104" s="816"/>
      <c r="CI104" s="816"/>
      <c r="CJ104" s="819"/>
      <c r="CK104" s="819"/>
      <c r="CL104" s="820"/>
      <c r="CM104" s="820"/>
      <c r="CN104" s="820"/>
      <c r="CO104" s="820"/>
      <c r="CP104" s="820"/>
      <c r="CQ104" s="820"/>
      <c r="CR104" s="609"/>
      <c r="CS104" s="609"/>
      <c r="CT104" s="816"/>
      <c r="CU104" s="816"/>
      <c r="CV104" s="609"/>
      <c r="CW104" s="609"/>
      <c r="CX104" s="816"/>
      <c r="CY104" s="816"/>
      <c r="CZ104" s="609"/>
      <c r="DA104" s="609"/>
      <c r="DB104" s="816"/>
      <c r="DC104" s="816"/>
      <c r="DD104" s="609"/>
      <c r="DE104" s="609"/>
      <c r="DF104" s="816"/>
      <c r="DG104" s="816"/>
      <c r="DH104" s="816"/>
      <c r="DI104" s="816"/>
      <c r="DJ104" s="816"/>
      <c r="DK104" s="816"/>
      <c r="DL104" s="609"/>
      <c r="DM104" s="609"/>
      <c r="DN104" s="816"/>
      <c r="DO104" s="816"/>
      <c r="DP104" s="609"/>
      <c r="DQ104" s="609"/>
      <c r="DR104" s="816"/>
      <c r="DS104" s="816"/>
      <c r="DT104" s="816"/>
      <c r="DU104" s="816"/>
      <c r="DV104" s="816"/>
      <c r="DW104" s="816"/>
      <c r="DX104" s="816"/>
      <c r="DY104" s="816"/>
      <c r="DZ104" s="816"/>
      <c r="EA104" s="816"/>
      <c r="EB104" s="816"/>
      <c r="EC104" s="816"/>
      <c r="ED104" s="816"/>
      <c r="EE104" s="816"/>
      <c r="EF104" s="609"/>
      <c r="EG104" s="609"/>
      <c r="EH104" s="816"/>
      <c r="EI104" s="816"/>
      <c r="EJ104" s="816"/>
      <c r="EK104" s="816"/>
      <c r="EL104" s="816"/>
      <c r="EM104" s="816"/>
      <c r="EN104" s="816"/>
      <c r="EO104" s="816"/>
      <c r="EP104" s="816"/>
      <c r="EQ104" s="816"/>
      <c r="ER104" s="816"/>
      <c r="ES104" s="816"/>
      <c r="ET104" s="816"/>
      <c r="EU104" s="816"/>
      <c r="EV104" s="609"/>
      <c r="EW104" s="609"/>
      <c r="EX104" s="816"/>
      <c r="EY104" s="816"/>
      <c r="EZ104" s="816"/>
      <c r="FA104" s="816"/>
      <c r="FB104" s="816"/>
      <c r="FC104" s="816"/>
      <c r="FD104" s="816"/>
      <c r="FE104" s="816"/>
      <c r="FF104" s="816"/>
      <c r="FG104" s="816"/>
      <c r="FH104" s="816"/>
      <c r="FI104" s="816"/>
      <c r="FJ104" s="816"/>
      <c r="FK104" s="816"/>
      <c r="FL104" s="816"/>
      <c r="FM104" s="816"/>
      <c r="FN104" s="816"/>
      <c r="FO104" s="816"/>
      <c r="FP104" s="816"/>
      <c r="FQ104" s="816"/>
      <c r="FR104" s="816"/>
      <c r="FS104" s="816"/>
      <c r="FT104" s="816"/>
      <c r="FU104" s="816"/>
      <c r="FV104" s="816"/>
      <c r="FW104" s="816"/>
      <c r="FX104" s="816"/>
      <c r="FY104" s="816"/>
      <c r="FZ104" s="819"/>
      <c r="GA104" s="816"/>
      <c r="GB104" s="820"/>
      <c r="GC104" s="820"/>
      <c r="GD104" s="820"/>
      <c r="GE104" s="820"/>
      <c r="GF104" s="609"/>
      <c r="GG104" s="609"/>
      <c r="GH104" s="816"/>
      <c r="GI104" s="816"/>
      <c r="GJ104" s="816"/>
      <c r="GK104" s="816"/>
      <c r="GL104" s="816"/>
      <c r="GM104" s="816"/>
      <c r="GN104" s="816"/>
      <c r="GO104" s="816"/>
      <c r="GP104" s="816"/>
      <c r="GQ104" s="816"/>
      <c r="GR104" s="816"/>
      <c r="GS104" s="816"/>
      <c r="GT104" s="818"/>
      <c r="GU104" s="816"/>
      <c r="GV104" s="816"/>
      <c r="GW104" s="816"/>
      <c r="GX104" s="816"/>
      <c r="GY104" s="816"/>
      <c r="GZ104" s="816"/>
      <c r="HA104" s="816"/>
      <c r="HB104" s="609"/>
      <c r="HC104" s="609"/>
      <c r="HD104" s="816"/>
      <c r="HE104" s="816"/>
      <c r="HF104" s="816"/>
      <c r="HG104" s="816"/>
      <c r="HH104" s="816"/>
      <c r="HI104" s="816"/>
      <c r="HJ104" s="609"/>
      <c r="HK104" s="609"/>
      <c r="HL104" s="609"/>
      <c r="HM104" s="816"/>
      <c r="HN104" s="816"/>
      <c r="HO104" s="609"/>
      <c r="HP104" s="609"/>
      <c r="HQ104" s="816"/>
      <c r="HR104" s="816"/>
      <c r="HS104" s="816"/>
      <c r="HT104" s="816"/>
      <c r="HU104" s="816"/>
      <c r="HV104" s="816"/>
      <c r="HW104" s="609"/>
      <c r="HX104" s="609"/>
      <c r="HY104" s="816"/>
      <c r="HZ104" s="816"/>
      <c r="IA104" s="816"/>
      <c r="IB104" s="816"/>
      <c r="IC104" s="816"/>
      <c r="ID104" s="816"/>
      <c r="IE104" s="609"/>
      <c r="IF104" s="609"/>
      <c r="IG104" s="816"/>
      <c r="IH104" s="816"/>
      <c r="II104" s="609"/>
      <c r="IJ104" s="609"/>
      <c r="IK104" s="816"/>
      <c r="IL104" s="816"/>
      <c r="IM104" s="609"/>
      <c r="IN104" s="609"/>
      <c r="IO104" s="816"/>
      <c r="IP104" s="816"/>
      <c r="IQ104" s="816"/>
      <c r="IR104" s="816"/>
      <c r="IS104" s="816"/>
      <c r="IT104" s="816"/>
      <c r="IU104" s="821"/>
      <c r="IV104" s="609"/>
      <c r="IW104" s="816"/>
      <c r="IX104" s="816"/>
      <c r="IY104" s="822"/>
      <c r="IZ104" s="609"/>
      <c r="JA104" s="816"/>
      <c r="JB104" s="816"/>
      <c r="JC104" s="609"/>
      <c r="JD104" s="816"/>
      <c r="JE104" s="816"/>
      <c r="JF104" s="816"/>
      <c r="JG104" s="816"/>
      <c r="JH104" s="816"/>
      <c r="JI104" s="816"/>
      <c r="JJ104" s="816"/>
      <c r="JK104" s="816"/>
      <c r="JL104" s="816"/>
      <c r="JM104" s="816"/>
      <c r="JN104" s="816"/>
      <c r="JO104" s="823"/>
      <c r="JP104" s="824"/>
      <c r="JQ104" s="825"/>
      <c r="JR104" s="825"/>
      <c r="JS104" s="816"/>
      <c r="JU104" s="826"/>
      <c r="JV104" s="826"/>
      <c r="JW104" s="826"/>
      <c r="JX104" s="826"/>
    </row>
    <row r="105" spans="2:284" s="780" customFormat="1">
      <c r="B105" s="609"/>
      <c r="C105" s="609"/>
      <c r="D105" s="609"/>
      <c r="E105" s="609"/>
      <c r="F105" s="609"/>
      <c r="G105" s="609"/>
      <c r="H105" s="609"/>
      <c r="I105" s="609"/>
      <c r="J105" s="609"/>
      <c r="K105" s="609"/>
      <c r="L105" s="609"/>
      <c r="M105" s="609"/>
      <c r="N105" s="609"/>
      <c r="O105" s="609"/>
      <c r="P105" s="609"/>
      <c r="Q105" s="609"/>
      <c r="R105" s="609"/>
      <c r="S105" s="609"/>
      <c r="T105" s="609"/>
      <c r="U105" s="609"/>
      <c r="V105" s="609"/>
      <c r="W105" s="609"/>
      <c r="X105" s="609"/>
      <c r="Y105" s="609"/>
      <c r="Z105" s="609"/>
      <c r="AA105" s="609"/>
      <c r="AB105" s="609"/>
      <c r="AC105" s="609"/>
      <c r="AD105" s="816"/>
      <c r="AE105" s="816"/>
      <c r="AF105" s="816"/>
      <c r="AG105" s="816"/>
      <c r="AH105" s="816"/>
      <c r="AI105" s="816"/>
      <c r="AJ105" s="609"/>
      <c r="AK105" s="609"/>
      <c r="AL105" s="816"/>
      <c r="AM105" s="816"/>
      <c r="AN105" s="609"/>
      <c r="AO105" s="609"/>
      <c r="AP105" s="816"/>
      <c r="AQ105" s="816"/>
      <c r="AR105" s="816"/>
      <c r="AS105" s="816"/>
      <c r="AT105" s="816"/>
      <c r="AU105" s="816"/>
      <c r="AV105" s="609"/>
      <c r="AW105" s="609"/>
      <c r="AX105" s="816"/>
      <c r="AY105" s="816"/>
      <c r="AZ105" s="817"/>
      <c r="BA105" s="609"/>
      <c r="BB105" s="609"/>
      <c r="BC105" s="816"/>
      <c r="BD105" s="816"/>
      <c r="BE105" s="816"/>
      <c r="BF105" s="816"/>
      <c r="BG105" s="816"/>
      <c r="BH105" s="816"/>
      <c r="BI105" s="816"/>
      <c r="BJ105" s="816"/>
      <c r="BK105" s="816"/>
      <c r="BL105" s="816"/>
      <c r="BM105" s="816"/>
      <c r="BN105" s="816"/>
      <c r="BO105" s="816"/>
      <c r="BP105" s="816"/>
      <c r="BQ105" s="816"/>
      <c r="BR105" s="816"/>
      <c r="BS105" s="816"/>
      <c r="BT105" s="816"/>
      <c r="BU105" s="816"/>
      <c r="BV105" s="816"/>
      <c r="BW105" s="816"/>
      <c r="BX105" s="609"/>
      <c r="BY105" s="609"/>
      <c r="BZ105" s="609"/>
      <c r="CA105" s="818"/>
      <c r="CB105" s="816"/>
      <c r="CC105" s="816"/>
      <c r="CD105" s="816"/>
      <c r="CE105" s="816"/>
      <c r="CF105" s="816"/>
      <c r="CG105" s="816"/>
      <c r="CH105" s="816"/>
      <c r="CI105" s="816"/>
      <c r="CJ105" s="819"/>
      <c r="CK105" s="819"/>
      <c r="CL105" s="820"/>
      <c r="CM105" s="820"/>
      <c r="CN105" s="820"/>
      <c r="CO105" s="820"/>
      <c r="CP105" s="820"/>
      <c r="CQ105" s="820"/>
      <c r="CR105" s="609"/>
      <c r="CS105" s="609"/>
      <c r="CT105" s="816"/>
      <c r="CU105" s="816"/>
      <c r="CV105" s="609"/>
      <c r="CW105" s="609"/>
      <c r="CX105" s="816"/>
      <c r="CY105" s="816"/>
      <c r="CZ105" s="609"/>
      <c r="DA105" s="609"/>
      <c r="DB105" s="816"/>
      <c r="DC105" s="816"/>
      <c r="DD105" s="609"/>
      <c r="DE105" s="609"/>
      <c r="DF105" s="816"/>
      <c r="DG105" s="816"/>
      <c r="DH105" s="816"/>
      <c r="DI105" s="816"/>
      <c r="DJ105" s="816"/>
      <c r="DK105" s="816"/>
      <c r="DL105" s="609"/>
      <c r="DM105" s="609"/>
      <c r="DN105" s="816"/>
      <c r="DO105" s="816"/>
      <c r="DP105" s="609"/>
      <c r="DQ105" s="609"/>
      <c r="DR105" s="816"/>
      <c r="DS105" s="816"/>
      <c r="DT105" s="816"/>
      <c r="DU105" s="816"/>
      <c r="DV105" s="816"/>
      <c r="DW105" s="816"/>
      <c r="DX105" s="816"/>
      <c r="DY105" s="816"/>
      <c r="DZ105" s="816"/>
      <c r="EA105" s="816"/>
      <c r="EB105" s="816"/>
      <c r="EC105" s="816"/>
      <c r="ED105" s="816"/>
      <c r="EE105" s="816"/>
      <c r="EF105" s="609"/>
      <c r="EG105" s="609"/>
      <c r="EH105" s="816"/>
      <c r="EI105" s="816"/>
      <c r="EJ105" s="816"/>
      <c r="EK105" s="816"/>
      <c r="EL105" s="816"/>
      <c r="EM105" s="816"/>
      <c r="EN105" s="816"/>
      <c r="EO105" s="816"/>
      <c r="EP105" s="816"/>
      <c r="EQ105" s="816"/>
      <c r="ER105" s="816"/>
      <c r="ES105" s="816"/>
      <c r="ET105" s="816"/>
      <c r="EU105" s="816"/>
      <c r="EV105" s="609"/>
      <c r="EW105" s="609"/>
      <c r="EX105" s="816"/>
      <c r="EY105" s="816"/>
      <c r="EZ105" s="816"/>
      <c r="FA105" s="816"/>
      <c r="FB105" s="816"/>
      <c r="FC105" s="816"/>
      <c r="FD105" s="816"/>
      <c r="FE105" s="816"/>
      <c r="FF105" s="816"/>
      <c r="FG105" s="816"/>
      <c r="FH105" s="816"/>
      <c r="FI105" s="816"/>
      <c r="FJ105" s="816"/>
      <c r="FK105" s="816"/>
      <c r="FL105" s="816"/>
      <c r="FM105" s="816"/>
      <c r="FN105" s="816"/>
      <c r="FO105" s="816"/>
      <c r="FP105" s="816"/>
      <c r="FQ105" s="816"/>
      <c r="FR105" s="816"/>
      <c r="FS105" s="816"/>
      <c r="FT105" s="816"/>
      <c r="FU105" s="816"/>
      <c r="FV105" s="816"/>
      <c r="FW105" s="816"/>
      <c r="FX105" s="816"/>
      <c r="FY105" s="816"/>
      <c r="FZ105" s="819"/>
      <c r="GA105" s="816"/>
      <c r="GB105" s="820"/>
      <c r="GC105" s="820"/>
      <c r="GD105" s="820"/>
      <c r="GE105" s="820"/>
      <c r="GF105" s="609"/>
      <c r="GG105" s="609"/>
      <c r="GH105" s="816"/>
      <c r="GI105" s="816"/>
      <c r="GJ105" s="816"/>
      <c r="GK105" s="816"/>
      <c r="GL105" s="816"/>
      <c r="GM105" s="816"/>
      <c r="GN105" s="816"/>
      <c r="GO105" s="816"/>
      <c r="GP105" s="816"/>
      <c r="GQ105" s="816"/>
      <c r="GR105" s="816"/>
      <c r="GS105" s="816"/>
      <c r="GT105" s="818"/>
      <c r="GU105" s="816"/>
      <c r="GV105" s="816"/>
      <c r="GW105" s="816"/>
      <c r="GX105" s="816"/>
      <c r="GY105" s="816"/>
      <c r="GZ105" s="816"/>
      <c r="HA105" s="816"/>
      <c r="HB105" s="609"/>
      <c r="HC105" s="609"/>
      <c r="HD105" s="816"/>
      <c r="HE105" s="816"/>
      <c r="HF105" s="816"/>
      <c r="HG105" s="816"/>
      <c r="HH105" s="816"/>
      <c r="HI105" s="816"/>
      <c r="HJ105" s="609"/>
      <c r="HK105" s="609"/>
      <c r="HL105" s="609"/>
      <c r="HM105" s="816"/>
      <c r="HN105" s="816"/>
      <c r="HO105" s="609"/>
      <c r="HP105" s="609"/>
      <c r="HQ105" s="816"/>
      <c r="HR105" s="816"/>
      <c r="HS105" s="816"/>
      <c r="HT105" s="816"/>
      <c r="HU105" s="816"/>
      <c r="HV105" s="816"/>
      <c r="HW105" s="609"/>
      <c r="HX105" s="609"/>
      <c r="HY105" s="816"/>
      <c r="HZ105" s="816"/>
      <c r="IA105" s="816"/>
      <c r="IB105" s="816"/>
      <c r="IC105" s="816"/>
      <c r="ID105" s="816"/>
      <c r="IE105" s="609"/>
      <c r="IF105" s="609"/>
      <c r="IG105" s="816"/>
      <c r="IH105" s="816"/>
      <c r="II105" s="609"/>
      <c r="IJ105" s="609"/>
      <c r="IK105" s="816"/>
      <c r="IL105" s="816"/>
      <c r="IM105" s="609"/>
      <c r="IN105" s="609"/>
      <c r="IO105" s="816"/>
      <c r="IP105" s="816"/>
      <c r="IQ105" s="816"/>
      <c r="IR105" s="816"/>
      <c r="IS105" s="816"/>
      <c r="IT105" s="816"/>
      <c r="IU105" s="821"/>
      <c r="IV105" s="609"/>
      <c r="IW105" s="816"/>
      <c r="IX105" s="816"/>
      <c r="IY105" s="822"/>
      <c r="IZ105" s="609"/>
      <c r="JA105" s="816"/>
      <c r="JB105" s="816"/>
      <c r="JC105" s="609"/>
      <c r="JD105" s="816"/>
      <c r="JE105" s="816"/>
      <c r="JF105" s="816"/>
      <c r="JG105" s="816"/>
      <c r="JH105" s="816"/>
      <c r="JI105" s="816"/>
      <c r="JJ105" s="816"/>
      <c r="JK105" s="816"/>
      <c r="JL105" s="816"/>
      <c r="JM105" s="816"/>
      <c r="JN105" s="816"/>
      <c r="JO105" s="823"/>
      <c r="JP105" s="824"/>
      <c r="JQ105" s="825"/>
      <c r="JR105" s="825"/>
      <c r="JS105" s="816"/>
      <c r="JU105" s="826"/>
      <c r="JV105" s="826"/>
      <c r="JW105" s="826"/>
      <c r="JX105" s="826"/>
    </row>
    <row r="106" spans="2:284" s="780" customFormat="1">
      <c r="B106" s="609"/>
      <c r="C106" s="609"/>
      <c r="D106" s="609"/>
      <c r="E106" s="609"/>
      <c r="F106" s="609"/>
      <c r="G106" s="609"/>
      <c r="H106" s="609"/>
      <c r="I106" s="609"/>
      <c r="J106" s="609"/>
      <c r="K106" s="609"/>
      <c r="L106" s="609"/>
      <c r="M106" s="609"/>
      <c r="N106" s="609"/>
      <c r="O106" s="609"/>
      <c r="P106" s="609"/>
      <c r="Q106" s="609"/>
      <c r="R106" s="609"/>
      <c r="S106" s="609"/>
      <c r="T106" s="609"/>
      <c r="U106" s="609"/>
      <c r="V106" s="609"/>
      <c r="W106" s="609"/>
      <c r="X106" s="609"/>
      <c r="Y106" s="609"/>
      <c r="Z106" s="609"/>
      <c r="AA106" s="609"/>
      <c r="AB106" s="609"/>
      <c r="AC106" s="609"/>
      <c r="AD106" s="816"/>
      <c r="AE106" s="816"/>
      <c r="AF106" s="816"/>
      <c r="AG106" s="816"/>
      <c r="AH106" s="816"/>
      <c r="AI106" s="816"/>
      <c r="AJ106" s="609"/>
      <c r="AK106" s="609"/>
      <c r="AL106" s="816"/>
      <c r="AM106" s="816"/>
      <c r="AN106" s="609"/>
      <c r="AO106" s="609"/>
      <c r="AP106" s="816"/>
      <c r="AQ106" s="816"/>
      <c r="AR106" s="816"/>
      <c r="AS106" s="816"/>
      <c r="AT106" s="816"/>
      <c r="AU106" s="816"/>
      <c r="AV106" s="609"/>
      <c r="AW106" s="609"/>
      <c r="AX106" s="816"/>
      <c r="AY106" s="816"/>
      <c r="AZ106" s="817"/>
      <c r="BA106" s="609"/>
      <c r="BB106" s="609"/>
      <c r="BC106" s="816"/>
      <c r="BD106" s="816"/>
      <c r="BE106" s="816"/>
      <c r="BF106" s="816"/>
      <c r="BG106" s="816"/>
      <c r="BH106" s="816"/>
      <c r="BI106" s="816"/>
      <c r="BJ106" s="816"/>
      <c r="BK106" s="816"/>
      <c r="BL106" s="816"/>
      <c r="BM106" s="816"/>
      <c r="BN106" s="816"/>
      <c r="BO106" s="816"/>
      <c r="BP106" s="816"/>
      <c r="BQ106" s="816"/>
      <c r="BR106" s="816"/>
      <c r="BS106" s="816"/>
      <c r="BT106" s="816"/>
      <c r="BU106" s="816"/>
      <c r="BV106" s="816"/>
      <c r="BW106" s="816"/>
      <c r="BX106" s="609"/>
      <c r="BY106" s="609"/>
      <c r="BZ106" s="609"/>
      <c r="CA106" s="818"/>
      <c r="CB106" s="816"/>
      <c r="CC106" s="816"/>
      <c r="CD106" s="816"/>
      <c r="CE106" s="816"/>
      <c r="CF106" s="816"/>
      <c r="CG106" s="816"/>
      <c r="CH106" s="816"/>
      <c r="CI106" s="816"/>
      <c r="CJ106" s="819"/>
      <c r="CK106" s="819"/>
      <c r="CL106" s="820"/>
      <c r="CM106" s="820"/>
      <c r="CN106" s="820"/>
      <c r="CO106" s="820"/>
      <c r="CP106" s="820"/>
      <c r="CQ106" s="820"/>
      <c r="CR106" s="609"/>
      <c r="CS106" s="609"/>
      <c r="CT106" s="816"/>
      <c r="CU106" s="816"/>
      <c r="CV106" s="609"/>
      <c r="CW106" s="609"/>
      <c r="CX106" s="816"/>
      <c r="CY106" s="816"/>
      <c r="CZ106" s="609"/>
      <c r="DA106" s="609"/>
      <c r="DB106" s="816"/>
      <c r="DC106" s="816"/>
      <c r="DD106" s="609"/>
      <c r="DE106" s="609"/>
      <c r="DF106" s="816"/>
      <c r="DG106" s="816"/>
      <c r="DH106" s="816"/>
      <c r="DI106" s="816"/>
      <c r="DJ106" s="816"/>
      <c r="DK106" s="816"/>
      <c r="DL106" s="609"/>
      <c r="DM106" s="609"/>
      <c r="DN106" s="816"/>
      <c r="DO106" s="816"/>
      <c r="DP106" s="609"/>
      <c r="DQ106" s="609"/>
      <c r="DR106" s="816"/>
      <c r="DS106" s="816"/>
      <c r="DT106" s="816"/>
      <c r="DU106" s="816"/>
      <c r="DV106" s="816"/>
      <c r="DW106" s="816"/>
      <c r="DX106" s="816"/>
      <c r="DY106" s="816"/>
      <c r="DZ106" s="816"/>
      <c r="EA106" s="816"/>
      <c r="EB106" s="816"/>
      <c r="EC106" s="816"/>
      <c r="ED106" s="816"/>
      <c r="EE106" s="816"/>
      <c r="EF106" s="609"/>
      <c r="EG106" s="609"/>
      <c r="EH106" s="816"/>
      <c r="EI106" s="816"/>
      <c r="EJ106" s="816"/>
      <c r="EK106" s="816"/>
      <c r="EL106" s="816"/>
      <c r="EM106" s="816"/>
      <c r="EN106" s="816"/>
      <c r="EO106" s="816"/>
      <c r="EP106" s="816"/>
      <c r="EQ106" s="816"/>
      <c r="ER106" s="816"/>
      <c r="ES106" s="816"/>
      <c r="ET106" s="816"/>
      <c r="EU106" s="816"/>
      <c r="EV106" s="609"/>
      <c r="EW106" s="609"/>
      <c r="EX106" s="816"/>
      <c r="EY106" s="816"/>
      <c r="EZ106" s="816"/>
      <c r="FA106" s="816"/>
      <c r="FB106" s="816"/>
      <c r="FC106" s="816"/>
      <c r="FD106" s="816"/>
      <c r="FE106" s="816"/>
      <c r="FF106" s="816"/>
      <c r="FG106" s="816"/>
      <c r="FH106" s="816"/>
      <c r="FI106" s="816"/>
      <c r="FJ106" s="816"/>
      <c r="FK106" s="816"/>
      <c r="FL106" s="816"/>
      <c r="FM106" s="816"/>
      <c r="FN106" s="816"/>
      <c r="FO106" s="816"/>
      <c r="FP106" s="816"/>
      <c r="FQ106" s="816"/>
      <c r="FR106" s="816"/>
      <c r="FS106" s="816"/>
      <c r="FT106" s="816"/>
      <c r="FU106" s="816"/>
      <c r="FV106" s="816"/>
      <c r="FW106" s="816"/>
      <c r="FX106" s="816"/>
      <c r="FY106" s="816"/>
      <c r="FZ106" s="819"/>
      <c r="GA106" s="816"/>
      <c r="GB106" s="820"/>
      <c r="GC106" s="820"/>
      <c r="GD106" s="820"/>
      <c r="GE106" s="820"/>
      <c r="GF106" s="609"/>
      <c r="GG106" s="609"/>
      <c r="GH106" s="816"/>
      <c r="GI106" s="816"/>
      <c r="GJ106" s="816"/>
      <c r="GK106" s="816"/>
      <c r="GL106" s="816"/>
      <c r="GM106" s="816"/>
      <c r="GN106" s="816"/>
      <c r="GO106" s="816"/>
      <c r="GP106" s="816"/>
      <c r="GQ106" s="816"/>
      <c r="GR106" s="816"/>
      <c r="GS106" s="816"/>
      <c r="GT106" s="818"/>
      <c r="GU106" s="816"/>
      <c r="GV106" s="816"/>
      <c r="GW106" s="816"/>
      <c r="GX106" s="816"/>
      <c r="GY106" s="816"/>
      <c r="GZ106" s="816"/>
      <c r="HA106" s="816"/>
      <c r="HB106" s="609"/>
      <c r="HC106" s="609"/>
      <c r="HD106" s="816"/>
      <c r="HE106" s="816"/>
      <c r="HF106" s="816"/>
      <c r="HG106" s="816"/>
      <c r="HH106" s="816"/>
      <c r="HI106" s="816"/>
      <c r="HJ106" s="609"/>
      <c r="HK106" s="609"/>
      <c r="HL106" s="609"/>
      <c r="HM106" s="816"/>
      <c r="HN106" s="816"/>
      <c r="HO106" s="609"/>
      <c r="HP106" s="609"/>
      <c r="HQ106" s="816"/>
      <c r="HR106" s="816"/>
      <c r="HS106" s="816"/>
      <c r="HT106" s="816"/>
      <c r="HU106" s="816"/>
      <c r="HV106" s="816"/>
      <c r="HW106" s="609"/>
      <c r="HX106" s="609"/>
      <c r="HY106" s="816"/>
      <c r="HZ106" s="816"/>
      <c r="IA106" s="816"/>
      <c r="IB106" s="816"/>
      <c r="IC106" s="816"/>
      <c r="ID106" s="816"/>
      <c r="IE106" s="609"/>
      <c r="IF106" s="609"/>
      <c r="IG106" s="816"/>
      <c r="IH106" s="816"/>
      <c r="II106" s="609"/>
      <c r="IJ106" s="609"/>
      <c r="IK106" s="816"/>
      <c r="IL106" s="816"/>
      <c r="IM106" s="609"/>
      <c r="IN106" s="609"/>
      <c r="IO106" s="816"/>
      <c r="IP106" s="816"/>
      <c r="IQ106" s="816"/>
      <c r="IR106" s="816"/>
      <c r="IS106" s="816"/>
      <c r="IT106" s="816"/>
      <c r="IU106" s="821"/>
      <c r="IV106" s="609"/>
      <c r="IW106" s="816"/>
      <c r="IX106" s="816"/>
      <c r="IY106" s="822"/>
      <c r="IZ106" s="609"/>
      <c r="JA106" s="816"/>
      <c r="JB106" s="816"/>
      <c r="JC106" s="609"/>
      <c r="JD106" s="816"/>
      <c r="JE106" s="816"/>
      <c r="JF106" s="816"/>
      <c r="JG106" s="816"/>
      <c r="JH106" s="816"/>
      <c r="JI106" s="816"/>
      <c r="JJ106" s="816"/>
      <c r="JK106" s="816"/>
      <c r="JL106" s="816"/>
      <c r="JM106" s="816"/>
      <c r="JN106" s="816"/>
      <c r="JO106" s="823"/>
      <c r="JP106" s="824"/>
      <c r="JQ106" s="825"/>
      <c r="JR106" s="825"/>
      <c r="JS106" s="816"/>
      <c r="JU106" s="826"/>
      <c r="JV106" s="826"/>
      <c r="JW106" s="826"/>
      <c r="JX106" s="826"/>
    </row>
    <row r="107" spans="2:284" s="780" customFormat="1">
      <c r="B107" s="609"/>
      <c r="C107" s="609"/>
      <c r="D107" s="609"/>
      <c r="E107" s="609"/>
      <c r="F107" s="609"/>
      <c r="G107" s="609"/>
      <c r="H107" s="609"/>
      <c r="I107" s="609"/>
      <c r="J107" s="609"/>
      <c r="K107" s="609"/>
      <c r="L107" s="609"/>
      <c r="M107" s="609"/>
      <c r="N107" s="609"/>
      <c r="O107" s="609"/>
      <c r="P107" s="609"/>
      <c r="Q107" s="609"/>
      <c r="R107" s="609"/>
      <c r="S107" s="609"/>
      <c r="T107" s="609"/>
      <c r="U107" s="609"/>
      <c r="V107" s="609"/>
      <c r="W107" s="609"/>
      <c r="X107" s="609"/>
      <c r="Y107" s="609"/>
      <c r="Z107" s="609"/>
      <c r="AA107" s="609"/>
      <c r="AB107" s="609"/>
      <c r="AC107" s="609"/>
      <c r="AD107" s="816"/>
      <c r="AE107" s="816"/>
      <c r="AF107" s="816"/>
      <c r="AG107" s="816"/>
      <c r="AH107" s="816"/>
      <c r="AI107" s="816"/>
      <c r="AJ107" s="609"/>
      <c r="AK107" s="609"/>
      <c r="AL107" s="816"/>
      <c r="AM107" s="816"/>
      <c r="AN107" s="609"/>
      <c r="AO107" s="609"/>
      <c r="AP107" s="816"/>
      <c r="AQ107" s="816"/>
      <c r="AR107" s="816"/>
      <c r="AS107" s="816"/>
      <c r="AT107" s="816"/>
      <c r="AU107" s="816"/>
      <c r="AV107" s="609"/>
      <c r="AW107" s="609"/>
      <c r="AX107" s="816"/>
      <c r="AY107" s="816"/>
      <c r="AZ107" s="817"/>
      <c r="BA107" s="609"/>
      <c r="BB107" s="609"/>
      <c r="BC107" s="816"/>
      <c r="BD107" s="816"/>
      <c r="BE107" s="816"/>
      <c r="BF107" s="816"/>
      <c r="BG107" s="816"/>
      <c r="BH107" s="816"/>
      <c r="BI107" s="816"/>
      <c r="BJ107" s="816"/>
      <c r="BK107" s="816"/>
      <c r="BL107" s="816"/>
      <c r="BM107" s="816"/>
      <c r="BN107" s="816"/>
      <c r="BO107" s="816"/>
      <c r="BP107" s="816"/>
      <c r="BQ107" s="816"/>
      <c r="BR107" s="816"/>
      <c r="BS107" s="816"/>
      <c r="BT107" s="816"/>
      <c r="BU107" s="816"/>
      <c r="BV107" s="816"/>
      <c r="BW107" s="816"/>
      <c r="BX107" s="609"/>
      <c r="BY107" s="609"/>
      <c r="BZ107" s="609"/>
      <c r="CA107" s="818"/>
      <c r="CB107" s="816"/>
      <c r="CC107" s="816"/>
      <c r="CD107" s="816"/>
      <c r="CE107" s="816"/>
      <c r="CF107" s="816"/>
      <c r="CG107" s="816"/>
      <c r="CH107" s="816"/>
      <c r="CI107" s="816"/>
      <c r="CJ107" s="819"/>
      <c r="CK107" s="819"/>
      <c r="CL107" s="820"/>
      <c r="CM107" s="820"/>
      <c r="CN107" s="820"/>
      <c r="CO107" s="820"/>
      <c r="CP107" s="820"/>
      <c r="CQ107" s="820"/>
      <c r="CR107" s="609"/>
      <c r="CS107" s="609"/>
      <c r="CT107" s="816"/>
      <c r="CU107" s="816"/>
      <c r="CV107" s="609"/>
      <c r="CW107" s="609"/>
      <c r="CX107" s="816"/>
      <c r="CY107" s="816"/>
      <c r="CZ107" s="609"/>
      <c r="DA107" s="609"/>
      <c r="DB107" s="816"/>
      <c r="DC107" s="816"/>
      <c r="DD107" s="609"/>
      <c r="DE107" s="609"/>
      <c r="DF107" s="816"/>
      <c r="DG107" s="816"/>
      <c r="DH107" s="816"/>
      <c r="DI107" s="816"/>
      <c r="DJ107" s="816"/>
      <c r="DK107" s="816"/>
      <c r="DL107" s="609"/>
      <c r="DM107" s="609"/>
      <c r="DN107" s="816"/>
      <c r="DO107" s="816"/>
      <c r="DP107" s="609"/>
      <c r="DQ107" s="609"/>
      <c r="DR107" s="816"/>
      <c r="DS107" s="816"/>
      <c r="DT107" s="816"/>
      <c r="DU107" s="816"/>
      <c r="DV107" s="816"/>
      <c r="DW107" s="816"/>
      <c r="DX107" s="816"/>
      <c r="DY107" s="816"/>
      <c r="DZ107" s="816"/>
      <c r="EA107" s="816"/>
      <c r="EB107" s="816"/>
      <c r="EC107" s="816"/>
      <c r="ED107" s="816"/>
      <c r="EE107" s="816"/>
      <c r="EF107" s="609"/>
      <c r="EG107" s="609"/>
      <c r="EH107" s="816"/>
      <c r="EI107" s="816"/>
      <c r="EJ107" s="816"/>
      <c r="EK107" s="816"/>
      <c r="EL107" s="816"/>
      <c r="EM107" s="816"/>
      <c r="EN107" s="816"/>
      <c r="EO107" s="816"/>
      <c r="EP107" s="816"/>
      <c r="EQ107" s="816"/>
      <c r="ER107" s="816"/>
      <c r="ES107" s="816"/>
      <c r="ET107" s="816"/>
      <c r="EU107" s="816"/>
      <c r="EV107" s="609"/>
      <c r="EW107" s="609"/>
      <c r="EX107" s="816"/>
      <c r="EY107" s="816"/>
      <c r="EZ107" s="816"/>
      <c r="FA107" s="816"/>
      <c r="FB107" s="816"/>
      <c r="FC107" s="816"/>
      <c r="FD107" s="816"/>
      <c r="FE107" s="816"/>
      <c r="FF107" s="816"/>
      <c r="FG107" s="816"/>
      <c r="FH107" s="816"/>
      <c r="FI107" s="816"/>
      <c r="FJ107" s="816"/>
      <c r="FK107" s="816"/>
      <c r="FL107" s="816"/>
      <c r="FM107" s="816"/>
      <c r="FN107" s="816"/>
      <c r="FO107" s="816"/>
      <c r="FP107" s="816"/>
      <c r="FQ107" s="816"/>
      <c r="FR107" s="816"/>
      <c r="FS107" s="816"/>
      <c r="FT107" s="816"/>
      <c r="FU107" s="816"/>
      <c r="FV107" s="816"/>
      <c r="FW107" s="816"/>
      <c r="FX107" s="816"/>
      <c r="FY107" s="816"/>
      <c r="FZ107" s="819"/>
      <c r="GA107" s="816"/>
      <c r="GB107" s="820"/>
      <c r="GC107" s="820"/>
      <c r="GD107" s="820"/>
      <c r="GE107" s="820"/>
      <c r="GF107" s="609"/>
      <c r="GG107" s="609"/>
      <c r="GH107" s="816"/>
      <c r="GI107" s="816"/>
      <c r="GJ107" s="816"/>
      <c r="GK107" s="816"/>
      <c r="GL107" s="816"/>
      <c r="GM107" s="816"/>
      <c r="GN107" s="816"/>
      <c r="GO107" s="816"/>
      <c r="GP107" s="816"/>
      <c r="GQ107" s="816"/>
      <c r="GR107" s="816"/>
      <c r="GS107" s="816"/>
      <c r="GT107" s="818"/>
      <c r="GU107" s="816"/>
      <c r="GV107" s="816"/>
      <c r="GW107" s="816"/>
      <c r="GX107" s="816"/>
      <c r="GY107" s="816"/>
      <c r="GZ107" s="816"/>
      <c r="HA107" s="816"/>
      <c r="HB107" s="609"/>
      <c r="HC107" s="609"/>
      <c r="HD107" s="816"/>
      <c r="HE107" s="816"/>
      <c r="HF107" s="816"/>
      <c r="HG107" s="816"/>
      <c r="HH107" s="816"/>
      <c r="HI107" s="816"/>
      <c r="HJ107" s="609"/>
      <c r="HK107" s="609"/>
      <c r="HL107" s="609"/>
      <c r="HM107" s="816"/>
      <c r="HN107" s="816"/>
      <c r="HO107" s="609"/>
      <c r="HP107" s="609"/>
      <c r="HQ107" s="816"/>
      <c r="HR107" s="816"/>
      <c r="HS107" s="816"/>
      <c r="HT107" s="816"/>
      <c r="HU107" s="816"/>
      <c r="HV107" s="816"/>
      <c r="HW107" s="609"/>
      <c r="HX107" s="609"/>
      <c r="HY107" s="816"/>
      <c r="HZ107" s="816"/>
      <c r="IA107" s="816"/>
      <c r="IB107" s="816"/>
      <c r="IC107" s="816"/>
      <c r="ID107" s="816"/>
      <c r="IE107" s="609"/>
      <c r="IF107" s="609"/>
      <c r="IG107" s="816"/>
      <c r="IH107" s="816"/>
      <c r="II107" s="609"/>
      <c r="IJ107" s="609"/>
      <c r="IK107" s="816"/>
      <c r="IL107" s="816"/>
      <c r="IM107" s="609"/>
      <c r="IN107" s="609"/>
      <c r="IO107" s="816"/>
      <c r="IP107" s="816"/>
      <c r="IQ107" s="816"/>
      <c r="IR107" s="816"/>
      <c r="IS107" s="816"/>
      <c r="IT107" s="816"/>
      <c r="IU107" s="821"/>
      <c r="IV107" s="609"/>
      <c r="IW107" s="816"/>
      <c r="IX107" s="816"/>
      <c r="IY107" s="822"/>
      <c r="IZ107" s="609"/>
      <c r="JA107" s="816"/>
      <c r="JB107" s="816"/>
      <c r="JC107" s="609"/>
      <c r="JD107" s="816"/>
      <c r="JE107" s="816"/>
      <c r="JF107" s="816"/>
      <c r="JG107" s="816"/>
      <c r="JH107" s="816"/>
      <c r="JI107" s="816"/>
      <c r="JJ107" s="816"/>
      <c r="JK107" s="816"/>
      <c r="JL107" s="816"/>
      <c r="JM107" s="816"/>
      <c r="JN107" s="816"/>
      <c r="JO107" s="823"/>
      <c r="JP107" s="824"/>
      <c r="JQ107" s="825"/>
      <c r="JR107" s="825"/>
      <c r="JS107" s="816"/>
      <c r="JU107" s="826"/>
      <c r="JV107" s="826"/>
      <c r="JW107" s="826"/>
      <c r="JX107" s="826"/>
    </row>
    <row r="108" spans="2:284" s="780" customFormat="1">
      <c r="B108" s="609"/>
      <c r="C108" s="609"/>
      <c r="D108" s="609"/>
      <c r="E108" s="609"/>
      <c r="F108" s="609"/>
      <c r="G108" s="609"/>
      <c r="H108" s="609"/>
      <c r="I108" s="609"/>
      <c r="J108" s="609"/>
      <c r="K108" s="609"/>
      <c r="L108" s="609"/>
      <c r="M108" s="609"/>
      <c r="N108" s="609"/>
      <c r="O108" s="609"/>
      <c r="P108" s="609"/>
      <c r="Q108" s="609"/>
      <c r="R108" s="609"/>
      <c r="S108" s="609"/>
      <c r="T108" s="609"/>
      <c r="U108" s="609"/>
      <c r="V108" s="609"/>
      <c r="W108" s="609"/>
      <c r="X108" s="609"/>
      <c r="Y108" s="609"/>
      <c r="Z108" s="609"/>
      <c r="AA108" s="609"/>
      <c r="AB108" s="609"/>
      <c r="AC108" s="609"/>
      <c r="AD108" s="816"/>
      <c r="AE108" s="816"/>
      <c r="AF108" s="816"/>
      <c r="AG108" s="816"/>
      <c r="AH108" s="816"/>
      <c r="AI108" s="816"/>
      <c r="AJ108" s="609"/>
      <c r="AK108" s="609"/>
      <c r="AL108" s="816"/>
      <c r="AM108" s="816"/>
      <c r="AN108" s="609"/>
      <c r="AO108" s="609"/>
      <c r="AP108" s="816"/>
      <c r="AQ108" s="816"/>
      <c r="AR108" s="816"/>
      <c r="AS108" s="816"/>
      <c r="AT108" s="816"/>
      <c r="AU108" s="816"/>
      <c r="AV108" s="609"/>
      <c r="AW108" s="609"/>
      <c r="AX108" s="816"/>
      <c r="AY108" s="816"/>
      <c r="AZ108" s="817"/>
      <c r="BA108" s="609"/>
      <c r="BB108" s="609"/>
      <c r="BC108" s="816"/>
      <c r="BD108" s="816"/>
      <c r="BE108" s="816"/>
      <c r="BF108" s="816"/>
      <c r="BG108" s="816"/>
      <c r="BH108" s="816"/>
      <c r="BI108" s="816"/>
      <c r="BJ108" s="816"/>
      <c r="BK108" s="816"/>
      <c r="BL108" s="816"/>
      <c r="BM108" s="816"/>
      <c r="BN108" s="816"/>
      <c r="BO108" s="816"/>
      <c r="BP108" s="816"/>
      <c r="BQ108" s="816"/>
      <c r="BR108" s="816"/>
      <c r="BS108" s="816"/>
      <c r="BT108" s="816"/>
      <c r="BU108" s="816"/>
      <c r="BV108" s="816"/>
      <c r="BW108" s="816"/>
      <c r="BX108" s="609"/>
      <c r="BY108" s="609"/>
      <c r="BZ108" s="609"/>
      <c r="CA108" s="818"/>
      <c r="CB108" s="816"/>
      <c r="CC108" s="816"/>
      <c r="CD108" s="816"/>
      <c r="CE108" s="816"/>
      <c r="CF108" s="816"/>
      <c r="CG108" s="816"/>
      <c r="CH108" s="816"/>
      <c r="CI108" s="816"/>
      <c r="CJ108" s="819"/>
      <c r="CK108" s="819"/>
      <c r="CL108" s="820"/>
      <c r="CM108" s="820"/>
      <c r="CN108" s="820"/>
      <c r="CO108" s="820"/>
      <c r="CP108" s="820"/>
      <c r="CQ108" s="820"/>
      <c r="CR108" s="609"/>
      <c r="CS108" s="609"/>
      <c r="CT108" s="816"/>
      <c r="CU108" s="816"/>
      <c r="CV108" s="609"/>
      <c r="CW108" s="609"/>
      <c r="CX108" s="816"/>
      <c r="CY108" s="816"/>
      <c r="CZ108" s="609"/>
      <c r="DA108" s="609"/>
      <c r="DB108" s="816"/>
      <c r="DC108" s="816"/>
      <c r="DD108" s="609"/>
      <c r="DE108" s="609"/>
      <c r="DF108" s="816"/>
      <c r="DG108" s="816"/>
      <c r="DH108" s="816"/>
      <c r="DI108" s="816"/>
      <c r="DJ108" s="816"/>
      <c r="DK108" s="816"/>
      <c r="DL108" s="609"/>
      <c r="DM108" s="609"/>
      <c r="DN108" s="816"/>
      <c r="DO108" s="816"/>
      <c r="DP108" s="609"/>
      <c r="DQ108" s="609"/>
      <c r="DR108" s="816"/>
      <c r="DS108" s="816"/>
      <c r="DT108" s="816"/>
      <c r="DU108" s="816"/>
      <c r="DV108" s="816"/>
      <c r="DW108" s="816"/>
      <c r="DX108" s="816"/>
      <c r="DY108" s="816"/>
      <c r="DZ108" s="816"/>
      <c r="EA108" s="816"/>
      <c r="EB108" s="816"/>
      <c r="EC108" s="816"/>
      <c r="ED108" s="816"/>
      <c r="EE108" s="816"/>
      <c r="EF108" s="609"/>
      <c r="EG108" s="609"/>
      <c r="EH108" s="816"/>
      <c r="EI108" s="816"/>
      <c r="EJ108" s="816"/>
      <c r="EK108" s="816"/>
      <c r="EL108" s="816"/>
      <c r="EM108" s="816"/>
      <c r="EN108" s="816"/>
      <c r="EO108" s="816"/>
      <c r="EP108" s="816"/>
      <c r="EQ108" s="816"/>
      <c r="ER108" s="816"/>
      <c r="ES108" s="816"/>
      <c r="ET108" s="816"/>
      <c r="EU108" s="816"/>
      <c r="EV108" s="609"/>
      <c r="EW108" s="609"/>
      <c r="EX108" s="816"/>
      <c r="EY108" s="816"/>
      <c r="EZ108" s="816"/>
      <c r="FA108" s="816"/>
      <c r="FB108" s="816"/>
      <c r="FC108" s="816"/>
      <c r="FD108" s="816"/>
      <c r="FE108" s="816"/>
      <c r="FF108" s="816"/>
      <c r="FG108" s="816"/>
      <c r="FH108" s="816"/>
      <c r="FI108" s="816"/>
      <c r="FJ108" s="816"/>
      <c r="FK108" s="816"/>
      <c r="FL108" s="816"/>
      <c r="FM108" s="816"/>
      <c r="FN108" s="816"/>
      <c r="FO108" s="816"/>
      <c r="FP108" s="816"/>
      <c r="FQ108" s="816"/>
      <c r="FR108" s="816"/>
      <c r="FS108" s="816"/>
      <c r="FT108" s="816"/>
      <c r="FU108" s="816"/>
      <c r="FV108" s="816"/>
      <c r="FW108" s="816"/>
      <c r="FX108" s="816"/>
      <c r="FY108" s="816"/>
      <c r="FZ108" s="819"/>
      <c r="GA108" s="816"/>
      <c r="GB108" s="820"/>
      <c r="GC108" s="820"/>
      <c r="GD108" s="820"/>
      <c r="GE108" s="820"/>
      <c r="GF108" s="609"/>
      <c r="GG108" s="609"/>
      <c r="GH108" s="816"/>
      <c r="GI108" s="816"/>
      <c r="GJ108" s="816"/>
      <c r="GK108" s="816"/>
      <c r="GL108" s="816"/>
      <c r="GM108" s="816"/>
      <c r="GN108" s="816"/>
      <c r="GO108" s="816"/>
      <c r="GP108" s="816"/>
      <c r="GQ108" s="816"/>
      <c r="GR108" s="816"/>
      <c r="GS108" s="816"/>
      <c r="GT108" s="818"/>
      <c r="GU108" s="816"/>
      <c r="GV108" s="816"/>
      <c r="GW108" s="816"/>
      <c r="GX108" s="816"/>
      <c r="GY108" s="816"/>
      <c r="GZ108" s="816"/>
      <c r="HA108" s="816"/>
      <c r="HB108" s="609"/>
      <c r="HC108" s="609"/>
      <c r="HD108" s="816"/>
      <c r="HE108" s="816"/>
      <c r="HF108" s="816"/>
      <c r="HG108" s="816"/>
      <c r="HH108" s="816"/>
      <c r="HI108" s="816"/>
      <c r="HJ108" s="609"/>
      <c r="HK108" s="609"/>
      <c r="HL108" s="609"/>
      <c r="HM108" s="816"/>
      <c r="HN108" s="816"/>
      <c r="HO108" s="609"/>
      <c r="HP108" s="609"/>
      <c r="HQ108" s="816"/>
      <c r="HR108" s="816"/>
      <c r="HS108" s="816"/>
      <c r="HT108" s="816"/>
      <c r="HU108" s="816"/>
      <c r="HV108" s="816"/>
      <c r="HW108" s="609"/>
      <c r="HX108" s="609"/>
      <c r="HY108" s="816"/>
      <c r="HZ108" s="816"/>
      <c r="IA108" s="816"/>
      <c r="IB108" s="816"/>
      <c r="IC108" s="816"/>
      <c r="ID108" s="816"/>
      <c r="IE108" s="609"/>
      <c r="IF108" s="609"/>
      <c r="IG108" s="816"/>
      <c r="IH108" s="816"/>
      <c r="II108" s="609"/>
      <c r="IJ108" s="609"/>
      <c r="IK108" s="816"/>
      <c r="IL108" s="816"/>
      <c r="IM108" s="609"/>
      <c r="IN108" s="609"/>
      <c r="IO108" s="816"/>
      <c r="IP108" s="816"/>
      <c r="IQ108" s="816"/>
      <c r="IR108" s="816"/>
      <c r="IS108" s="816"/>
      <c r="IT108" s="816"/>
      <c r="IU108" s="821"/>
      <c r="IV108" s="609"/>
      <c r="IW108" s="816"/>
      <c r="IX108" s="816"/>
      <c r="IY108" s="822"/>
      <c r="IZ108" s="609"/>
      <c r="JA108" s="816"/>
      <c r="JB108" s="816"/>
      <c r="JC108" s="609"/>
      <c r="JD108" s="816"/>
      <c r="JE108" s="816"/>
      <c r="JF108" s="816"/>
      <c r="JG108" s="816"/>
      <c r="JH108" s="816"/>
      <c r="JI108" s="816"/>
      <c r="JJ108" s="816"/>
      <c r="JK108" s="816"/>
      <c r="JL108" s="816"/>
      <c r="JM108" s="816"/>
      <c r="JN108" s="816"/>
      <c r="JO108" s="823"/>
      <c r="JP108" s="824"/>
      <c r="JQ108" s="825"/>
      <c r="JR108" s="825"/>
      <c r="JS108" s="816"/>
      <c r="JU108" s="826"/>
      <c r="JV108" s="826"/>
      <c r="JW108" s="826"/>
      <c r="JX108" s="826"/>
    </row>
    <row r="109" spans="2:284" s="780" customFormat="1"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09"/>
      <c r="P109" s="609"/>
      <c r="Q109" s="609"/>
      <c r="R109" s="609"/>
      <c r="S109" s="609"/>
      <c r="T109" s="609"/>
      <c r="U109" s="609"/>
      <c r="V109" s="609"/>
      <c r="W109" s="609"/>
      <c r="X109" s="609"/>
      <c r="Y109" s="609"/>
      <c r="Z109" s="609"/>
      <c r="AA109" s="609"/>
      <c r="AB109" s="609"/>
      <c r="AC109" s="609"/>
      <c r="AD109" s="816"/>
      <c r="AE109" s="816"/>
      <c r="AF109" s="816"/>
      <c r="AG109" s="816"/>
      <c r="AH109" s="816"/>
      <c r="AI109" s="816"/>
      <c r="AJ109" s="609"/>
      <c r="AK109" s="609"/>
      <c r="AL109" s="816"/>
      <c r="AM109" s="816"/>
      <c r="AN109" s="609"/>
      <c r="AO109" s="609"/>
      <c r="AP109" s="816"/>
      <c r="AQ109" s="816"/>
      <c r="AR109" s="816"/>
      <c r="AS109" s="816"/>
      <c r="AT109" s="816"/>
      <c r="AU109" s="816"/>
      <c r="AV109" s="609"/>
      <c r="AW109" s="609"/>
      <c r="AX109" s="816"/>
      <c r="AY109" s="816"/>
      <c r="AZ109" s="817"/>
      <c r="BA109" s="609"/>
      <c r="BB109" s="609"/>
      <c r="BC109" s="816"/>
      <c r="BD109" s="816"/>
      <c r="BE109" s="816"/>
      <c r="BF109" s="816"/>
      <c r="BG109" s="816"/>
      <c r="BH109" s="816"/>
      <c r="BI109" s="816"/>
      <c r="BJ109" s="816"/>
      <c r="BK109" s="816"/>
      <c r="BL109" s="816"/>
      <c r="BM109" s="816"/>
      <c r="BN109" s="816"/>
      <c r="BO109" s="816"/>
      <c r="BP109" s="816"/>
      <c r="BQ109" s="816"/>
      <c r="BR109" s="816"/>
      <c r="BS109" s="816"/>
      <c r="BT109" s="816"/>
      <c r="BU109" s="816"/>
      <c r="BV109" s="816"/>
      <c r="BW109" s="816"/>
      <c r="BX109" s="609"/>
      <c r="BY109" s="609"/>
      <c r="BZ109" s="609"/>
      <c r="CA109" s="818"/>
      <c r="CB109" s="816"/>
      <c r="CC109" s="816"/>
      <c r="CD109" s="816"/>
      <c r="CE109" s="816"/>
      <c r="CF109" s="816"/>
      <c r="CG109" s="816"/>
      <c r="CH109" s="816"/>
      <c r="CI109" s="816"/>
      <c r="CJ109" s="819"/>
      <c r="CK109" s="819"/>
      <c r="CL109" s="820"/>
      <c r="CM109" s="820"/>
      <c r="CN109" s="820"/>
      <c r="CO109" s="820"/>
      <c r="CP109" s="820"/>
      <c r="CQ109" s="820"/>
      <c r="CR109" s="609"/>
      <c r="CS109" s="609"/>
      <c r="CT109" s="816"/>
      <c r="CU109" s="816"/>
      <c r="CV109" s="609"/>
      <c r="CW109" s="609"/>
      <c r="CX109" s="816"/>
      <c r="CY109" s="816"/>
      <c r="CZ109" s="609"/>
      <c r="DA109" s="609"/>
      <c r="DB109" s="816"/>
      <c r="DC109" s="816"/>
      <c r="DD109" s="609"/>
      <c r="DE109" s="609"/>
      <c r="DF109" s="816"/>
      <c r="DG109" s="816"/>
      <c r="DH109" s="816"/>
      <c r="DI109" s="816"/>
      <c r="DJ109" s="816"/>
      <c r="DK109" s="816"/>
      <c r="DL109" s="609"/>
      <c r="DM109" s="609"/>
      <c r="DN109" s="816"/>
      <c r="DO109" s="816"/>
      <c r="DP109" s="609"/>
      <c r="DQ109" s="609"/>
      <c r="DR109" s="816"/>
      <c r="DS109" s="816"/>
      <c r="DT109" s="816"/>
      <c r="DU109" s="816"/>
      <c r="DV109" s="816"/>
      <c r="DW109" s="816"/>
      <c r="DX109" s="816"/>
      <c r="DY109" s="816"/>
      <c r="DZ109" s="816"/>
      <c r="EA109" s="816"/>
      <c r="EB109" s="816"/>
      <c r="EC109" s="816"/>
      <c r="ED109" s="816"/>
      <c r="EE109" s="816"/>
      <c r="EF109" s="609"/>
      <c r="EG109" s="609"/>
      <c r="EH109" s="816"/>
      <c r="EI109" s="816"/>
      <c r="EJ109" s="816"/>
      <c r="EK109" s="816"/>
      <c r="EL109" s="816"/>
      <c r="EM109" s="816"/>
      <c r="EN109" s="816"/>
      <c r="EO109" s="816"/>
      <c r="EP109" s="816"/>
      <c r="EQ109" s="816"/>
      <c r="ER109" s="816"/>
      <c r="ES109" s="816"/>
      <c r="ET109" s="816"/>
      <c r="EU109" s="816"/>
      <c r="EV109" s="609"/>
      <c r="EW109" s="609"/>
      <c r="EX109" s="816"/>
      <c r="EY109" s="816"/>
      <c r="EZ109" s="816"/>
      <c r="FA109" s="816"/>
      <c r="FB109" s="816"/>
      <c r="FC109" s="816"/>
      <c r="FD109" s="816"/>
      <c r="FE109" s="816"/>
      <c r="FF109" s="816"/>
      <c r="FG109" s="816"/>
      <c r="FH109" s="816"/>
      <c r="FI109" s="816"/>
      <c r="FJ109" s="816"/>
      <c r="FK109" s="816"/>
      <c r="FL109" s="816"/>
      <c r="FM109" s="816"/>
      <c r="FN109" s="816"/>
      <c r="FO109" s="816"/>
      <c r="FP109" s="816"/>
      <c r="FQ109" s="816"/>
      <c r="FR109" s="816"/>
      <c r="FS109" s="816"/>
      <c r="FT109" s="816"/>
      <c r="FU109" s="816"/>
      <c r="FV109" s="816"/>
      <c r="FW109" s="816"/>
      <c r="FX109" s="816"/>
      <c r="FY109" s="816"/>
      <c r="FZ109" s="819"/>
      <c r="GA109" s="816"/>
      <c r="GB109" s="820"/>
      <c r="GC109" s="820"/>
      <c r="GD109" s="820"/>
      <c r="GE109" s="820"/>
      <c r="GF109" s="609"/>
      <c r="GG109" s="609"/>
      <c r="GH109" s="816"/>
      <c r="GI109" s="816"/>
      <c r="GJ109" s="816"/>
      <c r="GK109" s="816"/>
      <c r="GL109" s="816"/>
      <c r="GM109" s="816"/>
      <c r="GN109" s="816"/>
      <c r="GO109" s="816"/>
      <c r="GP109" s="816"/>
      <c r="GQ109" s="816"/>
      <c r="GR109" s="816"/>
      <c r="GS109" s="816"/>
      <c r="GT109" s="818"/>
      <c r="GU109" s="816"/>
      <c r="GV109" s="816"/>
      <c r="GW109" s="816"/>
      <c r="GX109" s="816"/>
      <c r="GY109" s="816"/>
      <c r="GZ109" s="816"/>
      <c r="HA109" s="816"/>
      <c r="HB109" s="609"/>
      <c r="HC109" s="609"/>
      <c r="HD109" s="816"/>
      <c r="HE109" s="816"/>
      <c r="HF109" s="816"/>
      <c r="HG109" s="816"/>
      <c r="HH109" s="816"/>
      <c r="HI109" s="816"/>
      <c r="HJ109" s="609"/>
      <c r="HK109" s="609"/>
      <c r="HL109" s="609"/>
      <c r="HM109" s="816"/>
      <c r="HN109" s="816"/>
      <c r="HO109" s="609"/>
      <c r="HP109" s="609"/>
      <c r="HQ109" s="816"/>
      <c r="HR109" s="816"/>
      <c r="HS109" s="816"/>
      <c r="HT109" s="816"/>
      <c r="HU109" s="816"/>
      <c r="HV109" s="816"/>
      <c r="HW109" s="609"/>
      <c r="HX109" s="609"/>
      <c r="HY109" s="816"/>
      <c r="HZ109" s="816"/>
      <c r="IA109" s="816"/>
      <c r="IB109" s="816"/>
      <c r="IC109" s="816"/>
      <c r="ID109" s="816"/>
      <c r="IE109" s="609"/>
      <c r="IF109" s="609"/>
      <c r="IG109" s="816"/>
      <c r="IH109" s="816"/>
      <c r="II109" s="609"/>
      <c r="IJ109" s="609"/>
      <c r="IK109" s="816"/>
      <c r="IL109" s="816"/>
      <c r="IM109" s="609"/>
      <c r="IN109" s="609"/>
      <c r="IO109" s="816"/>
      <c r="IP109" s="816"/>
      <c r="IQ109" s="816"/>
      <c r="IR109" s="816"/>
      <c r="IS109" s="816"/>
      <c r="IT109" s="816"/>
      <c r="IU109" s="821"/>
      <c r="IV109" s="609"/>
      <c r="IW109" s="816"/>
      <c r="IX109" s="816"/>
      <c r="IY109" s="822"/>
      <c r="IZ109" s="609"/>
      <c r="JA109" s="816"/>
      <c r="JB109" s="816"/>
      <c r="JC109" s="609"/>
      <c r="JD109" s="816"/>
      <c r="JE109" s="816"/>
      <c r="JF109" s="816"/>
      <c r="JG109" s="816"/>
      <c r="JH109" s="816"/>
      <c r="JI109" s="816"/>
      <c r="JJ109" s="816"/>
      <c r="JK109" s="816"/>
      <c r="JL109" s="816"/>
      <c r="JM109" s="816"/>
      <c r="JN109" s="816"/>
      <c r="JO109" s="823"/>
      <c r="JP109" s="824"/>
      <c r="JQ109" s="825"/>
      <c r="JR109" s="825"/>
      <c r="JS109" s="816"/>
      <c r="JU109" s="826"/>
      <c r="JV109" s="826"/>
      <c r="JW109" s="826"/>
      <c r="JX109" s="826"/>
    </row>
    <row r="110" spans="2:284" s="780" customFormat="1">
      <c r="B110" s="609"/>
      <c r="C110" s="609"/>
      <c r="D110" s="609"/>
      <c r="E110" s="609"/>
      <c r="F110" s="609"/>
      <c r="G110" s="609"/>
      <c r="H110" s="609"/>
      <c r="I110" s="609"/>
      <c r="J110" s="609"/>
      <c r="K110" s="609"/>
      <c r="L110" s="609"/>
      <c r="M110" s="609"/>
      <c r="N110" s="609"/>
      <c r="O110" s="609"/>
      <c r="P110" s="609"/>
      <c r="Q110" s="609"/>
      <c r="R110" s="609"/>
      <c r="S110" s="609"/>
      <c r="T110" s="609"/>
      <c r="U110" s="609"/>
      <c r="V110" s="609"/>
      <c r="W110" s="609"/>
      <c r="X110" s="609"/>
      <c r="Y110" s="609"/>
      <c r="Z110" s="609"/>
      <c r="AA110" s="609"/>
      <c r="AB110" s="609"/>
      <c r="AC110" s="609"/>
      <c r="AD110" s="816"/>
      <c r="AE110" s="816"/>
      <c r="AF110" s="816"/>
      <c r="AG110" s="816"/>
      <c r="AH110" s="816"/>
      <c r="AI110" s="816"/>
      <c r="AJ110" s="609"/>
      <c r="AK110" s="609"/>
      <c r="AL110" s="816"/>
      <c r="AM110" s="816"/>
      <c r="AN110" s="609"/>
      <c r="AO110" s="609"/>
      <c r="AP110" s="816"/>
      <c r="AQ110" s="816"/>
      <c r="AR110" s="816"/>
      <c r="AS110" s="816"/>
      <c r="AT110" s="816"/>
      <c r="AU110" s="816"/>
      <c r="AV110" s="609"/>
      <c r="AW110" s="609"/>
      <c r="AX110" s="816"/>
      <c r="AY110" s="816"/>
      <c r="AZ110" s="817"/>
      <c r="BA110" s="609"/>
      <c r="BB110" s="609"/>
      <c r="BC110" s="816"/>
      <c r="BD110" s="816"/>
      <c r="BE110" s="816"/>
      <c r="BF110" s="816"/>
      <c r="BG110" s="816"/>
      <c r="BH110" s="816"/>
      <c r="BI110" s="816"/>
      <c r="BJ110" s="816"/>
      <c r="BK110" s="816"/>
      <c r="BL110" s="816"/>
      <c r="BM110" s="816"/>
      <c r="BN110" s="816"/>
      <c r="BO110" s="816"/>
      <c r="BP110" s="816"/>
      <c r="BQ110" s="816"/>
      <c r="BR110" s="816"/>
      <c r="BS110" s="816"/>
      <c r="BT110" s="816"/>
      <c r="BU110" s="816"/>
      <c r="BV110" s="816"/>
      <c r="BW110" s="816"/>
      <c r="BX110" s="609"/>
      <c r="BY110" s="609"/>
      <c r="BZ110" s="609"/>
      <c r="CA110" s="818"/>
      <c r="CB110" s="816"/>
      <c r="CC110" s="816"/>
      <c r="CD110" s="816"/>
      <c r="CE110" s="816"/>
      <c r="CF110" s="816"/>
      <c r="CG110" s="816"/>
      <c r="CH110" s="816"/>
      <c r="CI110" s="816"/>
      <c r="CJ110" s="819"/>
      <c r="CK110" s="819"/>
      <c r="CL110" s="820"/>
      <c r="CM110" s="820"/>
      <c r="CN110" s="820"/>
      <c r="CO110" s="820"/>
      <c r="CP110" s="820"/>
      <c r="CQ110" s="820"/>
      <c r="CR110" s="609"/>
      <c r="CS110" s="609"/>
      <c r="CT110" s="816"/>
      <c r="CU110" s="816"/>
      <c r="CV110" s="609"/>
      <c r="CW110" s="609"/>
      <c r="CX110" s="816"/>
      <c r="CY110" s="816"/>
      <c r="CZ110" s="609"/>
      <c r="DA110" s="609"/>
      <c r="DB110" s="816"/>
      <c r="DC110" s="816"/>
      <c r="DD110" s="609"/>
      <c r="DE110" s="609"/>
      <c r="DF110" s="816"/>
      <c r="DG110" s="816"/>
      <c r="DH110" s="816"/>
      <c r="DI110" s="816"/>
      <c r="DJ110" s="816"/>
      <c r="DK110" s="816"/>
      <c r="DL110" s="609"/>
      <c r="DM110" s="609"/>
      <c r="DN110" s="816"/>
      <c r="DO110" s="816"/>
      <c r="DP110" s="609"/>
      <c r="DQ110" s="609"/>
      <c r="DR110" s="816"/>
      <c r="DS110" s="816"/>
      <c r="DT110" s="816"/>
      <c r="DU110" s="816"/>
      <c r="DV110" s="816"/>
      <c r="DW110" s="816"/>
      <c r="DX110" s="816"/>
      <c r="DY110" s="816"/>
      <c r="DZ110" s="816"/>
      <c r="EA110" s="816"/>
      <c r="EB110" s="816"/>
      <c r="EC110" s="816"/>
      <c r="ED110" s="816"/>
      <c r="EE110" s="816"/>
      <c r="EF110" s="609"/>
      <c r="EG110" s="609"/>
      <c r="EH110" s="816"/>
      <c r="EI110" s="816"/>
      <c r="EJ110" s="816"/>
      <c r="EK110" s="816"/>
      <c r="EL110" s="816"/>
      <c r="EM110" s="816"/>
      <c r="EN110" s="816"/>
      <c r="EO110" s="816"/>
      <c r="EP110" s="816"/>
      <c r="EQ110" s="816"/>
      <c r="ER110" s="816"/>
      <c r="ES110" s="816"/>
      <c r="ET110" s="816"/>
      <c r="EU110" s="816"/>
      <c r="EV110" s="609"/>
      <c r="EW110" s="609"/>
      <c r="EX110" s="816"/>
      <c r="EY110" s="816"/>
      <c r="EZ110" s="816"/>
      <c r="FA110" s="816"/>
      <c r="FB110" s="816"/>
      <c r="FC110" s="816"/>
      <c r="FD110" s="816"/>
      <c r="FE110" s="816"/>
      <c r="FF110" s="816"/>
      <c r="FG110" s="816"/>
      <c r="FH110" s="816"/>
      <c r="FI110" s="816"/>
      <c r="FJ110" s="816"/>
      <c r="FK110" s="816"/>
      <c r="FL110" s="816"/>
      <c r="FM110" s="816"/>
      <c r="FN110" s="816"/>
      <c r="FO110" s="816"/>
      <c r="FP110" s="816"/>
      <c r="FQ110" s="816"/>
      <c r="FR110" s="816"/>
      <c r="FS110" s="816"/>
      <c r="FT110" s="816"/>
      <c r="FU110" s="816"/>
      <c r="FV110" s="816"/>
      <c r="FW110" s="816"/>
      <c r="FX110" s="816"/>
      <c r="FY110" s="816"/>
      <c r="FZ110" s="819"/>
      <c r="GA110" s="816"/>
      <c r="GB110" s="820"/>
      <c r="GC110" s="820"/>
      <c r="GD110" s="820"/>
      <c r="GE110" s="820"/>
      <c r="GF110" s="609"/>
      <c r="GG110" s="609"/>
      <c r="GH110" s="816"/>
      <c r="GI110" s="816"/>
      <c r="GJ110" s="816"/>
      <c r="GK110" s="816"/>
      <c r="GL110" s="816"/>
      <c r="GM110" s="816"/>
      <c r="GN110" s="816"/>
      <c r="GO110" s="816"/>
      <c r="GP110" s="816"/>
      <c r="GQ110" s="816"/>
      <c r="GR110" s="816"/>
      <c r="GS110" s="816"/>
      <c r="GT110" s="818"/>
      <c r="GU110" s="816"/>
      <c r="GV110" s="816"/>
      <c r="GW110" s="816"/>
      <c r="GX110" s="816"/>
      <c r="GY110" s="816"/>
      <c r="GZ110" s="816"/>
      <c r="HA110" s="816"/>
      <c r="HB110" s="609"/>
      <c r="HC110" s="609"/>
      <c r="HD110" s="816"/>
      <c r="HE110" s="816"/>
      <c r="HF110" s="816"/>
      <c r="HG110" s="816"/>
      <c r="HH110" s="816"/>
      <c r="HI110" s="816"/>
      <c r="HJ110" s="609"/>
      <c r="HK110" s="609"/>
      <c r="HL110" s="609"/>
      <c r="HM110" s="816"/>
      <c r="HN110" s="816"/>
      <c r="HO110" s="609"/>
      <c r="HP110" s="609"/>
      <c r="HQ110" s="816"/>
      <c r="HR110" s="816"/>
      <c r="HS110" s="816"/>
      <c r="HT110" s="816"/>
      <c r="HU110" s="816"/>
      <c r="HV110" s="816"/>
      <c r="HW110" s="609"/>
      <c r="HX110" s="609"/>
      <c r="HY110" s="816"/>
      <c r="HZ110" s="816"/>
      <c r="IA110" s="816"/>
      <c r="IB110" s="816"/>
      <c r="IC110" s="816"/>
      <c r="ID110" s="816"/>
      <c r="IE110" s="609"/>
      <c r="IF110" s="609"/>
      <c r="IG110" s="816"/>
      <c r="IH110" s="816"/>
      <c r="II110" s="609"/>
      <c r="IJ110" s="609"/>
      <c r="IK110" s="816"/>
      <c r="IL110" s="816"/>
      <c r="IM110" s="609"/>
      <c r="IN110" s="609"/>
      <c r="IO110" s="816"/>
      <c r="IP110" s="816"/>
      <c r="IQ110" s="816"/>
      <c r="IR110" s="816"/>
      <c r="IS110" s="816"/>
      <c r="IT110" s="816"/>
      <c r="IU110" s="821"/>
      <c r="IV110" s="609"/>
      <c r="IW110" s="816"/>
      <c r="IX110" s="816"/>
      <c r="IY110" s="822"/>
      <c r="IZ110" s="609"/>
      <c r="JA110" s="816"/>
      <c r="JB110" s="816"/>
      <c r="JC110" s="609"/>
      <c r="JD110" s="816"/>
      <c r="JE110" s="816"/>
      <c r="JF110" s="816"/>
      <c r="JG110" s="816"/>
      <c r="JH110" s="816"/>
      <c r="JI110" s="816"/>
      <c r="JJ110" s="816"/>
      <c r="JK110" s="816"/>
      <c r="JL110" s="816"/>
      <c r="JM110" s="816"/>
      <c r="JN110" s="816"/>
      <c r="JO110" s="823"/>
      <c r="JP110" s="824"/>
      <c r="JQ110" s="825"/>
      <c r="JR110" s="825"/>
      <c r="JS110" s="816"/>
      <c r="JU110" s="826"/>
      <c r="JV110" s="826"/>
      <c r="JW110" s="826"/>
      <c r="JX110" s="826"/>
    </row>
    <row r="111" spans="2:284" s="780" customFormat="1">
      <c r="B111" s="609"/>
      <c r="C111" s="609"/>
      <c r="D111" s="609"/>
      <c r="E111" s="609"/>
      <c r="F111" s="609"/>
      <c r="G111" s="609"/>
      <c r="H111" s="609"/>
      <c r="I111" s="609"/>
      <c r="J111" s="609"/>
      <c r="K111" s="609"/>
      <c r="L111" s="609"/>
      <c r="M111" s="609"/>
      <c r="N111" s="609"/>
      <c r="O111" s="609"/>
      <c r="P111" s="609"/>
      <c r="Q111" s="609"/>
      <c r="R111" s="609"/>
      <c r="S111" s="609"/>
      <c r="T111" s="609"/>
      <c r="U111" s="609"/>
      <c r="V111" s="609"/>
      <c r="W111" s="609"/>
      <c r="X111" s="609"/>
      <c r="Y111" s="609"/>
      <c r="Z111" s="609"/>
      <c r="AA111" s="609"/>
      <c r="AB111" s="609"/>
      <c r="AC111" s="609"/>
      <c r="AD111" s="816"/>
      <c r="AE111" s="816"/>
      <c r="AF111" s="816"/>
      <c r="AG111" s="816"/>
      <c r="AH111" s="816"/>
      <c r="AI111" s="816"/>
      <c r="AJ111" s="609"/>
      <c r="AK111" s="609"/>
      <c r="AL111" s="816"/>
      <c r="AM111" s="816"/>
      <c r="AN111" s="609"/>
      <c r="AO111" s="609"/>
      <c r="AP111" s="816"/>
      <c r="AQ111" s="816"/>
      <c r="AR111" s="816"/>
      <c r="AS111" s="816"/>
      <c r="AT111" s="816"/>
      <c r="AU111" s="816"/>
      <c r="AV111" s="609"/>
      <c r="AW111" s="609"/>
      <c r="AX111" s="816"/>
      <c r="AY111" s="816"/>
      <c r="AZ111" s="817"/>
      <c r="BA111" s="609"/>
      <c r="BB111" s="609"/>
      <c r="BC111" s="816"/>
      <c r="BD111" s="816"/>
      <c r="BE111" s="816"/>
      <c r="BF111" s="816"/>
      <c r="BG111" s="816"/>
      <c r="BH111" s="816"/>
      <c r="BI111" s="816"/>
      <c r="BJ111" s="816"/>
      <c r="BK111" s="816"/>
      <c r="BL111" s="816"/>
      <c r="BM111" s="816"/>
      <c r="BN111" s="816"/>
      <c r="BO111" s="816"/>
      <c r="BP111" s="816"/>
      <c r="BQ111" s="816"/>
      <c r="BR111" s="816"/>
      <c r="BS111" s="816"/>
      <c r="BT111" s="816"/>
      <c r="BU111" s="816"/>
      <c r="BV111" s="816"/>
      <c r="BW111" s="816"/>
      <c r="BX111" s="609"/>
      <c r="BY111" s="609"/>
      <c r="BZ111" s="609"/>
      <c r="CA111" s="818"/>
      <c r="CB111" s="816"/>
      <c r="CC111" s="816"/>
      <c r="CD111" s="816"/>
      <c r="CE111" s="816"/>
      <c r="CF111" s="816"/>
      <c r="CG111" s="816"/>
      <c r="CH111" s="816"/>
      <c r="CI111" s="816"/>
      <c r="CJ111" s="819"/>
      <c r="CK111" s="819"/>
      <c r="CL111" s="820"/>
      <c r="CM111" s="820"/>
      <c r="CN111" s="820"/>
      <c r="CO111" s="820"/>
      <c r="CP111" s="820"/>
      <c r="CQ111" s="820"/>
      <c r="CR111" s="609"/>
      <c r="CS111" s="609"/>
      <c r="CT111" s="816"/>
      <c r="CU111" s="816"/>
      <c r="CV111" s="609"/>
      <c r="CW111" s="609"/>
      <c r="CX111" s="816"/>
      <c r="CY111" s="816"/>
      <c r="CZ111" s="609"/>
      <c r="DA111" s="609"/>
      <c r="DB111" s="816"/>
      <c r="DC111" s="816"/>
      <c r="DD111" s="609"/>
      <c r="DE111" s="609"/>
      <c r="DF111" s="816"/>
      <c r="DG111" s="816"/>
      <c r="DH111" s="816"/>
      <c r="DI111" s="816"/>
      <c r="DJ111" s="816"/>
      <c r="DK111" s="816"/>
      <c r="DL111" s="609"/>
      <c r="DM111" s="609"/>
      <c r="DN111" s="816"/>
      <c r="DO111" s="816"/>
      <c r="DP111" s="609"/>
      <c r="DQ111" s="609"/>
      <c r="DR111" s="816"/>
      <c r="DS111" s="816"/>
      <c r="DT111" s="816"/>
      <c r="DU111" s="816"/>
      <c r="DV111" s="816"/>
      <c r="DW111" s="816"/>
      <c r="DX111" s="816"/>
      <c r="DY111" s="816"/>
      <c r="DZ111" s="816"/>
      <c r="EA111" s="816"/>
      <c r="EB111" s="816"/>
      <c r="EC111" s="816"/>
      <c r="ED111" s="816"/>
      <c r="EE111" s="816"/>
      <c r="EF111" s="609"/>
      <c r="EG111" s="609"/>
      <c r="EH111" s="816"/>
      <c r="EI111" s="816"/>
      <c r="EJ111" s="816"/>
      <c r="EK111" s="816"/>
      <c r="EL111" s="816"/>
      <c r="EM111" s="816"/>
      <c r="EN111" s="816"/>
      <c r="EO111" s="816"/>
      <c r="EP111" s="816"/>
      <c r="EQ111" s="816"/>
      <c r="ER111" s="816"/>
      <c r="ES111" s="816"/>
      <c r="ET111" s="816"/>
      <c r="EU111" s="816"/>
      <c r="EV111" s="609"/>
      <c r="EW111" s="609"/>
      <c r="EX111" s="816"/>
      <c r="EY111" s="816"/>
      <c r="EZ111" s="816"/>
      <c r="FA111" s="816"/>
      <c r="FB111" s="816"/>
      <c r="FC111" s="816"/>
      <c r="FD111" s="816"/>
      <c r="FE111" s="816"/>
      <c r="FF111" s="816"/>
      <c r="FG111" s="816"/>
      <c r="FH111" s="816"/>
      <c r="FI111" s="816"/>
      <c r="FJ111" s="816"/>
      <c r="FK111" s="816"/>
      <c r="FL111" s="816"/>
      <c r="FM111" s="816"/>
      <c r="FN111" s="816"/>
      <c r="FO111" s="816"/>
      <c r="FP111" s="816"/>
      <c r="FQ111" s="816"/>
      <c r="FR111" s="816"/>
      <c r="FS111" s="816"/>
      <c r="FT111" s="816"/>
      <c r="FU111" s="816"/>
      <c r="FV111" s="816"/>
      <c r="FW111" s="816"/>
      <c r="FX111" s="816"/>
      <c r="FY111" s="816"/>
      <c r="FZ111" s="819"/>
      <c r="GA111" s="816"/>
      <c r="GB111" s="820"/>
      <c r="GC111" s="820"/>
      <c r="GD111" s="820"/>
      <c r="GE111" s="820"/>
      <c r="GF111" s="609"/>
      <c r="GG111" s="609"/>
      <c r="GH111" s="816"/>
      <c r="GI111" s="816"/>
      <c r="GJ111" s="816"/>
      <c r="GK111" s="816"/>
      <c r="GL111" s="816"/>
      <c r="GM111" s="816"/>
      <c r="GN111" s="816"/>
      <c r="GO111" s="816"/>
      <c r="GP111" s="816"/>
      <c r="GQ111" s="816"/>
      <c r="GR111" s="816"/>
      <c r="GS111" s="816"/>
      <c r="GT111" s="818"/>
      <c r="GU111" s="816"/>
      <c r="GV111" s="816"/>
      <c r="GW111" s="816"/>
      <c r="GX111" s="816"/>
      <c r="GY111" s="816"/>
      <c r="GZ111" s="816"/>
      <c r="HA111" s="816"/>
      <c r="HB111" s="609"/>
      <c r="HC111" s="609"/>
      <c r="HD111" s="816"/>
      <c r="HE111" s="816"/>
      <c r="HF111" s="816"/>
      <c r="HG111" s="816"/>
      <c r="HH111" s="816"/>
      <c r="HI111" s="816"/>
      <c r="HJ111" s="609"/>
      <c r="HK111" s="609"/>
      <c r="HL111" s="609"/>
      <c r="HM111" s="816"/>
      <c r="HN111" s="816"/>
      <c r="HO111" s="609"/>
      <c r="HP111" s="609"/>
      <c r="HQ111" s="816"/>
      <c r="HR111" s="816"/>
      <c r="HS111" s="816"/>
      <c r="HT111" s="816"/>
      <c r="HU111" s="816"/>
      <c r="HV111" s="816"/>
      <c r="HW111" s="609"/>
      <c r="HX111" s="609"/>
      <c r="HY111" s="816"/>
      <c r="HZ111" s="816"/>
      <c r="IA111" s="816"/>
      <c r="IB111" s="816"/>
      <c r="IC111" s="816"/>
      <c r="ID111" s="816"/>
      <c r="IE111" s="609"/>
      <c r="IF111" s="609"/>
      <c r="IG111" s="816"/>
      <c r="IH111" s="816"/>
      <c r="II111" s="609"/>
      <c r="IJ111" s="609"/>
      <c r="IK111" s="816"/>
      <c r="IL111" s="816"/>
      <c r="IM111" s="609"/>
      <c r="IN111" s="609"/>
      <c r="IO111" s="816"/>
      <c r="IP111" s="816"/>
      <c r="IQ111" s="816"/>
      <c r="IR111" s="816"/>
      <c r="IS111" s="816"/>
      <c r="IT111" s="816"/>
      <c r="IU111" s="821"/>
      <c r="IV111" s="609"/>
      <c r="IW111" s="816"/>
      <c r="IX111" s="816"/>
      <c r="IY111" s="822"/>
      <c r="IZ111" s="609"/>
      <c r="JA111" s="816"/>
      <c r="JB111" s="816"/>
      <c r="JC111" s="609"/>
      <c r="JD111" s="816"/>
      <c r="JE111" s="816"/>
      <c r="JF111" s="816"/>
      <c r="JG111" s="816"/>
      <c r="JH111" s="816"/>
      <c r="JI111" s="816"/>
      <c r="JJ111" s="816"/>
      <c r="JK111" s="816"/>
      <c r="JL111" s="816"/>
      <c r="JM111" s="816"/>
      <c r="JN111" s="816"/>
      <c r="JO111" s="823"/>
      <c r="JP111" s="824"/>
      <c r="JQ111" s="825"/>
      <c r="JR111" s="825"/>
      <c r="JS111" s="816"/>
      <c r="JU111" s="826"/>
      <c r="JV111" s="826"/>
      <c r="JW111" s="826"/>
      <c r="JX111" s="826"/>
    </row>
    <row r="112" spans="2:284" s="780" customFormat="1">
      <c r="B112" s="609"/>
      <c r="C112" s="609"/>
      <c r="D112" s="609"/>
      <c r="E112" s="609"/>
      <c r="F112" s="609"/>
      <c r="G112" s="609"/>
      <c r="H112" s="609"/>
      <c r="I112" s="609"/>
      <c r="J112" s="609"/>
      <c r="K112" s="609"/>
      <c r="L112" s="609"/>
      <c r="M112" s="609"/>
      <c r="N112" s="609"/>
      <c r="O112" s="609"/>
      <c r="P112" s="609"/>
      <c r="Q112" s="609"/>
      <c r="R112" s="609"/>
      <c r="S112" s="609"/>
      <c r="T112" s="609"/>
      <c r="U112" s="609"/>
      <c r="V112" s="609"/>
      <c r="W112" s="609"/>
      <c r="X112" s="609"/>
      <c r="Y112" s="609"/>
      <c r="Z112" s="609"/>
      <c r="AA112" s="609"/>
      <c r="AB112" s="609"/>
      <c r="AC112" s="609"/>
      <c r="AD112" s="816"/>
      <c r="AE112" s="816"/>
      <c r="AF112" s="816"/>
      <c r="AG112" s="816"/>
      <c r="AH112" s="816"/>
      <c r="AI112" s="816"/>
      <c r="AJ112" s="609"/>
      <c r="AK112" s="609"/>
      <c r="AL112" s="816"/>
      <c r="AM112" s="816"/>
      <c r="AN112" s="609"/>
      <c r="AO112" s="609"/>
      <c r="AP112" s="816"/>
      <c r="AQ112" s="816"/>
      <c r="AR112" s="816"/>
      <c r="AS112" s="816"/>
      <c r="AT112" s="816"/>
      <c r="AU112" s="816"/>
      <c r="AV112" s="609"/>
      <c r="AW112" s="609"/>
      <c r="AX112" s="816"/>
      <c r="AY112" s="816"/>
      <c r="AZ112" s="817"/>
      <c r="BA112" s="609"/>
      <c r="BB112" s="609"/>
      <c r="BC112" s="816"/>
      <c r="BD112" s="816"/>
      <c r="BE112" s="816"/>
      <c r="BF112" s="816"/>
      <c r="BG112" s="816"/>
      <c r="BH112" s="816"/>
      <c r="BI112" s="816"/>
      <c r="BJ112" s="816"/>
      <c r="BK112" s="816"/>
      <c r="BL112" s="816"/>
      <c r="BM112" s="816"/>
      <c r="BN112" s="816"/>
      <c r="BO112" s="816"/>
      <c r="BP112" s="816"/>
      <c r="BQ112" s="816"/>
      <c r="BR112" s="816"/>
      <c r="BS112" s="816"/>
      <c r="BT112" s="816"/>
      <c r="BU112" s="816"/>
      <c r="BV112" s="816"/>
      <c r="BW112" s="816"/>
      <c r="BX112" s="609"/>
      <c r="BY112" s="609"/>
      <c r="BZ112" s="609"/>
      <c r="CA112" s="818"/>
      <c r="CB112" s="816"/>
      <c r="CC112" s="816"/>
      <c r="CD112" s="816"/>
      <c r="CE112" s="816"/>
      <c r="CF112" s="816"/>
      <c r="CG112" s="816"/>
      <c r="CH112" s="816"/>
      <c r="CI112" s="816"/>
      <c r="CJ112" s="819"/>
      <c r="CK112" s="819"/>
      <c r="CL112" s="820"/>
      <c r="CM112" s="820"/>
      <c r="CN112" s="820"/>
      <c r="CO112" s="820"/>
      <c r="CP112" s="820"/>
      <c r="CQ112" s="820"/>
      <c r="CR112" s="609"/>
      <c r="CS112" s="609"/>
      <c r="CT112" s="816"/>
      <c r="CU112" s="816"/>
      <c r="CV112" s="609"/>
      <c r="CW112" s="609"/>
      <c r="CX112" s="816"/>
      <c r="CY112" s="816"/>
      <c r="CZ112" s="609"/>
      <c r="DA112" s="609"/>
      <c r="DB112" s="816"/>
      <c r="DC112" s="816"/>
      <c r="DD112" s="609"/>
      <c r="DE112" s="609"/>
      <c r="DF112" s="816"/>
      <c r="DG112" s="816"/>
      <c r="DH112" s="816"/>
      <c r="DI112" s="816"/>
      <c r="DJ112" s="816"/>
      <c r="DK112" s="816"/>
      <c r="DL112" s="609"/>
      <c r="DM112" s="609"/>
      <c r="DN112" s="816"/>
      <c r="DO112" s="816"/>
      <c r="DP112" s="609"/>
      <c r="DQ112" s="609"/>
      <c r="DR112" s="816"/>
      <c r="DS112" s="816"/>
      <c r="DT112" s="816"/>
      <c r="DU112" s="816"/>
      <c r="DV112" s="816"/>
      <c r="DW112" s="816"/>
      <c r="DX112" s="816"/>
      <c r="DY112" s="816"/>
      <c r="DZ112" s="816"/>
      <c r="EA112" s="816"/>
      <c r="EB112" s="816"/>
      <c r="EC112" s="816"/>
      <c r="ED112" s="816"/>
      <c r="EE112" s="816"/>
      <c r="EF112" s="609"/>
      <c r="EG112" s="609"/>
      <c r="EH112" s="816"/>
      <c r="EI112" s="816"/>
      <c r="EJ112" s="816"/>
      <c r="EK112" s="816"/>
      <c r="EL112" s="816"/>
      <c r="EM112" s="816"/>
      <c r="EN112" s="816"/>
      <c r="EO112" s="816"/>
      <c r="EP112" s="816"/>
      <c r="EQ112" s="816"/>
      <c r="ER112" s="816"/>
      <c r="ES112" s="816"/>
      <c r="ET112" s="816"/>
      <c r="EU112" s="816"/>
      <c r="EV112" s="609"/>
      <c r="EW112" s="609"/>
      <c r="EX112" s="816"/>
      <c r="EY112" s="816"/>
      <c r="EZ112" s="816"/>
      <c r="FA112" s="816"/>
      <c r="FB112" s="816"/>
      <c r="FC112" s="816"/>
      <c r="FD112" s="816"/>
      <c r="FE112" s="816"/>
      <c r="FF112" s="816"/>
      <c r="FG112" s="816"/>
      <c r="FH112" s="816"/>
      <c r="FI112" s="816"/>
      <c r="FJ112" s="816"/>
      <c r="FK112" s="816"/>
      <c r="FL112" s="816"/>
      <c r="FM112" s="816"/>
      <c r="FN112" s="816"/>
      <c r="FO112" s="816"/>
      <c r="FP112" s="816"/>
      <c r="FQ112" s="816"/>
      <c r="FR112" s="816"/>
      <c r="FS112" s="816"/>
      <c r="FT112" s="816"/>
      <c r="FU112" s="816"/>
      <c r="FV112" s="816"/>
      <c r="FW112" s="816"/>
      <c r="FX112" s="816"/>
      <c r="FY112" s="816"/>
      <c r="FZ112" s="819"/>
      <c r="GA112" s="816"/>
      <c r="GB112" s="820"/>
      <c r="GC112" s="820"/>
      <c r="GD112" s="820"/>
      <c r="GE112" s="820"/>
      <c r="GF112" s="609"/>
      <c r="GG112" s="609"/>
      <c r="GH112" s="816"/>
      <c r="GI112" s="816"/>
      <c r="GJ112" s="816"/>
      <c r="GK112" s="816"/>
      <c r="GL112" s="816"/>
      <c r="GM112" s="816"/>
      <c r="GN112" s="816"/>
      <c r="GO112" s="816"/>
      <c r="GP112" s="816"/>
      <c r="GQ112" s="816"/>
      <c r="GR112" s="816"/>
      <c r="GS112" s="816"/>
      <c r="GT112" s="818"/>
      <c r="GU112" s="816"/>
      <c r="GV112" s="816"/>
      <c r="GW112" s="816"/>
      <c r="GX112" s="816"/>
      <c r="GY112" s="816"/>
      <c r="GZ112" s="816"/>
      <c r="HA112" s="816"/>
      <c r="HB112" s="609"/>
      <c r="HC112" s="609"/>
      <c r="HD112" s="816"/>
      <c r="HE112" s="816"/>
      <c r="HF112" s="816"/>
      <c r="HG112" s="816"/>
      <c r="HH112" s="816"/>
      <c r="HI112" s="816"/>
      <c r="HJ112" s="609"/>
      <c r="HK112" s="609"/>
      <c r="HL112" s="609"/>
      <c r="HM112" s="816"/>
      <c r="HN112" s="816"/>
      <c r="HO112" s="609"/>
      <c r="HP112" s="609"/>
      <c r="HQ112" s="816"/>
      <c r="HR112" s="816"/>
      <c r="HS112" s="816"/>
      <c r="HT112" s="816"/>
      <c r="HU112" s="816"/>
      <c r="HV112" s="816"/>
      <c r="HW112" s="609"/>
      <c r="HX112" s="609"/>
      <c r="HY112" s="816"/>
      <c r="HZ112" s="816"/>
      <c r="IA112" s="816"/>
      <c r="IB112" s="816"/>
      <c r="IC112" s="816"/>
      <c r="ID112" s="816"/>
      <c r="IE112" s="609"/>
      <c r="IF112" s="609"/>
      <c r="IG112" s="816"/>
      <c r="IH112" s="816"/>
      <c r="II112" s="609"/>
      <c r="IJ112" s="609"/>
      <c r="IK112" s="816"/>
      <c r="IL112" s="816"/>
      <c r="IM112" s="609"/>
      <c r="IN112" s="609"/>
      <c r="IO112" s="816"/>
      <c r="IP112" s="816"/>
      <c r="IQ112" s="816"/>
      <c r="IR112" s="816"/>
      <c r="IS112" s="816"/>
      <c r="IT112" s="816"/>
      <c r="IU112" s="821"/>
      <c r="IV112" s="609"/>
      <c r="IW112" s="816"/>
      <c r="IX112" s="816"/>
      <c r="IY112" s="822"/>
      <c r="IZ112" s="609"/>
      <c r="JA112" s="816"/>
      <c r="JB112" s="816"/>
      <c r="JC112" s="609"/>
      <c r="JD112" s="816"/>
      <c r="JE112" s="816"/>
      <c r="JF112" s="816"/>
      <c r="JG112" s="816"/>
      <c r="JH112" s="816"/>
      <c r="JI112" s="816"/>
      <c r="JJ112" s="816"/>
      <c r="JK112" s="816"/>
      <c r="JL112" s="816"/>
      <c r="JM112" s="816"/>
      <c r="JN112" s="816"/>
      <c r="JO112" s="823"/>
      <c r="JP112" s="824"/>
      <c r="JQ112" s="825"/>
      <c r="JR112" s="825"/>
      <c r="JS112" s="816"/>
      <c r="JU112" s="826"/>
      <c r="JV112" s="826"/>
      <c r="JW112" s="826"/>
      <c r="JX112" s="826"/>
    </row>
    <row r="113" spans="2:284" s="780" customFormat="1">
      <c r="B113" s="609"/>
      <c r="C113" s="609"/>
      <c r="D113" s="609"/>
      <c r="E113" s="609"/>
      <c r="F113" s="609"/>
      <c r="G113" s="609"/>
      <c r="H113" s="609"/>
      <c r="I113" s="609"/>
      <c r="J113" s="609"/>
      <c r="K113" s="609"/>
      <c r="L113" s="609"/>
      <c r="M113" s="609"/>
      <c r="N113" s="609"/>
      <c r="O113" s="609"/>
      <c r="P113" s="609"/>
      <c r="Q113" s="609"/>
      <c r="R113" s="609"/>
      <c r="S113" s="609"/>
      <c r="T113" s="609"/>
      <c r="U113" s="609"/>
      <c r="V113" s="609"/>
      <c r="W113" s="609"/>
      <c r="X113" s="609"/>
      <c r="Y113" s="609"/>
      <c r="Z113" s="609"/>
      <c r="AA113" s="609"/>
      <c r="AB113" s="609"/>
      <c r="AC113" s="609"/>
      <c r="AD113" s="816"/>
      <c r="AE113" s="816"/>
      <c r="AF113" s="816"/>
      <c r="AG113" s="816"/>
      <c r="AH113" s="816"/>
      <c r="AI113" s="816"/>
      <c r="AJ113" s="609"/>
      <c r="AK113" s="609"/>
      <c r="AL113" s="816"/>
      <c r="AM113" s="816"/>
      <c r="AN113" s="609"/>
      <c r="AO113" s="609"/>
      <c r="AP113" s="816"/>
      <c r="AQ113" s="816"/>
      <c r="AR113" s="816"/>
      <c r="AS113" s="816"/>
      <c r="AT113" s="816"/>
      <c r="AU113" s="816"/>
      <c r="AV113" s="609"/>
      <c r="AW113" s="609"/>
      <c r="AX113" s="816"/>
      <c r="AY113" s="816"/>
      <c r="AZ113" s="817"/>
      <c r="BA113" s="609"/>
      <c r="BB113" s="609"/>
      <c r="BC113" s="816"/>
      <c r="BD113" s="816"/>
      <c r="BE113" s="816"/>
      <c r="BF113" s="816"/>
      <c r="BG113" s="816"/>
      <c r="BH113" s="816"/>
      <c r="BI113" s="816"/>
      <c r="BJ113" s="816"/>
      <c r="BK113" s="816"/>
      <c r="BL113" s="816"/>
      <c r="BM113" s="816"/>
      <c r="BN113" s="816"/>
      <c r="BO113" s="816"/>
      <c r="BP113" s="816"/>
      <c r="BQ113" s="816"/>
      <c r="BR113" s="816"/>
      <c r="BS113" s="816"/>
      <c r="BT113" s="816"/>
      <c r="BU113" s="816"/>
      <c r="BV113" s="816"/>
      <c r="BW113" s="816"/>
      <c r="BX113" s="609"/>
      <c r="BY113" s="609"/>
      <c r="BZ113" s="609"/>
      <c r="CA113" s="818"/>
      <c r="CB113" s="816"/>
      <c r="CC113" s="816"/>
      <c r="CD113" s="816"/>
      <c r="CE113" s="816"/>
      <c r="CF113" s="816"/>
      <c r="CG113" s="816"/>
      <c r="CH113" s="816"/>
      <c r="CI113" s="816"/>
      <c r="CJ113" s="819"/>
      <c r="CK113" s="819"/>
      <c r="CL113" s="820"/>
      <c r="CM113" s="820"/>
      <c r="CN113" s="820"/>
      <c r="CO113" s="820"/>
      <c r="CP113" s="820"/>
      <c r="CQ113" s="820"/>
      <c r="CR113" s="609"/>
      <c r="CS113" s="609"/>
      <c r="CT113" s="816"/>
      <c r="CU113" s="816"/>
      <c r="CV113" s="609"/>
      <c r="CW113" s="609"/>
      <c r="CX113" s="816"/>
      <c r="CY113" s="816"/>
      <c r="CZ113" s="609"/>
      <c r="DA113" s="609"/>
      <c r="DB113" s="816"/>
      <c r="DC113" s="816"/>
      <c r="DD113" s="609"/>
      <c r="DE113" s="609"/>
      <c r="DF113" s="816"/>
      <c r="DG113" s="816"/>
      <c r="DH113" s="816"/>
      <c r="DI113" s="816"/>
      <c r="DJ113" s="816"/>
      <c r="DK113" s="816"/>
      <c r="DL113" s="609"/>
      <c r="DM113" s="609"/>
      <c r="DN113" s="816"/>
      <c r="DO113" s="816"/>
      <c r="DP113" s="609"/>
      <c r="DQ113" s="609"/>
      <c r="DR113" s="816"/>
      <c r="DS113" s="816"/>
      <c r="DT113" s="816"/>
      <c r="DU113" s="816"/>
      <c r="DV113" s="816"/>
      <c r="DW113" s="816"/>
      <c r="DX113" s="816"/>
      <c r="DY113" s="816"/>
      <c r="DZ113" s="816"/>
      <c r="EA113" s="816"/>
      <c r="EB113" s="816"/>
      <c r="EC113" s="816"/>
      <c r="ED113" s="816"/>
      <c r="EE113" s="816"/>
      <c r="EF113" s="609"/>
      <c r="EG113" s="609"/>
      <c r="EH113" s="816"/>
      <c r="EI113" s="816"/>
      <c r="EJ113" s="816"/>
      <c r="EK113" s="816"/>
      <c r="EL113" s="816"/>
      <c r="EM113" s="816"/>
      <c r="EN113" s="816"/>
      <c r="EO113" s="816"/>
      <c r="EP113" s="816"/>
      <c r="EQ113" s="816"/>
      <c r="ER113" s="816"/>
      <c r="ES113" s="816"/>
      <c r="ET113" s="816"/>
      <c r="EU113" s="816"/>
      <c r="EV113" s="609"/>
      <c r="EW113" s="609"/>
      <c r="EX113" s="816"/>
      <c r="EY113" s="816"/>
      <c r="EZ113" s="816"/>
      <c r="FA113" s="816"/>
      <c r="FB113" s="816"/>
      <c r="FC113" s="816"/>
      <c r="FD113" s="816"/>
      <c r="FE113" s="816"/>
      <c r="FF113" s="816"/>
      <c r="FG113" s="816"/>
      <c r="FH113" s="816"/>
      <c r="FI113" s="816"/>
      <c r="FJ113" s="816"/>
      <c r="FK113" s="816"/>
      <c r="FL113" s="816"/>
      <c r="FM113" s="816"/>
      <c r="FN113" s="816"/>
      <c r="FO113" s="816"/>
      <c r="FP113" s="816"/>
      <c r="FQ113" s="816"/>
      <c r="FR113" s="816"/>
      <c r="FS113" s="816"/>
      <c r="FT113" s="816"/>
      <c r="FU113" s="816"/>
      <c r="FV113" s="816"/>
      <c r="FW113" s="816"/>
      <c r="FX113" s="816"/>
      <c r="FY113" s="816"/>
      <c r="FZ113" s="819"/>
      <c r="GA113" s="816"/>
      <c r="GB113" s="820"/>
      <c r="GC113" s="820"/>
      <c r="GD113" s="820"/>
      <c r="GE113" s="820"/>
      <c r="GF113" s="609"/>
      <c r="GG113" s="609"/>
      <c r="GH113" s="816"/>
      <c r="GI113" s="816"/>
      <c r="GJ113" s="816"/>
      <c r="GK113" s="816"/>
      <c r="GL113" s="816"/>
      <c r="GM113" s="816"/>
      <c r="GN113" s="816"/>
      <c r="GO113" s="816"/>
      <c r="GP113" s="816"/>
      <c r="GQ113" s="816"/>
      <c r="GR113" s="816"/>
      <c r="GS113" s="816"/>
      <c r="GT113" s="818"/>
      <c r="GU113" s="816"/>
      <c r="GV113" s="816"/>
      <c r="GW113" s="816"/>
      <c r="GX113" s="816"/>
      <c r="GY113" s="816"/>
      <c r="GZ113" s="816"/>
      <c r="HA113" s="816"/>
      <c r="HB113" s="609"/>
      <c r="HC113" s="609"/>
      <c r="HD113" s="816"/>
      <c r="HE113" s="816"/>
      <c r="HF113" s="816"/>
      <c r="HG113" s="816"/>
      <c r="HH113" s="816"/>
      <c r="HI113" s="816"/>
      <c r="HJ113" s="609"/>
      <c r="HK113" s="609"/>
      <c r="HL113" s="609"/>
      <c r="HM113" s="816"/>
      <c r="HN113" s="816"/>
      <c r="HO113" s="609"/>
      <c r="HP113" s="609"/>
      <c r="HQ113" s="816"/>
      <c r="HR113" s="816"/>
      <c r="HS113" s="816"/>
      <c r="HT113" s="816"/>
      <c r="HU113" s="816"/>
      <c r="HV113" s="816"/>
      <c r="HW113" s="609"/>
      <c r="HX113" s="609"/>
      <c r="HY113" s="816"/>
      <c r="HZ113" s="816"/>
      <c r="IA113" s="816"/>
      <c r="IB113" s="816"/>
      <c r="IC113" s="816"/>
      <c r="ID113" s="816"/>
      <c r="IE113" s="609"/>
      <c r="IF113" s="609"/>
      <c r="IG113" s="816"/>
      <c r="IH113" s="816"/>
      <c r="II113" s="609"/>
      <c r="IJ113" s="609"/>
      <c r="IK113" s="816"/>
      <c r="IL113" s="816"/>
      <c r="IM113" s="609"/>
      <c r="IN113" s="609"/>
      <c r="IO113" s="816"/>
      <c r="IP113" s="816"/>
      <c r="IQ113" s="816"/>
      <c r="IR113" s="816"/>
      <c r="IS113" s="816"/>
      <c r="IT113" s="816"/>
      <c r="IU113" s="821"/>
      <c r="IV113" s="609"/>
      <c r="IW113" s="816"/>
      <c r="IX113" s="816"/>
      <c r="IY113" s="822"/>
      <c r="IZ113" s="609"/>
      <c r="JA113" s="816"/>
      <c r="JB113" s="816"/>
      <c r="JC113" s="609"/>
      <c r="JD113" s="816"/>
      <c r="JE113" s="816"/>
      <c r="JF113" s="816"/>
      <c r="JG113" s="816"/>
      <c r="JH113" s="816"/>
      <c r="JI113" s="816"/>
      <c r="JJ113" s="816"/>
      <c r="JK113" s="816"/>
      <c r="JL113" s="816"/>
      <c r="JM113" s="816"/>
      <c r="JN113" s="816"/>
      <c r="JO113" s="823"/>
      <c r="JP113" s="824"/>
      <c r="JQ113" s="825"/>
      <c r="JR113" s="825"/>
      <c r="JS113" s="816"/>
      <c r="JU113" s="826"/>
      <c r="JV113" s="826"/>
      <c r="JW113" s="826"/>
      <c r="JX113" s="826"/>
    </row>
    <row r="114" spans="2:284" s="780" customFormat="1">
      <c r="B114" s="609"/>
      <c r="C114" s="609"/>
      <c r="D114" s="609"/>
      <c r="E114" s="609"/>
      <c r="F114" s="609"/>
      <c r="G114" s="609"/>
      <c r="H114" s="609"/>
      <c r="I114" s="609"/>
      <c r="J114" s="609"/>
      <c r="K114" s="609"/>
      <c r="L114" s="609"/>
      <c r="M114" s="609"/>
      <c r="N114" s="609"/>
      <c r="O114" s="609"/>
      <c r="P114" s="609"/>
      <c r="Q114" s="609"/>
      <c r="R114" s="609"/>
      <c r="S114" s="609"/>
      <c r="T114" s="609"/>
      <c r="U114" s="609"/>
      <c r="V114" s="609"/>
      <c r="W114" s="609"/>
      <c r="X114" s="609"/>
      <c r="Y114" s="609"/>
      <c r="Z114" s="609"/>
      <c r="AA114" s="609"/>
      <c r="AB114" s="609"/>
      <c r="AC114" s="609"/>
      <c r="AD114" s="816"/>
      <c r="AE114" s="816"/>
      <c r="AF114" s="816"/>
      <c r="AG114" s="816"/>
      <c r="AH114" s="816"/>
      <c r="AI114" s="816"/>
      <c r="AJ114" s="609"/>
      <c r="AK114" s="609"/>
      <c r="AL114" s="816"/>
      <c r="AM114" s="816"/>
      <c r="AN114" s="609"/>
      <c r="AO114" s="609"/>
      <c r="AP114" s="816"/>
      <c r="AQ114" s="816"/>
      <c r="AR114" s="816"/>
      <c r="AS114" s="816"/>
      <c r="AT114" s="816"/>
      <c r="AU114" s="816"/>
      <c r="AV114" s="609"/>
      <c r="AW114" s="609"/>
      <c r="AX114" s="816"/>
      <c r="AY114" s="816"/>
      <c r="AZ114" s="817"/>
      <c r="BA114" s="609"/>
      <c r="BB114" s="609"/>
      <c r="BC114" s="816"/>
      <c r="BD114" s="816"/>
      <c r="BE114" s="816"/>
      <c r="BF114" s="816"/>
      <c r="BG114" s="816"/>
      <c r="BH114" s="816"/>
      <c r="BI114" s="816"/>
      <c r="BJ114" s="816"/>
      <c r="BK114" s="816"/>
      <c r="BL114" s="816"/>
      <c r="BM114" s="816"/>
      <c r="BN114" s="816"/>
      <c r="BO114" s="816"/>
      <c r="BP114" s="816"/>
      <c r="BQ114" s="816"/>
      <c r="BR114" s="816"/>
      <c r="BS114" s="816"/>
      <c r="BT114" s="816"/>
      <c r="BU114" s="816"/>
      <c r="BV114" s="816"/>
      <c r="BW114" s="816"/>
      <c r="BX114" s="609"/>
      <c r="BY114" s="609"/>
      <c r="BZ114" s="609"/>
      <c r="CA114" s="818"/>
      <c r="CB114" s="816"/>
      <c r="CC114" s="816"/>
      <c r="CD114" s="816"/>
      <c r="CE114" s="816"/>
      <c r="CF114" s="816"/>
      <c r="CG114" s="816"/>
      <c r="CH114" s="816"/>
      <c r="CI114" s="816"/>
      <c r="CJ114" s="819"/>
      <c r="CK114" s="819"/>
      <c r="CL114" s="820"/>
      <c r="CM114" s="820"/>
      <c r="CN114" s="820"/>
      <c r="CO114" s="820"/>
      <c r="CP114" s="820"/>
      <c r="CQ114" s="820"/>
      <c r="CR114" s="609"/>
      <c r="CS114" s="609"/>
      <c r="CT114" s="816"/>
      <c r="CU114" s="816"/>
      <c r="CV114" s="609"/>
      <c r="CW114" s="609"/>
      <c r="CX114" s="816"/>
      <c r="CY114" s="816"/>
      <c r="CZ114" s="609"/>
      <c r="DA114" s="609"/>
      <c r="DB114" s="816"/>
      <c r="DC114" s="816"/>
      <c r="DD114" s="609"/>
      <c r="DE114" s="609"/>
      <c r="DF114" s="816"/>
      <c r="DG114" s="816"/>
      <c r="DH114" s="816"/>
      <c r="DI114" s="816"/>
      <c r="DJ114" s="816"/>
      <c r="DK114" s="816"/>
      <c r="DL114" s="609"/>
      <c r="DM114" s="609"/>
      <c r="DN114" s="816"/>
      <c r="DO114" s="816"/>
      <c r="DP114" s="609"/>
      <c r="DQ114" s="609"/>
      <c r="DR114" s="816"/>
      <c r="DS114" s="816"/>
      <c r="DT114" s="816"/>
      <c r="DU114" s="816"/>
      <c r="DV114" s="816"/>
      <c r="DW114" s="816"/>
      <c r="DX114" s="816"/>
      <c r="DY114" s="816"/>
      <c r="DZ114" s="816"/>
      <c r="EA114" s="816"/>
      <c r="EB114" s="816"/>
      <c r="EC114" s="816"/>
      <c r="ED114" s="816"/>
      <c r="EE114" s="816"/>
      <c r="EF114" s="609"/>
      <c r="EG114" s="609"/>
      <c r="EH114" s="816"/>
      <c r="EI114" s="816"/>
      <c r="EJ114" s="816"/>
      <c r="EK114" s="816"/>
      <c r="EL114" s="816"/>
      <c r="EM114" s="816"/>
      <c r="EN114" s="816"/>
      <c r="EO114" s="816"/>
      <c r="EP114" s="816"/>
      <c r="EQ114" s="816"/>
      <c r="ER114" s="816"/>
      <c r="ES114" s="816"/>
      <c r="ET114" s="816"/>
      <c r="EU114" s="816"/>
      <c r="EV114" s="609"/>
      <c r="EW114" s="609"/>
      <c r="EX114" s="816"/>
      <c r="EY114" s="816"/>
      <c r="EZ114" s="816"/>
      <c r="FA114" s="816"/>
      <c r="FB114" s="816"/>
      <c r="FC114" s="816"/>
      <c r="FD114" s="816"/>
      <c r="FE114" s="816"/>
      <c r="FF114" s="816"/>
      <c r="FG114" s="816"/>
      <c r="FH114" s="816"/>
      <c r="FI114" s="816"/>
      <c r="FJ114" s="816"/>
      <c r="FK114" s="816"/>
      <c r="FL114" s="816"/>
      <c r="FM114" s="816"/>
      <c r="FN114" s="816"/>
      <c r="FO114" s="816"/>
      <c r="FP114" s="816"/>
      <c r="FQ114" s="816"/>
      <c r="FR114" s="816"/>
      <c r="FS114" s="816"/>
      <c r="FT114" s="816"/>
      <c r="FU114" s="816"/>
      <c r="FV114" s="816"/>
      <c r="FW114" s="816"/>
      <c r="FX114" s="816"/>
      <c r="FY114" s="816"/>
      <c r="FZ114" s="819"/>
      <c r="GA114" s="816"/>
      <c r="GB114" s="820"/>
      <c r="GC114" s="820"/>
      <c r="GD114" s="820"/>
      <c r="GE114" s="820"/>
      <c r="GF114" s="609"/>
      <c r="GG114" s="609"/>
      <c r="GH114" s="816"/>
      <c r="GI114" s="816"/>
      <c r="GJ114" s="816"/>
      <c r="GK114" s="816"/>
      <c r="GL114" s="816"/>
      <c r="GM114" s="816"/>
      <c r="GN114" s="816"/>
      <c r="GO114" s="816"/>
      <c r="GP114" s="816"/>
      <c r="GQ114" s="816"/>
      <c r="GR114" s="816"/>
      <c r="GS114" s="816"/>
      <c r="GT114" s="818"/>
      <c r="GU114" s="816"/>
      <c r="GV114" s="816"/>
      <c r="GW114" s="816"/>
      <c r="GX114" s="816"/>
      <c r="GY114" s="816"/>
      <c r="GZ114" s="816"/>
      <c r="HA114" s="816"/>
      <c r="HB114" s="609"/>
      <c r="HC114" s="609"/>
      <c r="HD114" s="816"/>
      <c r="HE114" s="816"/>
      <c r="HF114" s="816"/>
      <c r="HG114" s="816"/>
      <c r="HH114" s="816"/>
      <c r="HI114" s="816"/>
      <c r="HJ114" s="609"/>
      <c r="HK114" s="609"/>
      <c r="HL114" s="609"/>
      <c r="HM114" s="816"/>
      <c r="HN114" s="816"/>
      <c r="HO114" s="609"/>
      <c r="HP114" s="609"/>
      <c r="HQ114" s="816"/>
      <c r="HR114" s="816"/>
      <c r="HS114" s="816"/>
      <c r="HT114" s="816"/>
      <c r="HU114" s="816"/>
      <c r="HV114" s="816"/>
      <c r="HW114" s="609"/>
      <c r="HX114" s="609"/>
      <c r="HY114" s="816"/>
      <c r="HZ114" s="816"/>
      <c r="IA114" s="816"/>
      <c r="IB114" s="816"/>
      <c r="IC114" s="816"/>
      <c r="ID114" s="816"/>
      <c r="IE114" s="609"/>
      <c r="IF114" s="609"/>
      <c r="IG114" s="816"/>
      <c r="IH114" s="816"/>
      <c r="II114" s="609"/>
      <c r="IJ114" s="609"/>
      <c r="IK114" s="816"/>
      <c r="IL114" s="816"/>
      <c r="IM114" s="609"/>
      <c r="IN114" s="609"/>
      <c r="IO114" s="816"/>
      <c r="IP114" s="816"/>
      <c r="IQ114" s="816"/>
      <c r="IR114" s="816"/>
      <c r="IS114" s="816"/>
      <c r="IT114" s="816"/>
      <c r="IU114" s="821"/>
      <c r="IV114" s="609"/>
      <c r="IW114" s="816"/>
      <c r="IX114" s="816"/>
      <c r="IY114" s="822"/>
      <c r="IZ114" s="609"/>
      <c r="JA114" s="816"/>
      <c r="JB114" s="816"/>
      <c r="JC114" s="609"/>
      <c r="JD114" s="816"/>
      <c r="JE114" s="816"/>
      <c r="JF114" s="816"/>
      <c r="JG114" s="816"/>
      <c r="JH114" s="816"/>
      <c r="JI114" s="816"/>
      <c r="JJ114" s="816"/>
      <c r="JK114" s="816"/>
      <c r="JL114" s="816"/>
      <c r="JM114" s="816"/>
      <c r="JN114" s="816"/>
      <c r="JO114" s="823"/>
      <c r="JP114" s="824"/>
      <c r="JQ114" s="825"/>
      <c r="JR114" s="825"/>
      <c r="JS114" s="816"/>
      <c r="JU114" s="826"/>
      <c r="JV114" s="826"/>
      <c r="JW114" s="826"/>
      <c r="JX114" s="826"/>
    </row>
    <row r="115" spans="2:284" s="780" customFormat="1">
      <c r="B115" s="609"/>
      <c r="C115" s="609"/>
      <c r="D115" s="609"/>
      <c r="E115" s="609"/>
      <c r="F115" s="609"/>
      <c r="G115" s="609"/>
      <c r="H115" s="609"/>
      <c r="I115" s="609"/>
      <c r="J115" s="609"/>
      <c r="K115" s="609"/>
      <c r="L115" s="609"/>
      <c r="M115" s="609"/>
      <c r="N115" s="609"/>
      <c r="O115" s="609"/>
      <c r="P115" s="609"/>
      <c r="Q115" s="609"/>
      <c r="R115" s="609"/>
      <c r="S115" s="609"/>
      <c r="T115" s="609"/>
      <c r="U115" s="609"/>
      <c r="V115" s="609"/>
      <c r="W115" s="609"/>
      <c r="X115" s="609"/>
      <c r="Y115" s="609"/>
      <c r="Z115" s="609"/>
      <c r="AA115" s="609"/>
      <c r="AB115" s="609"/>
      <c r="AC115" s="609"/>
      <c r="AD115" s="816"/>
      <c r="AE115" s="816"/>
      <c r="AF115" s="816"/>
      <c r="AG115" s="816"/>
      <c r="AH115" s="816"/>
      <c r="AI115" s="816"/>
      <c r="AJ115" s="609"/>
      <c r="AK115" s="609"/>
      <c r="AL115" s="816"/>
      <c r="AM115" s="816"/>
      <c r="AN115" s="609"/>
      <c r="AO115" s="609"/>
      <c r="AP115" s="816"/>
      <c r="AQ115" s="816"/>
      <c r="AR115" s="816"/>
      <c r="AS115" s="816"/>
      <c r="AT115" s="816"/>
      <c r="AU115" s="816"/>
      <c r="AV115" s="609"/>
      <c r="AW115" s="609"/>
      <c r="AX115" s="816"/>
      <c r="AY115" s="816"/>
      <c r="AZ115" s="817"/>
      <c r="BA115" s="609"/>
      <c r="BB115" s="609"/>
      <c r="BC115" s="816"/>
      <c r="BD115" s="816"/>
      <c r="BE115" s="816"/>
      <c r="BF115" s="816"/>
      <c r="BG115" s="816"/>
      <c r="BH115" s="816"/>
      <c r="BI115" s="816"/>
      <c r="BJ115" s="816"/>
      <c r="BK115" s="816"/>
      <c r="BL115" s="816"/>
      <c r="BM115" s="816"/>
      <c r="BN115" s="816"/>
      <c r="BO115" s="816"/>
      <c r="BP115" s="816"/>
      <c r="BQ115" s="816"/>
      <c r="BR115" s="816"/>
      <c r="BS115" s="816"/>
      <c r="BT115" s="816"/>
      <c r="BU115" s="816"/>
      <c r="BV115" s="816"/>
      <c r="BW115" s="816"/>
      <c r="BX115" s="609"/>
      <c r="BY115" s="609"/>
      <c r="BZ115" s="609"/>
      <c r="CA115" s="818"/>
      <c r="CB115" s="816"/>
      <c r="CC115" s="816"/>
      <c r="CD115" s="816"/>
      <c r="CE115" s="816"/>
      <c r="CF115" s="816"/>
      <c r="CG115" s="816"/>
      <c r="CH115" s="816"/>
      <c r="CI115" s="816"/>
      <c r="CJ115" s="819"/>
      <c r="CK115" s="819"/>
      <c r="CL115" s="820"/>
      <c r="CM115" s="820"/>
      <c r="CN115" s="820"/>
      <c r="CO115" s="820"/>
      <c r="CP115" s="820"/>
      <c r="CQ115" s="820"/>
      <c r="CR115" s="609"/>
      <c r="CS115" s="609"/>
      <c r="CT115" s="816"/>
      <c r="CU115" s="816"/>
      <c r="CV115" s="609"/>
      <c r="CW115" s="609"/>
      <c r="CX115" s="816"/>
      <c r="CY115" s="816"/>
      <c r="CZ115" s="609"/>
      <c r="DA115" s="609"/>
      <c r="DB115" s="816"/>
      <c r="DC115" s="816"/>
      <c r="DD115" s="609"/>
      <c r="DE115" s="609"/>
      <c r="DF115" s="816"/>
      <c r="DG115" s="816"/>
      <c r="DH115" s="816"/>
      <c r="DI115" s="816"/>
      <c r="DJ115" s="816"/>
      <c r="DK115" s="816"/>
      <c r="DL115" s="609"/>
      <c r="DM115" s="609"/>
      <c r="DN115" s="816"/>
      <c r="DO115" s="816"/>
      <c r="DP115" s="609"/>
      <c r="DQ115" s="609"/>
      <c r="DR115" s="816"/>
      <c r="DS115" s="816"/>
      <c r="DT115" s="816"/>
      <c r="DU115" s="816"/>
      <c r="DV115" s="816"/>
      <c r="DW115" s="816"/>
      <c r="DX115" s="816"/>
      <c r="DY115" s="816"/>
      <c r="DZ115" s="816"/>
      <c r="EA115" s="816"/>
      <c r="EB115" s="816"/>
      <c r="EC115" s="816"/>
      <c r="ED115" s="816"/>
      <c r="EE115" s="816"/>
      <c r="EF115" s="609"/>
      <c r="EG115" s="609"/>
      <c r="EH115" s="816"/>
      <c r="EI115" s="816"/>
      <c r="EJ115" s="816"/>
      <c r="EK115" s="816"/>
      <c r="EL115" s="816"/>
      <c r="EM115" s="816"/>
      <c r="EN115" s="816"/>
      <c r="EO115" s="816"/>
      <c r="EP115" s="816"/>
      <c r="EQ115" s="816"/>
      <c r="ER115" s="816"/>
      <c r="ES115" s="816"/>
      <c r="ET115" s="816"/>
      <c r="EU115" s="816"/>
      <c r="EV115" s="609"/>
      <c r="EW115" s="609"/>
      <c r="EX115" s="816"/>
      <c r="EY115" s="816"/>
      <c r="EZ115" s="816"/>
      <c r="FA115" s="816"/>
      <c r="FB115" s="816"/>
      <c r="FC115" s="816"/>
      <c r="FD115" s="816"/>
      <c r="FE115" s="816"/>
      <c r="FF115" s="816"/>
      <c r="FG115" s="816"/>
      <c r="FH115" s="816"/>
      <c r="FI115" s="816"/>
      <c r="FJ115" s="816"/>
      <c r="FK115" s="816"/>
      <c r="FL115" s="816"/>
      <c r="FM115" s="816"/>
      <c r="FN115" s="816"/>
      <c r="FO115" s="816"/>
      <c r="FP115" s="816"/>
      <c r="FQ115" s="816"/>
      <c r="FR115" s="816"/>
      <c r="FS115" s="816"/>
      <c r="FT115" s="816"/>
      <c r="FU115" s="816"/>
      <c r="FV115" s="816"/>
      <c r="FW115" s="816"/>
      <c r="FX115" s="816"/>
      <c r="FY115" s="816"/>
      <c r="FZ115" s="819"/>
      <c r="GA115" s="816"/>
      <c r="GB115" s="820"/>
      <c r="GC115" s="820"/>
      <c r="GD115" s="820"/>
      <c r="GE115" s="820"/>
      <c r="GF115" s="609"/>
      <c r="GG115" s="609"/>
      <c r="GH115" s="816"/>
      <c r="GI115" s="816"/>
      <c r="GJ115" s="816"/>
      <c r="GK115" s="816"/>
      <c r="GL115" s="816"/>
      <c r="GM115" s="816"/>
      <c r="GN115" s="816"/>
      <c r="GO115" s="816"/>
      <c r="GP115" s="816"/>
      <c r="GQ115" s="816"/>
      <c r="GR115" s="816"/>
      <c r="GS115" s="816"/>
      <c r="GT115" s="818"/>
      <c r="GU115" s="816"/>
      <c r="GV115" s="816"/>
      <c r="GW115" s="816"/>
      <c r="GX115" s="816"/>
      <c r="GY115" s="816"/>
      <c r="GZ115" s="816"/>
      <c r="HA115" s="816"/>
      <c r="HB115" s="609"/>
      <c r="HC115" s="609"/>
      <c r="HD115" s="816"/>
      <c r="HE115" s="816"/>
      <c r="HF115" s="816"/>
      <c r="HG115" s="816"/>
      <c r="HH115" s="816"/>
      <c r="HI115" s="816"/>
      <c r="HJ115" s="609"/>
      <c r="HK115" s="609"/>
      <c r="HL115" s="609"/>
      <c r="HM115" s="816"/>
      <c r="HN115" s="816"/>
      <c r="HO115" s="609"/>
      <c r="HP115" s="609"/>
      <c r="HQ115" s="816"/>
      <c r="HR115" s="816"/>
      <c r="HS115" s="816"/>
      <c r="HT115" s="816"/>
      <c r="HU115" s="816"/>
      <c r="HV115" s="816"/>
      <c r="HW115" s="609"/>
      <c r="HX115" s="609"/>
      <c r="HY115" s="816"/>
      <c r="HZ115" s="816"/>
      <c r="IA115" s="816"/>
      <c r="IB115" s="816"/>
      <c r="IC115" s="816"/>
      <c r="ID115" s="816"/>
      <c r="IE115" s="609"/>
      <c r="IF115" s="609"/>
      <c r="IG115" s="816"/>
      <c r="IH115" s="816"/>
      <c r="II115" s="609"/>
      <c r="IJ115" s="609"/>
      <c r="IK115" s="816"/>
      <c r="IL115" s="816"/>
      <c r="IM115" s="609"/>
      <c r="IN115" s="609"/>
      <c r="IO115" s="816"/>
      <c r="IP115" s="816"/>
      <c r="IQ115" s="816"/>
      <c r="IR115" s="816"/>
      <c r="IS115" s="816"/>
      <c r="IT115" s="816"/>
      <c r="IU115" s="821"/>
      <c r="IV115" s="609"/>
      <c r="IW115" s="816"/>
      <c r="IX115" s="816"/>
      <c r="IY115" s="822"/>
      <c r="IZ115" s="609"/>
      <c r="JA115" s="816"/>
      <c r="JB115" s="816"/>
      <c r="JC115" s="609"/>
      <c r="JD115" s="816"/>
      <c r="JE115" s="816"/>
      <c r="JF115" s="816"/>
      <c r="JG115" s="816"/>
      <c r="JH115" s="816"/>
      <c r="JI115" s="816"/>
      <c r="JJ115" s="816"/>
      <c r="JK115" s="816"/>
      <c r="JL115" s="816"/>
      <c r="JM115" s="816"/>
      <c r="JN115" s="816"/>
      <c r="JO115" s="823"/>
      <c r="JP115" s="824"/>
      <c r="JQ115" s="825"/>
      <c r="JR115" s="825"/>
      <c r="JS115" s="816"/>
      <c r="JU115" s="826"/>
      <c r="JV115" s="826"/>
      <c r="JW115" s="826"/>
      <c r="JX115" s="826"/>
    </row>
    <row r="116" spans="2:284" s="780" customFormat="1">
      <c r="B116" s="609"/>
      <c r="C116" s="609"/>
      <c r="D116" s="609"/>
      <c r="E116" s="609"/>
      <c r="F116" s="609"/>
      <c r="G116" s="609"/>
      <c r="H116" s="609"/>
      <c r="I116" s="609"/>
      <c r="J116" s="609"/>
      <c r="K116" s="609"/>
      <c r="L116" s="609"/>
      <c r="M116" s="609"/>
      <c r="N116" s="609"/>
      <c r="O116" s="609"/>
      <c r="P116" s="609"/>
      <c r="Q116" s="609"/>
      <c r="R116" s="609"/>
      <c r="S116" s="609"/>
      <c r="T116" s="609"/>
      <c r="U116" s="609"/>
      <c r="V116" s="609"/>
      <c r="W116" s="609"/>
      <c r="X116" s="609"/>
      <c r="Y116" s="609"/>
      <c r="Z116" s="609"/>
      <c r="AA116" s="609"/>
      <c r="AB116" s="609"/>
      <c r="AC116" s="609"/>
      <c r="AD116" s="816"/>
      <c r="AE116" s="816"/>
      <c r="AF116" s="816"/>
      <c r="AG116" s="816"/>
      <c r="AH116" s="816"/>
      <c r="AI116" s="816"/>
      <c r="AJ116" s="609"/>
      <c r="AK116" s="609"/>
      <c r="AL116" s="816"/>
      <c r="AM116" s="816"/>
      <c r="AN116" s="609"/>
      <c r="AO116" s="609"/>
      <c r="AP116" s="816"/>
      <c r="AQ116" s="816"/>
      <c r="AR116" s="816"/>
      <c r="AS116" s="816"/>
      <c r="AT116" s="816"/>
      <c r="AU116" s="816"/>
      <c r="AV116" s="609"/>
      <c r="AW116" s="609"/>
      <c r="AX116" s="816"/>
      <c r="AY116" s="816"/>
      <c r="AZ116" s="817"/>
      <c r="BA116" s="609"/>
      <c r="BB116" s="609"/>
      <c r="BC116" s="816"/>
      <c r="BD116" s="816"/>
      <c r="BE116" s="816"/>
      <c r="BF116" s="816"/>
      <c r="BG116" s="816"/>
      <c r="BH116" s="816"/>
      <c r="BI116" s="816"/>
      <c r="BJ116" s="816"/>
      <c r="BK116" s="816"/>
      <c r="BL116" s="816"/>
      <c r="BM116" s="816"/>
      <c r="BN116" s="816"/>
      <c r="BO116" s="816"/>
      <c r="BP116" s="816"/>
      <c r="BQ116" s="816"/>
      <c r="BR116" s="816"/>
      <c r="BS116" s="816"/>
      <c r="BT116" s="816"/>
      <c r="BU116" s="816"/>
      <c r="BV116" s="816"/>
      <c r="BW116" s="816"/>
      <c r="BX116" s="609"/>
      <c r="BY116" s="609"/>
      <c r="BZ116" s="609"/>
      <c r="CA116" s="818"/>
      <c r="CB116" s="816"/>
      <c r="CC116" s="816"/>
      <c r="CD116" s="816"/>
      <c r="CE116" s="816"/>
      <c r="CF116" s="816"/>
      <c r="CG116" s="816"/>
      <c r="CH116" s="816"/>
      <c r="CI116" s="816"/>
      <c r="CJ116" s="819"/>
      <c r="CK116" s="819"/>
      <c r="CL116" s="820"/>
      <c r="CM116" s="820"/>
      <c r="CN116" s="820"/>
      <c r="CO116" s="820"/>
      <c r="CP116" s="820"/>
      <c r="CQ116" s="820"/>
      <c r="CR116" s="609"/>
      <c r="CS116" s="609"/>
      <c r="CT116" s="816"/>
      <c r="CU116" s="816"/>
      <c r="CV116" s="609"/>
      <c r="CW116" s="609"/>
      <c r="CX116" s="816"/>
      <c r="CY116" s="816"/>
      <c r="CZ116" s="609"/>
      <c r="DA116" s="609"/>
      <c r="DB116" s="816"/>
      <c r="DC116" s="816"/>
      <c r="DD116" s="609"/>
      <c r="DE116" s="609"/>
      <c r="DF116" s="816"/>
      <c r="DG116" s="816"/>
      <c r="DH116" s="816"/>
      <c r="DI116" s="816"/>
      <c r="DJ116" s="816"/>
      <c r="DK116" s="816"/>
      <c r="DL116" s="609"/>
      <c r="DM116" s="609"/>
      <c r="DN116" s="816"/>
      <c r="DO116" s="816"/>
      <c r="DP116" s="609"/>
      <c r="DQ116" s="609"/>
      <c r="DR116" s="816"/>
      <c r="DS116" s="816"/>
      <c r="DT116" s="816"/>
      <c r="DU116" s="816"/>
      <c r="DV116" s="816"/>
      <c r="DW116" s="816"/>
      <c r="DX116" s="816"/>
      <c r="DY116" s="816"/>
      <c r="DZ116" s="816"/>
      <c r="EA116" s="816"/>
      <c r="EB116" s="816"/>
      <c r="EC116" s="816"/>
      <c r="ED116" s="816"/>
      <c r="EE116" s="816"/>
      <c r="EF116" s="609"/>
      <c r="EG116" s="609"/>
      <c r="EH116" s="816"/>
      <c r="EI116" s="816"/>
      <c r="EJ116" s="816"/>
      <c r="EK116" s="816"/>
      <c r="EL116" s="816"/>
      <c r="EM116" s="816"/>
      <c r="EN116" s="816"/>
      <c r="EO116" s="816"/>
      <c r="EP116" s="816"/>
      <c r="EQ116" s="816"/>
      <c r="ER116" s="816"/>
      <c r="ES116" s="816"/>
      <c r="ET116" s="816"/>
      <c r="EU116" s="816"/>
      <c r="EV116" s="609"/>
      <c r="EW116" s="609"/>
      <c r="EX116" s="816"/>
      <c r="EY116" s="816"/>
      <c r="EZ116" s="816"/>
      <c r="FA116" s="816"/>
      <c r="FB116" s="816"/>
      <c r="FC116" s="816"/>
      <c r="FD116" s="816"/>
      <c r="FE116" s="816"/>
      <c r="FF116" s="816"/>
      <c r="FG116" s="816"/>
      <c r="FH116" s="816"/>
      <c r="FI116" s="816"/>
      <c r="FJ116" s="816"/>
      <c r="FK116" s="816"/>
      <c r="FL116" s="816"/>
      <c r="FM116" s="816"/>
      <c r="FN116" s="816"/>
      <c r="FO116" s="816"/>
      <c r="FP116" s="816"/>
      <c r="FQ116" s="816"/>
      <c r="FR116" s="816"/>
      <c r="FS116" s="816"/>
      <c r="FT116" s="816"/>
      <c r="FU116" s="816"/>
      <c r="FV116" s="816"/>
      <c r="FW116" s="816"/>
      <c r="FX116" s="816"/>
      <c r="FY116" s="816"/>
      <c r="FZ116" s="819"/>
      <c r="GA116" s="816"/>
      <c r="GB116" s="820"/>
      <c r="GC116" s="820"/>
      <c r="GD116" s="820"/>
      <c r="GE116" s="820"/>
      <c r="GF116" s="609"/>
      <c r="GG116" s="609"/>
      <c r="GH116" s="816"/>
      <c r="GI116" s="816"/>
      <c r="GJ116" s="816"/>
      <c r="GK116" s="816"/>
      <c r="GL116" s="816"/>
      <c r="GM116" s="816"/>
      <c r="GN116" s="816"/>
      <c r="GO116" s="816"/>
      <c r="GP116" s="816"/>
      <c r="GQ116" s="816"/>
      <c r="GR116" s="816"/>
      <c r="GS116" s="816"/>
      <c r="GT116" s="818"/>
      <c r="GU116" s="816"/>
      <c r="GV116" s="816"/>
      <c r="GW116" s="816"/>
      <c r="GX116" s="816"/>
      <c r="GY116" s="816"/>
      <c r="GZ116" s="816"/>
      <c r="HA116" s="816"/>
      <c r="HB116" s="609"/>
      <c r="HC116" s="609"/>
      <c r="HD116" s="816"/>
      <c r="HE116" s="816"/>
      <c r="HF116" s="816"/>
      <c r="HG116" s="816"/>
      <c r="HH116" s="816"/>
      <c r="HI116" s="816"/>
      <c r="HJ116" s="609"/>
      <c r="HK116" s="609"/>
      <c r="HL116" s="609"/>
      <c r="HM116" s="816"/>
      <c r="HN116" s="816"/>
      <c r="HO116" s="609"/>
      <c r="HP116" s="609"/>
      <c r="HQ116" s="816"/>
      <c r="HR116" s="816"/>
      <c r="HS116" s="816"/>
      <c r="HT116" s="816"/>
      <c r="HU116" s="816"/>
      <c r="HV116" s="816"/>
      <c r="HW116" s="609"/>
      <c r="HX116" s="609"/>
      <c r="HY116" s="816"/>
      <c r="HZ116" s="816"/>
      <c r="IA116" s="816"/>
      <c r="IB116" s="816"/>
      <c r="IC116" s="816"/>
      <c r="ID116" s="816"/>
      <c r="IE116" s="609"/>
      <c r="IF116" s="609"/>
      <c r="IG116" s="816"/>
      <c r="IH116" s="816"/>
      <c r="II116" s="609"/>
      <c r="IJ116" s="609"/>
      <c r="IK116" s="816"/>
      <c r="IL116" s="816"/>
      <c r="IM116" s="609"/>
      <c r="IN116" s="609"/>
      <c r="IO116" s="816"/>
      <c r="IP116" s="816"/>
      <c r="IQ116" s="816"/>
      <c r="IR116" s="816"/>
      <c r="IS116" s="816"/>
      <c r="IT116" s="816"/>
      <c r="IU116" s="821"/>
      <c r="IV116" s="609"/>
      <c r="IW116" s="816"/>
      <c r="IX116" s="816"/>
      <c r="IY116" s="822"/>
      <c r="IZ116" s="609"/>
      <c r="JA116" s="816"/>
      <c r="JB116" s="816"/>
      <c r="JC116" s="609"/>
      <c r="JD116" s="816"/>
      <c r="JE116" s="816"/>
      <c r="JF116" s="816"/>
      <c r="JG116" s="816"/>
      <c r="JH116" s="816"/>
      <c r="JI116" s="816"/>
      <c r="JJ116" s="816"/>
      <c r="JK116" s="816"/>
      <c r="JL116" s="816"/>
      <c r="JM116" s="816"/>
      <c r="JN116" s="816"/>
      <c r="JO116" s="823"/>
      <c r="JP116" s="824"/>
      <c r="JQ116" s="825"/>
      <c r="JR116" s="825"/>
      <c r="JS116" s="816"/>
      <c r="JU116" s="826"/>
      <c r="JV116" s="826"/>
      <c r="JW116" s="826"/>
      <c r="JX116" s="826"/>
    </row>
    <row r="117" spans="2:284" s="780" customFormat="1">
      <c r="B117" s="609"/>
      <c r="C117" s="609"/>
      <c r="D117" s="609"/>
      <c r="E117" s="609"/>
      <c r="F117" s="609"/>
      <c r="G117" s="609"/>
      <c r="H117" s="609"/>
      <c r="I117" s="609"/>
      <c r="J117" s="609"/>
      <c r="K117" s="609"/>
      <c r="L117" s="609"/>
      <c r="M117" s="609"/>
      <c r="N117" s="609"/>
      <c r="O117" s="609"/>
      <c r="P117" s="609"/>
      <c r="Q117" s="609"/>
      <c r="R117" s="609"/>
      <c r="S117" s="609"/>
      <c r="T117" s="609"/>
      <c r="U117" s="609"/>
      <c r="V117" s="609"/>
      <c r="W117" s="609"/>
      <c r="X117" s="609"/>
      <c r="Y117" s="609"/>
      <c r="Z117" s="609"/>
      <c r="AA117" s="609"/>
      <c r="AB117" s="609"/>
      <c r="AC117" s="609"/>
      <c r="AD117" s="816"/>
      <c r="AE117" s="816"/>
      <c r="AF117" s="816"/>
      <c r="AG117" s="816"/>
      <c r="AH117" s="816"/>
      <c r="AI117" s="816"/>
      <c r="AJ117" s="609"/>
      <c r="AK117" s="609"/>
      <c r="AL117" s="816"/>
      <c r="AM117" s="816"/>
      <c r="AN117" s="609"/>
      <c r="AO117" s="609"/>
      <c r="AP117" s="816"/>
      <c r="AQ117" s="816"/>
      <c r="AR117" s="816"/>
      <c r="AS117" s="816"/>
      <c r="AT117" s="816"/>
      <c r="AU117" s="816"/>
      <c r="AV117" s="609"/>
      <c r="AW117" s="609"/>
      <c r="AX117" s="816"/>
      <c r="AY117" s="816"/>
      <c r="AZ117" s="817"/>
      <c r="BA117" s="609"/>
      <c r="BB117" s="609"/>
      <c r="BC117" s="816"/>
      <c r="BD117" s="816"/>
      <c r="BE117" s="816"/>
      <c r="BF117" s="816"/>
      <c r="BG117" s="816"/>
      <c r="BH117" s="816"/>
      <c r="BI117" s="816"/>
      <c r="BJ117" s="816"/>
      <c r="BK117" s="816"/>
      <c r="BL117" s="816"/>
      <c r="BM117" s="816"/>
      <c r="BN117" s="816"/>
      <c r="BO117" s="816"/>
      <c r="BP117" s="816"/>
      <c r="BQ117" s="816"/>
      <c r="BR117" s="816"/>
      <c r="BS117" s="816"/>
      <c r="BT117" s="816"/>
      <c r="BU117" s="816"/>
      <c r="BV117" s="816"/>
      <c r="BW117" s="816"/>
      <c r="BX117" s="609"/>
      <c r="BY117" s="609"/>
      <c r="BZ117" s="609"/>
      <c r="CA117" s="818"/>
      <c r="CB117" s="816"/>
      <c r="CC117" s="816"/>
      <c r="CD117" s="816"/>
      <c r="CE117" s="816"/>
      <c r="CF117" s="816"/>
      <c r="CG117" s="816"/>
      <c r="CH117" s="816"/>
      <c r="CI117" s="816"/>
      <c r="CJ117" s="819"/>
      <c r="CK117" s="819"/>
      <c r="CL117" s="820"/>
      <c r="CM117" s="820"/>
      <c r="CN117" s="820"/>
      <c r="CO117" s="820"/>
      <c r="CP117" s="820"/>
      <c r="CQ117" s="820"/>
      <c r="CR117" s="609"/>
      <c r="CS117" s="609"/>
      <c r="CT117" s="816"/>
      <c r="CU117" s="816"/>
      <c r="CV117" s="609"/>
      <c r="CW117" s="609"/>
      <c r="CX117" s="816"/>
      <c r="CY117" s="816"/>
      <c r="CZ117" s="609"/>
      <c r="DA117" s="609"/>
      <c r="DB117" s="816"/>
      <c r="DC117" s="816"/>
      <c r="DD117" s="609"/>
      <c r="DE117" s="609"/>
      <c r="DF117" s="816"/>
      <c r="DG117" s="816"/>
      <c r="DH117" s="816"/>
      <c r="DI117" s="816"/>
      <c r="DJ117" s="816"/>
      <c r="DK117" s="816"/>
      <c r="DL117" s="609"/>
      <c r="DM117" s="609"/>
      <c r="DN117" s="816"/>
      <c r="DO117" s="816"/>
      <c r="DP117" s="609"/>
      <c r="DQ117" s="609"/>
      <c r="DR117" s="816"/>
      <c r="DS117" s="816"/>
      <c r="DT117" s="816"/>
      <c r="DU117" s="816"/>
      <c r="DV117" s="816"/>
      <c r="DW117" s="816"/>
      <c r="DX117" s="816"/>
      <c r="DY117" s="816"/>
      <c r="DZ117" s="816"/>
      <c r="EA117" s="816"/>
      <c r="EB117" s="816"/>
      <c r="EC117" s="816"/>
      <c r="ED117" s="816"/>
      <c r="EE117" s="816"/>
      <c r="EF117" s="609"/>
      <c r="EG117" s="609"/>
      <c r="EH117" s="816"/>
      <c r="EI117" s="816"/>
      <c r="EJ117" s="816"/>
      <c r="EK117" s="816"/>
      <c r="EL117" s="816"/>
      <c r="EM117" s="816"/>
      <c r="EN117" s="816"/>
      <c r="EO117" s="816"/>
      <c r="EP117" s="816"/>
      <c r="EQ117" s="816"/>
      <c r="ER117" s="816"/>
      <c r="ES117" s="816"/>
      <c r="ET117" s="816"/>
      <c r="EU117" s="816"/>
      <c r="EV117" s="609"/>
      <c r="EW117" s="609"/>
      <c r="EX117" s="816"/>
      <c r="EY117" s="816"/>
      <c r="EZ117" s="816"/>
      <c r="FA117" s="816"/>
      <c r="FB117" s="816"/>
      <c r="FC117" s="816"/>
      <c r="FD117" s="816"/>
      <c r="FE117" s="816"/>
      <c r="FF117" s="816"/>
      <c r="FG117" s="816"/>
      <c r="FH117" s="816"/>
      <c r="FI117" s="816"/>
      <c r="FJ117" s="816"/>
      <c r="FK117" s="816"/>
      <c r="FL117" s="816"/>
      <c r="FM117" s="816"/>
      <c r="FN117" s="816"/>
      <c r="FO117" s="816"/>
      <c r="FP117" s="816"/>
      <c r="FQ117" s="816"/>
      <c r="FR117" s="816"/>
      <c r="FS117" s="816"/>
      <c r="FT117" s="816"/>
      <c r="FU117" s="816"/>
      <c r="FV117" s="816"/>
      <c r="FW117" s="816"/>
      <c r="FX117" s="816"/>
      <c r="FY117" s="816"/>
      <c r="FZ117" s="819"/>
      <c r="GA117" s="816"/>
      <c r="GB117" s="820"/>
      <c r="GC117" s="820"/>
      <c r="GD117" s="820"/>
      <c r="GE117" s="820"/>
      <c r="GF117" s="609"/>
      <c r="GG117" s="609"/>
      <c r="GH117" s="816"/>
      <c r="GI117" s="816"/>
      <c r="GJ117" s="816"/>
      <c r="GK117" s="816"/>
      <c r="GL117" s="816"/>
      <c r="GM117" s="816"/>
      <c r="GN117" s="816"/>
      <c r="GO117" s="816"/>
      <c r="GP117" s="816"/>
      <c r="GQ117" s="816"/>
      <c r="GR117" s="816"/>
      <c r="GS117" s="816"/>
      <c r="GT117" s="818"/>
      <c r="GU117" s="816"/>
      <c r="GV117" s="816"/>
      <c r="GW117" s="816"/>
      <c r="GX117" s="816"/>
      <c r="GY117" s="816"/>
      <c r="GZ117" s="816"/>
      <c r="HA117" s="816"/>
      <c r="HB117" s="609"/>
      <c r="HC117" s="609"/>
      <c r="HD117" s="816"/>
      <c r="HE117" s="816"/>
      <c r="HF117" s="816"/>
      <c r="HG117" s="816"/>
      <c r="HH117" s="816"/>
      <c r="HI117" s="816"/>
      <c r="HJ117" s="609"/>
      <c r="HK117" s="609"/>
      <c r="HL117" s="609"/>
      <c r="HM117" s="816"/>
      <c r="HN117" s="816"/>
      <c r="HO117" s="609"/>
      <c r="HP117" s="609"/>
      <c r="HQ117" s="816"/>
      <c r="HR117" s="816"/>
      <c r="HS117" s="816"/>
      <c r="HT117" s="816"/>
      <c r="HU117" s="816"/>
      <c r="HV117" s="816"/>
      <c r="HW117" s="609"/>
      <c r="HX117" s="609"/>
      <c r="HY117" s="816"/>
      <c r="HZ117" s="816"/>
      <c r="IA117" s="816"/>
      <c r="IB117" s="816"/>
      <c r="IC117" s="816"/>
      <c r="ID117" s="816"/>
      <c r="IE117" s="609"/>
      <c r="IF117" s="609"/>
      <c r="IG117" s="816"/>
      <c r="IH117" s="816"/>
      <c r="II117" s="609"/>
      <c r="IJ117" s="609"/>
      <c r="IK117" s="816"/>
      <c r="IL117" s="816"/>
      <c r="IM117" s="609"/>
      <c r="IN117" s="609"/>
      <c r="IO117" s="816"/>
      <c r="IP117" s="816"/>
      <c r="IQ117" s="816"/>
      <c r="IR117" s="816"/>
      <c r="IS117" s="816"/>
      <c r="IT117" s="816"/>
      <c r="IU117" s="821"/>
      <c r="IV117" s="609"/>
      <c r="IW117" s="816"/>
      <c r="IX117" s="816"/>
      <c r="IY117" s="822"/>
      <c r="IZ117" s="609"/>
      <c r="JA117" s="816"/>
      <c r="JB117" s="816"/>
      <c r="JC117" s="609"/>
      <c r="JD117" s="816"/>
      <c r="JE117" s="816"/>
      <c r="JF117" s="816"/>
      <c r="JG117" s="816"/>
      <c r="JH117" s="816"/>
      <c r="JI117" s="816"/>
      <c r="JJ117" s="816"/>
      <c r="JK117" s="816"/>
      <c r="JL117" s="816"/>
      <c r="JM117" s="816"/>
      <c r="JN117" s="816"/>
      <c r="JO117" s="823"/>
      <c r="JP117" s="824"/>
      <c r="JQ117" s="825"/>
      <c r="JR117" s="825"/>
      <c r="JS117" s="816"/>
      <c r="JU117" s="826"/>
      <c r="JV117" s="826"/>
      <c r="JW117" s="826"/>
      <c r="JX117" s="826"/>
    </row>
    <row r="118" spans="2:284" s="780" customFormat="1">
      <c r="B118" s="609"/>
      <c r="C118" s="609"/>
      <c r="D118" s="609"/>
      <c r="E118" s="609"/>
      <c r="F118" s="609"/>
      <c r="G118" s="609"/>
      <c r="H118" s="609"/>
      <c r="I118" s="609"/>
      <c r="J118" s="609"/>
      <c r="K118" s="609"/>
      <c r="L118" s="609"/>
      <c r="M118" s="609"/>
      <c r="N118" s="609"/>
      <c r="O118" s="609"/>
      <c r="P118" s="609"/>
      <c r="Q118" s="609"/>
      <c r="R118" s="609"/>
      <c r="S118" s="609"/>
      <c r="T118" s="609"/>
      <c r="U118" s="609"/>
      <c r="V118" s="609"/>
      <c r="W118" s="609"/>
      <c r="X118" s="609"/>
      <c r="Y118" s="609"/>
      <c r="Z118" s="609"/>
      <c r="AA118" s="609"/>
      <c r="AB118" s="609"/>
      <c r="AC118" s="609"/>
      <c r="AD118" s="816"/>
      <c r="AE118" s="816"/>
      <c r="AF118" s="816"/>
      <c r="AG118" s="816"/>
      <c r="AH118" s="816"/>
      <c r="AI118" s="816"/>
      <c r="AJ118" s="609"/>
      <c r="AK118" s="609"/>
      <c r="AL118" s="816"/>
      <c r="AM118" s="816"/>
      <c r="AN118" s="609"/>
      <c r="AO118" s="609"/>
      <c r="AP118" s="816"/>
      <c r="AQ118" s="816"/>
      <c r="AR118" s="816"/>
      <c r="AS118" s="816"/>
      <c r="AT118" s="816"/>
      <c r="AU118" s="816"/>
      <c r="AV118" s="609"/>
      <c r="AW118" s="609"/>
      <c r="AX118" s="816"/>
      <c r="AY118" s="816"/>
      <c r="AZ118" s="817"/>
      <c r="BA118" s="609"/>
      <c r="BB118" s="609"/>
      <c r="BC118" s="816"/>
      <c r="BD118" s="816"/>
      <c r="BE118" s="816"/>
      <c r="BF118" s="816"/>
      <c r="BG118" s="816"/>
      <c r="BH118" s="816"/>
      <c r="BI118" s="816"/>
      <c r="BJ118" s="816"/>
      <c r="BK118" s="816"/>
      <c r="BL118" s="816"/>
      <c r="BM118" s="816"/>
      <c r="BN118" s="816"/>
      <c r="BO118" s="816"/>
      <c r="BP118" s="816"/>
      <c r="BQ118" s="816"/>
      <c r="BR118" s="816"/>
      <c r="BS118" s="816"/>
      <c r="BT118" s="816"/>
      <c r="BU118" s="816"/>
      <c r="BV118" s="816"/>
      <c r="BW118" s="816"/>
      <c r="BX118" s="609"/>
      <c r="BY118" s="609"/>
      <c r="BZ118" s="609"/>
      <c r="CA118" s="818"/>
      <c r="CB118" s="816"/>
      <c r="CC118" s="816"/>
      <c r="CD118" s="816"/>
      <c r="CE118" s="816"/>
      <c r="CF118" s="816"/>
      <c r="CG118" s="816"/>
      <c r="CH118" s="816"/>
      <c r="CI118" s="816"/>
      <c r="CJ118" s="819"/>
      <c r="CK118" s="819"/>
      <c r="CL118" s="820"/>
      <c r="CM118" s="820"/>
      <c r="CN118" s="820"/>
      <c r="CO118" s="820"/>
      <c r="CP118" s="820"/>
      <c r="CQ118" s="820"/>
      <c r="CR118" s="609"/>
      <c r="CS118" s="609"/>
      <c r="CT118" s="816"/>
      <c r="CU118" s="816"/>
      <c r="CV118" s="609"/>
      <c r="CW118" s="609"/>
      <c r="CX118" s="816"/>
      <c r="CY118" s="816"/>
      <c r="CZ118" s="609"/>
      <c r="DA118" s="609"/>
      <c r="DB118" s="816"/>
      <c r="DC118" s="816"/>
      <c r="DD118" s="609"/>
      <c r="DE118" s="609"/>
      <c r="DF118" s="816"/>
      <c r="DG118" s="816"/>
      <c r="DH118" s="816"/>
      <c r="DI118" s="816"/>
      <c r="DJ118" s="816"/>
      <c r="DK118" s="816"/>
      <c r="DL118" s="609"/>
      <c r="DM118" s="609"/>
      <c r="DN118" s="816"/>
      <c r="DO118" s="816"/>
      <c r="DP118" s="609"/>
      <c r="DQ118" s="609"/>
      <c r="DR118" s="816"/>
      <c r="DS118" s="816"/>
      <c r="DT118" s="816"/>
      <c r="DU118" s="816"/>
      <c r="DV118" s="816"/>
      <c r="DW118" s="816"/>
      <c r="DX118" s="816"/>
      <c r="DY118" s="816"/>
      <c r="DZ118" s="816"/>
      <c r="EA118" s="816"/>
      <c r="EB118" s="816"/>
      <c r="EC118" s="816"/>
      <c r="ED118" s="816"/>
      <c r="EE118" s="816"/>
      <c r="EF118" s="609"/>
      <c r="EG118" s="609"/>
      <c r="EH118" s="816"/>
      <c r="EI118" s="816"/>
      <c r="EJ118" s="816"/>
      <c r="EK118" s="816"/>
      <c r="EL118" s="816"/>
      <c r="EM118" s="816"/>
      <c r="EN118" s="816"/>
      <c r="EO118" s="816"/>
      <c r="EP118" s="816"/>
      <c r="EQ118" s="816"/>
      <c r="ER118" s="816"/>
      <c r="ES118" s="816"/>
      <c r="ET118" s="816"/>
      <c r="EU118" s="816"/>
      <c r="EV118" s="609"/>
      <c r="EW118" s="609"/>
      <c r="EX118" s="816"/>
      <c r="EY118" s="816"/>
      <c r="EZ118" s="816"/>
      <c r="FA118" s="816"/>
      <c r="FB118" s="816"/>
      <c r="FC118" s="816"/>
      <c r="FD118" s="816"/>
      <c r="FE118" s="816"/>
      <c r="FF118" s="816"/>
      <c r="FG118" s="816"/>
      <c r="FH118" s="816"/>
      <c r="FI118" s="816"/>
      <c r="FJ118" s="816"/>
      <c r="FK118" s="816"/>
      <c r="FL118" s="816"/>
      <c r="FM118" s="816"/>
      <c r="FN118" s="816"/>
      <c r="FO118" s="816"/>
      <c r="FP118" s="816"/>
      <c r="FQ118" s="816"/>
      <c r="FR118" s="816"/>
      <c r="FS118" s="816"/>
      <c r="FT118" s="816"/>
      <c r="FU118" s="816"/>
      <c r="FV118" s="816"/>
      <c r="FW118" s="816"/>
      <c r="FX118" s="816"/>
      <c r="FY118" s="816"/>
      <c r="FZ118" s="819"/>
      <c r="GA118" s="816"/>
      <c r="GB118" s="820"/>
      <c r="GC118" s="820"/>
      <c r="GD118" s="820"/>
      <c r="GE118" s="820"/>
      <c r="GF118" s="609"/>
      <c r="GG118" s="609"/>
      <c r="GH118" s="816"/>
      <c r="GI118" s="816"/>
      <c r="GJ118" s="816"/>
      <c r="GK118" s="816"/>
      <c r="GL118" s="816"/>
      <c r="GM118" s="816"/>
      <c r="GN118" s="816"/>
      <c r="GO118" s="816"/>
      <c r="GP118" s="816"/>
      <c r="GQ118" s="816"/>
      <c r="GR118" s="816"/>
      <c r="GS118" s="816"/>
      <c r="GT118" s="818"/>
      <c r="GU118" s="816"/>
      <c r="GV118" s="816"/>
      <c r="GW118" s="816"/>
      <c r="GX118" s="816"/>
      <c r="GY118" s="816"/>
      <c r="GZ118" s="816"/>
      <c r="HA118" s="816"/>
      <c r="HB118" s="609"/>
      <c r="HC118" s="609"/>
      <c r="HD118" s="816"/>
      <c r="HE118" s="816"/>
      <c r="HF118" s="816"/>
      <c r="HG118" s="816"/>
      <c r="HH118" s="816"/>
      <c r="HI118" s="816"/>
      <c r="HJ118" s="609"/>
      <c r="HK118" s="609"/>
      <c r="HL118" s="609"/>
      <c r="HM118" s="816"/>
      <c r="HN118" s="816"/>
      <c r="HO118" s="609"/>
      <c r="HP118" s="609"/>
      <c r="HQ118" s="816"/>
      <c r="HR118" s="816"/>
      <c r="HS118" s="816"/>
      <c r="HT118" s="816"/>
      <c r="HU118" s="816"/>
      <c r="HV118" s="816"/>
      <c r="HW118" s="609"/>
      <c r="HX118" s="609"/>
      <c r="HY118" s="816"/>
      <c r="HZ118" s="816"/>
      <c r="IA118" s="816"/>
      <c r="IB118" s="816"/>
      <c r="IC118" s="816"/>
      <c r="ID118" s="816"/>
      <c r="IE118" s="609"/>
      <c r="IF118" s="609"/>
      <c r="IG118" s="816"/>
      <c r="IH118" s="816"/>
      <c r="II118" s="609"/>
      <c r="IJ118" s="609"/>
      <c r="IK118" s="816"/>
      <c r="IL118" s="816"/>
      <c r="IM118" s="609"/>
      <c r="IN118" s="609"/>
      <c r="IO118" s="816"/>
      <c r="IP118" s="816"/>
      <c r="IQ118" s="816"/>
      <c r="IR118" s="816"/>
      <c r="IS118" s="816"/>
      <c r="IT118" s="816"/>
      <c r="IU118" s="821"/>
      <c r="IV118" s="609"/>
      <c r="IW118" s="816"/>
      <c r="IX118" s="816"/>
      <c r="IY118" s="822"/>
      <c r="IZ118" s="609"/>
      <c r="JA118" s="816"/>
      <c r="JB118" s="816"/>
      <c r="JC118" s="609"/>
      <c r="JD118" s="816"/>
      <c r="JE118" s="816"/>
      <c r="JF118" s="816"/>
      <c r="JG118" s="816"/>
      <c r="JH118" s="816"/>
      <c r="JI118" s="816"/>
      <c r="JJ118" s="816"/>
      <c r="JK118" s="816"/>
      <c r="JL118" s="816"/>
      <c r="JM118" s="816"/>
      <c r="JN118" s="816"/>
      <c r="JO118" s="823"/>
      <c r="JP118" s="824"/>
      <c r="JQ118" s="825"/>
      <c r="JR118" s="825"/>
      <c r="JS118" s="816"/>
      <c r="JU118" s="826"/>
      <c r="JV118" s="826"/>
      <c r="JW118" s="826"/>
      <c r="JX118" s="826"/>
    </row>
    <row r="119" spans="2:284" s="780" customFormat="1">
      <c r="B119" s="609"/>
      <c r="C119" s="609"/>
      <c r="D119" s="609"/>
      <c r="E119" s="609"/>
      <c r="F119" s="609"/>
      <c r="G119" s="609"/>
      <c r="H119" s="609"/>
      <c r="I119" s="609"/>
      <c r="J119" s="609"/>
      <c r="K119" s="609"/>
      <c r="L119" s="609"/>
      <c r="M119" s="609"/>
      <c r="N119" s="609"/>
      <c r="O119" s="609"/>
      <c r="P119" s="609"/>
      <c r="Q119" s="609"/>
      <c r="R119" s="609"/>
      <c r="S119" s="609"/>
      <c r="T119" s="609"/>
      <c r="U119" s="609"/>
      <c r="V119" s="609"/>
      <c r="W119" s="609"/>
      <c r="X119" s="609"/>
      <c r="Y119" s="609"/>
      <c r="Z119" s="609"/>
      <c r="AA119" s="609"/>
      <c r="AB119" s="609"/>
      <c r="AC119" s="609"/>
      <c r="AD119" s="816"/>
      <c r="AE119" s="816"/>
      <c r="AF119" s="816"/>
      <c r="AG119" s="816"/>
      <c r="AH119" s="816"/>
      <c r="AI119" s="816"/>
      <c r="AJ119" s="609"/>
      <c r="AK119" s="609"/>
      <c r="AL119" s="816"/>
      <c r="AM119" s="816"/>
      <c r="AN119" s="609"/>
      <c r="AO119" s="609"/>
      <c r="AP119" s="816"/>
      <c r="AQ119" s="816"/>
      <c r="AR119" s="816"/>
      <c r="AS119" s="816"/>
      <c r="AT119" s="816"/>
      <c r="AU119" s="816"/>
      <c r="AV119" s="609"/>
      <c r="AW119" s="609"/>
      <c r="AX119" s="816"/>
      <c r="AY119" s="816"/>
      <c r="AZ119" s="817"/>
      <c r="BA119" s="609"/>
      <c r="BB119" s="609"/>
      <c r="BC119" s="816"/>
      <c r="BD119" s="816"/>
      <c r="BE119" s="816"/>
      <c r="BF119" s="816"/>
      <c r="BG119" s="816"/>
      <c r="BH119" s="816"/>
      <c r="BI119" s="816"/>
      <c r="BJ119" s="816"/>
      <c r="BK119" s="816"/>
      <c r="BL119" s="816"/>
      <c r="BM119" s="816"/>
      <c r="BN119" s="816"/>
      <c r="BO119" s="816"/>
      <c r="BP119" s="816"/>
      <c r="BQ119" s="816"/>
      <c r="BR119" s="816"/>
      <c r="BS119" s="816"/>
      <c r="BT119" s="816"/>
      <c r="BU119" s="816"/>
      <c r="BV119" s="816"/>
      <c r="BW119" s="816"/>
      <c r="BX119" s="609"/>
      <c r="BY119" s="609"/>
      <c r="BZ119" s="609"/>
      <c r="CA119" s="818"/>
      <c r="CB119" s="816"/>
      <c r="CC119" s="816"/>
      <c r="CD119" s="816"/>
      <c r="CE119" s="816"/>
      <c r="CF119" s="816"/>
      <c r="CG119" s="816"/>
      <c r="CH119" s="816"/>
      <c r="CI119" s="816"/>
      <c r="CJ119" s="819"/>
      <c r="CK119" s="819"/>
      <c r="CL119" s="820"/>
      <c r="CM119" s="820"/>
      <c r="CN119" s="820"/>
      <c r="CO119" s="820"/>
      <c r="CP119" s="820"/>
      <c r="CQ119" s="820"/>
      <c r="CR119" s="609"/>
      <c r="CS119" s="609"/>
      <c r="CT119" s="816"/>
      <c r="CU119" s="816"/>
      <c r="CV119" s="609"/>
      <c r="CW119" s="609"/>
      <c r="CX119" s="816"/>
      <c r="CY119" s="816"/>
      <c r="CZ119" s="609"/>
      <c r="DA119" s="609"/>
      <c r="DB119" s="816"/>
      <c r="DC119" s="816"/>
      <c r="DD119" s="609"/>
      <c r="DE119" s="609"/>
      <c r="DF119" s="816"/>
      <c r="DG119" s="816"/>
      <c r="DH119" s="816"/>
      <c r="DI119" s="816"/>
      <c r="DJ119" s="816"/>
      <c r="DK119" s="816"/>
      <c r="DL119" s="609"/>
      <c r="DM119" s="609"/>
      <c r="DN119" s="816"/>
      <c r="DO119" s="816"/>
      <c r="DP119" s="609"/>
      <c r="DQ119" s="609"/>
      <c r="DR119" s="816"/>
      <c r="DS119" s="816"/>
      <c r="DT119" s="816"/>
      <c r="DU119" s="816"/>
      <c r="DV119" s="816"/>
      <c r="DW119" s="816"/>
      <c r="DX119" s="816"/>
      <c r="DY119" s="816"/>
      <c r="DZ119" s="816"/>
      <c r="EA119" s="816"/>
      <c r="EB119" s="816"/>
      <c r="EC119" s="816"/>
      <c r="ED119" s="816"/>
      <c r="EE119" s="816"/>
      <c r="EF119" s="609"/>
      <c r="EG119" s="609"/>
      <c r="EH119" s="816"/>
      <c r="EI119" s="816"/>
      <c r="EJ119" s="816"/>
      <c r="EK119" s="816"/>
      <c r="EL119" s="816"/>
      <c r="EM119" s="816"/>
      <c r="EN119" s="816"/>
      <c r="EO119" s="816"/>
      <c r="EP119" s="816"/>
      <c r="EQ119" s="816"/>
      <c r="ER119" s="816"/>
      <c r="ES119" s="816"/>
      <c r="ET119" s="816"/>
      <c r="EU119" s="816"/>
      <c r="EV119" s="609"/>
      <c r="EW119" s="609"/>
      <c r="EX119" s="816"/>
      <c r="EY119" s="816"/>
      <c r="EZ119" s="816"/>
      <c r="FA119" s="816"/>
      <c r="FB119" s="816"/>
      <c r="FC119" s="816"/>
      <c r="FD119" s="816"/>
      <c r="FE119" s="816"/>
      <c r="FF119" s="816"/>
      <c r="FG119" s="816"/>
      <c r="FH119" s="816"/>
      <c r="FI119" s="816"/>
      <c r="FJ119" s="816"/>
      <c r="FK119" s="816"/>
      <c r="FL119" s="816"/>
      <c r="FM119" s="816"/>
      <c r="FN119" s="816"/>
      <c r="FO119" s="816"/>
      <c r="FP119" s="816"/>
      <c r="FQ119" s="816"/>
      <c r="FR119" s="816"/>
      <c r="FS119" s="816"/>
      <c r="FT119" s="816"/>
      <c r="FU119" s="816"/>
      <c r="FV119" s="816"/>
      <c r="FW119" s="816"/>
      <c r="FX119" s="816"/>
      <c r="FY119" s="816"/>
      <c r="FZ119" s="819"/>
      <c r="GA119" s="816"/>
      <c r="GB119" s="820"/>
      <c r="GC119" s="820"/>
      <c r="GD119" s="820"/>
      <c r="GE119" s="820"/>
      <c r="GF119" s="609"/>
      <c r="GG119" s="609"/>
      <c r="GH119" s="816"/>
      <c r="GI119" s="816"/>
      <c r="GJ119" s="816"/>
      <c r="GK119" s="816"/>
      <c r="GL119" s="816"/>
      <c r="GM119" s="816"/>
      <c r="GN119" s="816"/>
      <c r="GO119" s="816"/>
      <c r="GP119" s="816"/>
      <c r="GQ119" s="816"/>
      <c r="GR119" s="816"/>
      <c r="GS119" s="816"/>
      <c r="GT119" s="818"/>
      <c r="GU119" s="816"/>
      <c r="GV119" s="816"/>
      <c r="GW119" s="816"/>
      <c r="GX119" s="816"/>
      <c r="GY119" s="816"/>
      <c r="GZ119" s="816"/>
      <c r="HA119" s="816"/>
      <c r="HB119" s="609"/>
      <c r="HC119" s="609"/>
      <c r="HD119" s="816"/>
      <c r="HE119" s="816"/>
      <c r="HF119" s="816"/>
      <c r="HG119" s="816"/>
      <c r="HH119" s="816"/>
      <c r="HI119" s="816"/>
      <c r="HJ119" s="609"/>
      <c r="HK119" s="609"/>
      <c r="HL119" s="609"/>
      <c r="HM119" s="816"/>
      <c r="HN119" s="816"/>
      <c r="HO119" s="609"/>
      <c r="HP119" s="609"/>
      <c r="HQ119" s="816"/>
      <c r="HR119" s="816"/>
      <c r="HS119" s="816"/>
      <c r="HT119" s="816"/>
      <c r="HU119" s="816"/>
      <c r="HV119" s="816"/>
      <c r="HW119" s="609"/>
      <c r="HX119" s="609"/>
      <c r="HY119" s="816"/>
      <c r="HZ119" s="816"/>
      <c r="IA119" s="816"/>
      <c r="IB119" s="816"/>
      <c r="IC119" s="816"/>
      <c r="ID119" s="816"/>
      <c r="IE119" s="609"/>
      <c r="IF119" s="609"/>
      <c r="IG119" s="816"/>
      <c r="IH119" s="816"/>
      <c r="II119" s="609"/>
      <c r="IJ119" s="609"/>
      <c r="IK119" s="816"/>
      <c r="IL119" s="816"/>
      <c r="IM119" s="609"/>
      <c r="IN119" s="609"/>
      <c r="IO119" s="816"/>
      <c r="IP119" s="816"/>
      <c r="IQ119" s="816"/>
      <c r="IR119" s="816"/>
      <c r="IS119" s="816"/>
      <c r="IT119" s="816"/>
      <c r="IU119" s="821"/>
      <c r="IV119" s="609"/>
      <c r="IW119" s="816"/>
      <c r="IX119" s="816"/>
      <c r="IY119" s="822"/>
      <c r="IZ119" s="609"/>
      <c r="JA119" s="816"/>
      <c r="JB119" s="816"/>
      <c r="JC119" s="609"/>
      <c r="JD119" s="816"/>
      <c r="JE119" s="816"/>
      <c r="JF119" s="816"/>
      <c r="JG119" s="816"/>
      <c r="JH119" s="816"/>
      <c r="JI119" s="816"/>
      <c r="JJ119" s="816"/>
      <c r="JK119" s="816"/>
      <c r="JL119" s="816"/>
      <c r="JM119" s="816"/>
      <c r="JN119" s="816"/>
      <c r="JO119" s="823"/>
      <c r="JP119" s="824"/>
      <c r="JQ119" s="825"/>
      <c r="JR119" s="825"/>
      <c r="JS119" s="816"/>
      <c r="JU119" s="826"/>
      <c r="JV119" s="826"/>
      <c r="JW119" s="826"/>
      <c r="JX119" s="826"/>
    </row>
    <row r="120" spans="2:284" s="780" customFormat="1">
      <c r="B120" s="609"/>
      <c r="C120" s="609"/>
      <c r="D120" s="609"/>
      <c r="E120" s="609"/>
      <c r="F120" s="609"/>
      <c r="G120" s="609"/>
      <c r="H120" s="609"/>
      <c r="I120" s="609"/>
      <c r="J120" s="609"/>
      <c r="K120" s="609"/>
      <c r="L120" s="609"/>
      <c r="M120" s="609"/>
      <c r="N120" s="609"/>
      <c r="O120" s="609"/>
      <c r="P120" s="609"/>
      <c r="Q120" s="609"/>
      <c r="R120" s="609"/>
      <c r="S120" s="609"/>
      <c r="T120" s="609"/>
      <c r="U120" s="609"/>
      <c r="V120" s="609"/>
      <c r="W120" s="609"/>
      <c r="X120" s="609"/>
      <c r="Y120" s="609"/>
      <c r="Z120" s="609"/>
      <c r="AA120" s="609"/>
      <c r="AB120" s="609"/>
      <c r="AC120" s="609"/>
      <c r="AD120" s="816"/>
      <c r="AE120" s="816"/>
      <c r="AF120" s="816"/>
      <c r="AG120" s="816"/>
      <c r="AH120" s="816"/>
      <c r="AI120" s="816"/>
      <c r="AJ120" s="609"/>
      <c r="AK120" s="609"/>
      <c r="AL120" s="816"/>
      <c r="AM120" s="816"/>
      <c r="AN120" s="609"/>
      <c r="AO120" s="609"/>
      <c r="AP120" s="816"/>
      <c r="AQ120" s="816"/>
      <c r="AR120" s="816"/>
      <c r="AS120" s="816"/>
      <c r="AT120" s="816"/>
      <c r="AU120" s="816"/>
      <c r="AV120" s="609"/>
      <c r="AW120" s="609"/>
      <c r="AX120" s="816"/>
      <c r="AY120" s="816"/>
      <c r="AZ120" s="817"/>
      <c r="BA120" s="609"/>
      <c r="BB120" s="609"/>
      <c r="BC120" s="816"/>
      <c r="BD120" s="816"/>
      <c r="BE120" s="816"/>
      <c r="BF120" s="816"/>
      <c r="BG120" s="816"/>
      <c r="BH120" s="816"/>
      <c r="BI120" s="816"/>
      <c r="BJ120" s="816"/>
      <c r="BK120" s="816"/>
      <c r="BL120" s="816"/>
      <c r="BM120" s="816"/>
      <c r="BN120" s="816"/>
      <c r="BO120" s="816"/>
      <c r="BP120" s="816"/>
      <c r="BQ120" s="816"/>
      <c r="BR120" s="816"/>
      <c r="BS120" s="816"/>
      <c r="BT120" s="816"/>
      <c r="BU120" s="816"/>
      <c r="BV120" s="816"/>
      <c r="BW120" s="816"/>
      <c r="BX120" s="609"/>
      <c r="BY120" s="609"/>
      <c r="BZ120" s="609"/>
      <c r="CA120" s="818"/>
      <c r="CB120" s="816"/>
      <c r="CC120" s="816"/>
      <c r="CD120" s="816"/>
      <c r="CE120" s="816"/>
      <c r="CF120" s="816"/>
      <c r="CG120" s="816"/>
      <c r="CH120" s="816"/>
      <c r="CI120" s="816"/>
      <c r="CJ120" s="819"/>
      <c r="CK120" s="819"/>
      <c r="CL120" s="820"/>
      <c r="CM120" s="820"/>
      <c r="CN120" s="820"/>
      <c r="CO120" s="820"/>
      <c r="CP120" s="820"/>
      <c r="CQ120" s="820"/>
      <c r="CR120" s="609"/>
      <c r="CS120" s="609"/>
      <c r="CT120" s="816"/>
      <c r="CU120" s="816"/>
      <c r="CV120" s="609"/>
      <c r="CW120" s="609"/>
      <c r="CX120" s="816"/>
      <c r="CY120" s="816"/>
      <c r="CZ120" s="609"/>
      <c r="DA120" s="609"/>
      <c r="DB120" s="816"/>
      <c r="DC120" s="816"/>
      <c r="DD120" s="609"/>
      <c r="DE120" s="609"/>
      <c r="DF120" s="816"/>
      <c r="DG120" s="816"/>
      <c r="DH120" s="816"/>
      <c r="DI120" s="816"/>
      <c r="DJ120" s="816"/>
      <c r="DK120" s="816"/>
      <c r="DL120" s="609"/>
      <c r="DM120" s="609"/>
      <c r="DN120" s="816"/>
      <c r="DO120" s="816"/>
      <c r="DP120" s="609"/>
      <c r="DQ120" s="609"/>
      <c r="DR120" s="816"/>
      <c r="DS120" s="816"/>
      <c r="DT120" s="816"/>
      <c r="DU120" s="816"/>
      <c r="DV120" s="816"/>
      <c r="DW120" s="816"/>
      <c r="DX120" s="816"/>
      <c r="DY120" s="816"/>
      <c r="DZ120" s="816"/>
      <c r="EA120" s="816"/>
      <c r="EB120" s="816"/>
      <c r="EC120" s="816"/>
      <c r="ED120" s="816"/>
      <c r="EE120" s="816"/>
      <c r="EF120" s="609"/>
      <c r="EG120" s="609"/>
      <c r="EH120" s="816"/>
      <c r="EI120" s="816"/>
      <c r="EJ120" s="816"/>
      <c r="EK120" s="816"/>
      <c r="EL120" s="816"/>
      <c r="EM120" s="816"/>
      <c r="EN120" s="816"/>
      <c r="EO120" s="816"/>
      <c r="EP120" s="816"/>
      <c r="EQ120" s="816"/>
      <c r="ER120" s="816"/>
      <c r="ES120" s="816"/>
      <c r="ET120" s="816"/>
      <c r="EU120" s="816"/>
      <c r="EV120" s="609"/>
      <c r="EW120" s="609"/>
      <c r="EX120" s="816"/>
      <c r="EY120" s="816"/>
      <c r="EZ120" s="816"/>
      <c r="FA120" s="816"/>
      <c r="FB120" s="816"/>
      <c r="FC120" s="816"/>
      <c r="FD120" s="816"/>
      <c r="FE120" s="816"/>
      <c r="FF120" s="816"/>
      <c r="FG120" s="816"/>
      <c r="FH120" s="816"/>
      <c r="FI120" s="816"/>
      <c r="FJ120" s="816"/>
      <c r="FK120" s="816"/>
      <c r="FL120" s="816"/>
      <c r="FM120" s="816"/>
      <c r="FN120" s="816"/>
      <c r="FO120" s="816"/>
      <c r="FP120" s="816"/>
      <c r="FQ120" s="816"/>
      <c r="FR120" s="816"/>
      <c r="FS120" s="816"/>
      <c r="FT120" s="816"/>
      <c r="FU120" s="816"/>
      <c r="FV120" s="816"/>
      <c r="FW120" s="816"/>
      <c r="FX120" s="816"/>
      <c r="FY120" s="816"/>
      <c r="FZ120" s="819"/>
      <c r="GA120" s="816"/>
      <c r="GB120" s="820"/>
      <c r="GC120" s="820"/>
      <c r="GD120" s="820"/>
      <c r="GE120" s="820"/>
      <c r="GF120" s="609"/>
      <c r="GG120" s="609"/>
      <c r="GH120" s="816"/>
      <c r="GI120" s="816"/>
      <c r="GJ120" s="816"/>
      <c r="GK120" s="816"/>
      <c r="GL120" s="816"/>
      <c r="GM120" s="816"/>
      <c r="GN120" s="816"/>
      <c r="GO120" s="816"/>
      <c r="GP120" s="816"/>
      <c r="GQ120" s="816"/>
      <c r="GR120" s="816"/>
      <c r="GS120" s="816"/>
      <c r="GT120" s="818"/>
      <c r="GU120" s="816"/>
      <c r="GV120" s="816"/>
      <c r="GW120" s="816"/>
      <c r="GX120" s="816"/>
      <c r="GY120" s="816"/>
      <c r="GZ120" s="816"/>
      <c r="HA120" s="816"/>
      <c r="HB120" s="609"/>
      <c r="HC120" s="609"/>
      <c r="HD120" s="816"/>
      <c r="HE120" s="816"/>
      <c r="HF120" s="816"/>
      <c r="HG120" s="816"/>
      <c r="HH120" s="816"/>
      <c r="HI120" s="816"/>
      <c r="HJ120" s="609"/>
      <c r="HK120" s="609"/>
      <c r="HL120" s="609"/>
      <c r="HM120" s="816"/>
      <c r="HN120" s="816"/>
      <c r="HO120" s="609"/>
      <c r="HP120" s="609"/>
      <c r="HQ120" s="816"/>
      <c r="HR120" s="816"/>
      <c r="HS120" s="816"/>
      <c r="HT120" s="816"/>
      <c r="HU120" s="816"/>
      <c r="HV120" s="816"/>
      <c r="HW120" s="609"/>
      <c r="HX120" s="609"/>
      <c r="HY120" s="816"/>
      <c r="HZ120" s="816"/>
      <c r="IA120" s="816"/>
      <c r="IB120" s="816"/>
      <c r="IC120" s="816"/>
      <c r="ID120" s="816"/>
      <c r="IE120" s="609"/>
      <c r="IF120" s="609"/>
      <c r="IG120" s="816"/>
      <c r="IH120" s="816"/>
      <c r="II120" s="609"/>
      <c r="IJ120" s="609"/>
      <c r="IK120" s="816"/>
      <c r="IL120" s="816"/>
      <c r="IM120" s="609"/>
      <c r="IN120" s="609"/>
      <c r="IO120" s="816"/>
      <c r="IP120" s="816"/>
      <c r="IQ120" s="816"/>
      <c r="IR120" s="816"/>
      <c r="IS120" s="816"/>
      <c r="IT120" s="816"/>
      <c r="IU120" s="821"/>
      <c r="IV120" s="609"/>
      <c r="IW120" s="816"/>
      <c r="IX120" s="816"/>
      <c r="IY120" s="822"/>
      <c r="IZ120" s="609"/>
      <c r="JA120" s="816"/>
      <c r="JB120" s="816"/>
      <c r="JC120" s="609"/>
      <c r="JD120" s="816"/>
      <c r="JE120" s="816"/>
      <c r="JF120" s="816"/>
      <c r="JG120" s="816"/>
      <c r="JH120" s="816"/>
      <c r="JI120" s="816"/>
      <c r="JJ120" s="816"/>
      <c r="JK120" s="816"/>
      <c r="JL120" s="816"/>
      <c r="JM120" s="816"/>
      <c r="JN120" s="816"/>
      <c r="JO120" s="823"/>
      <c r="JP120" s="824"/>
      <c r="JQ120" s="825"/>
      <c r="JR120" s="825"/>
      <c r="JS120" s="816"/>
      <c r="JU120" s="826"/>
      <c r="JV120" s="826"/>
      <c r="JW120" s="826"/>
      <c r="JX120" s="826"/>
    </row>
    <row r="121" spans="2:284" s="780" customFormat="1">
      <c r="B121" s="609"/>
      <c r="C121" s="609"/>
      <c r="D121" s="609"/>
      <c r="E121" s="609"/>
      <c r="F121" s="609"/>
      <c r="G121" s="609"/>
      <c r="H121" s="609"/>
      <c r="I121" s="609"/>
      <c r="J121" s="609"/>
      <c r="K121" s="609"/>
      <c r="L121" s="609"/>
      <c r="M121" s="609"/>
      <c r="N121" s="609"/>
      <c r="O121" s="609"/>
      <c r="P121" s="609"/>
      <c r="Q121" s="609"/>
      <c r="R121" s="609"/>
      <c r="S121" s="609"/>
      <c r="T121" s="609"/>
      <c r="U121" s="609"/>
      <c r="V121" s="609"/>
      <c r="W121" s="609"/>
      <c r="X121" s="609"/>
      <c r="Y121" s="609"/>
      <c r="Z121" s="609"/>
      <c r="AA121" s="609"/>
      <c r="AB121" s="609"/>
      <c r="AC121" s="609"/>
      <c r="AD121" s="816"/>
      <c r="AE121" s="816"/>
      <c r="AF121" s="816"/>
      <c r="AG121" s="816"/>
      <c r="AH121" s="816"/>
      <c r="AI121" s="816"/>
      <c r="AJ121" s="609"/>
      <c r="AK121" s="609"/>
      <c r="AL121" s="816"/>
      <c r="AM121" s="816"/>
      <c r="AN121" s="609"/>
      <c r="AO121" s="609"/>
      <c r="AP121" s="816"/>
      <c r="AQ121" s="816"/>
      <c r="AR121" s="816"/>
      <c r="AS121" s="816"/>
      <c r="AT121" s="816"/>
      <c r="AU121" s="816"/>
      <c r="AV121" s="609"/>
      <c r="AW121" s="609"/>
      <c r="AX121" s="816"/>
      <c r="AY121" s="816"/>
      <c r="AZ121" s="817"/>
      <c r="BA121" s="609"/>
      <c r="BB121" s="609"/>
      <c r="BC121" s="816"/>
      <c r="BD121" s="816"/>
      <c r="BE121" s="816"/>
      <c r="BF121" s="816"/>
      <c r="BG121" s="816"/>
      <c r="BH121" s="816"/>
      <c r="BI121" s="816"/>
      <c r="BJ121" s="816"/>
      <c r="BK121" s="816"/>
      <c r="BL121" s="816"/>
      <c r="BM121" s="816"/>
      <c r="BN121" s="816"/>
      <c r="BO121" s="816"/>
      <c r="BP121" s="816"/>
      <c r="BQ121" s="816"/>
      <c r="BR121" s="816"/>
      <c r="BS121" s="816"/>
      <c r="BT121" s="816"/>
      <c r="BU121" s="816"/>
      <c r="BV121" s="816"/>
      <c r="BW121" s="816"/>
      <c r="BX121" s="609"/>
      <c r="BY121" s="609"/>
      <c r="BZ121" s="609"/>
      <c r="CA121" s="818"/>
      <c r="CB121" s="816"/>
      <c r="CC121" s="816"/>
      <c r="CD121" s="816"/>
      <c r="CE121" s="816"/>
      <c r="CF121" s="816"/>
      <c r="CG121" s="816"/>
      <c r="CH121" s="816"/>
      <c r="CI121" s="816"/>
      <c r="CJ121" s="819"/>
      <c r="CK121" s="819"/>
      <c r="CL121" s="820"/>
      <c r="CM121" s="820"/>
      <c r="CN121" s="820"/>
      <c r="CO121" s="820"/>
      <c r="CP121" s="820"/>
      <c r="CQ121" s="820"/>
      <c r="CR121" s="609"/>
      <c r="CS121" s="609"/>
      <c r="CT121" s="816"/>
      <c r="CU121" s="816"/>
      <c r="CV121" s="609"/>
      <c r="CW121" s="609"/>
      <c r="CX121" s="816"/>
      <c r="CY121" s="816"/>
      <c r="CZ121" s="609"/>
      <c r="DA121" s="609"/>
      <c r="DB121" s="816"/>
      <c r="DC121" s="816"/>
      <c r="DD121" s="609"/>
      <c r="DE121" s="609"/>
      <c r="DF121" s="816"/>
      <c r="DG121" s="816"/>
      <c r="DH121" s="816"/>
      <c r="DI121" s="816"/>
      <c r="DJ121" s="816"/>
      <c r="DK121" s="816"/>
      <c r="DL121" s="609"/>
      <c r="DM121" s="609"/>
      <c r="DN121" s="816"/>
      <c r="DO121" s="816"/>
      <c r="DP121" s="609"/>
      <c r="DQ121" s="609"/>
      <c r="DR121" s="816"/>
      <c r="DS121" s="816"/>
      <c r="DT121" s="816"/>
      <c r="DU121" s="816"/>
      <c r="DV121" s="816"/>
      <c r="DW121" s="816"/>
      <c r="DX121" s="816"/>
      <c r="DY121" s="816"/>
      <c r="DZ121" s="816"/>
      <c r="EA121" s="816"/>
      <c r="EB121" s="816"/>
      <c r="EC121" s="816"/>
      <c r="ED121" s="816"/>
      <c r="EE121" s="816"/>
      <c r="EF121" s="609"/>
      <c r="EG121" s="609"/>
      <c r="EH121" s="816"/>
      <c r="EI121" s="816"/>
      <c r="EJ121" s="816"/>
      <c r="EK121" s="816"/>
      <c r="EL121" s="816"/>
      <c r="EM121" s="816"/>
      <c r="EN121" s="816"/>
      <c r="EO121" s="816"/>
      <c r="EP121" s="816"/>
      <c r="EQ121" s="816"/>
      <c r="ER121" s="816"/>
      <c r="ES121" s="816"/>
      <c r="ET121" s="816"/>
      <c r="EU121" s="816"/>
      <c r="EV121" s="609"/>
      <c r="EW121" s="609"/>
      <c r="EX121" s="816"/>
      <c r="EY121" s="816"/>
      <c r="EZ121" s="816"/>
      <c r="FA121" s="816"/>
      <c r="FB121" s="816"/>
      <c r="FC121" s="816"/>
      <c r="FD121" s="816"/>
      <c r="FE121" s="816"/>
      <c r="FF121" s="816"/>
      <c r="FG121" s="816"/>
      <c r="FH121" s="816"/>
      <c r="FI121" s="816"/>
      <c r="FJ121" s="816"/>
      <c r="FK121" s="816"/>
      <c r="FL121" s="816"/>
      <c r="FM121" s="816"/>
      <c r="FN121" s="816"/>
      <c r="FO121" s="816"/>
      <c r="FP121" s="816"/>
      <c r="FQ121" s="816"/>
      <c r="FR121" s="816"/>
      <c r="FS121" s="816"/>
      <c r="FT121" s="816"/>
      <c r="FU121" s="816"/>
      <c r="FV121" s="816"/>
      <c r="FW121" s="816"/>
      <c r="FX121" s="816"/>
      <c r="FY121" s="816"/>
      <c r="FZ121" s="819"/>
      <c r="GA121" s="816"/>
      <c r="GB121" s="820"/>
      <c r="GC121" s="820"/>
      <c r="GD121" s="820"/>
      <c r="GE121" s="820"/>
      <c r="GF121" s="609"/>
      <c r="GG121" s="609"/>
      <c r="GH121" s="816"/>
      <c r="GI121" s="816"/>
      <c r="GJ121" s="816"/>
      <c r="GK121" s="816"/>
      <c r="GL121" s="816"/>
      <c r="GM121" s="816"/>
      <c r="GN121" s="816"/>
      <c r="GO121" s="816"/>
      <c r="GP121" s="816"/>
      <c r="GQ121" s="816"/>
      <c r="GR121" s="816"/>
      <c r="GS121" s="816"/>
      <c r="GT121" s="818"/>
      <c r="GU121" s="816"/>
      <c r="GV121" s="816"/>
      <c r="GW121" s="816"/>
      <c r="GX121" s="816"/>
      <c r="GY121" s="816"/>
      <c r="GZ121" s="816"/>
      <c r="HA121" s="816"/>
      <c r="HB121" s="609"/>
      <c r="HC121" s="609"/>
      <c r="HD121" s="816"/>
      <c r="HE121" s="816"/>
      <c r="HF121" s="816"/>
      <c r="HG121" s="816"/>
      <c r="HH121" s="816"/>
      <c r="HI121" s="816"/>
      <c r="HJ121" s="609"/>
      <c r="HK121" s="609"/>
      <c r="HL121" s="609"/>
      <c r="HM121" s="816"/>
      <c r="HN121" s="816"/>
      <c r="HO121" s="609"/>
      <c r="HP121" s="609"/>
      <c r="HQ121" s="816"/>
      <c r="HR121" s="816"/>
      <c r="HS121" s="816"/>
      <c r="HT121" s="816"/>
      <c r="HU121" s="816"/>
      <c r="HV121" s="816"/>
      <c r="HW121" s="609"/>
      <c r="HX121" s="609"/>
      <c r="HY121" s="816"/>
      <c r="HZ121" s="816"/>
      <c r="IA121" s="816"/>
      <c r="IB121" s="816"/>
      <c r="IC121" s="816"/>
      <c r="ID121" s="816"/>
      <c r="IE121" s="609"/>
      <c r="IF121" s="609"/>
      <c r="IG121" s="816"/>
      <c r="IH121" s="816"/>
      <c r="II121" s="609"/>
      <c r="IJ121" s="609"/>
      <c r="IK121" s="816"/>
      <c r="IL121" s="816"/>
      <c r="IM121" s="609"/>
      <c r="IN121" s="609"/>
      <c r="IO121" s="816"/>
      <c r="IP121" s="816"/>
      <c r="IQ121" s="816"/>
      <c r="IR121" s="816"/>
      <c r="IS121" s="816"/>
      <c r="IT121" s="816"/>
      <c r="IU121" s="821"/>
      <c r="IV121" s="609"/>
      <c r="IW121" s="816"/>
      <c r="IX121" s="816"/>
      <c r="IY121" s="822"/>
      <c r="IZ121" s="609"/>
      <c r="JA121" s="816"/>
      <c r="JB121" s="816"/>
      <c r="JC121" s="609"/>
      <c r="JD121" s="816"/>
      <c r="JE121" s="816"/>
      <c r="JF121" s="816"/>
      <c r="JG121" s="816"/>
      <c r="JH121" s="816"/>
      <c r="JI121" s="816"/>
      <c r="JJ121" s="816"/>
      <c r="JK121" s="816"/>
      <c r="JL121" s="816"/>
      <c r="JM121" s="816"/>
      <c r="JN121" s="816"/>
      <c r="JO121" s="823"/>
      <c r="JP121" s="824"/>
      <c r="JQ121" s="825"/>
      <c r="JR121" s="825"/>
      <c r="JS121" s="816"/>
      <c r="JU121" s="826"/>
      <c r="JV121" s="826"/>
      <c r="JW121" s="826"/>
      <c r="JX121" s="826"/>
    </row>
    <row r="122" spans="2:284" s="780" customFormat="1">
      <c r="B122" s="609"/>
      <c r="C122" s="609"/>
      <c r="D122" s="609"/>
      <c r="E122" s="609"/>
      <c r="F122" s="609"/>
      <c r="G122" s="609"/>
      <c r="H122" s="609"/>
      <c r="I122" s="609"/>
      <c r="J122" s="609"/>
      <c r="K122" s="609"/>
      <c r="L122" s="609"/>
      <c r="M122" s="609"/>
      <c r="N122" s="609"/>
      <c r="O122" s="609"/>
      <c r="P122" s="609"/>
      <c r="Q122" s="609"/>
      <c r="R122" s="609"/>
      <c r="S122" s="609"/>
      <c r="T122" s="609"/>
      <c r="U122" s="609"/>
      <c r="V122" s="609"/>
      <c r="W122" s="609"/>
      <c r="X122" s="609"/>
      <c r="Y122" s="609"/>
      <c r="Z122" s="609"/>
      <c r="AA122" s="609"/>
      <c r="AB122" s="609"/>
      <c r="AC122" s="609"/>
      <c r="AD122" s="816"/>
      <c r="AE122" s="816"/>
      <c r="AF122" s="816"/>
      <c r="AG122" s="816"/>
      <c r="AH122" s="816"/>
      <c r="AI122" s="816"/>
      <c r="AJ122" s="609"/>
      <c r="AK122" s="609"/>
      <c r="AL122" s="816"/>
      <c r="AM122" s="816"/>
      <c r="AN122" s="609"/>
      <c r="AO122" s="609"/>
      <c r="AP122" s="816"/>
      <c r="AQ122" s="816"/>
      <c r="AR122" s="816"/>
      <c r="AS122" s="816"/>
      <c r="AT122" s="816"/>
      <c r="AU122" s="816"/>
      <c r="AV122" s="609"/>
      <c r="AW122" s="609"/>
      <c r="AX122" s="816"/>
      <c r="AY122" s="816"/>
      <c r="AZ122" s="817"/>
      <c r="BA122" s="609"/>
      <c r="BB122" s="609"/>
      <c r="BC122" s="816"/>
      <c r="BD122" s="816"/>
      <c r="BE122" s="816"/>
      <c r="BF122" s="816"/>
      <c r="BG122" s="816"/>
      <c r="BH122" s="816"/>
      <c r="BI122" s="816"/>
      <c r="BJ122" s="816"/>
      <c r="BK122" s="816"/>
      <c r="BL122" s="816"/>
      <c r="BM122" s="816"/>
      <c r="BN122" s="816"/>
      <c r="BO122" s="816"/>
      <c r="BP122" s="816"/>
      <c r="BQ122" s="816"/>
      <c r="BR122" s="816"/>
      <c r="BS122" s="816"/>
      <c r="BT122" s="816"/>
      <c r="BU122" s="816"/>
      <c r="BV122" s="816"/>
      <c r="BW122" s="816"/>
      <c r="BX122" s="609"/>
      <c r="BY122" s="609"/>
      <c r="BZ122" s="609"/>
      <c r="CA122" s="818"/>
      <c r="CB122" s="816"/>
      <c r="CC122" s="816"/>
      <c r="CD122" s="816"/>
      <c r="CE122" s="816"/>
      <c r="CF122" s="816"/>
      <c r="CG122" s="816"/>
      <c r="CH122" s="816"/>
      <c r="CI122" s="816"/>
      <c r="CJ122" s="819"/>
      <c r="CK122" s="819"/>
      <c r="CL122" s="820"/>
      <c r="CM122" s="820"/>
      <c r="CN122" s="820"/>
      <c r="CO122" s="820"/>
      <c r="CP122" s="820"/>
      <c r="CQ122" s="820"/>
      <c r="CR122" s="609"/>
      <c r="CS122" s="609"/>
      <c r="CT122" s="816"/>
      <c r="CU122" s="816"/>
      <c r="CV122" s="609"/>
      <c r="CW122" s="609"/>
      <c r="CX122" s="816"/>
      <c r="CY122" s="816"/>
      <c r="CZ122" s="609"/>
      <c r="DA122" s="609"/>
      <c r="DB122" s="816"/>
      <c r="DC122" s="816"/>
      <c r="DD122" s="609"/>
      <c r="DE122" s="609"/>
      <c r="DF122" s="816"/>
      <c r="DG122" s="816"/>
      <c r="DH122" s="816"/>
      <c r="DI122" s="816"/>
      <c r="DJ122" s="816"/>
      <c r="DK122" s="816"/>
      <c r="DL122" s="609"/>
      <c r="DM122" s="609"/>
      <c r="DN122" s="816"/>
      <c r="DO122" s="816"/>
      <c r="DP122" s="609"/>
      <c r="DQ122" s="609"/>
      <c r="DR122" s="816"/>
      <c r="DS122" s="816"/>
      <c r="DT122" s="816"/>
      <c r="DU122" s="816"/>
      <c r="DV122" s="816"/>
      <c r="DW122" s="816"/>
      <c r="DX122" s="816"/>
      <c r="DY122" s="816"/>
      <c r="DZ122" s="816"/>
      <c r="EA122" s="816"/>
      <c r="EB122" s="816"/>
      <c r="EC122" s="816"/>
      <c r="ED122" s="816"/>
      <c r="EE122" s="816"/>
      <c r="EF122" s="609"/>
      <c r="EG122" s="609"/>
      <c r="EH122" s="816"/>
      <c r="EI122" s="816"/>
      <c r="EJ122" s="816"/>
      <c r="EK122" s="816"/>
      <c r="EL122" s="816"/>
      <c r="EM122" s="816"/>
      <c r="EN122" s="816"/>
      <c r="EO122" s="816"/>
      <c r="EP122" s="816"/>
      <c r="EQ122" s="816"/>
      <c r="ER122" s="816"/>
      <c r="ES122" s="816"/>
      <c r="ET122" s="816"/>
      <c r="EU122" s="816"/>
      <c r="EV122" s="609"/>
      <c r="EW122" s="609"/>
      <c r="EX122" s="816"/>
      <c r="EY122" s="816"/>
      <c r="EZ122" s="816"/>
      <c r="FA122" s="816"/>
      <c r="FB122" s="816"/>
      <c r="FC122" s="816"/>
      <c r="FD122" s="816"/>
      <c r="FE122" s="816"/>
      <c r="FF122" s="816"/>
      <c r="FG122" s="816"/>
      <c r="FH122" s="816"/>
      <c r="FI122" s="816"/>
      <c r="FJ122" s="816"/>
      <c r="FK122" s="816"/>
      <c r="FL122" s="816"/>
      <c r="FM122" s="816"/>
      <c r="FN122" s="816"/>
      <c r="FO122" s="816"/>
      <c r="FP122" s="816"/>
      <c r="FQ122" s="816"/>
      <c r="FR122" s="816"/>
      <c r="FS122" s="816"/>
      <c r="FT122" s="816"/>
      <c r="FU122" s="816"/>
      <c r="FV122" s="816"/>
      <c r="FW122" s="816"/>
      <c r="FX122" s="816"/>
      <c r="FY122" s="816"/>
      <c r="FZ122" s="819"/>
      <c r="GA122" s="816"/>
      <c r="GB122" s="820"/>
      <c r="GC122" s="820"/>
      <c r="GD122" s="820"/>
      <c r="GE122" s="820"/>
      <c r="GF122" s="609"/>
      <c r="GG122" s="609"/>
      <c r="GH122" s="816"/>
      <c r="GI122" s="816"/>
      <c r="GJ122" s="816"/>
      <c r="GK122" s="816"/>
      <c r="GL122" s="816"/>
      <c r="GM122" s="816"/>
      <c r="GN122" s="816"/>
      <c r="GO122" s="816"/>
      <c r="GP122" s="816"/>
      <c r="GQ122" s="816"/>
      <c r="GR122" s="816"/>
      <c r="GS122" s="816"/>
      <c r="GT122" s="818"/>
      <c r="GU122" s="816"/>
      <c r="GV122" s="816"/>
      <c r="GW122" s="816"/>
      <c r="GX122" s="816"/>
      <c r="GY122" s="816"/>
      <c r="GZ122" s="816"/>
      <c r="HA122" s="816"/>
      <c r="HB122" s="609"/>
      <c r="HC122" s="609"/>
      <c r="HD122" s="816"/>
      <c r="HE122" s="816"/>
      <c r="HF122" s="816"/>
      <c r="HG122" s="816"/>
      <c r="HH122" s="816"/>
      <c r="HI122" s="816"/>
      <c r="HJ122" s="609"/>
      <c r="HK122" s="609"/>
      <c r="HL122" s="609"/>
      <c r="HM122" s="816"/>
      <c r="HN122" s="816"/>
      <c r="HO122" s="609"/>
      <c r="HP122" s="609"/>
      <c r="HQ122" s="816"/>
      <c r="HR122" s="816"/>
      <c r="HS122" s="816"/>
      <c r="HT122" s="816"/>
      <c r="HU122" s="816"/>
      <c r="HV122" s="816"/>
      <c r="HW122" s="609"/>
      <c r="HX122" s="609"/>
      <c r="HY122" s="816"/>
      <c r="HZ122" s="816"/>
      <c r="IA122" s="816"/>
      <c r="IB122" s="816"/>
      <c r="IC122" s="816"/>
      <c r="ID122" s="816"/>
      <c r="IE122" s="609"/>
      <c r="IF122" s="609"/>
      <c r="IG122" s="816"/>
      <c r="IH122" s="816"/>
      <c r="II122" s="609"/>
      <c r="IJ122" s="609"/>
      <c r="IK122" s="816"/>
      <c r="IL122" s="816"/>
      <c r="IM122" s="609"/>
      <c r="IN122" s="609"/>
      <c r="IO122" s="816"/>
      <c r="IP122" s="816"/>
      <c r="IQ122" s="816"/>
      <c r="IR122" s="816"/>
      <c r="IS122" s="816"/>
      <c r="IT122" s="816"/>
      <c r="IU122" s="821"/>
      <c r="IV122" s="609"/>
      <c r="IW122" s="816"/>
      <c r="IX122" s="816"/>
      <c r="IY122" s="822"/>
      <c r="IZ122" s="609"/>
      <c r="JA122" s="816"/>
      <c r="JB122" s="816"/>
      <c r="JC122" s="609"/>
      <c r="JD122" s="816"/>
      <c r="JE122" s="816"/>
      <c r="JF122" s="816"/>
      <c r="JG122" s="816"/>
      <c r="JH122" s="816"/>
      <c r="JI122" s="816"/>
      <c r="JJ122" s="816"/>
      <c r="JK122" s="816"/>
      <c r="JL122" s="816"/>
      <c r="JM122" s="816"/>
      <c r="JN122" s="816"/>
      <c r="JO122" s="823"/>
      <c r="JP122" s="824"/>
      <c r="JQ122" s="825"/>
      <c r="JR122" s="825"/>
      <c r="JS122" s="816"/>
      <c r="JU122" s="826"/>
      <c r="JV122" s="826"/>
      <c r="JW122" s="826"/>
      <c r="JX122" s="826"/>
    </row>
    <row r="123" spans="2:284" s="780" customFormat="1">
      <c r="B123" s="609"/>
      <c r="C123" s="609"/>
      <c r="D123" s="609"/>
      <c r="E123" s="609"/>
      <c r="F123" s="609"/>
      <c r="G123" s="609"/>
      <c r="H123" s="609"/>
      <c r="I123" s="609"/>
      <c r="J123" s="609"/>
      <c r="K123" s="609"/>
      <c r="L123" s="609"/>
      <c r="M123" s="609"/>
      <c r="N123" s="609"/>
      <c r="O123" s="609"/>
      <c r="P123" s="609"/>
      <c r="Q123" s="609"/>
      <c r="R123" s="609"/>
      <c r="S123" s="609"/>
      <c r="T123" s="609"/>
      <c r="U123" s="609"/>
      <c r="V123" s="609"/>
      <c r="W123" s="609"/>
      <c r="X123" s="609"/>
      <c r="Y123" s="609"/>
      <c r="Z123" s="609"/>
      <c r="AA123" s="609"/>
      <c r="AB123" s="609"/>
      <c r="AC123" s="609"/>
      <c r="AD123" s="816"/>
      <c r="AE123" s="816"/>
      <c r="AF123" s="816"/>
      <c r="AG123" s="816"/>
      <c r="AH123" s="816"/>
      <c r="AI123" s="816"/>
      <c r="AJ123" s="609"/>
      <c r="AK123" s="609"/>
      <c r="AL123" s="816"/>
      <c r="AM123" s="816"/>
      <c r="AN123" s="609"/>
      <c r="AO123" s="609"/>
      <c r="AP123" s="816"/>
      <c r="AQ123" s="816"/>
      <c r="AR123" s="816"/>
      <c r="AS123" s="816"/>
      <c r="AT123" s="816"/>
      <c r="AU123" s="816"/>
      <c r="AV123" s="609"/>
      <c r="AW123" s="609"/>
      <c r="AX123" s="816"/>
      <c r="AY123" s="816"/>
      <c r="AZ123" s="817"/>
      <c r="BA123" s="609"/>
      <c r="BB123" s="609"/>
      <c r="BC123" s="816"/>
      <c r="BD123" s="816"/>
      <c r="BE123" s="816"/>
      <c r="BF123" s="816"/>
      <c r="BG123" s="816"/>
      <c r="BH123" s="816"/>
      <c r="BI123" s="816"/>
      <c r="BJ123" s="816"/>
      <c r="BK123" s="816"/>
      <c r="BL123" s="816"/>
      <c r="BM123" s="816"/>
      <c r="BN123" s="816"/>
      <c r="BO123" s="816"/>
      <c r="BP123" s="816"/>
      <c r="BQ123" s="816"/>
      <c r="BR123" s="816"/>
      <c r="BS123" s="816"/>
      <c r="BT123" s="816"/>
      <c r="BU123" s="816"/>
      <c r="BV123" s="816"/>
      <c r="BW123" s="816"/>
      <c r="BX123" s="609"/>
      <c r="BY123" s="609"/>
      <c r="BZ123" s="609"/>
      <c r="CA123" s="818"/>
      <c r="CB123" s="816"/>
      <c r="CC123" s="816"/>
      <c r="CD123" s="816"/>
      <c r="CE123" s="816"/>
      <c r="CF123" s="816"/>
      <c r="CG123" s="816"/>
      <c r="CH123" s="816"/>
      <c r="CI123" s="816"/>
      <c r="CJ123" s="819"/>
      <c r="CK123" s="819"/>
      <c r="CL123" s="820"/>
      <c r="CM123" s="820"/>
      <c r="CN123" s="820"/>
      <c r="CO123" s="820"/>
      <c r="CP123" s="820"/>
      <c r="CQ123" s="820"/>
      <c r="CR123" s="609"/>
      <c r="CS123" s="609"/>
      <c r="CT123" s="816"/>
      <c r="CU123" s="816"/>
      <c r="CV123" s="609"/>
      <c r="CW123" s="609"/>
      <c r="CX123" s="816"/>
      <c r="CY123" s="816"/>
      <c r="CZ123" s="609"/>
      <c r="DA123" s="609"/>
      <c r="DB123" s="816"/>
      <c r="DC123" s="816"/>
      <c r="DD123" s="609"/>
      <c r="DE123" s="609"/>
      <c r="DF123" s="816"/>
      <c r="DG123" s="816"/>
      <c r="DH123" s="816"/>
      <c r="DI123" s="816"/>
      <c r="DJ123" s="816"/>
      <c r="DK123" s="816"/>
      <c r="DL123" s="609"/>
      <c r="DM123" s="609"/>
      <c r="DN123" s="816"/>
      <c r="DO123" s="816"/>
      <c r="DP123" s="609"/>
      <c r="DQ123" s="609"/>
      <c r="DR123" s="816"/>
      <c r="DS123" s="816"/>
      <c r="DT123" s="816"/>
      <c r="DU123" s="816"/>
      <c r="DV123" s="816"/>
      <c r="DW123" s="816"/>
      <c r="DX123" s="816"/>
      <c r="DY123" s="816"/>
      <c r="DZ123" s="816"/>
      <c r="EA123" s="816"/>
      <c r="EB123" s="816"/>
      <c r="EC123" s="816"/>
      <c r="ED123" s="816"/>
      <c r="EE123" s="816"/>
      <c r="EF123" s="609"/>
      <c r="EG123" s="609"/>
      <c r="EH123" s="816"/>
      <c r="EI123" s="816"/>
      <c r="EJ123" s="816"/>
      <c r="EK123" s="816"/>
      <c r="EL123" s="816"/>
      <c r="EM123" s="816"/>
      <c r="EN123" s="816"/>
      <c r="EO123" s="816"/>
      <c r="EP123" s="816"/>
      <c r="EQ123" s="816"/>
      <c r="ER123" s="816"/>
      <c r="ES123" s="816"/>
      <c r="ET123" s="816"/>
      <c r="EU123" s="816"/>
      <c r="EV123" s="609"/>
      <c r="EW123" s="609"/>
      <c r="EX123" s="816"/>
      <c r="EY123" s="816"/>
      <c r="EZ123" s="816"/>
      <c r="FA123" s="816"/>
      <c r="FB123" s="816"/>
      <c r="FC123" s="816"/>
      <c r="FD123" s="816"/>
      <c r="FE123" s="816"/>
      <c r="FF123" s="816"/>
      <c r="FG123" s="816"/>
      <c r="FH123" s="816"/>
      <c r="FI123" s="816"/>
      <c r="FJ123" s="816"/>
      <c r="FK123" s="816"/>
      <c r="FL123" s="816"/>
      <c r="FM123" s="816"/>
      <c r="FN123" s="816"/>
      <c r="FO123" s="816"/>
      <c r="FP123" s="816"/>
      <c r="FQ123" s="816"/>
      <c r="FR123" s="816"/>
      <c r="FS123" s="816"/>
      <c r="FT123" s="816"/>
      <c r="FU123" s="816"/>
      <c r="FV123" s="816"/>
      <c r="FW123" s="816"/>
      <c r="FX123" s="816"/>
      <c r="FY123" s="816"/>
      <c r="FZ123" s="819"/>
      <c r="GA123" s="816"/>
      <c r="GB123" s="820"/>
      <c r="GC123" s="820"/>
      <c r="GD123" s="820"/>
      <c r="GE123" s="820"/>
      <c r="GF123" s="609"/>
      <c r="GG123" s="609"/>
      <c r="GH123" s="816"/>
      <c r="GI123" s="816"/>
      <c r="GJ123" s="816"/>
      <c r="GK123" s="816"/>
      <c r="GL123" s="816"/>
      <c r="GM123" s="816"/>
      <c r="GN123" s="816"/>
      <c r="GO123" s="816"/>
      <c r="GP123" s="816"/>
      <c r="GQ123" s="816"/>
      <c r="GR123" s="816"/>
      <c r="GS123" s="816"/>
      <c r="GT123" s="818"/>
      <c r="GU123" s="816"/>
      <c r="GV123" s="816"/>
      <c r="GW123" s="816"/>
      <c r="GX123" s="816"/>
      <c r="GY123" s="816"/>
      <c r="GZ123" s="816"/>
      <c r="HA123" s="816"/>
      <c r="HB123" s="609"/>
      <c r="HC123" s="609"/>
      <c r="HD123" s="816"/>
      <c r="HE123" s="816"/>
      <c r="HF123" s="816"/>
      <c r="HG123" s="816"/>
      <c r="HH123" s="816"/>
      <c r="HI123" s="816"/>
      <c r="HJ123" s="609"/>
      <c r="HK123" s="609"/>
      <c r="HL123" s="609"/>
      <c r="HM123" s="816"/>
      <c r="HN123" s="816"/>
      <c r="HO123" s="609"/>
      <c r="HP123" s="609"/>
      <c r="HQ123" s="816"/>
      <c r="HR123" s="816"/>
      <c r="HS123" s="816"/>
      <c r="HT123" s="816"/>
      <c r="HU123" s="816"/>
      <c r="HV123" s="816"/>
      <c r="HW123" s="609"/>
      <c r="HX123" s="609"/>
      <c r="HY123" s="816"/>
      <c r="HZ123" s="816"/>
      <c r="IA123" s="816"/>
      <c r="IB123" s="816"/>
      <c r="IC123" s="816"/>
      <c r="ID123" s="816"/>
      <c r="IE123" s="609"/>
      <c r="IF123" s="609"/>
      <c r="IG123" s="816"/>
      <c r="IH123" s="816"/>
      <c r="II123" s="609"/>
      <c r="IJ123" s="609"/>
      <c r="IK123" s="816"/>
      <c r="IL123" s="816"/>
      <c r="IM123" s="609"/>
      <c r="IN123" s="609"/>
      <c r="IO123" s="816"/>
      <c r="IP123" s="816"/>
      <c r="IQ123" s="816"/>
      <c r="IR123" s="816"/>
      <c r="IS123" s="816"/>
      <c r="IT123" s="816"/>
      <c r="IU123" s="821"/>
      <c r="IV123" s="609"/>
      <c r="IW123" s="816"/>
      <c r="IX123" s="816"/>
      <c r="IY123" s="822"/>
      <c r="IZ123" s="609"/>
      <c r="JA123" s="816"/>
      <c r="JB123" s="816"/>
      <c r="JC123" s="609"/>
      <c r="JD123" s="816"/>
      <c r="JE123" s="816"/>
      <c r="JF123" s="816"/>
      <c r="JG123" s="816"/>
      <c r="JH123" s="816"/>
      <c r="JI123" s="816"/>
      <c r="JJ123" s="816"/>
      <c r="JK123" s="816"/>
      <c r="JL123" s="816"/>
      <c r="JM123" s="816"/>
      <c r="JN123" s="816"/>
      <c r="JO123" s="823"/>
      <c r="JP123" s="824"/>
      <c r="JQ123" s="825"/>
      <c r="JR123" s="825"/>
      <c r="JS123" s="816"/>
      <c r="JU123" s="826"/>
      <c r="JV123" s="826"/>
      <c r="JW123" s="826"/>
      <c r="JX123" s="826"/>
    </row>
    <row r="124" spans="2:284" s="780" customFormat="1">
      <c r="B124" s="609"/>
      <c r="C124" s="609"/>
      <c r="D124" s="609"/>
      <c r="E124" s="609"/>
      <c r="F124" s="609"/>
      <c r="G124" s="609"/>
      <c r="H124" s="609"/>
      <c r="I124" s="609"/>
      <c r="J124" s="609"/>
      <c r="K124" s="609"/>
      <c r="L124" s="609"/>
      <c r="M124" s="609"/>
      <c r="N124" s="609"/>
      <c r="O124" s="609"/>
      <c r="P124" s="609"/>
      <c r="Q124" s="609"/>
      <c r="R124" s="609"/>
      <c r="S124" s="609"/>
      <c r="T124" s="609"/>
      <c r="U124" s="609"/>
      <c r="V124" s="609"/>
      <c r="W124" s="609"/>
      <c r="X124" s="609"/>
      <c r="Y124" s="609"/>
      <c r="Z124" s="609"/>
      <c r="AA124" s="609"/>
      <c r="AB124" s="609"/>
      <c r="AC124" s="609"/>
      <c r="AD124" s="816"/>
      <c r="AE124" s="816"/>
      <c r="AF124" s="816"/>
      <c r="AG124" s="816"/>
      <c r="AH124" s="816"/>
      <c r="AI124" s="816"/>
      <c r="AJ124" s="609"/>
      <c r="AK124" s="609"/>
      <c r="AL124" s="816"/>
      <c r="AM124" s="816"/>
      <c r="AN124" s="609"/>
      <c r="AO124" s="609"/>
      <c r="AP124" s="816"/>
      <c r="AQ124" s="816"/>
      <c r="AR124" s="816"/>
      <c r="AS124" s="816"/>
      <c r="AT124" s="816"/>
      <c r="AU124" s="816"/>
      <c r="AV124" s="609"/>
      <c r="AW124" s="609"/>
      <c r="AX124" s="816"/>
      <c r="AY124" s="816"/>
      <c r="AZ124" s="817"/>
      <c r="BA124" s="609"/>
      <c r="BB124" s="609"/>
      <c r="BC124" s="816"/>
      <c r="BD124" s="816"/>
      <c r="BE124" s="816"/>
      <c r="BF124" s="816"/>
      <c r="BG124" s="816"/>
      <c r="BH124" s="816"/>
      <c r="BI124" s="816"/>
      <c r="BJ124" s="816"/>
      <c r="BK124" s="816"/>
      <c r="BL124" s="816"/>
      <c r="BM124" s="816"/>
      <c r="BN124" s="816"/>
      <c r="BO124" s="816"/>
      <c r="BP124" s="816"/>
      <c r="BQ124" s="816"/>
      <c r="BR124" s="816"/>
      <c r="BS124" s="816"/>
      <c r="BT124" s="816"/>
      <c r="BU124" s="816"/>
      <c r="BV124" s="816"/>
      <c r="BW124" s="816"/>
      <c r="BX124" s="609"/>
      <c r="BY124" s="609"/>
      <c r="BZ124" s="609"/>
      <c r="CA124" s="818"/>
      <c r="CB124" s="816"/>
      <c r="CC124" s="816"/>
      <c r="CD124" s="816"/>
      <c r="CE124" s="816"/>
      <c r="CF124" s="816"/>
      <c r="CG124" s="816"/>
      <c r="CH124" s="816"/>
      <c r="CI124" s="816"/>
      <c r="CJ124" s="819"/>
      <c r="CK124" s="819"/>
      <c r="CL124" s="820"/>
      <c r="CM124" s="820"/>
      <c r="CN124" s="820"/>
      <c r="CO124" s="820"/>
      <c r="CP124" s="820"/>
      <c r="CQ124" s="820"/>
      <c r="CR124" s="609"/>
      <c r="CS124" s="609"/>
      <c r="CT124" s="816"/>
      <c r="CU124" s="816"/>
      <c r="CV124" s="609"/>
      <c r="CW124" s="609"/>
      <c r="CX124" s="816"/>
      <c r="CY124" s="816"/>
      <c r="CZ124" s="609"/>
      <c r="DA124" s="609"/>
      <c r="DB124" s="816"/>
      <c r="DC124" s="816"/>
      <c r="DD124" s="609"/>
      <c r="DE124" s="609"/>
      <c r="DF124" s="816"/>
      <c r="DG124" s="816"/>
      <c r="DH124" s="816"/>
      <c r="DI124" s="816"/>
      <c r="DJ124" s="816"/>
      <c r="DK124" s="816"/>
      <c r="DL124" s="609"/>
      <c r="DM124" s="609"/>
      <c r="DN124" s="816"/>
      <c r="DO124" s="816"/>
      <c r="DP124" s="609"/>
      <c r="DQ124" s="609"/>
      <c r="DR124" s="816"/>
      <c r="DS124" s="816"/>
      <c r="DT124" s="816"/>
      <c r="DU124" s="816"/>
      <c r="DV124" s="816"/>
      <c r="DW124" s="816"/>
      <c r="DX124" s="816"/>
      <c r="DY124" s="816"/>
      <c r="DZ124" s="816"/>
      <c r="EA124" s="816"/>
      <c r="EB124" s="816"/>
      <c r="EC124" s="816"/>
      <c r="ED124" s="816"/>
      <c r="EE124" s="816"/>
      <c r="EF124" s="609"/>
      <c r="EG124" s="609"/>
      <c r="EH124" s="816"/>
      <c r="EI124" s="816"/>
      <c r="EJ124" s="816"/>
      <c r="EK124" s="816"/>
      <c r="EL124" s="816"/>
      <c r="EM124" s="816"/>
      <c r="EN124" s="816"/>
      <c r="EO124" s="816"/>
      <c r="EP124" s="816"/>
      <c r="EQ124" s="816"/>
      <c r="ER124" s="816"/>
      <c r="ES124" s="816"/>
      <c r="ET124" s="816"/>
      <c r="EU124" s="816"/>
      <c r="EV124" s="609"/>
      <c r="EW124" s="609"/>
      <c r="EX124" s="816"/>
      <c r="EY124" s="816"/>
      <c r="EZ124" s="816"/>
      <c r="FA124" s="816"/>
      <c r="FB124" s="816"/>
      <c r="FC124" s="816"/>
      <c r="FD124" s="816"/>
      <c r="FE124" s="816"/>
      <c r="FF124" s="816"/>
      <c r="FG124" s="816"/>
      <c r="FH124" s="816"/>
      <c r="FI124" s="816"/>
      <c r="FJ124" s="816"/>
      <c r="FK124" s="816"/>
      <c r="FL124" s="816"/>
      <c r="FM124" s="816"/>
      <c r="FN124" s="816"/>
      <c r="FO124" s="816"/>
      <c r="FP124" s="816"/>
      <c r="FQ124" s="816"/>
      <c r="FR124" s="816"/>
      <c r="FS124" s="816"/>
      <c r="FT124" s="816"/>
      <c r="FU124" s="816"/>
      <c r="FV124" s="816"/>
      <c r="FW124" s="816"/>
      <c r="FX124" s="816"/>
      <c r="FY124" s="816"/>
      <c r="FZ124" s="819"/>
      <c r="GA124" s="816"/>
      <c r="GB124" s="820"/>
      <c r="GC124" s="820"/>
      <c r="GD124" s="820"/>
      <c r="GE124" s="820"/>
      <c r="GF124" s="609"/>
      <c r="GG124" s="609"/>
      <c r="GH124" s="816"/>
      <c r="GI124" s="816"/>
      <c r="GJ124" s="816"/>
      <c r="GK124" s="816"/>
      <c r="GL124" s="816"/>
      <c r="GM124" s="816"/>
      <c r="GN124" s="816"/>
      <c r="GO124" s="816"/>
      <c r="GP124" s="816"/>
      <c r="GQ124" s="816"/>
      <c r="GR124" s="816"/>
      <c r="GS124" s="816"/>
      <c r="GT124" s="818"/>
      <c r="GU124" s="816"/>
      <c r="GV124" s="816"/>
      <c r="GW124" s="816"/>
      <c r="GX124" s="816"/>
      <c r="GY124" s="816"/>
      <c r="GZ124" s="816"/>
      <c r="HA124" s="816"/>
      <c r="HB124" s="609"/>
      <c r="HC124" s="609"/>
      <c r="HD124" s="816"/>
      <c r="HE124" s="816"/>
      <c r="HF124" s="816"/>
      <c r="HG124" s="816"/>
      <c r="HH124" s="816"/>
      <c r="HI124" s="816"/>
      <c r="HJ124" s="609"/>
      <c r="HK124" s="609"/>
      <c r="HL124" s="609"/>
      <c r="HM124" s="816"/>
      <c r="HN124" s="816"/>
      <c r="HO124" s="609"/>
      <c r="HP124" s="609"/>
      <c r="HQ124" s="816"/>
      <c r="HR124" s="816"/>
      <c r="HS124" s="816"/>
      <c r="HT124" s="816"/>
      <c r="HU124" s="816"/>
      <c r="HV124" s="816"/>
      <c r="HW124" s="609"/>
      <c r="HX124" s="609"/>
      <c r="HY124" s="816"/>
      <c r="HZ124" s="816"/>
      <c r="IA124" s="816"/>
      <c r="IB124" s="816"/>
      <c r="IC124" s="816"/>
      <c r="ID124" s="816"/>
      <c r="IE124" s="609"/>
      <c r="IF124" s="609"/>
      <c r="IG124" s="816"/>
      <c r="IH124" s="816"/>
      <c r="II124" s="609"/>
      <c r="IJ124" s="609"/>
      <c r="IK124" s="816"/>
      <c r="IL124" s="816"/>
      <c r="IM124" s="609"/>
      <c r="IN124" s="609"/>
      <c r="IO124" s="816"/>
      <c r="IP124" s="816"/>
      <c r="IQ124" s="816"/>
      <c r="IR124" s="816"/>
      <c r="IS124" s="816"/>
      <c r="IT124" s="816"/>
      <c r="IU124" s="821"/>
      <c r="IV124" s="609"/>
      <c r="IW124" s="816"/>
      <c r="IX124" s="816"/>
      <c r="IY124" s="822"/>
      <c r="IZ124" s="609"/>
      <c r="JA124" s="816"/>
      <c r="JB124" s="816"/>
      <c r="JC124" s="609"/>
      <c r="JD124" s="816"/>
      <c r="JE124" s="816"/>
      <c r="JF124" s="816"/>
      <c r="JG124" s="816"/>
      <c r="JH124" s="816"/>
      <c r="JI124" s="816"/>
      <c r="JJ124" s="816"/>
      <c r="JK124" s="816"/>
      <c r="JL124" s="816"/>
      <c r="JM124" s="816"/>
      <c r="JN124" s="816"/>
      <c r="JO124" s="823"/>
      <c r="JP124" s="824"/>
      <c r="JQ124" s="825"/>
      <c r="JR124" s="825"/>
      <c r="JS124" s="816"/>
      <c r="JU124" s="826"/>
      <c r="JV124" s="826"/>
      <c r="JW124" s="826"/>
      <c r="JX124" s="826"/>
    </row>
    <row r="125" spans="2:284" s="780" customFormat="1">
      <c r="B125" s="609"/>
      <c r="C125" s="609"/>
      <c r="D125" s="609"/>
      <c r="E125" s="609"/>
      <c r="F125" s="609"/>
      <c r="G125" s="609"/>
      <c r="H125" s="609"/>
      <c r="I125" s="609"/>
      <c r="J125" s="609"/>
      <c r="K125" s="609"/>
      <c r="L125" s="609"/>
      <c r="M125" s="609"/>
      <c r="N125" s="609"/>
      <c r="O125" s="609"/>
      <c r="P125" s="609"/>
      <c r="Q125" s="609"/>
      <c r="R125" s="609"/>
      <c r="S125" s="609"/>
      <c r="T125" s="609"/>
      <c r="U125" s="609"/>
      <c r="V125" s="609"/>
      <c r="W125" s="609"/>
      <c r="X125" s="609"/>
      <c r="Y125" s="609"/>
      <c r="Z125" s="609"/>
      <c r="AA125" s="609"/>
      <c r="AB125" s="609"/>
      <c r="AC125" s="609"/>
      <c r="AD125" s="816"/>
      <c r="AE125" s="816"/>
      <c r="AF125" s="816"/>
      <c r="AG125" s="816"/>
      <c r="AH125" s="816"/>
      <c r="AI125" s="816"/>
      <c r="AJ125" s="609"/>
      <c r="AK125" s="609"/>
      <c r="AL125" s="816"/>
      <c r="AM125" s="816"/>
      <c r="AN125" s="609"/>
      <c r="AO125" s="609"/>
      <c r="AP125" s="816"/>
      <c r="AQ125" s="816"/>
      <c r="AR125" s="816"/>
      <c r="AS125" s="816"/>
      <c r="AT125" s="816"/>
      <c r="AU125" s="816"/>
      <c r="AV125" s="609"/>
      <c r="AW125" s="609"/>
      <c r="AX125" s="816"/>
      <c r="AY125" s="816"/>
      <c r="AZ125" s="817"/>
      <c r="BA125" s="609"/>
      <c r="BB125" s="609"/>
      <c r="BC125" s="816"/>
      <c r="BD125" s="816"/>
      <c r="BE125" s="816"/>
      <c r="BF125" s="816"/>
      <c r="BG125" s="816"/>
      <c r="BH125" s="816"/>
      <c r="BI125" s="816"/>
      <c r="BJ125" s="816"/>
      <c r="BK125" s="816"/>
      <c r="BL125" s="816"/>
      <c r="BM125" s="816"/>
      <c r="BN125" s="816"/>
      <c r="BO125" s="816"/>
      <c r="BP125" s="816"/>
      <c r="BQ125" s="816"/>
      <c r="BR125" s="816"/>
      <c r="BS125" s="816"/>
      <c r="BT125" s="816"/>
      <c r="BU125" s="816"/>
      <c r="BV125" s="816"/>
      <c r="BW125" s="816"/>
      <c r="BX125" s="609"/>
      <c r="BY125" s="609"/>
      <c r="BZ125" s="609"/>
      <c r="CA125" s="818"/>
      <c r="CB125" s="816"/>
      <c r="CC125" s="816"/>
      <c r="CD125" s="816"/>
      <c r="CE125" s="816"/>
      <c r="CF125" s="816"/>
      <c r="CG125" s="816"/>
      <c r="CH125" s="816"/>
      <c r="CI125" s="816"/>
      <c r="CJ125" s="819"/>
      <c r="CK125" s="819"/>
      <c r="CL125" s="820"/>
      <c r="CM125" s="820"/>
      <c r="CN125" s="820"/>
      <c r="CO125" s="820"/>
      <c r="CP125" s="820"/>
      <c r="CQ125" s="820"/>
      <c r="CR125" s="609"/>
      <c r="CS125" s="609"/>
      <c r="CT125" s="816"/>
      <c r="CU125" s="816"/>
      <c r="CV125" s="609"/>
      <c r="CW125" s="609"/>
      <c r="CX125" s="816"/>
      <c r="CY125" s="816"/>
      <c r="CZ125" s="609"/>
      <c r="DA125" s="609"/>
      <c r="DB125" s="816"/>
      <c r="DC125" s="816"/>
      <c r="DD125" s="609"/>
      <c r="DE125" s="609"/>
      <c r="DF125" s="816"/>
      <c r="DG125" s="816"/>
      <c r="DH125" s="816"/>
      <c r="DI125" s="816"/>
      <c r="DJ125" s="816"/>
      <c r="DK125" s="816"/>
      <c r="DL125" s="609"/>
      <c r="DM125" s="609"/>
      <c r="DN125" s="816"/>
      <c r="DO125" s="816"/>
      <c r="DP125" s="609"/>
      <c r="DQ125" s="609"/>
      <c r="DR125" s="816"/>
      <c r="DS125" s="816"/>
      <c r="DT125" s="816"/>
      <c r="DU125" s="816"/>
      <c r="DV125" s="816"/>
      <c r="DW125" s="816"/>
      <c r="DX125" s="816"/>
      <c r="DY125" s="816"/>
      <c r="DZ125" s="816"/>
      <c r="EA125" s="816"/>
      <c r="EB125" s="816"/>
      <c r="EC125" s="816"/>
      <c r="ED125" s="816"/>
      <c r="EE125" s="816"/>
      <c r="EF125" s="609"/>
      <c r="EG125" s="609"/>
      <c r="EH125" s="816"/>
      <c r="EI125" s="816"/>
      <c r="EJ125" s="816"/>
      <c r="EK125" s="816"/>
      <c r="EL125" s="816"/>
      <c r="EM125" s="816"/>
      <c r="EN125" s="816"/>
      <c r="EO125" s="816"/>
      <c r="EP125" s="816"/>
      <c r="EQ125" s="816"/>
      <c r="ER125" s="816"/>
      <c r="ES125" s="816"/>
      <c r="ET125" s="816"/>
      <c r="EU125" s="816"/>
      <c r="EV125" s="609"/>
      <c r="EW125" s="609"/>
      <c r="EX125" s="816"/>
      <c r="EY125" s="816"/>
      <c r="EZ125" s="816"/>
      <c r="FA125" s="816"/>
      <c r="FB125" s="816"/>
      <c r="FC125" s="816"/>
      <c r="FD125" s="816"/>
      <c r="FE125" s="816"/>
      <c r="FF125" s="816"/>
      <c r="FG125" s="816"/>
      <c r="FH125" s="816"/>
      <c r="FI125" s="816"/>
      <c r="FJ125" s="816"/>
      <c r="FK125" s="816"/>
      <c r="FL125" s="816"/>
      <c r="FM125" s="816"/>
      <c r="FN125" s="816"/>
      <c r="FO125" s="816"/>
      <c r="FP125" s="816"/>
      <c r="FQ125" s="816"/>
      <c r="FR125" s="816"/>
      <c r="FS125" s="816"/>
      <c r="FT125" s="816"/>
      <c r="FU125" s="816"/>
      <c r="FV125" s="816"/>
      <c r="FW125" s="816"/>
      <c r="FX125" s="816"/>
      <c r="FY125" s="816"/>
      <c r="FZ125" s="819"/>
      <c r="GA125" s="816"/>
      <c r="GB125" s="820"/>
      <c r="GC125" s="820"/>
      <c r="GD125" s="820"/>
      <c r="GE125" s="820"/>
      <c r="GF125" s="609"/>
      <c r="GG125" s="609"/>
      <c r="GH125" s="816"/>
      <c r="GI125" s="816"/>
      <c r="GJ125" s="816"/>
      <c r="GK125" s="816"/>
      <c r="GL125" s="816"/>
      <c r="GM125" s="816"/>
      <c r="GN125" s="816"/>
      <c r="GO125" s="816"/>
      <c r="GP125" s="816"/>
      <c r="GQ125" s="816"/>
      <c r="GR125" s="816"/>
      <c r="GS125" s="816"/>
      <c r="GT125" s="818"/>
      <c r="GU125" s="816"/>
      <c r="GV125" s="816"/>
      <c r="GW125" s="816"/>
      <c r="GX125" s="816"/>
      <c r="GY125" s="816"/>
      <c r="GZ125" s="816"/>
      <c r="HA125" s="816"/>
      <c r="HB125" s="609"/>
      <c r="HC125" s="609"/>
      <c r="HD125" s="816"/>
      <c r="HE125" s="816"/>
      <c r="HF125" s="816"/>
      <c r="HG125" s="816"/>
      <c r="HH125" s="816"/>
      <c r="HI125" s="816"/>
      <c r="HJ125" s="609"/>
      <c r="HK125" s="609"/>
      <c r="HL125" s="609"/>
      <c r="HM125" s="816"/>
      <c r="HN125" s="816"/>
      <c r="HO125" s="609"/>
      <c r="HP125" s="609"/>
      <c r="HQ125" s="816"/>
      <c r="HR125" s="816"/>
      <c r="HS125" s="816"/>
      <c r="HT125" s="816"/>
      <c r="HU125" s="816"/>
      <c r="HV125" s="816"/>
      <c r="HW125" s="609"/>
      <c r="HX125" s="609"/>
      <c r="HY125" s="816"/>
      <c r="HZ125" s="816"/>
      <c r="IA125" s="816"/>
      <c r="IB125" s="816"/>
      <c r="IC125" s="816"/>
      <c r="ID125" s="816"/>
      <c r="IE125" s="609"/>
      <c r="IF125" s="609"/>
      <c r="IG125" s="816"/>
      <c r="IH125" s="816"/>
      <c r="II125" s="609"/>
      <c r="IJ125" s="609"/>
      <c r="IK125" s="816"/>
      <c r="IL125" s="816"/>
      <c r="IM125" s="609"/>
      <c r="IN125" s="609"/>
      <c r="IO125" s="816"/>
      <c r="IP125" s="816"/>
      <c r="IQ125" s="816"/>
      <c r="IR125" s="816"/>
      <c r="IS125" s="816"/>
      <c r="IT125" s="816"/>
      <c r="IU125" s="821"/>
      <c r="IV125" s="609"/>
      <c r="IW125" s="816"/>
      <c r="IX125" s="816"/>
      <c r="IY125" s="822"/>
      <c r="IZ125" s="609"/>
      <c r="JA125" s="816"/>
      <c r="JB125" s="816"/>
      <c r="JC125" s="609"/>
      <c r="JD125" s="816"/>
      <c r="JE125" s="816"/>
      <c r="JF125" s="816"/>
      <c r="JG125" s="816"/>
      <c r="JH125" s="816"/>
      <c r="JI125" s="816"/>
      <c r="JJ125" s="816"/>
      <c r="JK125" s="816"/>
      <c r="JL125" s="816"/>
      <c r="JM125" s="816"/>
      <c r="JN125" s="816"/>
      <c r="JO125" s="823"/>
      <c r="JP125" s="824"/>
      <c r="JQ125" s="825"/>
      <c r="JR125" s="825"/>
      <c r="JS125" s="816"/>
      <c r="JU125" s="826"/>
      <c r="JV125" s="826"/>
      <c r="JW125" s="826"/>
      <c r="JX125" s="826"/>
    </row>
    <row r="126" spans="2:284" s="780" customFormat="1">
      <c r="B126" s="609"/>
      <c r="C126" s="609"/>
      <c r="D126" s="609"/>
      <c r="E126" s="609"/>
      <c r="F126" s="609"/>
      <c r="G126" s="609"/>
      <c r="H126" s="609"/>
      <c r="I126" s="609"/>
      <c r="J126" s="609"/>
      <c r="K126" s="609"/>
      <c r="L126" s="609"/>
      <c r="M126" s="609"/>
      <c r="N126" s="609"/>
      <c r="O126" s="609"/>
      <c r="P126" s="609"/>
      <c r="Q126" s="609"/>
      <c r="R126" s="609"/>
      <c r="S126" s="609"/>
      <c r="T126" s="609"/>
      <c r="U126" s="609"/>
      <c r="V126" s="609"/>
      <c r="W126" s="609"/>
      <c r="X126" s="609"/>
      <c r="Y126" s="609"/>
      <c r="Z126" s="609"/>
      <c r="AA126" s="609"/>
      <c r="AB126" s="609"/>
      <c r="AC126" s="609"/>
      <c r="AD126" s="816"/>
      <c r="AE126" s="816"/>
      <c r="AF126" s="816"/>
      <c r="AG126" s="816"/>
      <c r="AH126" s="816"/>
      <c r="AI126" s="816"/>
      <c r="AJ126" s="609"/>
      <c r="AK126" s="609"/>
      <c r="AL126" s="816"/>
      <c r="AM126" s="816"/>
      <c r="AN126" s="609"/>
      <c r="AO126" s="609"/>
      <c r="AP126" s="816"/>
      <c r="AQ126" s="816"/>
      <c r="AR126" s="816"/>
      <c r="AS126" s="816"/>
      <c r="AT126" s="816"/>
      <c r="AU126" s="816"/>
      <c r="AV126" s="609"/>
      <c r="AW126" s="609"/>
      <c r="AX126" s="816"/>
      <c r="AY126" s="816"/>
      <c r="AZ126" s="817"/>
      <c r="BA126" s="609"/>
      <c r="BB126" s="609"/>
      <c r="BC126" s="816"/>
      <c r="BD126" s="816"/>
      <c r="BE126" s="816"/>
      <c r="BF126" s="816"/>
      <c r="BG126" s="816"/>
      <c r="BH126" s="816"/>
      <c r="BI126" s="816"/>
      <c r="BJ126" s="816"/>
      <c r="BK126" s="816"/>
      <c r="BL126" s="816"/>
      <c r="BM126" s="816"/>
      <c r="BN126" s="816"/>
      <c r="BO126" s="816"/>
      <c r="BP126" s="816"/>
      <c r="BQ126" s="816"/>
      <c r="BR126" s="816"/>
      <c r="BS126" s="816"/>
      <c r="BT126" s="816"/>
      <c r="BU126" s="816"/>
      <c r="BV126" s="816"/>
      <c r="BW126" s="816"/>
      <c r="BX126" s="609"/>
      <c r="BY126" s="609"/>
      <c r="BZ126" s="609"/>
      <c r="CA126" s="818"/>
      <c r="CB126" s="816"/>
      <c r="CC126" s="816"/>
      <c r="CD126" s="816"/>
      <c r="CE126" s="816"/>
      <c r="CF126" s="816"/>
      <c r="CG126" s="816"/>
      <c r="CH126" s="816"/>
      <c r="CI126" s="816"/>
      <c r="CJ126" s="819"/>
      <c r="CK126" s="819"/>
      <c r="CL126" s="820"/>
      <c r="CM126" s="820"/>
      <c r="CN126" s="820"/>
      <c r="CO126" s="820"/>
      <c r="CP126" s="820"/>
      <c r="CQ126" s="820"/>
      <c r="CR126" s="609"/>
      <c r="CS126" s="609"/>
      <c r="CT126" s="816"/>
      <c r="CU126" s="816"/>
      <c r="CV126" s="609"/>
      <c r="CW126" s="609"/>
      <c r="CX126" s="816"/>
      <c r="CY126" s="816"/>
      <c r="CZ126" s="609"/>
      <c r="DA126" s="609"/>
      <c r="DB126" s="816"/>
      <c r="DC126" s="816"/>
      <c r="DD126" s="609"/>
      <c r="DE126" s="609"/>
      <c r="DF126" s="816"/>
      <c r="DG126" s="816"/>
      <c r="DH126" s="816"/>
      <c r="DI126" s="816"/>
      <c r="DJ126" s="816"/>
      <c r="DK126" s="816"/>
      <c r="DL126" s="609"/>
      <c r="DM126" s="609"/>
      <c r="DN126" s="816"/>
      <c r="DO126" s="816"/>
      <c r="DP126" s="609"/>
      <c r="DQ126" s="609"/>
      <c r="DR126" s="816"/>
      <c r="DS126" s="816"/>
      <c r="DT126" s="816"/>
      <c r="DU126" s="816"/>
      <c r="DV126" s="816"/>
      <c r="DW126" s="816"/>
      <c r="DX126" s="816"/>
      <c r="DY126" s="816"/>
      <c r="DZ126" s="816"/>
      <c r="EA126" s="816"/>
      <c r="EB126" s="816"/>
      <c r="EC126" s="816"/>
      <c r="ED126" s="816"/>
      <c r="EE126" s="816"/>
      <c r="EF126" s="609"/>
      <c r="EG126" s="609"/>
      <c r="EH126" s="816"/>
      <c r="EI126" s="816"/>
      <c r="EJ126" s="816"/>
      <c r="EK126" s="816"/>
      <c r="EL126" s="816"/>
      <c r="EM126" s="816"/>
      <c r="EN126" s="816"/>
      <c r="EO126" s="816"/>
      <c r="EP126" s="816"/>
      <c r="EQ126" s="816"/>
      <c r="ER126" s="816"/>
      <c r="ES126" s="816"/>
      <c r="ET126" s="816"/>
      <c r="EU126" s="816"/>
      <c r="EV126" s="609"/>
      <c r="EW126" s="609"/>
      <c r="EX126" s="816"/>
      <c r="EY126" s="816"/>
      <c r="EZ126" s="816"/>
      <c r="FA126" s="816"/>
      <c r="FB126" s="816"/>
      <c r="FC126" s="816"/>
      <c r="FD126" s="816"/>
      <c r="FE126" s="816"/>
      <c r="FF126" s="816"/>
      <c r="FG126" s="816"/>
      <c r="FH126" s="816"/>
      <c r="FI126" s="816"/>
      <c r="FJ126" s="816"/>
      <c r="FK126" s="816"/>
      <c r="FL126" s="816"/>
      <c r="FM126" s="816"/>
      <c r="FN126" s="816"/>
      <c r="FO126" s="816"/>
      <c r="FP126" s="816"/>
      <c r="FQ126" s="816"/>
      <c r="FR126" s="816"/>
      <c r="FS126" s="816"/>
      <c r="FT126" s="816"/>
      <c r="FU126" s="816"/>
      <c r="FV126" s="816"/>
      <c r="FW126" s="816"/>
      <c r="FX126" s="816"/>
      <c r="FY126" s="816"/>
      <c r="FZ126" s="819"/>
      <c r="GA126" s="816"/>
      <c r="GB126" s="820"/>
      <c r="GC126" s="820"/>
      <c r="GD126" s="820"/>
      <c r="GE126" s="820"/>
      <c r="GF126" s="609"/>
      <c r="GG126" s="609"/>
      <c r="GH126" s="816"/>
      <c r="GI126" s="816"/>
      <c r="GJ126" s="816"/>
      <c r="GK126" s="816"/>
      <c r="GL126" s="816"/>
      <c r="GM126" s="816"/>
      <c r="GN126" s="816"/>
      <c r="GO126" s="816"/>
      <c r="GP126" s="816"/>
      <c r="GQ126" s="816"/>
      <c r="GR126" s="816"/>
      <c r="GS126" s="816"/>
      <c r="GT126" s="818"/>
      <c r="GU126" s="816"/>
      <c r="GV126" s="816"/>
      <c r="GW126" s="816"/>
      <c r="GX126" s="816"/>
      <c r="GY126" s="816"/>
      <c r="GZ126" s="816"/>
      <c r="HA126" s="816"/>
      <c r="HB126" s="609"/>
      <c r="HC126" s="609"/>
      <c r="HD126" s="816"/>
      <c r="HE126" s="816"/>
      <c r="HF126" s="816"/>
      <c r="HG126" s="816"/>
      <c r="HH126" s="816"/>
      <c r="HI126" s="816"/>
      <c r="HJ126" s="609"/>
      <c r="HK126" s="609"/>
      <c r="HL126" s="609"/>
      <c r="HM126" s="816"/>
      <c r="HN126" s="816"/>
      <c r="HO126" s="609"/>
      <c r="HP126" s="609"/>
      <c r="HQ126" s="816"/>
      <c r="HR126" s="816"/>
      <c r="HS126" s="816"/>
      <c r="HT126" s="816"/>
      <c r="HU126" s="816"/>
      <c r="HV126" s="816"/>
      <c r="HW126" s="609"/>
      <c r="HX126" s="609"/>
      <c r="HY126" s="816"/>
      <c r="HZ126" s="816"/>
      <c r="IA126" s="816"/>
      <c r="IB126" s="816"/>
      <c r="IC126" s="816"/>
      <c r="ID126" s="816"/>
      <c r="IE126" s="609"/>
      <c r="IF126" s="609"/>
      <c r="IG126" s="816"/>
      <c r="IH126" s="816"/>
      <c r="II126" s="609"/>
      <c r="IJ126" s="609"/>
      <c r="IK126" s="816"/>
      <c r="IL126" s="816"/>
      <c r="IM126" s="609"/>
      <c r="IN126" s="609"/>
      <c r="IO126" s="816"/>
      <c r="IP126" s="816"/>
      <c r="IQ126" s="816"/>
      <c r="IR126" s="816"/>
      <c r="IS126" s="816"/>
      <c r="IT126" s="816"/>
      <c r="IU126" s="821"/>
      <c r="IV126" s="609"/>
      <c r="IW126" s="816"/>
      <c r="IX126" s="816"/>
      <c r="IY126" s="822"/>
      <c r="IZ126" s="609"/>
      <c r="JA126" s="816"/>
      <c r="JB126" s="816"/>
      <c r="JC126" s="609"/>
      <c r="JD126" s="816"/>
      <c r="JE126" s="816"/>
      <c r="JF126" s="816"/>
      <c r="JG126" s="816"/>
      <c r="JH126" s="816"/>
      <c r="JI126" s="816"/>
      <c r="JJ126" s="816"/>
      <c r="JK126" s="816"/>
      <c r="JL126" s="816"/>
      <c r="JM126" s="816"/>
      <c r="JN126" s="816"/>
      <c r="JO126" s="823"/>
      <c r="JP126" s="824"/>
      <c r="JQ126" s="825"/>
      <c r="JR126" s="825"/>
      <c r="JS126" s="816"/>
      <c r="JU126" s="826"/>
      <c r="JV126" s="826"/>
      <c r="JW126" s="826"/>
      <c r="JX126" s="826"/>
    </row>
    <row r="127" spans="2:284" s="780" customFormat="1">
      <c r="B127" s="609"/>
      <c r="C127" s="609"/>
      <c r="D127" s="609"/>
      <c r="E127" s="609"/>
      <c r="F127" s="609"/>
      <c r="G127" s="609"/>
      <c r="H127" s="609"/>
      <c r="I127" s="609"/>
      <c r="J127" s="609"/>
      <c r="K127" s="609"/>
      <c r="L127" s="609"/>
      <c r="M127" s="609"/>
      <c r="N127" s="609"/>
      <c r="O127" s="609"/>
      <c r="P127" s="609"/>
      <c r="Q127" s="609"/>
      <c r="R127" s="609"/>
      <c r="S127" s="609"/>
      <c r="T127" s="609"/>
      <c r="U127" s="609"/>
      <c r="V127" s="609"/>
      <c r="W127" s="609"/>
      <c r="X127" s="609"/>
      <c r="Y127" s="609"/>
      <c r="Z127" s="609"/>
      <c r="AA127" s="609"/>
      <c r="AB127" s="609"/>
      <c r="AC127" s="609"/>
      <c r="AD127" s="816"/>
      <c r="AE127" s="816"/>
      <c r="AF127" s="816"/>
      <c r="AG127" s="816"/>
      <c r="AH127" s="816"/>
      <c r="AI127" s="816"/>
      <c r="AJ127" s="609"/>
      <c r="AK127" s="609"/>
      <c r="AL127" s="816"/>
      <c r="AM127" s="816"/>
      <c r="AN127" s="609"/>
      <c r="AO127" s="609"/>
      <c r="AP127" s="816"/>
      <c r="AQ127" s="816"/>
      <c r="AR127" s="816"/>
      <c r="AS127" s="816"/>
      <c r="AT127" s="816"/>
      <c r="AU127" s="816"/>
      <c r="AV127" s="609"/>
      <c r="AW127" s="609"/>
      <c r="AX127" s="816"/>
      <c r="AY127" s="816"/>
      <c r="AZ127" s="817"/>
      <c r="BA127" s="609"/>
      <c r="BB127" s="609"/>
      <c r="BC127" s="816"/>
      <c r="BD127" s="816"/>
      <c r="BE127" s="816"/>
      <c r="BF127" s="816"/>
      <c r="BG127" s="816"/>
      <c r="BH127" s="816"/>
      <c r="BI127" s="816"/>
      <c r="BJ127" s="816"/>
      <c r="BK127" s="816"/>
      <c r="BL127" s="816"/>
      <c r="BM127" s="816"/>
      <c r="BN127" s="816"/>
      <c r="BO127" s="816"/>
      <c r="BP127" s="816"/>
      <c r="BQ127" s="816"/>
      <c r="BR127" s="816"/>
      <c r="BS127" s="816"/>
      <c r="BT127" s="816"/>
      <c r="BU127" s="816"/>
      <c r="BV127" s="816"/>
      <c r="BW127" s="816"/>
      <c r="BX127" s="609"/>
      <c r="BY127" s="609"/>
      <c r="BZ127" s="609"/>
      <c r="CA127" s="818"/>
      <c r="CB127" s="816"/>
      <c r="CC127" s="816"/>
      <c r="CD127" s="816"/>
      <c r="CE127" s="816"/>
      <c r="CF127" s="816"/>
      <c r="CG127" s="816"/>
      <c r="CH127" s="816"/>
      <c r="CI127" s="816"/>
      <c r="CJ127" s="819"/>
      <c r="CK127" s="819"/>
      <c r="CL127" s="820"/>
      <c r="CM127" s="820"/>
      <c r="CN127" s="820"/>
      <c r="CO127" s="820"/>
      <c r="CP127" s="820"/>
      <c r="CQ127" s="820"/>
      <c r="CR127" s="609"/>
      <c r="CS127" s="609"/>
      <c r="CT127" s="816"/>
      <c r="CU127" s="816"/>
      <c r="CV127" s="609"/>
      <c r="CW127" s="609"/>
      <c r="CX127" s="816"/>
      <c r="CY127" s="816"/>
      <c r="CZ127" s="609"/>
      <c r="DA127" s="609"/>
      <c r="DB127" s="816"/>
      <c r="DC127" s="816"/>
      <c r="DD127" s="609"/>
      <c r="DE127" s="609"/>
      <c r="DF127" s="816"/>
      <c r="DG127" s="816"/>
      <c r="DH127" s="816"/>
      <c r="DI127" s="816"/>
      <c r="DJ127" s="816"/>
      <c r="DK127" s="816"/>
      <c r="DL127" s="609"/>
      <c r="DM127" s="609"/>
      <c r="DN127" s="816"/>
      <c r="DO127" s="816"/>
      <c r="DP127" s="609"/>
      <c r="DQ127" s="609"/>
      <c r="DR127" s="816"/>
      <c r="DS127" s="816"/>
      <c r="DT127" s="816"/>
      <c r="DU127" s="816"/>
      <c r="DV127" s="816"/>
      <c r="DW127" s="816"/>
      <c r="DX127" s="816"/>
      <c r="DY127" s="816"/>
      <c r="DZ127" s="816"/>
      <c r="EA127" s="816"/>
      <c r="EB127" s="816"/>
      <c r="EC127" s="816"/>
      <c r="ED127" s="816"/>
      <c r="EE127" s="816"/>
      <c r="EF127" s="609"/>
      <c r="EG127" s="609"/>
      <c r="EH127" s="816"/>
      <c r="EI127" s="816"/>
      <c r="EJ127" s="816"/>
      <c r="EK127" s="816"/>
      <c r="EL127" s="816"/>
      <c r="EM127" s="816"/>
      <c r="EN127" s="816"/>
      <c r="EO127" s="816"/>
      <c r="EP127" s="816"/>
      <c r="EQ127" s="816"/>
      <c r="ER127" s="816"/>
      <c r="ES127" s="816"/>
      <c r="ET127" s="816"/>
      <c r="EU127" s="816"/>
      <c r="EV127" s="609"/>
      <c r="EW127" s="609"/>
      <c r="EX127" s="816"/>
      <c r="EY127" s="816"/>
      <c r="EZ127" s="816"/>
      <c r="FA127" s="816"/>
      <c r="FB127" s="816"/>
      <c r="FC127" s="816"/>
      <c r="FD127" s="816"/>
      <c r="FE127" s="816"/>
      <c r="FF127" s="816"/>
      <c r="FG127" s="816"/>
      <c r="FH127" s="816"/>
      <c r="FI127" s="816"/>
      <c r="FJ127" s="816"/>
      <c r="FK127" s="816"/>
      <c r="FL127" s="816"/>
      <c r="FM127" s="816"/>
      <c r="FN127" s="816"/>
      <c r="FO127" s="816"/>
      <c r="FP127" s="816"/>
      <c r="FQ127" s="816"/>
      <c r="FR127" s="816"/>
      <c r="FS127" s="816"/>
      <c r="FT127" s="816"/>
      <c r="FU127" s="816"/>
      <c r="FV127" s="816"/>
      <c r="FW127" s="816"/>
      <c r="FX127" s="816"/>
      <c r="FY127" s="816"/>
      <c r="FZ127" s="819"/>
      <c r="GA127" s="816"/>
      <c r="GB127" s="820"/>
      <c r="GC127" s="820"/>
      <c r="GD127" s="820"/>
      <c r="GE127" s="820"/>
      <c r="GF127" s="609"/>
      <c r="GG127" s="609"/>
      <c r="GH127" s="816"/>
      <c r="GI127" s="816"/>
      <c r="GJ127" s="816"/>
      <c r="GK127" s="816"/>
      <c r="GL127" s="816"/>
      <c r="GM127" s="816"/>
      <c r="GN127" s="816"/>
      <c r="GO127" s="816"/>
      <c r="GP127" s="816"/>
      <c r="GQ127" s="816"/>
      <c r="GR127" s="816"/>
      <c r="GS127" s="816"/>
      <c r="GT127" s="818"/>
      <c r="GU127" s="816"/>
      <c r="GV127" s="816"/>
      <c r="GW127" s="816"/>
      <c r="GX127" s="816"/>
      <c r="GY127" s="816"/>
      <c r="GZ127" s="816"/>
      <c r="HA127" s="816"/>
      <c r="HB127" s="609"/>
      <c r="HC127" s="609"/>
      <c r="HD127" s="816"/>
      <c r="HE127" s="816"/>
      <c r="HF127" s="816"/>
      <c r="HG127" s="816"/>
      <c r="HH127" s="816"/>
      <c r="HI127" s="816"/>
      <c r="HJ127" s="609"/>
      <c r="HK127" s="609"/>
      <c r="HL127" s="609"/>
      <c r="HM127" s="816"/>
      <c r="HN127" s="816"/>
      <c r="HO127" s="609"/>
      <c r="HP127" s="609"/>
      <c r="HQ127" s="816"/>
      <c r="HR127" s="816"/>
      <c r="HS127" s="816"/>
      <c r="HT127" s="816"/>
      <c r="HU127" s="816"/>
      <c r="HV127" s="816"/>
      <c r="HW127" s="609"/>
      <c r="HX127" s="609"/>
      <c r="HY127" s="816"/>
      <c r="HZ127" s="816"/>
      <c r="IA127" s="816"/>
      <c r="IB127" s="816"/>
      <c r="IC127" s="816"/>
      <c r="ID127" s="816"/>
      <c r="IE127" s="609"/>
      <c r="IF127" s="609"/>
      <c r="IG127" s="816"/>
      <c r="IH127" s="816"/>
      <c r="II127" s="609"/>
      <c r="IJ127" s="609"/>
      <c r="IK127" s="816"/>
      <c r="IL127" s="816"/>
      <c r="IM127" s="609"/>
      <c r="IN127" s="609"/>
      <c r="IO127" s="816"/>
      <c r="IP127" s="816"/>
      <c r="IQ127" s="816"/>
      <c r="IR127" s="816"/>
      <c r="IS127" s="816"/>
      <c r="IT127" s="816"/>
      <c r="IU127" s="821"/>
      <c r="IV127" s="609"/>
      <c r="IW127" s="816"/>
      <c r="IX127" s="816"/>
      <c r="IY127" s="822"/>
      <c r="IZ127" s="609"/>
      <c r="JA127" s="816"/>
      <c r="JB127" s="816"/>
      <c r="JC127" s="609"/>
      <c r="JD127" s="816"/>
      <c r="JE127" s="816"/>
      <c r="JF127" s="816"/>
      <c r="JG127" s="816"/>
      <c r="JH127" s="816"/>
      <c r="JI127" s="816"/>
      <c r="JJ127" s="816"/>
      <c r="JK127" s="816"/>
      <c r="JL127" s="816"/>
      <c r="JM127" s="816"/>
      <c r="JN127" s="816"/>
      <c r="JO127" s="823"/>
      <c r="JP127" s="824"/>
      <c r="JQ127" s="825"/>
      <c r="JR127" s="825"/>
      <c r="JS127" s="816"/>
      <c r="JU127" s="826"/>
      <c r="JV127" s="826"/>
      <c r="JW127" s="826"/>
      <c r="JX127" s="826"/>
    </row>
    <row r="128" spans="2:284" s="780" customFormat="1"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09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816"/>
      <c r="AE128" s="816"/>
      <c r="AF128" s="816"/>
      <c r="AG128" s="816"/>
      <c r="AH128" s="816"/>
      <c r="AI128" s="816"/>
      <c r="AJ128" s="609"/>
      <c r="AK128" s="609"/>
      <c r="AL128" s="816"/>
      <c r="AM128" s="816"/>
      <c r="AN128" s="609"/>
      <c r="AO128" s="609"/>
      <c r="AP128" s="816"/>
      <c r="AQ128" s="816"/>
      <c r="AR128" s="816"/>
      <c r="AS128" s="816"/>
      <c r="AT128" s="816"/>
      <c r="AU128" s="816"/>
      <c r="AV128" s="609"/>
      <c r="AW128" s="609"/>
      <c r="AX128" s="816"/>
      <c r="AY128" s="816"/>
      <c r="AZ128" s="817"/>
      <c r="BA128" s="609"/>
      <c r="BB128" s="609"/>
      <c r="BC128" s="816"/>
      <c r="BD128" s="816"/>
      <c r="BE128" s="816"/>
      <c r="BF128" s="816"/>
      <c r="BG128" s="816"/>
      <c r="BH128" s="816"/>
      <c r="BI128" s="816"/>
      <c r="BJ128" s="816"/>
      <c r="BK128" s="816"/>
      <c r="BL128" s="816"/>
      <c r="BM128" s="816"/>
      <c r="BN128" s="816"/>
      <c r="BO128" s="816"/>
      <c r="BP128" s="816"/>
      <c r="BQ128" s="816"/>
      <c r="BR128" s="816"/>
      <c r="BS128" s="816"/>
      <c r="BT128" s="816"/>
      <c r="BU128" s="816"/>
      <c r="BV128" s="816"/>
      <c r="BW128" s="816"/>
      <c r="BX128" s="609"/>
      <c r="BY128" s="609"/>
      <c r="BZ128" s="609"/>
      <c r="CA128" s="818"/>
      <c r="CB128" s="816"/>
      <c r="CC128" s="816"/>
      <c r="CD128" s="816"/>
      <c r="CE128" s="816"/>
      <c r="CF128" s="816"/>
      <c r="CG128" s="816"/>
      <c r="CH128" s="816"/>
      <c r="CI128" s="816"/>
      <c r="CJ128" s="819"/>
      <c r="CK128" s="819"/>
      <c r="CL128" s="820"/>
      <c r="CM128" s="820"/>
      <c r="CN128" s="820"/>
      <c r="CO128" s="820"/>
      <c r="CP128" s="820"/>
      <c r="CQ128" s="820"/>
      <c r="CR128" s="609"/>
      <c r="CS128" s="609"/>
      <c r="CT128" s="816"/>
      <c r="CU128" s="816"/>
      <c r="CV128" s="609"/>
      <c r="CW128" s="609"/>
      <c r="CX128" s="816"/>
      <c r="CY128" s="816"/>
      <c r="CZ128" s="609"/>
      <c r="DA128" s="609"/>
      <c r="DB128" s="816"/>
      <c r="DC128" s="816"/>
      <c r="DD128" s="609"/>
      <c r="DE128" s="609"/>
      <c r="DF128" s="816"/>
      <c r="DG128" s="816"/>
      <c r="DH128" s="816"/>
      <c r="DI128" s="816"/>
      <c r="DJ128" s="816"/>
      <c r="DK128" s="816"/>
      <c r="DL128" s="609"/>
      <c r="DM128" s="609"/>
      <c r="DN128" s="816"/>
      <c r="DO128" s="816"/>
      <c r="DP128" s="609"/>
      <c r="DQ128" s="609"/>
      <c r="DR128" s="816"/>
      <c r="DS128" s="816"/>
      <c r="DT128" s="816"/>
      <c r="DU128" s="816"/>
      <c r="DV128" s="816"/>
      <c r="DW128" s="816"/>
      <c r="DX128" s="816"/>
      <c r="DY128" s="816"/>
      <c r="DZ128" s="816"/>
      <c r="EA128" s="816"/>
      <c r="EB128" s="816"/>
      <c r="EC128" s="816"/>
      <c r="ED128" s="816"/>
      <c r="EE128" s="816"/>
      <c r="EF128" s="609"/>
      <c r="EG128" s="609"/>
      <c r="EH128" s="816"/>
      <c r="EI128" s="816"/>
      <c r="EJ128" s="816"/>
      <c r="EK128" s="816"/>
      <c r="EL128" s="816"/>
      <c r="EM128" s="816"/>
      <c r="EN128" s="816"/>
      <c r="EO128" s="816"/>
      <c r="EP128" s="816"/>
      <c r="EQ128" s="816"/>
      <c r="ER128" s="816"/>
      <c r="ES128" s="816"/>
      <c r="ET128" s="816"/>
      <c r="EU128" s="816"/>
      <c r="EV128" s="609"/>
      <c r="EW128" s="609"/>
      <c r="EX128" s="816"/>
      <c r="EY128" s="816"/>
      <c r="EZ128" s="816"/>
      <c r="FA128" s="816"/>
      <c r="FB128" s="816"/>
      <c r="FC128" s="816"/>
      <c r="FD128" s="816"/>
      <c r="FE128" s="816"/>
      <c r="FF128" s="816"/>
      <c r="FG128" s="816"/>
      <c r="FH128" s="816"/>
      <c r="FI128" s="816"/>
      <c r="FJ128" s="816"/>
      <c r="FK128" s="816"/>
      <c r="FL128" s="816"/>
      <c r="FM128" s="816"/>
      <c r="FN128" s="816"/>
      <c r="FO128" s="816"/>
      <c r="FP128" s="816"/>
      <c r="FQ128" s="816"/>
      <c r="FR128" s="816"/>
      <c r="FS128" s="816"/>
      <c r="FT128" s="816"/>
      <c r="FU128" s="816"/>
      <c r="FV128" s="816"/>
      <c r="FW128" s="816"/>
      <c r="FX128" s="816"/>
      <c r="FY128" s="816"/>
      <c r="FZ128" s="819"/>
      <c r="GA128" s="816"/>
      <c r="GB128" s="820"/>
      <c r="GC128" s="820"/>
      <c r="GD128" s="820"/>
      <c r="GE128" s="820"/>
      <c r="GF128" s="609"/>
      <c r="GG128" s="609"/>
      <c r="GH128" s="816"/>
      <c r="GI128" s="816"/>
      <c r="GJ128" s="816"/>
      <c r="GK128" s="816"/>
      <c r="GL128" s="816"/>
      <c r="GM128" s="816"/>
      <c r="GN128" s="816"/>
      <c r="GO128" s="816"/>
      <c r="GP128" s="816"/>
      <c r="GQ128" s="816"/>
      <c r="GR128" s="816"/>
      <c r="GS128" s="816"/>
      <c r="GT128" s="818"/>
      <c r="GU128" s="816"/>
      <c r="GV128" s="816"/>
      <c r="GW128" s="816"/>
      <c r="GX128" s="816"/>
      <c r="GY128" s="816"/>
      <c r="GZ128" s="816"/>
      <c r="HA128" s="816"/>
      <c r="HB128" s="609"/>
      <c r="HC128" s="609"/>
      <c r="HD128" s="816"/>
      <c r="HE128" s="816"/>
      <c r="HF128" s="816"/>
      <c r="HG128" s="816"/>
      <c r="HH128" s="816"/>
      <c r="HI128" s="816"/>
      <c r="HJ128" s="609"/>
      <c r="HK128" s="609"/>
      <c r="HL128" s="609"/>
      <c r="HM128" s="816"/>
      <c r="HN128" s="816"/>
      <c r="HO128" s="609"/>
      <c r="HP128" s="609"/>
      <c r="HQ128" s="816"/>
      <c r="HR128" s="816"/>
      <c r="HS128" s="816"/>
      <c r="HT128" s="816"/>
      <c r="HU128" s="816"/>
      <c r="HV128" s="816"/>
      <c r="HW128" s="609"/>
      <c r="HX128" s="609"/>
      <c r="HY128" s="816"/>
      <c r="HZ128" s="816"/>
      <c r="IA128" s="816"/>
      <c r="IB128" s="816"/>
      <c r="IC128" s="816"/>
      <c r="ID128" s="816"/>
      <c r="IE128" s="609"/>
      <c r="IF128" s="609"/>
      <c r="IG128" s="816"/>
      <c r="IH128" s="816"/>
      <c r="II128" s="609"/>
      <c r="IJ128" s="609"/>
      <c r="IK128" s="816"/>
      <c r="IL128" s="816"/>
      <c r="IM128" s="609"/>
      <c r="IN128" s="609"/>
      <c r="IO128" s="816"/>
      <c r="IP128" s="816"/>
      <c r="IQ128" s="816"/>
      <c r="IR128" s="816"/>
      <c r="IS128" s="816"/>
      <c r="IT128" s="816"/>
      <c r="IU128" s="821"/>
      <c r="IV128" s="609"/>
      <c r="IW128" s="816"/>
      <c r="IX128" s="816"/>
      <c r="IY128" s="822"/>
      <c r="IZ128" s="609"/>
      <c r="JA128" s="816"/>
      <c r="JB128" s="816"/>
      <c r="JC128" s="609"/>
      <c r="JD128" s="816"/>
      <c r="JE128" s="816"/>
      <c r="JF128" s="816"/>
      <c r="JG128" s="816"/>
      <c r="JH128" s="816"/>
      <c r="JI128" s="816"/>
      <c r="JJ128" s="816"/>
      <c r="JK128" s="816"/>
      <c r="JL128" s="816"/>
      <c r="JM128" s="816"/>
      <c r="JN128" s="816"/>
      <c r="JO128" s="823"/>
      <c r="JP128" s="824"/>
      <c r="JQ128" s="825"/>
      <c r="JR128" s="825"/>
      <c r="JS128" s="816"/>
      <c r="JU128" s="826"/>
      <c r="JV128" s="826"/>
      <c r="JW128" s="826"/>
      <c r="JX128" s="826"/>
    </row>
    <row r="129" spans="2:284" s="780" customFormat="1"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609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816"/>
      <c r="AE129" s="816"/>
      <c r="AF129" s="816"/>
      <c r="AG129" s="816"/>
      <c r="AH129" s="816"/>
      <c r="AI129" s="816"/>
      <c r="AJ129" s="609"/>
      <c r="AK129" s="609"/>
      <c r="AL129" s="816"/>
      <c r="AM129" s="816"/>
      <c r="AN129" s="609"/>
      <c r="AO129" s="609"/>
      <c r="AP129" s="816"/>
      <c r="AQ129" s="816"/>
      <c r="AR129" s="816"/>
      <c r="AS129" s="816"/>
      <c r="AT129" s="816"/>
      <c r="AU129" s="816"/>
      <c r="AV129" s="609"/>
      <c r="AW129" s="609"/>
      <c r="AX129" s="816"/>
      <c r="AY129" s="816"/>
      <c r="AZ129" s="817"/>
      <c r="BA129" s="609"/>
      <c r="BB129" s="609"/>
      <c r="BC129" s="816"/>
      <c r="BD129" s="816"/>
      <c r="BE129" s="816"/>
      <c r="BF129" s="816"/>
      <c r="BG129" s="816"/>
      <c r="BH129" s="816"/>
      <c r="BI129" s="816"/>
      <c r="BJ129" s="816"/>
      <c r="BK129" s="816"/>
      <c r="BL129" s="816"/>
      <c r="BM129" s="816"/>
      <c r="BN129" s="816"/>
      <c r="BO129" s="816"/>
      <c r="BP129" s="816"/>
      <c r="BQ129" s="816"/>
      <c r="BR129" s="816"/>
      <c r="BS129" s="816"/>
      <c r="BT129" s="816"/>
      <c r="BU129" s="816"/>
      <c r="BV129" s="816"/>
      <c r="BW129" s="816"/>
      <c r="BX129" s="609"/>
      <c r="BY129" s="609"/>
      <c r="BZ129" s="609"/>
      <c r="CA129" s="818"/>
      <c r="CB129" s="816"/>
      <c r="CC129" s="816"/>
      <c r="CD129" s="816"/>
      <c r="CE129" s="816"/>
      <c r="CF129" s="816"/>
      <c r="CG129" s="816"/>
      <c r="CH129" s="816"/>
      <c r="CI129" s="816"/>
      <c r="CJ129" s="819"/>
      <c r="CK129" s="819"/>
      <c r="CL129" s="820"/>
      <c r="CM129" s="820"/>
      <c r="CN129" s="820"/>
      <c r="CO129" s="820"/>
      <c r="CP129" s="820"/>
      <c r="CQ129" s="820"/>
      <c r="CR129" s="609"/>
      <c r="CS129" s="609"/>
      <c r="CT129" s="816"/>
      <c r="CU129" s="816"/>
      <c r="CV129" s="609"/>
      <c r="CW129" s="609"/>
      <c r="CX129" s="816"/>
      <c r="CY129" s="816"/>
      <c r="CZ129" s="609"/>
      <c r="DA129" s="609"/>
      <c r="DB129" s="816"/>
      <c r="DC129" s="816"/>
      <c r="DD129" s="609"/>
      <c r="DE129" s="609"/>
      <c r="DF129" s="816"/>
      <c r="DG129" s="816"/>
      <c r="DH129" s="816"/>
      <c r="DI129" s="816"/>
      <c r="DJ129" s="816"/>
      <c r="DK129" s="816"/>
      <c r="DL129" s="609"/>
      <c r="DM129" s="609"/>
      <c r="DN129" s="816"/>
      <c r="DO129" s="816"/>
      <c r="DP129" s="609"/>
      <c r="DQ129" s="609"/>
      <c r="DR129" s="816"/>
      <c r="DS129" s="816"/>
      <c r="DT129" s="816"/>
      <c r="DU129" s="816"/>
      <c r="DV129" s="816"/>
      <c r="DW129" s="816"/>
      <c r="DX129" s="816"/>
      <c r="DY129" s="816"/>
      <c r="DZ129" s="816"/>
      <c r="EA129" s="816"/>
      <c r="EB129" s="816"/>
      <c r="EC129" s="816"/>
      <c r="ED129" s="816"/>
      <c r="EE129" s="816"/>
      <c r="EF129" s="609"/>
      <c r="EG129" s="609"/>
      <c r="EH129" s="816"/>
      <c r="EI129" s="816"/>
      <c r="EJ129" s="816"/>
      <c r="EK129" s="816"/>
      <c r="EL129" s="816"/>
      <c r="EM129" s="816"/>
      <c r="EN129" s="816"/>
      <c r="EO129" s="816"/>
      <c r="EP129" s="816"/>
      <c r="EQ129" s="816"/>
      <c r="ER129" s="816"/>
      <c r="ES129" s="816"/>
      <c r="ET129" s="816"/>
      <c r="EU129" s="816"/>
      <c r="EV129" s="609"/>
      <c r="EW129" s="609"/>
      <c r="EX129" s="816"/>
      <c r="EY129" s="816"/>
      <c r="EZ129" s="816"/>
      <c r="FA129" s="816"/>
      <c r="FB129" s="816"/>
      <c r="FC129" s="816"/>
      <c r="FD129" s="816"/>
      <c r="FE129" s="816"/>
      <c r="FF129" s="816"/>
      <c r="FG129" s="816"/>
      <c r="FH129" s="816"/>
      <c r="FI129" s="816"/>
      <c r="FJ129" s="816"/>
      <c r="FK129" s="816"/>
      <c r="FL129" s="816"/>
      <c r="FM129" s="816"/>
      <c r="FN129" s="816"/>
      <c r="FO129" s="816"/>
      <c r="FP129" s="816"/>
      <c r="FQ129" s="816"/>
      <c r="FR129" s="816"/>
      <c r="FS129" s="816"/>
      <c r="FT129" s="816"/>
      <c r="FU129" s="816"/>
      <c r="FV129" s="816"/>
      <c r="FW129" s="816"/>
      <c r="FX129" s="816"/>
      <c r="FY129" s="816"/>
      <c r="FZ129" s="819"/>
      <c r="GA129" s="816"/>
      <c r="GB129" s="820"/>
      <c r="GC129" s="820"/>
      <c r="GD129" s="820"/>
      <c r="GE129" s="820"/>
      <c r="GF129" s="609"/>
      <c r="GG129" s="609"/>
      <c r="GH129" s="816"/>
      <c r="GI129" s="816"/>
      <c r="GJ129" s="816"/>
      <c r="GK129" s="816"/>
      <c r="GL129" s="816"/>
      <c r="GM129" s="816"/>
      <c r="GN129" s="816"/>
      <c r="GO129" s="816"/>
      <c r="GP129" s="816"/>
      <c r="GQ129" s="816"/>
      <c r="GR129" s="816"/>
      <c r="GS129" s="816"/>
      <c r="GT129" s="818"/>
      <c r="GU129" s="816"/>
      <c r="GV129" s="816"/>
      <c r="GW129" s="816"/>
      <c r="GX129" s="816"/>
      <c r="GY129" s="816"/>
      <c r="GZ129" s="816"/>
      <c r="HA129" s="816"/>
      <c r="HB129" s="609"/>
      <c r="HC129" s="609"/>
      <c r="HD129" s="816"/>
      <c r="HE129" s="816"/>
      <c r="HF129" s="816"/>
      <c r="HG129" s="816"/>
      <c r="HH129" s="816"/>
      <c r="HI129" s="816"/>
      <c r="HJ129" s="609"/>
      <c r="HK129" s="609"/>
      <c r="HL129" s="609"/>
      <c r="HM129" s="816"/>
      <c r="HN129" s="816"/>
      <c r="HO129" s="609"/>
      <c r="HP129" s="609"/>
      <c r="HQ129" s="816"/>
      <c r="HR129" s="816"/>
      <c r="HS129" s="816"/>
      <c r="HT129" s="816"/>
      <c r="HU129" s="816"/>
      <c r="HV129" s="816"/>
      <c r="HW129" s="609"/>
      <c r="HX129" s="609"/>
      <c r="HY129" s="816"/>
      <c r="HZ129" s="816"/>
      <c r="IA129" s="816"/>
      <c r="IB129" s="816"/>
      <c r="IC129" s="816"/>
      <c r="ID129" s="816"/>
      <c r="IE129" s="609"/>
      <c r="IF129" s="609"/>
      <c r="IG129" s="816"/>
      <c r="IH129" s="816"/>
      <c r="II129" s="609"/>
      <c r="IJ129" s="609"/>
      <c r="IK129" s="816"/>
      <c r="IL129" s="816"/>
      <c r="IM129" s="609"/>
      <c r="IN129" s="609"/>
      <c r="IO129" s="816"/>
      <c r="IP129" s="816"/>
      <c r="IQ129" s="816"/>
      <c r="IR129" s="816"/>
      <c r="IS129" s="816"/>
      <c r="IT129" s="816"/>
      <c r="IU129" s="821"/>
      <c r="IV129" s="609"/>
      <c r="IW129" s="816"/>
      <c r="IX129" s="816"/>
      <c r="IY129" s="822"/>
      <c r="IZ129" s="609"/>
      <c r="JA129" s="816"/>
      <c r="JB129" s="816"/>
      <c r="JC129" s="609"/>
      <c r="JD129" s="816"/>
      <c r="JE129" s="816"/>
      <c r="JF129" s="816"/>
      <c r="JG129" s="816"/>
      <c r="JH129" s="816"/>
      <c r="JI129" s="816"/>
      <c r="JJ129" s="816"/>
      <c r="JK129" s="816"/>
      <c r="JL129" s="816"/>
      <c r="JM129" s="816"/>
      <c r="JN129" s="816"/>
      <c r="JO129" s="823"/>
      <c r="JP129" s="824"/>
      <c r="JQ129" s="825"/>
      <c r="JR129" s="825"/>
      <c r="JS129" s="816"/>
      <c r="JU129" s="826"/>
      <c r="JV129" s="826"/>
      <c r="JW129" s="826"/>
      <c r="JX129" s="826"/>
    </row>
    <row r="130" spans="2:284" s="780" customFormat="1">
      <c r="B130" s="609"/>
      <c r="C130" s="609"/>
      <c r="D130" s="609"/>
      <c r="E130" s="609"/>
      <c r="F130" s="609"/>
      <c r="G130" s="609"/>
      <c r="H130" s="609"/>
      <c r="I130" s="609"/>
      <c r="J130" s="609"/>
      <c r="K130" s="609"/>
      <c r="L130" s="609"/>
      <c r="M130" s="609"/>
      <c r="N130" s="609"/>
      <c r="O130" s="609"/>
      <c r="P130" s="609"/>
      <c r="Q130" s="609"/>
      <c r="R130" s="609"/>
      <c r="S130" s="609"/>
      <c r="T130" s="609"/>
      <c r="U130" s="609"/>
      <c r="V130" s="609"/>
      <c r="W130" s="609"/>
      <c r="X130" s="609"/>
      <c r="Y130" s="609"/>
      <c r="Z130" s="609"/>
      <c r="AA130" s="609"/>
      <c r="AB130" s="609"/>
      <c r="AC130" s="609"/>
      <c r="AD130" s="816"/>
      <c r="AE130" s="816"/>
      <c r="AF130" s="816"/>
      <c r="AG130" s="816"/>
      <c r="AH130" s="816"/>
      <c r="AI130" s="816"/>
      <c r="AJ130" s="609"/>
      <c r="AK130" s="609"/>
      <c r="AL130" s="816"/>
      <c r="AM130" s="816"/>
      <c r="AN130" s="609"/>
      <c r="AO130" s="609"/>
      <c r="AP130" s="816"/>
      <c r="AQ130" s="816"/>
      <c r="AR130" s="816"/>
      <c r="AS130" s="816"/>
      <c r="AT130" s="816"/>
      <c r="AU130" s="816"/>
      <c r="AV130" s="609"/>
      <c r="AW130" s="609"/>
      <c r="AX130" s="816"/>
      <c r="AY130" s="816"/>
      <c r="AZ130" s="817"/>
      <c r="BA130" s="609"/>
      <c r="BB130" s="609"/>
      <c r="BC130" s="816"/>
      <c r="BD130" s="816"/>
      <c r="BE130" s="816"/>
      <c r="BF130" s="816"/>
      <c r="BG130" s="816"/>
      <c r="BH130" s="816"/>
      <c r="BI130" s="816"/>
      <c r="BJ130" s="816"/>
      <c r="BK130" s="816"/>
      <c r="BL130" s="816"/>
      <c r="BM130" s="816"/>
      <c r="BN130" s="816"/>
      <c r="BO130" s="816"/>
      <c r="BP130" s="816"/>
      <c r="BQ130" s="816"/>
      <c r="BR130" s="816"/>
      <c r="BS130" s="816"/>
      <c r="BT130" s="816"/>
      <c r="BU130" s="816"/>
      <c r="BV130" s="816"/>
      <c r="BW130" s="816"/>
      <c r="BX130" s="609"/>
      <c r="BY130" s="609"/>
      <c r="BZ130" s="609"/>
      <c r="CA130" s="818"/>
      <c r="CB130" s="816"/>
      <c r="CC130" s="816"/>
      <c r="CD130" s="816"/>
      <c r="CE130" s="816"/>
      <c r="CF130" s="816"/>
      <c r="CG130" s="816"/>
      <c r="CH130" s="816"/>
      <c r="CI130" s="816"/>
      <c r="CJ130" s="819"/>
      <c r="CK130" s="819"/>
      <c r="CL130" s="820"/>
      <c r="CM130" s="820"/>
      <c r="CN130" s="820"/>
      <c r="CO130" s="820"/>
      <c r="CP130" s="820"/>
      <c r="CQ130" s="820"/>
      <c r="CR130" s="609"/>
      <c r="CS130" s="609"/>
      <c r="CT130" s="816"/>
      <c r="CU130" s="816"/>
      <c r="CV130" s="609"/>
      <c r="CW130" s="609"/>
      <c r="CX130" s="816"/>
      <c r="CY130" s="816"/>
      <c r="CZ130" s="609"/>
      <c r="DA130" s="609"/>
      <c r="DB130" s="816"/>
      <c r="DC130" s="816"/>
      <c r="DD130" s="609"/>
      <c r="DE130" s="609"/>
      <c r="DF130" s="816"/>
      <c r="DG130" s="816"/>
      <c r="DH130" s="816"/>
      <c r="DI130" s="816"/>
      <c r="DJ130" s="816"/>
      <c r="DK130" s="816"/>
      <c r="DL130" s="609"/>
      <c r="DM130" s="609"/>
      <c r="DN130" s="816"/>
      <c r="DO130" s="816"/>
      <c r="DP130" s="609"/>
      <c r="DQ130" s="609"/>
      <c r="DR130" s="816"/>
      <c r="DS130" s="816"/>
      <c r="DT130" s="816"/>
      <c r="DU130" s="816"/>
      <c r="DV130" s="816"/>
      <c r="DW130" s="816"/>
      <c r="DX130" s="816"/>
      <c r="DY130" s="816"/>
      <c r="DZ130" s="816"/>
      <c r="EA130" s="816"/>
      <c r="EB130" s="816"/>
      <c r="EC130" s="816"/>
      <c r="ED130" s="816"/>
      <c r="EE130" s="816"/>
      <c r="EF130" s="609"/>
      <c r="EG130" s="609"/>
      <c r="EH130" s="816"/>
      <c r="EI130" s="816"/>
      <c r="EJ130" s="816"/>
      <c r="EK130" s="816"/>
      <c r="EL130" s="816"/>
      <c r="EM130" s="816"/>
      <c r="EN130" s="816"/>
      <c r="EO130" s="816"/>
      <c r="EP130" s="816"/>
      <c r="EQ130" s="816"/>
      <c r="ER130" s="816"/>
      <c r="ES130" s="816"/>
      <c r="ET130" s="816"/>
      <c r="EU130" s="816"/>
      <c r="EV130" s="609"/>
      <c r="EW130" s="609"/>
      <c r="EX130" s="816"/>
      <c r="EY130" s="816"/>
      <c r="EZ130" s="816"/>
      <c r="FA130" s="816"/>
      <c r="FB130" s="816"/>
      <c r="FC130" s="816"/>
      <c r="FD130" s="816"/>
      <c r="FE130" s="816"/>
      <c r="FF130" s="816"/>
      <c r="FG130" s="816"/>
      <c r="FH130" s="816"/>
      <c r="FI130" s="816"/>
      <c r="FJ130" s="816"/>
      <c r="FK130" s="816"/>
      <c r="FL130" s="816"/>
      <c r="FM130" s="816"/>
      <c r="FN130" s="816"/>
      <c r="FO130" s="816"/>
      <c r="FP130" s="816"/>
      <c r="FQ130" s="816"/>
      <c r="FR130" s="816"/>
      <c r="FS130" s="816"/>
      <c r="FT130" s="816"/>
      <c r="FU130" s="816"/>
      <c r="FV130" s="816"/>
      <c r="FW130" s="816"/>
      <c r="FX130" s="816"/>
      <c r="FY130" s="816"/>
      <c r="FZ130" s="819"/>
      <c r="GA130" s="816"/>
      <c r="GB130" s="820"/>
      <c r="GC130" s="820"/>
      <c r="GD130" s="820"/>
      <c r="GE130" s="820"/>
      <c r="GF130" s="609"/>
      <c r="GG130" s="609"/>
      <c r="GH130" s="816"/>
      <c r="GI130" s="816"/>
      <c r="GJ130" s="816"/>
      <c r="GK130" s="816"/>
      <c r="GL130" s="816"/>
      <c r="GM130" s="816"/>
      <c r="GN130" s="816"/>
      <c r="GO130" s="816"/>
      <c r="GP130" s="816"/>
      <c r="GQ130" s="816"/>
      <c r="GR130" s="816"/>
      <c r="GS130" s="816"/>
      <c r="GT130" s="818"/>
      <c r="GU130" s="816"/>
      <c r="GV130" s="816"/>
      <c r="GW130" s="816"/>
      <c r="GX130" s="816"/>
      <c r="GY130" s="816"/>
      <c r="GZ130" s="816"/>
      <c r="HA130" s="816"/>
      <c r="HB130" s="609"/>
      <c r="HC130" s="609"/>
      <c r="HD130" s="816"/>
      <c r="HE130" s="816"/>
      <c r="HF130" s="816"/>
      <c r="HG130" s="816"/>
      <c r="HH130" s="816"/>
      <c r="HI130" s="816"/>
      <c r="HJ130" s="609"/>
      <c r="HK130" s="609"/>
      <c r="HL130" s="609"/>
      <c r="HM130" s="816"/>
      <c r="HN130" s="816"/>
      <c r="HO130" s="609"/>
      <c r="HP130" s="609"/>
      <c r="HQ130" s="816"/>
      <c r="HR130" s="816"/>
      <c r="HS130" s="816"/>
      <c r="HT130" s="816"/>
      <c r="HU130" s="816"/>
      <c r="HV130" s="816"/>
      <c r="HW130" s="609"/>
      <c r="HX130" s="609"/>
      <c r="HY130" s="816"/>
      <c r="HZ130" s="816"/>
      <c r="IA130" s="816"/>
      <c r="IB130" s="816"/>
      <c r="IC130" s="816"/>
      <c r="ID130" s="816"/>
      <c r="IE130" s="609"/>
      <c r="IF130" s="609"/>
      <c r="IG130" s="816"/>
      <c r="IH130" s="816"/>
      <c r="II130" s="609"/>
      <c r="IJ130" s="609"/>
      <c r="IK130" s="816"/>
      <c r="IL130" s="816"/>
      <c r="IM130" s="609"/>
      <c r="IN130" s="609"/>
      <c r="IO130" s="816"/>
      <c r="IP130" s="816"/>
      <c r="IQ130" s="816"/>
      <c r="IR130" s="816"/>
      <c r="IS130" s="816"/>
      <c r="IT130" s="816"/>
      <c r="IU130" s="821"/>
      <c r="IV130" s="609"/>
      <c r="IW130" s="816"/>
      <c r="IX130" s="816"/>
      <c r="IY130" s="822"/>
      <c r="IZ130" s="609"/>
      <c r="JA130" s="816"/>
      <c r="JB130" s="816"/>
      <c r="JC130" s="609"/>
      <c r="JD130" s="816"/>
      <c r="JE130" s="816"/>
      <c r="JF130" s="816"/>
      <c r="JG130" s="816"/>
      <c r="JH130" s="816"/>
      <c r="JI130" s="816"/>
      <c r="JJ130" s="816"/>
      <c r="JK130" s="816"/>
      <c r="JL130" s="816"/>
      <c r="JM130" s="816"/>
      <c r="JN130" s="816"/>
      <c r="JO130" s="823"/>
      <c r="JP130" s="824"/>
      <c r="JQ130" s="825"/>
      <c r="JR130" s="825"/>
      <c r="JS130" s="816"/>
      <c r="JU130" s="826"/>
      <c r="JV130" s="826"/>
      <c r="JW130" s="826"/>
      <c r="JX130" s="826"/>
    </row>
    <row r="131" spans="2:284" s="780" customFormat="1">
      <c r="B131" s="609"/>
      <c r="C131" s="609"/>
      <c r="D131" s="609"/>
      <c r="E131" s="609"/>
      <c r="F131" s="609"/>
      <c r="G131" s="609"/>
      <c r="H131" s="609"/>
      <c r="I131" s="609"/>
      <c r="J131" s="609"/>
      <c r="K131" s="609"/>
      <c r="L131" s="609"/>
      <c r="M131" s="609"/>
      <c r="N131" s="609"/>
      <c r="O131" s="609"/>
      <c r="P131" s="609"/>
      <c r="Q131" s="609"/>
      <c r="R131" s="609"/>
      <c r="S131" s="609"/>
      <c r="T131" s="609"/>
      <c r="U131" s="609"/>
      <c r="V131" s="609"/>
      <c r="W131" s="609"/>
      <c r="X131" s="609"/>
      <c r="Y131" s="609"/>
      <c r="Z131" s="609"/>
      <c r="AA131" s="609"/>
      <c r="AB131" s="609"/>
      <c r="AC131" s="609"/>
      <c r="AD131" s="816"/>
      <c r="AE131" s="816"/>
      <c r="AF131" s="816"/>
      <c r="AG131" s="816"/>
      <c r="AH131" s="816"/>
      <c r="AI131" s="816"/>
      <c r="AJ131" s="609"/>
      <c r="AK131" s="609"/>
      <c r="AL131" s="816"/>
      <c r="AM131" s="816"/>
      <c r="AN131" s="609"/>
      <c r="AO131" s="609"/>
      <c r="AP131" s="816"/>
      <c r="AQ131" s="816"/>
      <c r="AR131" s="816"/>
      <c r="AS131" s="816"/>
      <c r="AT131" s="816"/>
      <c r="AU131" s="816"/>
      <c r="AV131" s="609"/>
      <c r="AW131" s="609"/>
      <c r="AX131" s="816"/>
      <c r="AY131" s="816"/>
      <c r="AZ131" s="817"/>
      <c r="BA131" s="609"/>
      <c r="BB131" s="609"/>
      <c r="BC131" s="816"/>
      <c r="BD131" s="816"/>
      <c r="BE131" s="816"/>
      <c r="BF131" s="816"/>
      <c r="BG131" s="816"/>
      <c r="BH131" s="816"/>
      <c r="BI131" s="816"/>
      <c r="BJ131" s="816"/>
      <c r="BK131" s="816"/>
      <c r="BL131" s="816"/>
      <c r="BM131" s="816"/>
      <c r="BN131" s="816"/>
      <c r="BO131" s="816"/>
      <c r="BP131" s="816"/>
      <c r="BQ131" s="816"/>
      <c r="BR131" s="816"/>
      <c r="BS131" s="816"/>
      <c r="BT131" s="816"/>
      <c r="BU131" s="816"/>
      <c r="BV131" s="816"/>
      <c r="BW131" s="816"/>
      <c r="BX131" s="609"/>
      <c r="BY131" s="609"/>
      <c r="BZ131" s="609"/>
      <c r="CA131" s="818"/>
      <c r="CB131" s="816"/>
      <c r="CC131" s="816"/>
      <c r="CD131" s="816"/>
      <c r="CE131" s="816"/>
      <c r="CF131" s="816"/>
      <c r="CG131" s="816"/>
      <c r="CH131" s="816"/>
      <c r="CI131" s="816"/>
      <c r="CJ131" s="819"/>
      <c r="CK131" s="819"/>
      <c r="CL131" s="820"/>
      <c r="CM131" s="820"/>
      <c r="CN131" s="820"/>
      <c r="CO131" s="820"/>
      <c r="CP131" s="820"/>
      <c r="CQ131" s="820"/>
      <c r="CR131" s="609"/>
      <c r="CS131" s="609"/>
      <c r="CT131" s="816"/>
      <c r="CU131" s="816"/>
      <c r="CV131" s="609"/>
      <c r="CW131" s="609"/>
      <c r="CX131" s="816"/>
      <c r="CY131" s="816"/>
      <c r="CZ131" s="609"/>
      <c r="DA131" s="609"/>
      <c r="DB131" s="816"/>
      <c r="DC131" s="816"/>
      <c r="DD131" s="609"/>
      <c r="DE131" s="609"/>
      <c r="DF131" s="816"/>
      <c r="DG131" s="816"/>
      <c r="DH131" s="816"/>
      <c r="DI131" s="816"/>
      <c r="DJ131" s="816"/>
      <c r="DK131" s="816"/>
      <c r="DL131" s="609"/>
      <c r="DM131" s="609"/>
      <c r="DN131" s="816"/>
      <c r="DO131" s="816"/>
      <c r="DP131" s="609"/>
      <c r="DQ131" s="609"/>
      <c r="DR131" s="816"/>
      <c r="DS131" s="816"/>
      <c r="DT131" s="816"/>
      <c r="DU131" s="816"/>
      <c r="DV131" s="816"/>
      <c r="DW131" s="816"/>
      <c r="DX131" s="816"/>
      <c r="DY131" s="816"/>
      <c r="DZ131" s="816"/>
      <c r="EA131" s="816"/>
      <c r="EB131" s="816"/>
      <c r="EC131" s="816"/>
      <c r="ED131" s="816"/>
      <c r="EE131" s="816"/>
      <c r="EF131" s="609"/>
      <c r="EG131" s="609"/>
      <c r="EH131" s="816"/>
      <c r="EI131" s="816"/>
      <c r="EJ131" s="816"/>
      <c r="EK131" s="816"/>
      <c r="EL131" s="816"/>
      <c r="EM131" s="816"/>
      <c r="EN131" s="816"/>
      <c r="EO131" s="816"/>
      <c r="EP131" s="816"/>
      <c r="EQ131" s="816"/>
      <c r="ER131" s="816"/>
      <c r="ES131" s="816"/>
      <c r="ET131" s="816"/>
      <c r="EU131" s="816"/>
      <c r="EV131" s="609"/>
      <c r="EW131" s="609"/>
      <c r="EX131" s="816"/>
      <c r="EY131" s="816"/>
      <c r="EZ131" s="816"/>
      <c r="FA131" s="816"/>
      <c r="FB131" s="816"/>
      <c r="FC131" s="816"/>
      <c r="FD131" s="816"/>
      <c r="FE131" s="816"/>
      <c r="FF131" s="816"/>
      <c r="FG131" s="816"/>
      <c r="FH131" s="816"/>
      <c r="FI131" s="816"/>
      <c r="FJ131" s="816"/>
      <c r="FK131" s="816"/>
      <c r="FL131" s="816"/>
      <c r="FM131" s="816"/>
      <c r="FN131" s="816"/>
      <c r="FO131" s="816"/>
      <c r="FP131" s="816"/>
      <c r="FQ131" s="816"/>
      <c r="FR131" s="816"/>
      <c r="FS131" s="816"/>
      <c r="FT131" s="816"/>
      <c r="FU131" s="816"/>
      <c r="FV131" s="816"/>
      <c r="FW131" s="816"/>
      <c r="FX131" s="816"/>
      <c r="FY131" s="816"/>
      <c r="FZ131" s="819"/>
      <c r="GA131" s="816"/>
      <c r="GB131" s="820"/>
      <c r="GC131" s="820"/>
      <c r="GD131" s="820"/>
      <c r="GE131" s="820"/>
      <c r="GF131" s="609"/>
      <c r="GG131" s="609"/>
      <c r="GH131" s="816"/>
      <c r="GI131" s="816"/>
      <c r="GJ131" s="816"/>
      <c r="GK131" s="816"/>
      <c r="GL131" s="816"/>
      <c r="GM131" s="816"/>
      <c r="GN131" s="816"/>
      <c r="GO131" s="816"/>
      <c r="GP131" s="816"/>
      <c r="GQ131" s="816"/>
      <c r="GR131" s="816"/>
      <c r="GS131" s="816"/>
      <c r="GT131" s="818"/>
      <c r="GU131" s="816"/>
      <c r="GV131" s="816"/>
      <c r="GW131" s="816"/>
      <c r="GX131" s="816"/>
      <c r="GY131" s="816"/>
      <c r="GZ131" s="816"/>
      <c r="HA131" s="816"/>
      <c r="HB131" s="609"/>
      <c r="HC131" s="609"/>
      <c r="HD131" s="816"/>
      <c r="HE131" s="816"/>
      <c r="HF131" s="816"/>
      <c r="HG131" s="816"/>
      <c r="HH131" s="816"/>
      <c r="HI131" s="816"/>
      <c r="HJ131" s="609"/>
      <c r="HK131" s="609"/>
      <c r="HL131" s="609"/>
      <c r="HM131" s="816"/>
      <c r="HN131" s="816"/>
      <c r="HO131" s="609"/>
      <c r="HP131" s="609"/>
      <c r="HQ131" s="816"/>
      <c r="HR131" s="816"/>
      <c r="HS131" s="816"/>
      <c r="HT131" s="816"/>
      <c r="HU131" s="816"/>
      <c r="HV131" s="816"/>
      <c r="HW131" s="609"/>
      <c r="HX131" s="609"/>
      <c r="HY131" s="816"/>
      <c r="HZ131" s="816"/>
      <c r="IA131" s="816"/>
      <c r="IB131" s="816"/>
      <c r="IC131" s="816"/>
      <c r="ID131" s="816"/>
      <c r="IE131" s="609"/>
      <c r="IF131" s="609"/>
      <c r="IG131" s="816"/>
      <c r="IH131" s="816"/>
      <c r="II131" s="609"/>
      <c r="IJ131" s="609"/>
      <c r="IK131" s="816"/>
      <c r="IL131" s="816"/>
      <c r="IM131" s="609"/>
      <c r="IN131" s="609"/>
      <c r="IO131" s="816"/>
      <c r="IP131" s="816"/>
      <c r="IQ131" s="816"/>
      <c r="IR131" s="816"/>
      <c r="IS131" s="816"/>
      <c r="IT131" s="816"/>
      <c r="IU131" s="821"/>
      <c r="IV131" s="609"/>
      <c r="IW131" s="816"/>
      <c r="IX131" s="816"/>
      <c r="IY131" s="822"/>
      <c r="IZ131" s="609"/>
      <c r="JA131" s="816"/>
      <c r="JB131" s="816"/>
      <c r="JC131" s="609"/>
      <c r="JD131" s="816"/>
      <c r="JE131" s="816"/>
      <c r="JF131" s="816"/>
      <c r="JG131" s="816"/>
      <c r="JH131" s="816"/>
      <c r="JI131" s="816"/>
      <c r="JJ131" s="816"/>
      <c r="JK131" s="816"/>
      <c r="JL131" s="816"/>
      <c r="JM131" s="816"/>
      <c r="JN131" s="816"/>
      <c r="JO131" s="823"/>
      <c r="JP131" s="824"/>
      <c r="JQ131" s="825"/>
      <c r="JR131" s="825"/>
      <c r="JS131" s="816"/>
      <c r="JU131" s="826"/>
      <c r="JV131" s="826"/>
      <c r="JW131" s="826"/>
      <c r="JX131" s="826"/>
    </row>
    <row r="132" spans="2:284" s="780" customFormat="1">
      <c r="B132" s="609"/>
      <c r="C132" s="609"/>
      <c r="D132" s="609"/>
      <c r="E132" s="609"/>
      <c r="F132" s="609"/>
      <c r="G132" s="609"/>
      <c r="H132" s="609"/>
      <c r="I132" s="609"/>
      <c r="J132" s="609"/>
      <c r="K132" s="609"/>
      <c r="L132" s="609"/>
      <c r="M132" s="609"/>
      <c r="N132" s="609"/>
      <c r="O132" s="609"/>
      <c r="P132" s="609"/>
      <c r="Q132" s="609"/>
      <c r="R132" s="609"/>
      <c r="S132" s="609"/>
      <c r="T132" s="609"/>
      <c r="U132" s="609"/>
      <c r="V132" s="609"/>
      <c r="W132" s="609"/>
      <c r="X132" s="609"/>
      <c r="Y132" s="609"/>
      <c r="Z132" s="609"/>
      <c r="AA132" s="609"/>
      <c r="AB132" s="609"/>
      <c r="AC132" s="609"/>
      <c r="AD132" s="816"/>
      <c r="AE132" s="816"/>
      <c r="AF132" s="816"/>
      <c r="AG132" s="816"/>
      <c r="AH132" s="816"/>
      <c r="AI132" s="816"/>
      <c r="AJ132" s="609"/>
      <c r="AK132" s="609"/>
      <c r="AL132" s="816"/>
      <c r="AM132" s="816"/>
      <c r="AN132" s="609"/>
      <c r="AO132" s="609"/>
      <c r="AP132" s="816"/>
      <c r="AQ132" s="816"/>
      <c r="AR132" s="816"/>
      <c r="AS132" s="816"/>
      <c r="AT132" s="816"/>
      <c r="AU132" s="816"/>
      <c r="AV132" s="609"/>
      <c r="AW132" s="609"/>
      <c r="AX132" s="816"/>
      <c r="AY132" s="816"/>
      <c r="AZ132" s="817"/>
      <c r="BA132" s="609"/>
      <c r="BB132" s="609"/>
      <c r="BC132" s="816"/>
      <c r="BD132" s="816"/>
      <c r="BE132" s="816"/>
      <c r="BF132" s="816"/>
      <c r="BG132" s="816"/>
      <c r="BH132" s="816"/>
      <c r="BI132" s="816"/>
      <c r="BJ132" s="816"/>
      <c r="BK132" s="816"/>
      <c r="BL132" s="816"/>
      <c r="BM132" s="816"/>
      <c r="BN132" s="816"/>
      <c r="BO132" s="816"/>
      <c r="BP132" s="816"/>
      <c r="BQ132" s="816"/>
      <c r="BR132" s="816"/>
      <c r="BS132" s="816"/>
      <c r="BT132" s="816"/>
      <c r="BU132" s="816"/>
      <c r="BV132" s="816"/>
      <c r="BW132" s="816"/>
      <c r="BX132" s="609"/>
      <c r="BY132" s="609"/>
      <c r="BZ132" s="609"/>
      <c r="CA132" s="818"/>
      <c r="CB132" s="816"/>
      <c r="CC132" s="816"/>
      <c r="CD132" s="816"/>
      <c r="CE132" s="816"/>
      <c r="CF132" s="816"/>
      <c r="CG132" s="816"/>
      <c r="CH132" s="816"/>
      <c r="CI132" s="816"/>
      <c r="CJ132" s="819"/>
      <c r="CK132" s="819"/>
      <c r="CL132" s="820"/>
      <c r="CM132" s="820"/>
      <c r="CN132" s="820"/>
      <c r="CO132" s="820"/>
      <c r="CP132" s="820"/>
      <c r="CQ132" s="820"/>
      <c r="CR132" s="609"/>
      <c r="CS132" s="609"/>
      <c r="CT132" s="816"/>
      <c r="CU132" s="816"/>
      <c r="CV132" s="609"/>
      <c r="CW132" s="609"/>
      <c r="CX132" s="816"/>
      <c r="CY132" s="816"/>
      <c r="CZ132" s="609"/>
      <c r="DA132" s="609"/>
      <c r="DB132" s="816"/>
      <c r="DC132" s="816"/>
      <c r="DD132" s="609"/>
      <c r="DE132" s="609"/>
      <c r="DF132" s="816"/>
      <c r="DG132" s="816"/>
      <c r="DH132" s="816"/>
      <c r="DI132" s="816"/>
      <c r="DJ132" s="816"/>
      <c r="DK132" s="816"/>
      <c r="DL132" s="609"/>
      <c r="DM132" s="609"/>
      <c r="DN132" s="816"/>
      <c r="DO132" s="816"/>
      <c r="DP132" s="609"/>
      <c r="DQ132" s="609"/>
      <c r="DR132" s="816"/>
      <c r="DS132" s="816"/>
      <c r="DT132" s="816"/>
      <c r="DU132" s="816"/>
      <c r="DV132" s="816"/>
      <c r="DW132" s="816"/>
      <c r="DX132" s="816"/>
      <c r="DY132" s="816"/>
      <c r="DZ132" s="816"/>
      <c r="EA132" s="816"/>
      <c r="EB132" s="816"/>
      <c r="EC132" s="816"/>
      <c r="ED132" s="816"/>
      <c r="EE132" s="816"/>
      <c r="EF132" s="609"/>
      <c r="EG132" s="609"/>
      <c r="EH132" s="816"/>
      <c r="EI132" s="816"/>
      <c r="EJ132" s="816"/>
      <c r="EK132" s="816"/>
      <c r="EL132" s="816"/>
      <c r="EM132" s="816"/>
      <c r="EN132" s="816"/>
      <c r="EO132" s="816"/>
      <c r="EP132" s="816"/>
      <c r="EQ132" s="816"/>
      <c r="ER132" s="816"/>
      <c r="ES132" s="816"/>
      <c r="ET132" s="816"/>
      <c r="EU132" s="816"/>
      <c r="EV132" s="609"/>
      <c r="EW132" s="609"/>
      <c r="EX132" s="816"/>
      <c r="EY132" s="816"/>
      <c r="EZ132" s="816"/>
      <c r="FA132" s="816"/>
      <c r="FB132" s="816"/>
      <c r="FC132" s="816"/>
      <c r="FD132" s="816"/>
      <c r="FE132" s="816"/>
      <c r="FF132" s="816"/>
      <c r="FG132" s="816"/>
      <c r="FH132" s="816"/>
      <c r="FI132" s="816"/>
      <c r="FJ132" s="816"/>
      <c r="FK132" s="816"/>
      <c r="FL132" s="816"/>
      <c r="FM132" s="816"/>
      <c r="FN132" s="816"/>
      <c r="FO132" s="816"/>
      <c r="FP132" s="816"/>
      <c r="FQ132" s="816"/>
      <c r="FR132" s="816"/>
      <c r="FS132" s="816"/>
      <c r="FT132" s="816"/>
      <c r="FU132" s="816"/>
      <c r="FV132" s="816"/>
      <c r="FW132" s="816"/>
      <c r="FX132" s="816"/>
      <c r="FY132" s="816"/>
      <c r="FZ132" s="819"/>
      <c r="GA132" s="816"/>
      <c r="GB132" s="820"/>
      <c r="GC132" s="820"/>
      <c r="GD132" s="820"/>
      <c r="GE132" s="820"/>
      <c r="GF132" s="609"/>
      <c r="GG132" s="609"/>
      <c r="GH132" s="816"/>
      <c r="GI132" s="816"/>
      <c r="GJ132" s="816"/>
      <c r="GK132" s="816"/>
      <c r="GL132" s="816"/>
      <c r="GM132" s="816"/>
      <c r="GN132" s="816"/>
      <c r="GO132" s="816"/>
      <c r="GP132" s="816"/>
      <c r="GQ132" s="816"/>
      <c r="GR132" s="816"/>
      <c r="GS132" s="816"/>
      <c r="GT132" s="818"/>
      <c r="GU132" s="816"/>
      <c r="GV132" s="816"/>
      <c r="GW132" s="816"/>
      <c r="GX132" s="816"/>
      <c r="GY132" s="816"/>
      <c r="GZ132" s="816"/>
      <c r="HA132" s="816"/>
      <c r="HB132" s="609"/>
      <c r="HC132" s="609"/>
      <c r="HD132" s="816"/>
      <c r="HE132" s="816"/>
      <c r="HF132" s="816"/>
      <c r="HG132" s="816"/>
      <c r="HH132" s="816"/>
      <c r="HI132" s="816"/>
      <c r="HJ132" s="609"/>
      <c r="HK132" s="609"/>
      <c r="HL132" s="609"/>
      <c r="HM132" s="816"/>
      <c r="HN132" s="816"/>
      <c r="HO132" s="609"/>
      <c r="HP132" s="609"/>
      <c r="HQ132" s="816"/>
      <c r="HR132" s="816"/>
      <c r="HS132" s="816"/>
      <c r="HT132" s="816"/>
      <c r="HU132" s="816"/>
      <c r="HV132" s="816"/>
      <c r="HW132" s="609"/>
      <c r="HX132" s="609"/>
      <c r="HY132" s="816"/>
      <c r="HZ132" s="816"/>
      <c r="IA132" s="816"/>
      <c r="IB132" s="816"/>
      <c r="IC132" s="816"/>
      <c r="ID132" s="816"/>
      <c r="IE132" s="609"/>
      <c r="IF132" s="609"/>
      <c r="IG132" s="816"/>
      <c r="IH132" s="816"/>
      <c r="II132" s="609"/>
      <c r="IJ132" s="609"/>
      <c r="IK132" s="816"/>
      <c r="IL132" s="816"/>
      <c r="IM132" s="609"/>
      <c r="IN132" s="609"/>
      <c r="IO132" s="816"/>
      <c r="IP132" s="816"/>
      <c r="IQ132" s="816"/>
      <c r="IR132" s="816"/>
      <c r="IS132" s="816"/>
      <c r="IT132" s="816"/>
      <c r="IU132" s="821"/>
      <c r="IV132" s="609"/>
      <c r="IW132" s="816"/>
      <c r="IX132" s="816"/>
      <c r="IY132" s="822"/>
      <c r="IZ132" s="609"/>
      <c r="JA132" s="816"/>
      <c r="JB132" s="816"/>
      <c r="JC132" s="609"/>
      <c r="JD132" s="816"/>
      <c r="JE132" s="816"/>
      <c r="JF132" s="816"/>
      <c r="JG132" s="816"/>
      <c r="JH132" s="816"/>
      <c r="JI132" s="816"/>
      <c r="JJ132" s="816"/>
      <c r="JK132" s="816"/>
      <c r="JL132" s="816"/>
      <c r="JM132" s="816"/>
      <c r="JN132" s="816"/>
      <c r="JO132" s="823"/>
      <c r="JP132" s="824"/>
      <c r="JQ132" s="825"/>
      <c r="JR132" s="825"/>
      <c r="JS132" s="816"/>
      <c r="JU132" s="826"/>
      <c r="JV132" s="826"/>
      <c r="JW132" s="826"/>
      <c r="JX132" s="826"/>
    </row>
    <row r="133" spans="2:284" s="780" customFormat="1">
      <c r="B133" s="609"/>
      <c r="C133" s="609"/>
      <c r="D133" s="609"/>
      <c r="E133" s="609"/>
      <c r="F133" s="609"/>
      <c r="G133" s="609"/>
      <c r="H133" s="609"/>
      <c r="I133" s="609"/>
      <c r="J133" s="609"/>
      <c r="K133" s="609"/>
      <c r="L133" s="609"/>
      <c r="M133" s="609"/>
      <c r="N133" s="609"/>
      <c r="O133" s="609"/>
      <c r="P133" s="609"/>
      <c r="Q133" s="609"/>
      <c r="R133" s="609"/>
      <c r="S133" s="609"/>
      <c r="T133" s="609"/>
      <c r="U133" s="609"/>
      <c r="V133" s="609"/>
      <c r="W133" s="609"/>
      <c r="X133" s="609"/>
      <c r="Y133" s="609"/>
      <c r="Z133" s="609"/>
      <c r="AA133" s="609"/>
      <c r="AB133" s="609"/>
      <c r="AC133" s="609"/>
      <c r="AD133" s="816"/>
      <c r="AE133" s="816"/>
      <c r="AF133" s="816"/>
      <c r="AG133" s="816"/>
      <c r="AH133" s="816"/>
      <c r="AI133" s="816"/>
      <c r="AJ133" s="609"/>
      <c r="AK133" s="609"/>
      <c r="AL133" s="816"/>
      <c r="AM133" s="816"/>
      <c r="AN133" s="609"/>
      <c r="AO133" s="609"/>
      <c r="AP133" s="816"/>
      <c r="AQ133" s="816"/>
      <c r="AR133" s="816"/>
      <c r="AS133" s="816"/>
      <c r="AT133" s="816"/>
      <c r="AU133" s="816"/>
      <c r="AV133" s="609"/>
      <c r="AW133" s="609"/>
      <c r="AX133" s="816"/>
      <c r="AY133" s="816"/>
      <c r="AZ133" s="817"/>
      <c r="BA133" s="609"/>
      <c r="BB133" s="609"/>
      <c r="BC133" s="816"/>
      <c r="BD133" s="816"/>
      <c r="BE133" s="816"/>
      <c r="BF133" s="816"/>
      <c r="BG133" s="816"/>
      <c r="BH133" s="816"/>
      <c r="BI133" s="816"/>
      <c r="BJ133" s="816"/>
      <c r="BK133" s="816"/>
      <c r="BL133" s="816"/>
      <c r="BM133" s="816"/>
      <c r="BN133" s="816"/>
      <c r="BO133" s="816"/>
      <c r="BP133" s="816"/>
      <c r="BQ133" s="816"/>
      <c r="BR133" s="816"/>
      <c r="BS133" s="816"/>
      <c r="BT133" s="816"/>
      <c r="BU133" s="816"/>
      <c r="BV133" s="816"/>
      <c r="BW133" s="816"/>
      <c r="BX133" s="609"/>
      <c r="BY133" s="609"/>
      <c r="BZ133" s="609"/>
      <c r="CA133" s="818"/>
      <c r="CB133" s="816"/>
      <c r="CC133" s="816"/>
      <c r="CD133" s="816"/>
      <c r="CE133" s="816"/>
      <c r="CF133" s="816"/>
      <c r="CG133" s="816"/>
      <c r="CH133" s="816"/>
      <c r="CI133" s="816"/>
      <c r="CJ133" s="819"/>
      <c r="CK133" s="819"/>
      <c r="CL133" s="820"/>
      <c r="CM133" s="820"/>
      <c r="CN133" s="820"/>
      <c r="CO133" s="820"/>
      <c r="CP133" s="820"/>
      <c r="CQ133" s="820"/>
      <c r="CR133" s="609"/>
      <c r="CS133" s="609"/>
      <c r="CT133" s="816"/>
      <c r="CU133" s="816"/>
      <c r="CV133" s="609"/>
      <c r="CW133" s="609"/>
      <c r="CX133" s="816"/>
      <c r="CY133" s="816"/>
      <c r="CZ133" s="609"/>
      <c r="DA133" s="609"/>
      <c r="DB133" s="816"/>
      <c r="DC133" s="816"/>
      <c r="DD133" s="609"/>
      <c r="DE133" s="609"/>
      <c r="DF133" s="816"/>
      <c r="DG133" s="816"/>
      <c r="DH133" s="816"/>
      <c r="DI133" s="816"/>
      <c r="DJ133" s="816"/>
      <c r="DK133" s="816"/>
      <c r="DL133" s="609"/>
      <c r="DM133" s="609"/>
      <c r="DN133" s="816"/>
      <c r="DO133" s="816"/>
      <c r="DP133" s="609"/>
      <c r="DQ133" s="609"/>
      <c r="DR133" s="816"/>
      <c r="DS133" s="816"/>
      <c r="DT133" s="816"/>
      <c r="DU133" s="816"/>
      <c r="DV133" s="816"/>
      <c r="DW133" s="816"/>
      <c r="DX133" s="816"/>
      <c r="DY133" s="816"/>
      <c r="DZ133" s="816"/>
      <c r="EA133" s="816"/>
      <c r="EB133" s="816"/>
      <c r="EC133" s="816"/>
      <c r="ED133" s="816"/>
      <c r="EE133" s="816"/>
      <c r="EF133" s="609"/>
      <c r="EG133" s="609"/>
      <c r="EH133" s="816"/>
      <c r="EI133" s="816"/>
      <c r="EJ133" s="816"/>
      <c r="EK133" s="816"/>
      <c r="EL133" s="816"/>
      <c r="EM133" s="816"/>
      <c r="EN133" s="816"/>
      <c r="EO133" s="816"/>
      <c r="EP133" s="816"/>
      <c r="EQ133" s="816"/>
      <c r="ER133" s="816"/>
      <c r="ES133" s="816"/>
      <c r="ET133" s="816"/>
      <c r="EU133" s="816"/>
      <c r="EV133" s="609"/>
      <c r="EW133" s="609"/>
      <c r="EX133" s="816"/>
      <c r="EY133" s="816"/>
      <c r="EZ133" s="816"/>
      <c r="FA133" s="816"/>
      <c r="FB133" s="816"/>
      <c r="FC133" s="816"/>
      <c r="FD133" s="816"/>
      <c r="FE133" s="816"/>
      <c r="FF133" s="816"/>
      <c r="FG133" s="816"/>
      <c r="FH133" s="816"/>
      <c r="FI133" s="816"/>
      <c r="FJ133" s="816"/>
      <c r="FK133" s="816"/>
      <c r="FL133" s="816"/>
      <c r="FM133" s="816"/>
      <c r="FN133" s="816"/>
      <c r="FO133" s="816"/>
      <c r="FP133" s="816"/>
      <c r="FQ133" s="816"/>
      <c r="FR133" s="816"/>
      <c r="FS133" s="816"/>
      <c r="FT133" s="816"/>
      <c r="FU133" s="816"/>
      <c r="FV133" s="816"/>
      <c r="FW133" s="816"/>
      <c r="FX133" s="816"/>
      <c r="FY133" s="816"/>
      <c r="FZ133" s="819"/>
      <c r="GA133" s="816"/>
      <c r="GB133" s="820"/>
      <c r="GC133" s="820"/>
      <c r="GD133" s="820"/>
      <c r="GE133" s="820"/>
      <c r="GF133" s="609"/>
      <c r="GG133" s="609"/>
      <c r="GH133" s="816"/>
      <c r="GI133" s="816"/>
      <c r="GJ133" s="816"/>
      <c r="GK133" s="816"/>
      <c r="GL133" s="816"/>
      <c r="GM133" s="816"/>
      <c r="GN133" s="816"/>
      <c r="GO133" s="816"/>
      <c r="GP133" s="816"/>
      <c r="GQ133" s="816"/>
      <c r="GR133" s="816"/>
      <c r="GS133" s="816"/>
      <c r="GT133" s="818"/>
      <c r="GU133" s="816"/>
      <c r="GV133" s="816"/>
      <c r="GW133" s="816"/>
      <c r="GX133" s="816"/>
      <c r="GY133" s="816"/>
      <c r="GZ133" s="816"/>
      <c r="HA133" s="816"/>
      <c r="HB133" s="609"/>
      <c r="HC133" s="609"/>
      <c r="HD133" s="816"/>
      <c r="HE133" s="816"/>
      <c r="HF133" s="816"/>
      <c r="HG133" s="816"/>
      <c r="HH133" s="816"/>
      <c r="HI133" s="816"/>
      <c r="HJ133" s="609"/>
      <c r="HK133" s="609"/>
      <c r="HL133" s="609"/>
      <c r="HM133" s="816"/>
      <c r="HN133" s="816"/>
      <c r="HO133" s="609"/>
      <c r="HP133" s="609"/>
      <c r="HQ133" s="816"/>
      <c r="HR133" s="816"/>
      <c r="HS133" s="816"/>
      <c r="HT133" s="816"/>
      <c r="HU133" s="816"/>
      <c r="HV133" s="816"/>
      <c r="HW133" s="609"/>
      <c r="HX133" s="609"/>
      <c r="HY133" s="816"/>
      <c r="HZ133" s="816"/>
      <c r="IA133" s="816"/>
      <c r="IB133" s="816"/>
      <c r="IC133" s="816"/>
      <c r="ID133" s="816"/>
      <c r="IE133" s="609"/>
      <c r="IF133" s="609"/>
      <c r="IG133" s="816"/>
      <c r="IH133" s="816"/>
      <c r="II133" s="609"/>
      <c r="IJ133" s="609"/>
      <c r="IK133" s="816"/>
      <c r="IL133" s="816"/>
      <c r="IM133" s="609"/>
      <c r="IN133" s="609"/>
      <c r="IO133" s="816"/>
      <c r="IP133" s="816"/>
      <c r="IQ133" s="816"/>
      <c r="IR133" s="816"/>
      <c r="IS133" s="816"/>
      <c r="IT133" s="816"/>
      <c r="IU133" s="821"/>
      <c r="IV133" s="609"/>
      <c r="IW133" s="816"/>
      <c r="IX133" s="816"/>
      <c r="IY133" s="822"/>
      <c r="IZ133" s="609"/>
      <c r="JA133" s="816"/>
      <c r="JB133" s="816"/>
      <c r="JC133" s="609"/>
      <c r="JD133" s="816"/>
      <c r="JE133" s="816"/>
      <c r="JF133" s="816"/>
      <c r="JG133" s="816"/>
      <c r="JH133" s="816"/>
      <c r="JI133" s="816"/>
      <c r="JJ133" s="816"/>
      <c r="JK133" s="816"/>
      <c r="JL133" s="816"/>
      <c r="JM133" s="816"/>
      <c r="JN133" s="816"/>
      <c r="JO133" s="823"/>
      <c r="JP133" s="824"/>
      <c r="JQ133" s="825"/>
      <c r="JR133" s="825"/>
      <c r="JS133" s="816"/>
      <c r="JU133" s="826"/>
      <c r="JV133" s="826"/>
      <c r="JW133" s="826"/>
      <c r="JX133" s="826"/>
    </row>
    <row r="134" spans="2:284" s="780" customFormat="1">
      <c r="B134" s="609"/>
      <c r="C134" s="609"/>
      <c r="D134" s="609"/>
      <c r="E134" s="609"/>
      <c r="F134" s="609"/>
      <c r="G134" s="609"/>
      <c r="H134" s="609"/>
      <c r="I134" s="609"/>
      <c r="J134" s="609"/>
      <c r="K134" s="609"/>
      <c r="L134" s="609"/>
      <c r="M134" s="609"/>
      <c r="N134" s="609"/>
      <c r="O134" s="609"/>
      <c r="P134" s="609"/>
      <c r="Q134" s="609"/>
      <c r="R134" s="609"/>
      <c r="S134" s="609"/>
      <c r="T134" s="609"/>
      <c r="U134" s="609"/>
      <c r="V134" s="609"/>
      <c r="W134" s="609"/>
      <c r="X134" s="609"/>
      <c r="Y134" s="609"/>
      <c r="Z134" s="609"/>
      <c r="AA134" s="609"/>
      <c r="AB134" s="609"/>
      <c r="AC134" s="609"/>
      <c r="AD134" s="816"/>
      <c r="AE134" s="816"/>
      <c r="AF134" s="816"/>
      <c r="AG134" s="816"/>
      <c r="AH134" s="816"/>
      <c r="AI134" s="816"/>
      <c r="AJ134" s="609"/>
      <c r="AK134" s="609"/>
      <c r="AL134" s="816"/>
      <c r="AM134" s="816"/>
      <c r="AN134" s="609"/>
      <c r="AO134" s="609"/>
      <c r="AP134" s="816"/>
      <c r="AQ134" s="816"/>
      <c r="AR134" s="816"/>
      <c r="AS134" s="816"/>
      <c r="AT134" s="816"/>
      <c r="AU134" s="816"/>
      <c r="AV134" s="609"/>
      <c r="AW134" s="609"/>
      <c r="AX134" s="816"/>
      <c r="AY134" s="816"/>
      <c r="AZ134" s="817"/>
      <c r="BA134" s="609"/>
      <c r="BB134" s="609"/>
      <c r="BC134" s="816"/>
      <c r="BD134" s="816"/>
      <c r="BE134" s="816"/>
      <c r="BF134" s="816"/>
      <c r="BG134" s="816"/>
      <c r="BH134" s="816"/>
      <c r="BI134" s="816"/>
      <c r="BJ134" s="816"/>
      <c r="BK134" s="816"/>
      <c r="BL134" s="816"/>
      <c r="BM134" s="816"/>
      <c r="BN134" s="816"/>
      <c r="BO134" s="816"/>
      <c r="BP134" s="816"/>
      <c r="BQ134" s="816"/>
      <c r="BR134" s="816"/>
      <c r="BS134" s="816"/>
      <c r="BT134" s="816"/>
      <c r="BU134" s="816"/>
      <c r="BV134" s="816"/>
      <c r="BW134" s="816"/>
      <c r="BX134" s="609"/>
      <c r="BY134" s="609"/>
      <c r="BZ134" s="609"/>
      <c r="CA134" s="818"/>
      <c r="CB134" s="816"/>
      <c r="CC134" s="816"/>
      <c r="CD134" s="816"/>
      <c r="CE134" s="816"/>
      <c r="CF134" s="816"/>
      <c r="CG134" s="816"/>
      <c r="CH134" s="816"/>
      <c r="CI134" s="816"/>
      <c r="CJ134" s="819"/>
      <c r="CK134" s="819"/>
      <c r="CL134" s="820"/>
      <c r="CM134" s="820"/>
      <c r="CN134" s="820"/>
      <c r="CO134" s="820"/>
      <c r="CP134" s="820"/>
      <c r="CQ134" s="820"/>
      <c r="CR134" s="609"/>
      <c r="CS134" s="609"/>
      <c r="CT134" s="816"/>
      <c r="CU134" s="816"/>
      <c r="CV134" s="609"/>
      <c r="CW134" s="609"/>
      <c r="CX134" s="816"/>
      <c r="CY134" s="816"/>
      <c r="CZ134" s="609"/>
      <c r="DA134" s="609"/>
      <c r="DB134" s="816"/>
      <c r="DC134" s="816"/>
      <c r="DD134" s="609"/>
      <c r="DE134" s="609"/>
      <c r="DF134" s="816"/>
      <c r="DG134" s="816"/>
      <c r="DH134" s="816"/>
      <c r="DI134" s="816"/>
      <c r="DJ134" s="816"/>
      <c r="DK134" s="816"/>
      <c r="DL134" s="609"/>
      <c r="DM134" s="609"/>
      <c r="DN134" s="816"/>
      <c r="DO134" s="816"/>
      <c r="DP134" s="609"/>
      <c r="DQ134" s="609"/>
      <c r="DR134" s="816"/>
      <c r="DS134" s="816"/>
      <c r="DT134" s="816"/>
      <c r="DU134" s="816"/>
      <c r="DV134" s="816"/>
      <c r="DW134" s="816"/>
      <c r="DX134" s="816"/>
      <c r="DY134" s="816"/>
      <c r="DZ134" s="816"/>
      <c r="EA134" s="816"/>
      <c r="EB134" s="816"/>
      <c r="EC134" s="816"/>
      <c r="ED134" s="816"/>
      <c r="EE134" s="816"/>
      <c r="EF134" s="609"/>
      <c r="EG134" s="609"/>
      <c r="EH134" s="816"/>
      <c r="EI134" s="816"/>
      <c r="EJ134" s="816"/>
      <c r="EK134" s="816"/>
      <c r="EL134" s="816"/>
      <c r="EM134" s="816"/>
      <c r="EN134" s="816"/>
      <c r="EO134" s="816"/>
      <c r="EP134" s="816"/>
      <c r="EQ134" s="816"/>
      <c r="ER134" s="816"/>
      <c r="ES134" s="816"/>
      <c r="ET134" s="816"/>
      <c r="EU134" s="816"/>
      <c r="EV134" s="609"/>
      <c r="EW134" s="609"/>
      <c r="EX134" s="816"/>
      <c r="EY134" s="816"/>
      <c r="EZ134" s="816"/>
      <c r="FA134" s="816"/>
      <c r="FB134" s="816"/>
      <c r="FC134" s="816"/>
      <c r="FD134" s="816"/>
      <c r="FE134" s="816"/>
      <c r="FF134" s="816"/>
      <c r="FG134" s="816"/>
      <c r="FH134" s="816"/>
      <c r="FI134" s="816"/>
      <c r="FJ134" s="816"/>
      <c r="FK134" s="816"/>
      <c r="FL134" s="816"/>
      <c r="FM134" s="816"/>
      <c r="FN134" s="816"/>
      <c r="FO134" s="816"/>
      <c r="FP134" s="816"/>
      <c r="FQ134" s="816"/>
      <c r="FR134" s="816"/>
      <c r="FS134" s="816"/>
      <c r="FT134" s="816"/>
      <c r="FU134" s="816"/>
      <c r="FV134" s="816"/>
      <c r="FW134" s="816"/>
      <c r="FX134" s="816"/>
      <c r="FY134" s="816"/>
      <c r="FZ134" s="819"/>
      <c r="GA134" s="816"/>
      <c r="GB134" s="820"/>
      <c r="GC134" s="820"/>
      <c r="GD134" s="820"/>
      <c r="GE134" s="820"/>
      <c r="GF134" s="609"/>
      <c r="GG134" s="609"/>
      <c r="GH134" s="816"/>
      <c r="GI134" s="816"/>
      <c r="GJ134" s="816"/>
      <c r="GK134" s="816"/>
      <c r="GL134" s="816"/>
      <c r="GM134" s="816"/>
      <c r="GN134" s="816"/>
      <c r="GO134" s="816"/>
      <c r="GP134" s="816"/>
      <c r="GQ134" s="816"/>
      <c r="GR134" s="816"/>
      <c r="GS134" s="816"/>
      <c r="GT134" s="818"/>
      <c r="GU134" s="816"/>
      <c r="GV134" s="816"/>
      <c r="GW134" s="816"/>
      <c r="GX134" s="816"/>
      <c r="GY134" s="816"/>
      <c r="GZ134" s="816"/>
      <c r="HA134" s="816"/>
      <c r="HB134" s="609"/>
      <c r="HC134" s="609"/>
      <c r="HD134" s="816"/>
      <c r="HE134" s="816"/>
      <c r="HF134" s="816"/>
      <c r="HG134" s="816"/>
      <c r="HH134" s="816"/>
      <c r="HI134" s="816"/>
      <c r="HJ134" s="609"/>
      <c r="HK134" s="609"/>
      <c r="HL134" s="609"/>
      <c r="HM134" s="816"/>
      <c r="HN134" s="816"/>
      <c r="HO134" s="609"/>
      <c r="HP134" s="609"/>
      <c r="HQ134" s="816"/>
      <c r="HR134" s="816"/>
      <c r="HS134" s="816"/>
      <c r="HT134" s="816"/>
      <c r="HU134" s="816"/>
      <c r="HV134" s="816"/>
      <c r="HW134" s="609"/>
      <c r="HX134" s="609"/>
      <c r="HY134" s="816"/>
      <c r="HZ134" s="816"/>
      <c r="IA134" s="816"/>
      <c r="IB134" s="816"/>
      <c r="IC134" s="816"/>
      <c r="ID134" s="816"/>
      <c r="IE134" s="609"/>
      <c r="IF134" s="609"/>
      <c r="IG134" s="816"/>
      <c r="IH134" s="816"/>
      <c r="II134" s="609"/>
      <c r="IJ134" s="609"/>
      <c r="IK134" s="816"/>
      <c r="IL134" s="816"/>
      <c r="IM134" s="609"/>
      <c r="IN134" s="609"/>
      <c r="IO134" s="816"/>
      <c r="IP134" s="816"/>
      <c r="IQ134" s="816"/>
      <c r="IR134" s="816"/>
      <c r="IS134" s="816"/>
      <c r="IT134" s="816"/>
      <c r="IU134" s="821"/>
      <c r="IV134" s="609"/>
      <c r="IW134" s="816"/>
      <c r="IX134" s="816"/>
      <c r="IY134" s="822"/>
      <c r="IZ134" s="609"/>
      <c r="JA134" s="816"/>
      <c r="JB134" s="816"/>
      <c r="JC134" s="609"/>
      <c r="JD134" s="816"/>
      <c r="JE134" s="816"/>
      <c r="JF134" s="816"/>
      <c r="JG134" s="816"/>
      <c r="JH134" s="816"/>
      <c r="JI134" s="816"/>
      <c r="JJ134" s="816"/>
      <c r="JK134" s="816"/>
      <c r="JL134" s="816"/>
      <c r="JM134" s="816"/>
      <c r="JN134" s="816"/>
      <c r="JO134" s="823"/>
      <c r="JP134" s="824"/>
      <c r="JQ134" s="825"/>
      <c r="JR134" s="825"/>
      <c r="JS134" s="816"/>
      <c r="JU134" s="826"/>
      <c r="JV134" s="826"/>
      <c r="JW134" s="826"/>
      <c r="JX134" s="826"/>
    </row>
    <row r="135" spans="2:284" s="780" customFormat="1">
      <c r="B135" s="609"/>
      <c r="C135" s="609"/>
      <c r="D135" s="609"/>
      <c r="E135" s="609"/>
      <c r="F135" s="609"/>
      <c r="G135" s="609"/>
      <c r="H135" s="609"/>
      <c r="I135" s="609"/>
      <c r="J135" s="609"/>
      <c r="K135" s="609"/>
      <c r="L135" s="609"/>
      <c r="M135" s="609"/>
      <c r="N135" s="609"/>
      <c r="O135" s="609"/>
      <c r="P135" s="609"/>
      <c r="Q135" s="609"/>
      <c r="R135" s="609"/>
      <c r="S135" s="609"/>
      <c r="T135" s="609"/>
      <c r="U135" s="609"/>
      <c r="V135" s="609"/>
      <c r="W135" s="609"/>
      <c r="X135" s="609"/>
      <c r="Y135" s="609"/>
      <c r="Z135" s="609"/>
      <c r="AA135" s="609"/>
      <c r="AB135" s="609"/>
      <c r="AC135" s="609"/>
      <c r="AD135" s="816"/>
      <c r="AE135" s="816"/>
      <c r="AF135" s="816"/>
      <c r="AG135" s="816"/>
      <c r="AH135" s="816"/>
      <c r="AI135" s="816"/>
      <c r="AJ135" s="609"/>
      <c r="AK135" s="609"/>
      <c r="AL135" s="816"/>
      <c r="AM135" s="816"/>
      <c r="AN135" s="609"/>
      <c r="AO135" s="609"/>
      <c r="AP135" s="816"/>
      <c r="AQ135" s="816"/>
      <c r="AR135" s="816"/>
      <c r="AS135" s="816"/>
      <c r="AT135" s="816"/>
      <c r="AU135" s="816"/>
      <c r="AV135" s="609"/>
      <c r="AW135" s="609"/>
      <c r="AX135" s="816"/>
      <c r="AY135" s="816"/>
      <c r="AZ135" s="817"/>
      <c r="BA135" s="609"/>
      <c r="BB135" s="609"/>
      <c r="BC135" s="816"/>
      <c r="BD135" s="816"/>
      <c r="BE135" s="816"/>
      <c r="BF135" s="816"/>
      <c r="BG135" s="816"/>
      <c r="BH135" s="816"/>
      <c r="BI135" s="816"/>
      <c r="BJ135" s="816"/>
      <c r="BK135" s="816"/>
      <c r="BL135" s="816"/>
      <c r="BM135" s="816"/>
      <c r="BN135" s="816"/>
      <c r="BO135" s="816"/>
      <c r="BP135" s="816"/>
      <c r="BQ135" s="816"/>
      <c r="BR135" s="816"/>
      <c r="BS135" s="816"/>
      <c r="BT135" s="816"/>
      <c r="BU135" s="816"/>
      <c r="BV135" s="816"/>
      <c r="BW135" s="816"/>
      <c r="BX135" s="609"/>
      <c r="BY135" s="609"/>
      <c r="BZ135" s="609"/>
      <c r="CA135" s="818"/>
      <c r="CB135" s="816"/>
      <c r="CC135" s="816"/>
      <c r="CD135" s="816"/>
      <c r="CE135" s="816"/>
      <c r="CF135" s="816"/>
      <c r="CG135" s="816"/>
      <c r="CH135" s="816"/>
      <c r="CI135" s="816"/>
      <c r="CJ135" s="819"/>
      <c r="CK135" s="819"/>
      <c r="CL135" s="820"/>
      <c r="CM135" s="820"/>
      <c r="CN135" s="820"/>
      <c r="CO135" s="820"/>
      <c r="CP135" s="820"/>
      <c r="CQ135" s="820"/>
      <c r="CR135" s="609"/>
      <c r="CS135" s="609"/>
      <c r="CT135" s="816"/>
      <c r="CU135" s="816"/>
      <c r="CV135" s="609"/>
      <c r="CW135" s="609"/>
      <c r="CX135" s="816"/>
      <c r="CY135" s="816"/>
      <c r="CZ135" s="609"/>
      <c r="DA135" s="609"/>
      <c r="DB135" s="816"/>
      <c r="DC135" s="816"/>
      <c r="DD135" s="609"/>
      <c r="DE135" s="609"/>
      <c r="DF135" s="816"/>
      <c r="DG135" s="816"/>
      <c r="DH135" s="816"/>
      <c r="DI135" s="816"/>
      <c r="DJ135" s="816"/>
      <c r="DK135" s="816"/>
      <c r="DL135" s="609"/>
      <c r="DM135" s="609"/>
      <c r="DN135" s="816"/>
      <c r="DO135" s="816"/>
      <c r="DP135" s="609"/>
      <c r="DQ135" s="609"/>
      <c r="DR135" s="816"/>
      <c r="DS135" s="816"/>
      <c r="DT135" s="816"/>
      <c r="DU135" s="816"/>
      <c r="DV135" s="816"/>
      <c r="DW135" s="816"/>
      <c r="DX135" s="816"/>
      <c r="DY135" s="816"/>
      <c r="DZ135" s="816"/>
      <c r="EA135" s="816"/>
      <c r="EB135" s="816"/>
      <c r="EC135" s="816"/>
      <c r="ED135" s="816"/>
      <c r="EE135" s="816"/>
      <c r="EF135" s="609"/>
      <c r="EG135" s="609"/>
      <c r="EH135" s="816"/>
      <c r="EI135" s="816"/>
      <c r="EJ135" s="816"/>
      <c r="EK135" s="816"/>
      <c r="EL135" s="816"/>
      <c r="EM135" s="816"/>
      <c r="EN135" s="816"/>
      <c r="EO135" s="816"/>
      <c r="EP135" s="816"/>
      <c r="EQ135" s="816"/>
      <c r="ER135" s="816"/>
      <c r="ES135" s="816"/>
      <c r="ET135" s="816"/>
      <c r="EU135" s="816"/>
      <c r="EV135" s="609"/>
      <c r="EW135" s="609"/>
      <c r="EX135" s="816"/>
      <c r="EY135" s="816"/>
      <c r="EZ135" s="816"/>
      <c r="FA135" s="816"/>
      <c r="FB135" s="816"/>
      <c r="FC135" s="816"/>
      <c r="FD135" s="816"/>
      <c r="FE135" s="816"/>
      <c r="FF135" s="816"/>
      <c r="FG135" s="816"/>
      <c r="FH135" s="816"/>
      <c r="FI135" s="816"/>
      <c r="FJ135" s="816"/>
      <c r="FK135" s="816"/>
      <c r="FL135" s="816"/>
      <c r="FM135" s="816"/>
      <c r="FN135" s="816"/>
      <c r="FO135" s="816"/>
      <c r="FP135" s="816"/>
      <c r="FQ135" s="816"/>
      <c r="FR135" s="816"/>
      <c r="FS135" s="816"/>
      <c r="FT135" s="816"/>
      <c r="FU135" s="816"/>
      <c r="FV135" s="816"/>
      <c r="FW135" s="816"/>
      <c r="FX135" s="816"/>
      <c r="FY135" s="816"/>
      <c r="FZ135" s="819"/>
      <c r="GA135" s="816"/>
      <c r="GB135" s="820"/>
      <c r="GC135" s="820"/>
      <c r="GD135" s="820"/>
      <c r="GE135" s="820"/>
      <c r="GF135" s="609"/>
      <c r="GG135" s="609"/>
      <c r="GH135" s="816"/>
      <c r="GI135" s="816"/>
      <c r="GJ135" s="816"/>
      <c r="GK135" s="816"/>
      <c r="GL135" s="816"/>
      <c r="GM135" s="816"/>
      <c r="GN135" s="816"/>
      <c r="GO135" s="816"/>
      <c r="GP135" s="816"/>
      <c r="GQ135" s="816"/>
      <c r="GR135" s="816"/>
      <c r="GS135" s="816"/>
      <c r="GT135" s="818"/>
      <c r="GU135" s="816"/>
      <c r="GV135" s="816"/>
      <c r="GW135" s="816"/>
      <c r="GX135" s="816"/>
      <c r="GY135" s="816"/>
      <c r="GZ135" s="816"/>
      <c r="HA135" s="816"/>
      <c r="HB135" s="609"/>
      <c r="HC135" s="609"/>
      <c r="HD135" s="816"/>
      <c r="HE135" s="816"/>
      <c r="HF135" s="816"/>
      <c r="HG135" s="816"/>
      <c r="HH135" s="816"/>
      <c r="HI135" s="816"/>
      <c r="HJ135" s="609"/>
      <c r="HK135" s="609"/>
      <c r="HL135" s="609"/>
      <c r="HM135" s="816"/>
      <c r="HN135" s="816"/>
      <c r="HO135" s="609"/>
      <c r="HP135" s="609"/>
      <c r="HQ135" s="816"/>
      <c r="HR135" s="816"/>
      <c r="HS135" s="816"/>
      <c r="HT135" s="816"/>
      <c r="HU135" s="816"/>
      <c r="HV135" s="816"/>
      <c r="HW135" s="609"/>
      <c r="HX135" s="609"/>
      <c r="HY135" s="816"/>
      <c r="HZ135" s="816"/>
      <c r="IA135" s="816"/>
      <c r="IB135" s="816"/>
      <c r="IC135" s="816"/>
      <c r="ID135" s="816"/>
      <c r="IE135" s="609"/>
      <c r="IF135" s="609"/>
      <c r="IG135" s="816"/>
      <c r="IH135" s="816"/>
      <c r="II135" s="609"/>
      <c r="IJ135" s="609"/>
      <c r="IK135" s="816"/>
      <c r="IL135" s="816"/>
      <c r="IM135" s="609"/>
      <c r="IN135" s="609"/>
      <c r="IO135" s="816"/>
      <c r="IP135" s="816"/>
      <c r="IQ135" s="816"/>
      <c r="IR135" s="816"/>
      <c r="IS135" s="816"/>
      <c r="IT135" s="816"/>
      <c r="IU135" s="821"/>
      <c r="IV135" s="609"/>
      <c r="IW135" s="816"/>
      <c r="IX135" s="816"/>
      <c r="IY135" s="822"/>
      <c r="IZ135" s="609"/>
      <c r="JA135" s="816"/>
      <c r="JB135" s="816"/>
      <c r="JC135" s="609"/>
      <c r="JD135" s="816"/>
      <c r="JE135" s="816"/>
      <c r="JF135" s="816"/>
      <c r="JG135" s="816"/>
      <c r="JH135" s="816"/>
      <c r="JI135" s="816"/>
      <c r="JJ135" s="816"/>
      <c r="JK135" s="816"/>
      <c r="JL135" s="816"/>
      <c r="JM135" s="816"/>
      <c r="JN135" s="816"/>
      <c r="JO135" s="823"/>
      <c r="JP135" s="824"/>
      <c r="JQ135" s="825"/>
      <c r="JR135" s="825"/>
      <c r="JS135" s="816"/>
      <c r="JU135" s="826"/>
      <c r="JV135" s="826"/>
      <c r="JW135" s="826"/>
      <c r="JX135" s="826"/>
    </row>
    <row r="136" spans="2:284" s="780" customFormat="1">
      <c r="B136" s="609"/>
      <c r="C136" s="609"/>
      <c r="D136" s="609"/>
      <c r="E136" s="609"/>
      <c r="F136" s="609"/>
      <c r="G136" s="609"/>
      <c r="H136" s="609"/>
      <c r="I136" s="609"/>
      <c r="J136" s="609"/>
      <c r="K136" s="609"/>
      <c r="L136" s="609"/>
      <c r="M136" s="609"/>
      <c r="N136" s="609"/>
      <c r="O136" s="609"/>
      <c r="P136" s="609"/>
      <c r="Q136" s="609"/>
      <c r="R136" s="609"/>
      <c r="S136" s="609"/>
      <c r="T136" s="609"/>
      <c r="U136" s="609"/>
      <c r="V136" s="609"/>
      <c r="W136" s="609"/>
      <c r="X136" s="609"/>
      <c r="Y136" s="609"/>
      <c r="Z136" s="609"/>
      <c r="AA136" s="609"/>
      <c r="AB136" s="609"/>
      <c r="AC136" s="609"/>
      <c r="AD136" s="816"/>
      <c r="AE136" s="816"/>
      <c r="AF136" s="816"/>
      <c r="AG136" s="816"/>
      <c r="AH136" s="816"/>
      <c r="AI136" s="816"/>
      <c r="AJ136" s="609"/>
      <c r="AK136" s="609"/>
      <c r="AL136" s="816"/>
      <c r="AM136" s="816"/>
      <c r="AN136" s="609"/>
      <c r="AO136" s="609"/>
      <c r="AP136" s="816"/>
      <c r="AQ136" s="816"/>
      <c r="AR136" s="816"/>
      <c r="AS136" s="816"/>
      <c r="AT136" s="816"/>
      <c r="AU136" s="816"/>
      <c r="AV136" s="609"/>
      <c r="AW136" s="609"/>
      <c r="AX136" s="816"/>
      <c r="AY136" s="816"/>
      <c r="AZ136" s="817"/>
      <c r="BA136" s="609"/>
      <c r="BB136" s="609"/>
      <c r="BC136" s="816"/>
      <c r="BD136" s="816"/>
      <c r="BE136" s="816"/>
      <c r="BF136" s="816"/>
      <c r="BG136" s="816"/>
      <c r="BH136" s="816"/>
      <c r="BI136" s="816"/>
      <c r="BJ136" s="816"/>
      <c r="BK136" s="816"/>
      <c r="BL136" s="816"/>
      <c r="BM136" s="816"/>
      <c r="BN136" s="816"/>
      <c r="BO136" s="816"/>
      <c r="BP136" s="816"/>
      <c r="BQ136" s="816"/>
      <c r="BR136" s="816"/>
      <c r="BS136" s="816"/>
      <c r="BT136" s="816"/>
      <c r="BU136" s="816"/>
      <c r="BV136" s="816"/>
      <c r="BW136" s="816"/>
      <c r="BX136" s="609"/>
      <c r="BY136" s="609"/>
      <c r="BZ136" s="609"/>
      <c r="CA136" s="818"/>
      <c r="CB136" s="816"/>
      <c r="CC136" s="816"/>
      <c r="CD136" s="816"/>
      <c r="CE136" s="816"/>
      <c r="CF136" s="816"/>
      <c r="CG136" s="816"/>
      <c r="CH136" s="816"/>
      <c r="CI136" s="816"/>
      <c r="CJ136" s="819"/>
      <c r="CK136" s="819"/>
      <c r="CL136" s="820"/>
      <c r="CM136" s="820"/>
      <c r="CN136" s="820"/>
      <c r="CO136" s="820"/>
      <c r="CP136" s="820"/>
      <c r="CQ136" s="820"/>
      <c r="CR136" s="609"/>
      <c r="CS136" s="609"/>
      <c r="CT136" s="816"/>
      <c r="CU136" s="816"/>
      <c r="CV136" s="609"/>
      <c r="CW136" s="609"/>
      <c r="CX136" s="816"/>
      <c r="CY136" s="816"/>
      <c r="CZ136" s="609"/>
      <c r="DA136" s="609"/>
      <c r="DB136" s="816"/>
      <c r="DC136" s="816"/>
      <c r="DD136" s="609"/>
      <c r="DE136" s="609"/>
      <c r="DF136" s="816"/>
      <c r="DG136" s="816"/>
      <c r="DH136" s="816"/>
      <c r="DI136" s="816"/>
      <c r="DJ136" s="816"/>
      <c r="DK136" s="816"/>
      <c r="DL136" s="609"/>
      <c r="DM136" s="609"/>
      <c r="DN136" s="816"/>
      <c r="DO136" s="816"/>
      <c r="DP136" s="609"/>
      <c r="DQ136" s="609"/>
      <c r="DR136" s="816"/>
      <c r="DS136" s="816"/>
      <c r="DT136" s="816"/>
      <c r="DU136" s="816"/>
      <c r="DV136" s="816"/>
      <c r="DW136" s="816"/>
      <c r="DX136" s="816"/>
      <c r="DY136" s="816"/>
      <c r="DZ136" s="816"/>
      <c r="EA136" s="816"/>
      <c r="EB136" s="816"/>
      <c r="EC136" s="816"/>
      <c r="ED136" s="816"/>
      <c r="EE136" s="816"/>
      <c r="EF136" s="609"/>
      <c r="EG136" s="609"/>
      <c r="EH136" s="816"/>
      <c r="EI136" s="816"/>
      <c r="EJ136" s="816"/>
      <c r="EK136" s="816"/>
      <c r="EL136" s="816"/>
      <c r="EM136" s="816"/>
      <c r="EN136" s="816"/>
      <c r="EO136" s="816"/>
      <c r="EP136" s="816"/>
      <c r="EQ136" s="816"/>
      <c r="ER136" s="816"/>
      <c r="ES136" s="816"/>
      <c r="ET136" s="816"/>
      <c r="EU136" s="816"/>
      <c r="EV136" s="609"/>
      <c r="EW136" s="609"/>
      <c r="EX136" s="816"/>
      <c r="EY136" s="816"/>
      <c r="EZ136" s="816"/>
      <c r="FA136" s="816"/>
      <c r="FB136" s="816"/>
      <c r="FC136" s="816"/>
      <c r="FD136" s="816"/>
      <c r="FE136" s="816"/>
      <c r="FF136" s="816"/>
      <c r="FG136" s="816"/>
      <c r="FH136" s="816"/>
      <c r="FI136" s="816"/>
      <c r="FJ136" s="816"/>
      <c r="FK136" s="816"/>
      <c r="FL136" s="816"/>
      <c r="FM136" s="816"/>
      <c r="FN136" s="816"/>
      <c r="FO136" s="816"/>
      <c r="FP136" s="816"/>
      <c r="FQ136" s="816"/>
      <c r="FR136" s="816"/>
      <c r="FS136" s="816"/>
      <c r="FT136" s="816"/>
      <c r="FU136" s="816"/>
      <c r="FV136" s="816"/>
      <c r="FW136" s="816"/>
      <c r="FX136" s="816"/>
      <c r="FY136" s="816"/>
      <c r="FZ136" s="819"/>
      <c r="GA136" s="816"/>
      <c r="GB136" s="820"/>
      <c r="GC136" s="820"/>
      <c r="GD136" s="820"/>
      <c r="GE136" s="820"/>
      <c r="GF136" s="609"/>
      <c r="GG136" s="609"/>
      <c r="GH136" s="816"/>
      <c r="GI136" s="816"/>
      <c r="GJ136" s="816"/>
      <c r="GK136" s="816"/>
      <c r="GL136" s="816"/>
      <c r="GM136" s="816"/>
      <c r="GN136" s="816"/>
      <c r="GO136" s="816"/>
      <c r="GP136" s="816"/>
      <c r="GQ136" s="816"/>
      <c r="GR136" s="816"/>
      <c r="GS136" s="816"/>
      <c r="GT136" s="818"/>
      <c r="GU136" s="816"/>
      <c r="GV136" s="816"/>
      <c r="GW136" s="816"/>
      <c r="GX136" s="816"/>
      <c r="GY136" s="816"/>
      <c r="GZ136" s="816"/>
      <c r="HA136" s="816"/>
      <c r="HB136" s="609"/>
      <c r="HC136" s="609"/>
      <c r="HD136" s="816"/>
      <c r="HE136" s="816"/>
      <c r="HF136" s="816"/>
      <c r="HG136" s="816"/>
      <c r="HH136" s="816"/>
      <c r="HI136" s="816"/>
      <c r="HJ136" s="609"/>
      <c r="HK136" s="609"/>
      <c r="HL136" s="609"/>
      <c r="HM136" s="816"/>
      <c r="HN136" s="816"/>
      <c r="HO136" s="609"/>
      <c r="HP136" s="609"/>
      <c r="HQ136" s="816"/>
      <c r="HR136" s="816"/>
      <c r="HS136" s="816"/>
      <c r="HT136" s="816"/>
      <c r="HU136" s="816"/>
      <c r="HV136" s="816"/>
      <c r="HW136" s="609"/>
      <c r="HX136" s="609"/>
      <c r="HY136" s="816"/>
      <c r="HZ136" s="816"/>
      <c r="IA136" s="816"/>
      <c r="IB136" s="816"/>
      <c r="IC136" s="816"/>
      <c r="ID136" s="816"/>
      <c r="IE136" s="609"/>
      <c r="IF136" s="609"/>
      <c r="IG136" s="816"/>
      <c r="IH136" s="816"/>
      <c r="II136" s="609"/>
      <c r="IJ136" s="609"/>
      <c r="IK136" s="816"/>
      <c r="IL136" s="816"/>
      <c r="IM136" s="609"/>
      <c r="IN136" s="609"/>
      <c r="IO136" s="816"/>
      <c r="IP136" s="816"/>
      <c r="IQ136" s="816"/>
      <c r="IR136" s="816"/>
      <c r="IS136" s="816"/>
      <c r="IT136" s="816"/>
      <c r="IU136" s="821"/>
      <c r="IV136" s="609"/>
      <c r="IW136" s="816"/>
      <c r="IX136" s="816"/>
      <c r="IY136" s="822"/>
      <c r="IZ136" s="609"/>
      <c r="JA136" s="816"/>
      <c r="JB136" s="816"/>
      <c r="JC136" s="609"/>
      <c r="JD136" s="816"/>
      <c r="JE136" s="816"/>
      <c r="JF136" s="816"/>
      <c r="JG136" s="816"/>
      <c r="JH136" s="816"/>
      <c r="JI136" s="816"/>
      <c r="JJ136" s="816"/>
      <c r="JK136" s="816"/>
      <c r="JL136" s="816"/>
      <c r="JM136" s="816"/>
      <c r="JN136" s="816"/>
      <c r="JO136" s="823"/>
      <c r="JP136" s="824"/>
      <c r="JQ136" s="825"/>
      <c r="JR136" s="825"/>
      <c r="JS136" s="816"/>
      <c r="JU136" s="826"/>
      <c r="JV136" s="826"/>
      <c r="JW136" s="826"/>
      <c r="JX136" s="826"/>
    </row>
    <row r="137" spans="2:284" s="780" customFormat="1"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09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816"/>
      <c r="AE137" s="816"/>
      <c r="AF137" s="816"/>
      <c r="AG137" s="816"/>
      <c r="AH137" s="816"/>
      <c r="AI137" s="816"/>
      <c r="AJ137" s="609"/>
      <c r="AK137" s="609"/>
      <c r="AL137" s="816"/>
      <c r="AM137" s="816"/>
      <c r="AN137" s="609"/>
      <c r="AO137" s="609"/>
      <c r="AP137" s="816"/>
      <c r="AQ137" s="816"/>
      <c r="AR137" s="816"/>
      <c r="AS137" s="816"/>
      <c r="AT137" s="816"/>
      <c r="AU137" s="816"/>
      <c r="AV137" s="609"/>
      <c r="AW137" s="609"/>
      <c r="AX137" s="816"/>
      <c r="AY137" s="816"/>
      <c r="AZ137" s="817"/>
      <c r="BA137" s="609"/>
      <c r="BB137" s="609"/>
      <c r="BC137" s="816"/>
      <c r="BD137" s="816"/>
      <c r="BE137" s="816"/>
      <c r="BF137" s="816"/>
      <c r="BG137" s="816"/>
      <c r="BH137" s="816"/>
      <c r="BI137" s="816"/>
      <c r="BJ137" s="816"/>
      <c r="BK137" s="816"/>
      <c r="BL137" s="816"/>
      <c r="BM137" s="816"/>
      <c r="BN137" s="816"/>
      <c r="BO137" s="816"/>
      <c r="BP137" s="816"/>
      <c r="BQ137" s="816"/>
      <c r="BR137" s="816"/>
      <c r="BS137" s="816"/>
      <c r="BT137" s="816"/>
      <c r="BU137" s="816"/>
      <c r="BV137" s="816"/>
      <c r="BW137" s="816"/>
      <c r="BX137" s="609"/>
      <c r="BY137" s="609"/>
      <c r="BZ137" s="609"/>
      <c r="CA137" s="818"/>
      <c r="CB137" s="816"/>
      <c r="CC137" s="816"/>
      <c r="CD137" s="816"/>
      <c r="CE137" s="816"/>
      <c r="CF137" s="816"/>
      <c r="CG137" s="816"/>
      <c r="CH137" s="816"/>
      <c r="CI137" s="816"/>
      <c r="CJ137" s="819"/>
      <c r="CK137" s="819"/>
      <c r="CL137" s="820"/>
      <c r="CM137" s="820"/>
      <c r="CN137" s="820"/>
      <c r="CO137" s="820"/>
      <c r="CP137" s="820"/>
      <c r="CQ137" s="820"/>
      <c r="CR137" s="609"/>
      <c r="CS137" s="609"/>
      <c r="CT137" s="816"/>
      <c r="CU137" s="816"/>
      <c r="CV137" s="609"/>
      <c r="CW137" s="609"/>
      <c r="CX137" s="816"/>
      <c r="CY137" s="816"/>
      <c r="CZ137" s="609"/>
      <c r="DA137" s="609"/>
      <c r="DB137" s="816"/>
      <c r="DC137" s="816"/>
      <c r="DD137" s="609"/>
      <c r="DE137" s="609"/>
      <c r="DF137" s="816"/>
      <c r="DG137" s="816"/>
      <c r="DH137" s="816"/>
      <c r="DI137" s="816"/>
      <c r="DJ137" s="816"/>
      <c r="DK137" s="816"/>
      <c r="DL137" s="609"/>
      <c r="DM137" s="609"/>
      <c r="DN137" s="816"/>
      <c r="DO137" s="816"/>
      <c r="DP137" s="609"/>
      <c r="DQ137" s="609"/>
      <c r="DR137" s="816"/>
      <c r="DS137" s="816"/>
      <c r="DT137" s="816"/>
      <c r="DU137" s="816"/>
      <c r="DV137" s="816"/>
      <c r="DW137" s="816"/>
      <c r="DX137" s="816"/>
      <c r="DY137" s="816"/>
      <c r="DZ137" s="816"/>
      <c r="EA137" s="816"/>
      <c r="EB137" s="816"/>
      <c r="EC137" s="816"/>
      <c r="ED137" s="816"/>
      <c r="EE137" s="816"/>
      <c r="EF137" s="609"/>
      <c r="EG137" s="609"/>
      <c r="EH137" s="816"/>
      <c r="EI137" s="816"/>
      <c r="EJ137" s="816"/>
      <c r="EK137" s="816"/>
      <c r="EL137" s="816"/>
      <c r="EM137" s="816"/>
      <c r="EN137" s="816"/>
      <c r="EO137" s="816"/>
      <c r="EP137" s="816"/>
      <c r="EQ137" s="816"/>
      <c r="ER137" s="816"/>
      <c r="ES137" s="816"/>
      <c r="ET137" s="816"/>
      <c r="EU137" s="816"/>
      <c r="EV137" s="609"/>
      <c r="EW137" s="609"/>
      <c r="EX137" s="816"/>
      <c r="EY137" s="816"/>
      <c r="EZ137" s="816"/>
      <c r="FA137" s="816"/>
      <c r="FB137" s="816"/>
      <c r="FC137" s="816"/>
      <c r="FD137" s="816"/>
      <c r="FE137" s="816"/>
      <c r="FF137" s="816"/>
      <c r="FG137" s="816"/>
      <c r="FH137" s="816"/>
      <c r="FI137" s="816"/>
      <c r="FJ137" s="816"/>
      <c r="FK137" s="816"/>
      <c r="FL137" s="816"/>
      <c r="FM137" s="816"/>
      <c r="FN137" s="816"/>
      <c r="FO137" s="816"/>
      <c r="FP137" s="816"/>
      <c r="FQ137" s="816"/>
      <c r="FR137" s="816"/>
      <c r="FS137" s="816"/>
      <c r="FT137" s="816"/>
      <c r="FU137" s="816"/>
      <c r="FV137" s="816"/>
      <c r="FW137" s="816"/>
      <c r="FX137" s="816"/>
      <c r="FY137" s="816"/>
      <c r="FZ137" s="819"/>
      <c r="GA137" s="816"/>
      <c r="GB137" s="820"/>
      <c r="GC137" s="820"/>
      <c r="GD137" s="820"/>
      <c r="GE137" s="820"/>
      <c r="GF137" s="609"/>
      <c r="GG137" s="609"/>
      <c r="GH137" s="816"/>
      <c r="GI137" s="816"/>
      <c r="GJ137" s="816"/>
      <c r="GK137" s="816"/>
      <c r="GL137" s="816"/>
      <c r="GM137" s="816"/>
      <c r="GN137" s="816"/>
      <c r="GO137" s="816"/>
      <c r="GP137" s="816"/>
      <c r="GQ137" s="816"/>
      <c r="GR137" s="816"/>
      <c r="GS137" s="816"/>
      <c r="GT137" s="818"/>
      <c r="GU137" s="816"/>
      <c r="GV137" s="816"/>
      <c r="GW137" s="816"/>
      <c r="GX137" s="816"/>
      <c r="GY137" s="816"/>
      <c r="GZ137" s="816"/>
      <c r="HA137" s="816"/>
      <c r="HB137" s="609"/>
      <c r="HC137" s="609"/>
      <c r="HD137" s="816"/>
      <c r="HE137" s="816"/>
      <c r="HF137" s="816"/>
      <c r="HG137" s="816"/>
      <c r="HH137" s="816"/>
      <c r="HI137" s="816"/>
      <c r="HJ137" s="609"/>
      <c r="HK137" s="609"/>
      <c r="HL137" s="609"/>
      <c r="HM137" s="816"/>
      <c r="HN137" s="816"/>
      <c r="HO137" s="609"/>
      <c r="HP137" s="609"/>
      <c r="HQ137" s="816"/>
      <c r="HR137" s="816"/>
      <c r="HS137" s="816"/>
      <c r="HT137" s="816"/>
      <c r="HU137" s="816"/>
      <c r="HV137" s="816"/>
      <c r="HW137" s="609"/>
      <c r="HX137" s="609"/>
      <c r="HY137" s="816"/>
      <c r="HZ137" s="816"/>
      <c r="IA137" s="816"/>
      <c r="IB137" s="816"/>
      <c r="IC137" s="816"/>
      <c r="ID137" s="816"/>
      <c r="IE137" s="609"/>
      <c r="IF137" s="609"/>
      <c r="IG137" s="816"/>
      <c r="IH137" s="816"/>
      <c r="II137" s="609"/>
      <c r="IJ137" s="609"/>
      <c r="IK137" s="816"/>
      <c r="IL137" s="816"/>
      <c r="IM137" s="609"/>
      <c r="IN137" s="609"/>
      <c r="IO137" s="816"/>
      <c r="IP137" s="816"/>
      <c r="IQ137" s="816"/>
      <c r="IR137" s="816"/>
      <c r="IS137" s="816"/>
      <c r="IT137" s="816"/>
      <c r="IU137" s="821"/>
      <c r="IV137" s="609"/>
      <c r="IW137" s="816"/>
      <c r="IX137" s="816"/>
      <c r="IY137" s="822"/>
      <c r="IZ137" s="609"/>
      <c r="JA137" s="816"/>
      <c r="JB137" s="816"/>
      <c r="JC137" s="609"/>
      <c r="JD137" s="816"/>
      <c r="JE137" s="816"/>
      <c r="JF137" s="816"/>
      <c r="JG137" s="816"/>
      <c r="JH137" s="816"/>
      <c r="JI137" s="816"/>
      <c r="JJ137" s="816"/>
      <c r="JK137" s="816"/>
      <c r="JL137" s="816"/>
      <c r="JM137" s="816"/>
      <c r="JN137" s="816"/>
      <c r="JO137" s="823"/>
      <c r="JP137" s="824"/>
      <c r="JQ137" s="825"/>
      <c r="JR137" s="825"/>
      <c r="JS137" s="816"/>
      <c r="JU137" s="826"/>
      <c r="JV137" s="826"/>
      <c r="JW137" s="826"/>
      <c r="JX137" s="826"/>
    </row>
    <row r="138" spans="2:284" s="780" customFormat="1">
      <c r="B138" s="609"/>
      <c r="C138" s="609"/>
      <c r="D138" s="609"/>
      <c r="E138" s="609"/>
      <c r="F138" s="609"/>
      <c r="G138" s="609"/>
      <c r="H138" s="609"/>
      <c r="I138" s="609"/>
      <c r="J138" s="609"/>
      <c r="K138" s="609"/>
      <c r="L138" s="609"/>
      <c r="M138" s="609"/>
      <c r="N138" s="609"/>
      <c r="O138" s="609"/>
      <c r="P138" s="609"/>
      <c r="Q138" s="609"/>
      <c r="R138" s="609"/>
      <c r="S138" s="609"/>
      <c r="T138" s="609"/>
      <c r="U138" s="609"/>
      <c r="V138" s="609"/>
      <c r="W138" s="609"/>
      <c r="X138" s="609"/>
      <c r="Y138" s="609"/>
      <c r="Z138" s="609"/>
      <c r="AA138" s="609"/>
      <c r="AB138" s="609"/>
      <c r="AC138" s="609"/>
      <c r="AD138" s="816"/>
      <c r="AE138" s="816"/>
      <c r="AF138" s="816"/>
      <c r="AG138" s="816"/>
      <c r="AH138" s="816"/>
      <c r="AI138" s="816"/>
      <c r="AJ138" s="609"/>
      <c r="AK138" s="609"/>
      <c r="AL138" s="816"/>
      <c r="AM138" s="816"/>
      <c r="AN138" s="609"/>
      <c r="AO138" s="609"/>
      <c r="AP138" s="816"/>
      <c r="AQ138" s="816"/>
      <c r="AR138" s="816"/>
      <c r="AS138" s="816"/>
      <c r="AT138" s="816"/>
      <c r="AU138" s="816"/>
      <c r="AV138" s="609"/>
      <c r="AW138" s="609"/>
      <c r="AX138" s="816"/>
      <c r="AY138" s="816"/>
      <c r="AZ138" s="817"/>
      <c r="BA138" s="609"/>
      <c r="BB138" s="609"/>
      <c r="BC138" s="816"/>
      <c r="BD138" s="816"/>
      <c r="BE138" s="816"/>
      <c r="BF138" s="816"/>
      <c r="BG138" s="816"/>
      <c r="BH138" s="816"/>
      <c r="BI138" s="816"/>
      <c r="BJ138" s="816"/>
      <c r="BK138" s="816"/>
      <c r="BL138" s="816"/>
      <c r="BM138" s="816"/>
      <c r="BN138" s="816"/>
      <c r="BO138" s="816"/>
      <c r="BP138" s="816"/>
      <c r="BQ138" s="816"/>
      <c r="BR138" s="816"/>
      <c r="BS138" s="816"/>
      <c r="BT138" s="816"/>
      <c r="BU138" s="816"/>
      <c r="BV138" s="816"/>
      <c r="BW138" s="816"/>
      <c r="BX138" s="609"/>
      <c r="BY138" s="609"/>
      <c r="BZ138" s="609"/>
      <c r="CA138" s="818"/>
      <c r="CB138" s="816"/>
      <c r="CC138" s="816"/>
      <c r="CD138" s="816"/>
      <c r="CE138" s="816"/>
      <c r="CF138" s="816"/>
      <c r="CG138" s="816"/>
      <c r="CH138" s="816"/>
      <c r="CI138" s="816"/>
      <c r="CJ138" s="819"/>
      <c r="CK138" s="819"/>
      <c r="CL138" s="820"/>
      <c r="CM138" s="820"/>
      <c r="CN138" s="820"/>
      <c r="CO138" s="820"/>
      <c r="CP138" s="820"/>
      <c r="CQ138" s="820"/>
      <c r="CR138" s="609"/>
      <c r="CS138" s="609"/>
      <c r="CT138" s="816"/>
      <c r="CU138" s="816"/>
      <c r="CV138" s="609"/>
      <c r="CW138" s="609"/>
      <c r="CX138" s="816"/>
      <c r="CY138" s="816"/>
      <c r="CZ138" s="609"/>
      <c r="DA138" s="609"/>
      <c r="DB138" s="816"/>
      <c r="DC138" s="816"/>
      <c r="DD138" s="609"/>
      <c r="DE138" s="609"/>
      <c r="DF138" s="816"/>
      <c r="DG138" s="816"/>
      <c r="DH138" s="816"/>
      <c r="DI138" s="816"/>
      <c r="DJ138" s="816"/>
      <c r="DK138" s="816"/>
      <c r="DL138" s="609"/>
      <c r="DM138" s="609"/>
      <c r="DN138" s="816"/>
      <c r="DO138" s="816"/>
      <c r="DP138" s="609"/>
      <c r="DQ138" s="609"/>
      <c r="DR138" s="816"/>
      <c r="DS138" s="816"/>
      <c r="DT138" s="816"/>
      <c r="DU138" s="816"/>
      <c r="DV138" s="816"/>
      <c r="DW138" s="816"/>
      <c r="DX138" s="816"/>
      <c r="DY138" s="816"/>
      <c r="DZ138" s="816"/>
      <c r="EA138" s="816"/>
      <c r="EB138" s="816"/>
      <c r="EC138" s="816"/>
      <c r="ED138" s="816"/>
      <c r="EE138" s="816"/>
      <c r="EF138" s="609"/>
      <c r="EG138" s="609"/>
      <c r="EH138" s="816"/>
      <c r="EI138" s="816"/>
      <c r="EJ138" s="816"/>
      <c r="EK138" s="816"/>
      <c r="EL138" s="816"/>
      <c r="EM138" s="816"/>
      <c r="EN138" s="816"/>
      <c r="EO138" s="816"/>
      <c r="EP138" s="816"/>
      <c r="EQ138" s="816"/>
      <c r="ER138" s="816"/>
      <c r="ES138" s="816"/>
      <c r="ET138" s="816"/>
      <c r="EU138" s="816"/>
      <c r="EV138" s="609"/>
      <c r="EW138" s="609"/>
      <c r="EX138" s="816"/>
      <c r="EY138" s="816"/>
      <c r="EZ138" s="816"/>
      <c r="FA138" s="816"/>
      <c r="FB138" s="816"/>
      <c r="FC138" s="816"/>
      <c r="FD138" s="816"/>
      <c r="FE138" s="816"/>
      <c r="FF138" s="816"/>
      <c r="FG138" s="816"/>
      <c r="FH138" s="816"/>
      <c r="FI138" s="816"/>
      <c r="FJ138" s="816"/>
      <c r="FK138" s="816"/>
      <c r="FL138" s="816"/>
      <c r="FM138" s="816"/>
      <c r="FN138" s="816"/>
      <c r="FO138" s="816"/>
      <c r="FP138" s="816"/>
      <c r="FQ138" s="816"/>
      <c r="FR138" s="816"/>
      <c r="FS138" s="816"/>
      <c r="FT138" s="816"/>
      <c r="FU138" s="816"/>
      <c r="FV138" s="816"/>
      <c r="FW138" s="816"/>
      <c r="FX138" s="816"/>
      <c r="FY138" s="816"/>
      <c r="FZ138" s="819"/>
      <c r="GA138" s="816"/>
      <c r="GB138" s="820"/>
      <c r="GC138" s="820"/>
      <c r="GD138" s="820"/>
      <c r="GE138" s="820"/>
      <c r="GF138" s="609"/>
      <c r="GG138" s="609"/>
      <c r="GH138" s="816"/>
      <c r="GI138" s="816"/>
      <c r="GJ138" s="816"/>
      <c r="GK138" s="816"/>
      <c r="GL138" s="816"/>
      <c r="GM138" s="816"/>
      <c r="GN138" s="816"/>
      <c r="GO138" s="816"/>
      <c r="GP138" s="816"/>
      <c r="GQ138" s="816"/>
      <c r="GR138" s="816"/>
      <c r="GS138" s="816"/>
      <c r="GT138" s="818"/>
      <c r="GU138" s="816"/>
      <c r="GV138" s="816"/>
      <c r="GW138" s="816"/>
      <c r="GX138" s="816"/>
      <c r="GY138" s="816"/>
      <c r="GZ138" s="816"/>
      <c r="HA138" s="816"/>
      <c r="HB138" s="609"/>
      <c r="HC138" s="609"/>
      <c r="HD138" s="816"/>
      <c r="HE138" s="816"/>
      <c r="HF138" s="816"/>
      <c r="HG138" s="816"/>
      <c r="HH138" s="816"/>
      <c r="HI138" s="816"/>
      <c r="HJ138" s="609"/>
      <c r="HK138" s="609"/>
      <c r="HL138" s="609"/>
      <c r="HM138" s="816"/>
      <c r="HN138" s="816"/>
      <c r="HO138" s="609"/>
      <c r="HP138" s="609"/>
      <c r="HQ138" s="816"/>
      <c r="HR138" s="816"/>
      <c r="HS138" s="816"/>
      <c r="HT138" s="816"/>
      <c r="HU138" s="816"/>
      <c r="HV138" s="816"/>
      <c r="HW138" s="609"/>
      <c r="HX138" s="609"/>
      <c r="HY138" s="816"/>
      <c r="HZ138" s="816"/>
      <c r="IA138" s="816"/>
      <c r="IB138" s="816"/>
      <c r="IC138" s="816"/>
      <c r="ID138" s="816"/>
      <c r="IE138" s="609"/>
      <c r="IF138" s="609"/>
      <c r="IG138" s="816"/>
      <c r="IH138" s="816"/>
      <c r="II138" s="609"/>
      <c r="IJ138" s="609"/>
      <c r="IK138" s="816"/>
      <c r="IL138" s="816"/>
      <c r="IM138" s="609"/>
      <c r="IN138" s="609"/>
      <c r="IO138" s="816"/>
      <c r="IP138" s="816"/>
      <c r="IQ138" s="816"/>
      <c r="IR138" s="816"/>
      <c r="IS138" s="816"/>
      <c r="IT138" s="816"/>
      <c r="IU138" s="821"/>
      <c r="IV138" s="609"/>
      <c r="IW138" s="816"/>
      <c r="IX138" s="816"/>
      <c r="IY138" s="822"/>
      <c r="IZ138" s="609"/>
      <c r="JA138" s="816"/>
      <c r="JB138" s="816"/>
      <c r="JC138" s="609"/>
      <c r="JD138" s="816"/>
      <c r="JE138" s="816"/>
      <c r="JF138" s="816"/>
      <c r="JG138" s="816"/>
      <c r="JH138" s="816"/>
      <c r="JI138" s="816"/>
      <c r="JJ138" s="816"/>
      <c r="JK138" s="816"/>
      <c r="JL138" s="816"/>
      <c r="JM138" s="816"/>
      <c r="JN138" s="816"/>
      <c r="JO138" s="823"/>
      <c r="JP138" s="824"/>
      <c r="JQ138" s="825"/>
      <c r="JR138" s="825"/>
      <c r="JS138" s="816"/>
      <c r="JU138" s="826"/>
      <c r="JV138" s="826"/>
      <c r="JW138" s="826"/>
      <c r="JX138" s="826"/>
    </row>
    <row r="139" spans="2:284" s="780" customFormat="1">
      <c r="B139" s="609"/>
      <c r="C139" s="609"/>
      <c r="D139" s="609"/>
      <c r="E139" s="609"/>
      <c r="F139" s="609"/>
      <c r="G139" s="609"/>
      <c r="H139" s="609"/>
      <c r="I139" s="609"/>
      <c r="J139" s="609"/>
      <c r="K139" s="609"/>
      <c r="L139" s="609"/>
      <c r="M139" s="609"/>
      <c r="N139" s="609"/>
      <c r="O139" s="609"/>
      <c r="P139" s="609"/>
      <c r="Q139" s="609"/>
      <c r="R139" s="609"/>
      <c r="S139" s="609"/>
      <c r="T139" s="609"/>
      <c r="U139" s="609"/>
      <c r="V139" s="609"/>
      <c r="W139" s="609"/>
      <c r="X139" s="609"/>
      <c r="Y139" s="609"/>
      <c r="Z139" s="609"/>
      <c r="AA139" s="609"/>
      <c r="AB139" s="609"/>
      <c r="AC139" s="609"/>
      <c r="AD139" s="816"/>
      <c r="AE139" s="816"/>
      <c r="AF139" s="816"/>
      <c r="AG139" s="816"/>
      <c r="AH139" s="816"/>
      <c r="AI139" s="816"/>
      <c r="AJ139" s="609"/>
      <c r="AK139" s="609"/>
      <c r="AL139" s="816"/>
      <c r="AM139" s="816"/>
      <c r="AN139" s="609"/>
      <c r="AO139" s="609"/>
      <c r="AP139" s="816"/>
      <c r="AQ139" s="816"/>
      <c r="AR139" s="816"/>
      <c r="AS139" s="816"/>
      <c r="AT139" s="816"/>
      <c r="AU139" s="816"/>
      <c r="AV139" s="609"/>
      <c r="AW139" s="609"/>
      <c r="AX139" s="816"/>
      <c r="AY139" s="816"/>
      <c r="AZ139" s="817"/>
      <c r="BA139" s="609"/>
      <c r="BB139" s="609"/>
      <c r="BC139" s="816"/>
      <c r="BD139" s="816"/>
      <c r="BE139" s="816"/>
      <c r="BF139" s="816"/>
      <c r="BG139" s="816"/>
      <c r="BH139" s="816"/>
      <c r="BI139" s="816"/>
      <c r="BJ139" s="816"/>
      <c r="BK139" s="816"/>
      <c r="BL139" s="816"/>
      <c r="BM139" s="816"/>
      <c r="BN139" s="816"/>
      <c r="BO139" s="816"/>
      <c r="BP139" s="816"/>
      <c r="BQ139" s="816"/>
      <c r="BR139" s="816"/>
      <c r="BS139" s="816"/>
      <c r="BT139" s="816"/>
      <c r="BU139" s="816"/>
      <c r="BV139" s="816"/>
      <c r="BW139" s="816"/>
      <c r="BX139" s="609"/>
      <c r="BY139" s="609"/>
      <c r="BZ139" s="609"/>
      <c r="CA139" s="818"/>
      <c r="CB139" s="816"/>
      <c r="CC139" s="816"/>
      <c r="CD139" s="816"/>
      <c r="CE139" s="816"/>
      <c r="CF139" s="816"/>
      <c r="CG139" s="816"/>
      <c r="CH139" s="816"/>
      <c r="CI139" s="816"/>
      <c r="CJ139" s="819"/>
      <c r="CK139" s="819"/>
      <c r="CL139" s="820"/>
      <c r="CM139" s="820"/>
      <c r="CN139" s="820"/>
      <c r="CO139" s="820"/>
      <c r="CP139" s="820"/>
      <c r="CQ139" s="820"/>
      <c r="CR139" s="609"/>
      <c r="CS139" s="609"/>
      <c r="CT139" s="816"/>
      <c r="CU139" s="816"/>
      <c r="CV139" s="609"/>
      <c r="CW139" s="609"/>
      <c r="CX139" s="816"/>
      <c r="CY139" s="816"/>
      <c r="CZ139" s="609"/>
      <c r="DA139" s="609"/>
      <c r="DB139" s="816"/>
      <c r="DC139" s="816"/>
      <c r="DD139" s="609"/>
      <c r="DE139" s="609"/>
      <c r="DF139" s="816"/>
      <c r="DG139" s="816"/>
      <c r="DH139" s="816"/>
      <c r="DI139" s="816"/>
      <c r="DJ139" s="816"/>
      <c r="DK139" s="816"/>
      <c r="DL139" s="609"/>
      <c r="DM139" s="609"/>
      <c r="DN139" s="816"/>
      <c r="DO139" s="816"/>
      <c r="DP139" s="609"/>
      <c r="DQ139" s="609"/>
      <c r="DR139" s="816"/>
      <c r="DS139" s="816"/>
      <c r="DT139" s="816"/>
      <c r="DU139" s="816"/>
      <c r="DV139" s="816"/>
      <c r="DW139" s="816"/>
      <c r="DX139" s="816"/>
      <c r="DY139" s="816"/>
      <c r="DZ139" s="816"/>
      <c r="EA139" s="816"/>
      <c r="EB139" s="816"/>
      <c r="EC139" s="816"/>
      <c r="ED139" s="816"/>
      <c r="EE139" s="816"/>
      <c r="EF139" s="609"/>
      <c r="EG139" s="609"/>
      <c r="EH139" s="816"/>
      <c r="EI139" s="816"/>
      <c r="EJ139" s="816"/>
      <c r="EK139" s="816"/>
      <c r="EL139" s="816"/>
      <c r="EM139" s="816"/>
      <c r="EN139" s="816"/>
      <c r="EO139" s="816"/>
      <c r="EP139" s="816"/>
      <c r="EQ139" s="816"/>
      <c r="ER139" s="816"/>
      <c r="ES139" s="816"/>
      <c r="ET139" s="816"/>
      <c r="EU139" s="816"/>
      <c r="EV139" s="609"/>
      <c r="EW139" s="609"/>
      <c r="EX139" s="816"/>
      <c r="EY139" s="816"/>
      <c r="EZ139" s="816"/>
      <c r="FA139" s="816"/>
      <c r="FB139" s="816"/>
      <c r="FC139" s="816"/>
      <c r="FD139" s="816"/>
      <c r="FE139" s="816"/>
      <c r="FF139" s="816"/>
      <c r="FG139" s="816"/>
      <c r="FH139" s="816"/>
      <c r="FI139" s="816"/>
      <c r="FJ139" s="816"/>
      <c r="FK139" s="816"/>
      <c r="FL139" s="816"/>
      <c r="FM139" s="816"/>
      <c r="FN139" s="816"/>
      <c r="FO139" s="816"/>
      <c r="FP139" s="816"/>
      <c r="FQ139" s="816"/>
      <c r="FR139" s="816"/>
      <c r="FS139" s="816"/>
      <c r="FT139" s="816"/>
      <c r="FU139" s="816"/>
      <c r="FV139" s="816"/>
      <c r="FW139" s="816"/>
      <c r="FX139" s="816"/>
      <c r="FY139" s="816"/>
      <c r="FZ139" s="819"/>
      <c r="GA139" s="816"/>
      <c r="GB139" s="820"/>
      <c r="GC139" s="820"/>
      <c r="GD139" s="820"/>
      <c r="GE139" s="820"/>
      <c r="GF139" s="609"/>
      <c r="GG139" s="609"/>
      <c r="GH139" s="816"/>
      <c r="GI139" s="816"/>
      <c r="GJ139" s="816"/>
      <c r="GK139" s="816"/>
      <c r="GL139" s="816"/>
      <c r="GM139" s="816"/>
      <c r="GN139" s="816"/>
      <c r="GO139" s="816"/>
      <c r="GP139" s="816"/>
      <c r="GQ139" s="816"/>
      <c r="GR139" s="816"/>
      <c r="GS139" s="816"/>
      <c r="GT139" s="818"/>
      <c r="GU139" s="816"/>
      <c r="GV139" s="816"/>
      <c r="GW139" s="816"/>
      <c r="GX139" s="816"/>
      <c r="GY139" s="816"/>
      <c r="GZ139" s="816"/>
      <c r="HA139" s="816"/>
      <c r="HB139" s="609"/>
      <c r="HC139" s="609"/>
      <c r="HD139" s="816"/>
      <c r="HE139" s="816"/>
      <c r="HF139" s="816"/>
      <c r="HG139" s="816"/>
      <c r="HH139" s="816"/>
      <c r="HI139" s="816"/>
      <c r="HJ139" s="609"/>
      <c r="HK139" s="609"/>
      <c r="HL139" s="609"/>
      <c r="HM139" s="816"/>
      <c r="HN139" s="816"/>
      <c r="HO139" s="609"/>
      <c r="HP139" s="609"/>
      <c r="HQ139" s="816"/>
      <c r="HR139" s="816"/>
      <c r="HS139" s="816"/>
      <c r="HT139" s="816"/>
      <c r="HU139" s="816"/>
      <c r="HV139" s="816"/>
      <c r="HW139" s="609"/>
      <c r="HX139" s="609"/>
      <c r="HY139" s="816"/>
      <c r="HZ139" s="816"/>
      <c r="IA139" s="816"/>
      <c r="IB139" s="816"/>
      <c r="IC139" s="816"/>
      <c r="ID139" s="816"/>
      <c r="IE139" s="609"/>
      <c r="IF139" s="609"/>
      <c r="IG139" s="816"/>
      <c r="IH139" s="816"/>
      <c r="II139" s="609"/>
      <c r="IJ139" s="609"/>
      <c r="IK139" s="816"/>
      <c r="IL139" s="816"/>
      <c r="IM139" s="609"/>
      <c r="IN139" s="609"/>
      <c r="IO139" s="816"/>
      <c r="IP139" s="816"/>
      <c r="IQ139" s="816"/>
      <c r="IR139" s="816"/>
      <c r="IS139" s="816"/>
      <c r="IT139" s="816"/>
      <c r="IU139" s="821"/>
      <c r="IV139" s="609"/>
      <c r="IW139" s="816"/>
      <c r="IX139" s="816"/>
      <c r="IY139" s="822"/>
      <c r="IZ139" s="609"/>
      <c r="JA139" s="816"/>
      <c r="JB139" s="816"/>
      <c r="JC139" s="609"/>
      <c r="JD139" s="816"/>
      <c r="JE139" s="816"/>
      <c r="JF139" s="816"/>
      <c r="JG139" s="816"/>
      <c r="JH139" s="816"/>
      <c r="JI139" s="816"/>
      <c r="JJ139" s="816"/>
      <c r="JK139" s="816"/>
      <c r="JL139" s="816"/>
      <c r="JM139" s="816"/>
      <c r="JN139" s="816"/>
      <c r="JO139" s="823"/>
      <c r="JP139" s="824"/>
      <c r="JQ139" s="825"/>
      <c r="JR139" s="825"/>
      <c r="JS139" s="816"/>
      <c r="JU139" s="826"/>
      <c r="JV139" s="826"/>
      <c r="JW139" s="826"/>
      <c r="JX139" s="826"/>
    </row>
    <row r="140" spans="2:284" s="780" customFormat="1"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9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816"/>
      <c r="AE140" s="816"/>
      <c r="AF140" s="816"/>
      <c r="AG140" s="816"/>
      <c r="AH140" s="816"/>
      <c r="AI140" s="816"/>
      <c r="AJ140" s="609"/>
      <c r="AK140" s="609"/>
      <c r="AL140" s="816"/>
      <c r="AM140" s="816"/>
      <c r="AN140" s="609"/>
      <c r="AO140" s="609"/>
      <c r="AP140" s="816"/>
      <c r="AQ140" s="816"/>
      <c r="AR140" s="816"/>
      <c r="AS140" s="816"/>
      <c r="AT140" s="816"/>
      <c r="AU140" s="816"/>
      <c r="AV140" s="609"/>
      <c r="AW140" s="609"/>
      <c r="AX140" s="816"/>
      <c r="AY140" s="816"/>
      <c r="AZ140" s="817"/>
      <c r="BA140" s="609"/>
      <c r="BB140" s="609"/>
      <c r="BC140" s="816"/>
      <c r="BD140" s="816"/>
      <c r="BE140" s="816"/>
      <c r="BF140" s="816"/>
      <c r="BG140" s="816"/>
      <c r="BH140" s="816"/>
      <c r="BI140" s="816"/>
      <c r="BJ140" s="816"/>
      <c r="BK140" s="816"/>
      <c r="BL140" s="816"/>
      <c r="BM140" s="816"/>
      <c r="BN140" s="816"/>
      <c r="BO140" s="816"/>
      <c r="BP140" s="816"/>
      <c r="BQ140" s="816"/>
      <c r="BR140" s="816"/>
      <c r="BS140" s="816"/>
      <c r="BT140" s="816"/>
      <c r="BU140" s="816"/>
      <c r="BV140" s="816"/>
      <c r="BW140" s="816"/>
      <c r="BX140" s="609"/>
      <c r="BY140" s="609"/>
      <c r="BZ140" s="609"/>
      <c r="CA140" s="818"/>
      <c r="CB140" s="816"/>
      <c r="CC140" s="816"/>
      <c r="CD140" s="816"/>
      <c r="CE140" s="816"/>
      <c r="CF140" s="816"/>
      <c r="CG140" s="816"/>
      <c r="CH140" s="816"/>
      <c r="CI140" s="816"/>
      <c r="CJ140" s="819"/>
      <c r="CK140" s="819"/>
      <c r="CL140" s="820"/>
      <c r="CM140" s="820"/>
      <c r="CN140" s="820"/>
      <c r="CO140" s="820"/>
      <c r="CP140" s="820"/>
      <c r="CQ140" s="820"/>
      <c r="CR140" s="609"/>
      <c r="CS140" s="609"/>
      <c r="CT140" s="816"/>
      <c r="CU140" s="816"/>
      <c r="CV140" s="609"/>
      <c r="CW140" s="609"/>
      <c r="CX140" s="816"/>
      <c r="CY140" s="816"/>
      <c r="CZ140" s="609"/>
      <c r="DA140" s="609"/>
      <c r="DB140" s="816"/>
      <c r="DC140" s="816"/>
      <c r="DD140" s="609"/>
      <c r="DE140" s="609"/>
      <c r="DF140" s="816"/>
      <c r="DG140" s="816"/>
      <c r="DH140" s="816"/>
      <c r="DI140" s="816"/>
      <c r="DJ140" s="816"/>
      <c r="DK140" s="816"/>
      <c r="DL140" s="609"/>
      <c r="DM140" s="609"/>
      <c r="DN140" s="816"/>
      <c r="DO140" s="816"/>
      <c r="DP140" s="609"/>
      <c r="DQ140" s="609"/>
      <c r="DR140" s="816"/>
      <c r="DS140" s="816"/>
      <c r="DT140" s="816"/>
      <c r="DU140" s="816"/>
      <c r="DV140" s="816"/>
      <c r="DW140" s="816"/>
      <c r="DX140" s="816"/>
      <c r="DY140" s="816"/>
      <c r="DZ140" s="816"/>
      <c r="EA140" s="816"/>
      <c r="EB140" s="816"/>
      <c r="EC140" s="816"/>
      <c r="ED140" s="816"/>
      <c r="EE140" s="816"/>
      <c r="EF140" s="609"/>
      <c r="EG140" s="609"/>
      <c r="EH140" s="816"/>
      <c r="EI140" s="816"/>
      <c r="EJ140" s="816"/>
      <c r="EK140" s="816"/>
      <c r="EL140" s="816"/>
      <c r="EM140" s="816"/>
      <c r="EN140" s="816"/>
      <c r="EO140" s="816"/>
      <c r="EP140" s="816"/>
      <c r="EQ140" s="816"/>
      <c r="ER140" s="816"/>
      <c r="ES140" s="816"/>
      <c r="ET140" s="816"/>
      <c r="EU140" s="816"/>
      <c r="EV140" s="609"/>
      <c r="EW140" s="609"/>
      <c r="EX140" s="816"/>
      <c r="EY140" s="816"/>
      <c r="EZ140" s="816"/>
      <c r="FA140" s="816"/>
      <c r="FB140" s="816"/>
      <c r="FC140" s="816"/>
      <c r="FD140" s="816"/>
      <c r="FE140" s="816"/>
      <c r="FF140" s="816"/>
      <c r="FG140" s="816"/>
      <c r="FH140" s="816"/>
      <c r="FI140" s="816"/>
      <c r="FJ140" s="816"/>
      <c r="FK140" s="816"/>
      <c r="FL140" s="816"/>
      <c r="FM140" s="816"/>
      <c r="FN140" s="816"/>
      <c r="FO140" s="816"/>
      <c r="FP140" s="816"/>
      <c r="FQ140" s="816"/>
      <c r="FR140" s="816"/>
      <c r="FS140" s="816"/>
      <c r="FT140" s="816"/>
      <c r="FU140" s="816"/>
      <c r="FV140" s="816"/>
      <c r="FW140" s="816"/>
      <c r="FX140" s="816"/>
      <c r="FY140" s="816"/>
      <c r="FZ140" s="819"/>
      <c r="GA140" s="816"/>
      <c r="GB140" s="820"/>
      <c r="GC140" s="820"/>
      <c r="GD140" s="820"/>
      <c r="GE140" s="820"/>
      <c r="GF140" s="609"/>
      <c r="GG140" s="609"/>
      <c r="GH140" s="816"/>
      <c r="GI140" s="816"/>
      <c r="GJ140" s="816"/>
      <c r="GK140" s="816"/>
      <c r="GL140" s="816"/>
      <c r="GM140" s="816"/>
      <c r="GN140" s="816"/>
      <c r="GO140" s="816"/>
      <c r="GP140" s="816"/>
      <c r="GQ140" s="816"/>
      <c r="GR140" s="816"/>
      <c r="GS140" s="816"/>
      <c r="GT140" s="818"/>
      <c r="GU140" s="816"/>
      <c r="GV140" s="816"/>
      <c r="GW140" s="816"/>
      <c r="GX140" s="816"/>
      <c r="GY140" s="816"/>
      <c r="GZ140" s="816"/>
      <c r="HA140" s="816"/>
      <c r="HB140" s="609"/>
      <c r="HC140" s="609"/>
      <c r="HD140" s="816"/>
      <c r="HE140" s="816"/>
      <c r="HF140" s="816"/>
      <c r="HG140" s="816"/>
      <c r="HH140" s="816"/>
      <c r="HI140" s="816"/>
      <c r="HJ140" s="609"/>
      <c r="HK140" s="609"/>
      <c r="HL140" s="609"/>
      <c r="HM140" s="816"/>
      <c r="HN140" s="816"/>
      <c r="HO140" s="609"/>
      <c r="HP140" s="609"/>
      <c r="HQ140" s="816"/>
      <c r="HR140" s="816"/>
      <c r="HS140" s="816"/>
      <c r="HT140" s="816"/>
      <c r="HU140" s="816"/>
      <c r="HV140" s="816"/>
      <c r="HW140" s="609"/>
      <c r="HX140" s="609"/>
      <c r="HY140" s="816"/>
      <c r="HZ140" s="816"/>
      <c r="IA140" s="816"/>
      <c r="IB140" s="816"/>
      <c r="IC140" s="816"/>
      <c r="ID140" s="816"/>
      <c r="IE140" s="609"/>
      <c r="IF140" s="609"/>
      <c r="IG140" s="816"/>
      <c r="IH140" s="816"/>
      <c r="II140" s="609"/>
      <c r="IJ140" s="609"/>
      <c r="IK140" s="816"/>
      <c r="IL140" s="816"/>
      <c r="IM140" s="609"/>
      <c r="IN140" s="609"/>
      <c r="IO140" s="816"/>
      <c r="IP140" s="816"/>
      <c r="IQ140" s="816"/>
      <c r="IR140" s="816"/>
      <c r="IS140" s="816"/>
      <c r="IT140" s="816"/>
      <c r="IU140" s="821"/>
      <c r="IV140" s="609"/>
      <c r="IW140" s="816"/>
      <c r="IX140" s="816"/>
      <c r="IY140" s="822"/>
      <c r="IZ140" s="609"/>
      <c r="JA140" s="816"/>
      <c r="JB140" s="816"/>
      <c r="JC140" s="609"/>
      <c r="JD140" s="816"/>
      <c r="JE140" s="816"/>
      <c r="JF140" s="816"/>
      <c r="JG140" s="816"/>
      <c r="JH140" s="816"/>
      <c r="JI140" s="816"/>
      <c r="JJ140" s="816"/>
      <c r="JK140" s="816"/>
      <c r="JL140" s="816"/>
      <c r="JM140" s="816"/>
      <c r="JN140" s="816"/>
      <c r="JO140" s="823"/>
      <c r="JP140" s="824"/>
      <c r="JQ140" s="825"/>
      <c r="JR140" s="825"/>
      <c r="JS140" s="816"/>
      <c r="JU140" s="826"/>
      <c r="JV140" s="826"/>
      <c r="JW140" s="826"/>
      <c r="JX140" s="826"/>
    </row>
    <row r="141" spans="2:284" s="780" customFormat="1"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609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816"/>
      <c r="AE141" s="816"/>
      <c r="AF141" s="816"/>
      <c r="AG141" s="816"/>
      <c r="AH141" s="816"/>
      <c r="AI141" s="816"/>
      <c r="AJ141" s="609"/>
      <c r="AK141" s="609"/>
      <c r="AL141" s="816"/>
      <c r="AM141" s="816"/>
      <c r="AN141" s="609"/>
      <c r="AO141" s="609"/>
      <c r="AP141" s="816"/>
      <c r="AQ141" s="816"/>
      <c r="AR141" s="816"/>
      <c r="AS141" s="816"/>
      <c r="AT141" s="816"/>
      <c r="AU141" s="816"/>
      <c r="AV141" s="609"/>
      <c r="AW141" s="609"/>
      <c r="AX141" s="816"/>
      <c r="AY141" s="816"/>
      <c r="AZ141" s="817"/>
      <c r="BA141" s="609"/>
      <c r="BB141" s="609"/>
      <c r="BC141" s="816"/>
      <c r="BD141" s="816"/>
      <c r="BE141" s="816"/>
      <c r="BF141" s="816"/>
      <c r="BG141" s="816"/>
      <c r="BH141" s="816"/>
      <c r="BI141" s="816"/>
      <c r="BJ141" s="816"/>
      <c r="BK141" s="816"/>
      <c r="BL141" s="816"/>
      <c r="BM141" s="816"/>
      <c r="BN141" s="816"/>
      <c r="BO141" s="816"/>
      <c r="BP141" s="816"/>
      <c r="BQ141" s="816"/>
      <c r="BR141" s="816"/>
      <c r="BS141" s="816"/>
      <c r="BT141" s="816"/>
      <c r="BU141" s="816"/>
      <c r="BV141" s="816"/>
      <c r="BW141" s="816"/>
      <c r="BX141" s="609"/>
      <c r="BY141" s="609"/>
      <c r="BZ141" s="609"/>
      <c r="CA141" s="818"/>
      <c r="CB141" s="816"/>
      <c r="CC141" s="816"/>
      <c r="CD141" s="816"/>
      <c r="CE141" s="816"/>
      <c r="CF141" s="816"/>
      <c r="CG141" s="816"/>
      <c r="CH141" s="816"/>
      <c r="CI141" s="816"/>
      <c r="CJ141" s="819"/>
      <c r="CK141" s="819"/>
      <c r="CL141" s="820"/>
      <c r="CM141" s="820"/>
      <c r="CN141" s="820"/>
      <c r="CO141" s="820"/>
      <c r="CP141" s="820"/>
      <c r="CQ141" s="820"/>
      <c r="CR141" s="609"/>
      <c r="CS141" s="609"/>
      <c r="CT141" s="816"/>
      <c r="CU141" s="816"/>
      <c r="CV141" s="609"/>
      <c r="CW141" s="609"/>
      <c r="CX141" s="816"/>
      <c r="CY141" s="816"/>
      <c r="CZ141" s="609"/>
      <c r="DA141" s="609"/>
      <c r="DB141" s="816"/>
      <c r="DC141" s="816"/>
      <c r="DD141" s="609"/>
      <c r="DE141" s="609"/>
      <c r="DF141" s="816"/>
      <c r="DG141" s="816"/>
      <c r="DH141" s="816"/>
      <c r="DI141" s="816"/>
      <c r="DJ141" s="816"/>
      <c r="DK141" s="816"/>
      <c r="DL141" s="609"/>
      <c r="DM141" s="609"/>
      <c r="DN141" s="816"/>
      <c r="DO141" s="816"/>
      <c r="DP141" s="609"/>
      <c r="DQ141" s="609"/>
      <c r="DR141" s="816"/>
      <c r="DS141" s="816"/>
      <c r="DT141" s="816"/>
      <c r="DU141" s="816"/>
      <c r="DV141" s="816"/>
      <c r="DW141" s="816"/>
      <c r="DX141" s="816"/>
      <c r="DY141" s="816"/>
      <c r="DZ141" s="816"/>
      <c r="EA141" s="816"/>
      <c r="EB141" s="816"/>
      <c r="EC141" s="816"/>
      <c r="ED141" s="816"/>
      <c r="EE141" s="816"/>
      <c r="EF141" s="609"/>
      <c r="EG141" s="609"/>
      <c r="EH141" s="816"/>
      <c r="EI141" s="816"/>
      <c r="EJ141" s="816"/>
      <c r="EK141" s="816"/>
      <c r="EL141" s="816"/>
      <c r="EM141" s="816"/>
      <c r="EN141" s="816"/>
      <c r="EO141" s="816"/>
      <c r="EP141" s="816"/>
      <c r="EQ141" s="816"/>
      <c r="ER141" s="816"/>
      <c r="ES141" s="816"/>
      <c r="ET141" s="816"/>
      <c r="EU141" s="816"/>
      <c r="EV141" s="609"/>
      <c r="EW141" s="609"/>
      <c r="EX141" s="816"/>
      <c r="EY141" s="816"/>
      <c r="EZ141" s="816"/>
      <c r="FA141" s="816"/>
      <c r="FB141" s="816"/>
      <c r="FC141" s="816"/>
      <c r="FD141" s="816"/>
      <c r="FE141" s="816"/>
      <c r="FF141" s="816"/>
      <c r="FG141" s="816"/>
      <c r="FH141" s="816"/>
      <c r="FI141" s="816"/>
      <c r="FJ141" s="816"/>
      <c r="FK141" s="816"/>
      <c r="FL141" s="816"/>
      <c r="FM141" s="816"/>
      <c r="FN141" s="816"/>
      <c r="FO141" s="816"/>
      <c r="FP141" s="816"/>
      <c r="FQ141" s="816"/>
      <c r="FR141" s="816"/>
      <c r="FS141" s="816"/>
      <c r="FT141" s="816"/>
      <c r="FU141" s="816"/>
      <c r="FV141" s="816"/>
      <c r="FW141" s="816"/>
      <c r="FX141" s="816"/>
      <c r="FY141" s="816"/>
      <c r="FZ141" s="819"/>
      <c r="GA141" s="816"/>
      <c r="GB141" s="820"/>
      <c r="GC141" s="820"/>
      <c r="GD141" s="820"/>
      <c r="GE141" s="820"/>
      <c r="GF141" s="609"/>
      <c r="GG141" s="609"/>
      <c r="GH141" s="816"/>
      <c r="GI141" s="816"/>
      <c r="GJ141" s="816"/>
      <c r="GK141" s="816"/>
      <c r="GL141" s="816"/>
      <c r="GM141" s="816"/>
      <c r="GN141" s="816"/>
      <c r="GO141" s="816"/>
      <c r="GP141" s="816"/>
      <c r="GQ141" s="816"/>
      <c r="GR141" s="816"/>
      <c r="GS141" s="816"/>
      <c r="GT141" s="818"/>
      <c r="GU141" s="816"/>
      <c r="GV141" s="816"/>
      <c r="GW141" s="816"/>
      <c r="GX141" s="816"/>
      <c r="GY141" s="816"/>
      <c r="GZ141" s="816"/>
      <c r="HA141" s="816"/>
      <c r="HB141" s="609"/>
      <c r="HC141" s="609"/>
      <c r="HD141" s="816"/>
      <c r="HE141" s="816"/>
      <c r="HF141" s="816"/>
      <c r="HG141" s="816"/>
      <c r="HH141" s="816"/>
      <c r="HI141" s="816"/>
      <c r="HJ141" s="609"/>
      <c r="HK141" s="609"/>
      <c r="HL141" s="609"/>
      <c r="HM141" s="816"/>
      <c r="HN141" s="816"/>
      <c r="HO141" s="609"/>
      <c r="HP141" s="609"/>
      <c r="HQ141" s="816"/>
      <c r="HR141" s="816"/>
      <c r="HS141" s="816"/>
      <c r="HT141" s="816"/>
      <c r="HU141" s="816"/>
      <c r="HV141" s="816"/>
      <c r="HW141" s="609"/>
      <c r="HX141" s="609"/>
      <c r="HY141" s="816"/>
      <c r="HZ141" s="816"/>
      <c r="IA141" s="816"/>
      <c r="IB141" s="816"/>
      <c r="IC141" s="816"/>
      <c r="ID141" s="816"/>
      <c r="IE141" s="609"/>
      <c r="IF141" s="609"/>
      <c r="IG141" s="816"/>
      <c r="IH141" s="816"/>
      <c r="II141" s="609"/>
      <c r="IJ141" s="609"/>
      <c r="IK141" s="816"/>
      <c r="IL141" s="816"/>
      <c r="IM141" s="609"/>
      <c r="IN141" s="609"/>
      <c r="IO141" s="816"/>
      <c r="IP141" s="816"/>
      <c r="IQ141" s="816"/>
      <c r="IR141" s="816"/>
      <c r="IS141" s="816"/>
      <c r="IT141" s="816"/>
      <c r="IU141" s="821"/>
      <c r="IV141" s="609"/>
      <c r="IW141" s="816"/>
      <c r="IX141" s="816"/>
      <c r="IY141" s="822"/>
      <c r="IZ141" s="609"/>
      <c r="JA141" s="816"/>
      <c r="JB141" s="816"/>
      <c r="JC141" s="609"/>
      <c r="JD141" s="816"/>
      <c r="JE141" s="816"/>
      <c r="JF141" s="816"/>
      <c r="JG141" s="816"/>
      <c r="JH141" s="816"/>
      <c r="JI141" s="816"/>
      <c r="JJ141" s="816"/>
      <c r="JK141" s="816"/>
      <c r="JL141" s="816"/>
      <c r="JM141" s="816"/>
      <c r="JN141" s="816"/>
      <c r="JO141" s="823"/>
      <c r="JP141" s="824"/>
      <c r="JQ141" s="825"/>
      <c r="JR141" s="825"/>
      <c r="JS141" s="816"/>
      <c r="JU141" s="826"/>
      <c r="JV141" s="826"/>
      <c r="JW141" s="826"/>
      <c r="JX141" s="826"/>
    </row>
    <row r="142" spans="2:284" s="780" customFormat="1">
      <c r="B142" s="609"/>
      <c r="C142" s="609"/>
      <c r="D142" s="609"/>
      <c r="E142" s="609"/>
      <c r="F142" s="609"/>
      <c r="G142" s="609"/>
      <c r="H142" s="609"/>
      <c r="I142" s="609"/>
      <c r="J142" s="609"/>
      <c r="K142" s="609"/>
      <c r="L142" s="609"/>
      <c r="M142" s="609"/>
      <c r="N142" s="609"/>
      <c r="O142" s="609"/>
      <c r="P142" s="609"/>
      <c r="Q142" s="609"/>
      <c r="R142" s="609"/>
      <c r="S142" s="609"/>
      <c r="T142" s="609"/>
      <c r="U142" s="609"/>
      <c r="V142" s="609"/>
      <c r="W142" s="609"/>
      <c r="X142" s="609"/>
      <c r="Y142" s="609"/>
      <c r="Z142" s="609"/>
      <c r="AA142" s="609"/>
      <c r="AB142" s="609"/>
      <c r="AC142" s="609"/>
      <c r="AD142" s="816"/>
      <c r="AE142" s="816"/>
      <c r="AF142" s="816"/>
      <c r="AG142" s="816"/>
      <c r="AH142" s="816"/>
      <c r="AI142" s="816"/>
      <c r="AJ142" s="609"/>
      <c r="AK142" s="609"/>
      <c r="AL142" s="816"/>
      <c r="AM142" s="816"/>
      <c r="AN142" s="609"/>
      <c r="AO142" s="609"/>
      <c r="AP142" s="816"/>
      <c r="AQ142" s="816"/>
      <c r="AR142" s="816"/>
      <c r="AS142" s="816"/>
      <c r="AT142" s="816"/>
      <c r="AU142" s="816"/>
      <c r="AV142" s="609"/>
      <c r="AW142" s="609"/>
      <c r="AX142" s="816"/>
      <c r="AY142" s="816"/>
      <c r="AZ142" s="817"/>
      <c r="BA142" s="609"/>
      <c r="BB142" s="609"/>
      <c r="BC142" s="816"/>
      <c r="BD142" s="816"/>
      <c r="BE142" s="816"/>
      <c r="BF142" s="816"/>
      <c r="BG142" s="816"/>
      <c r="BH142" s="816"/>
      <c r="BI142" s="816"/>
      <c r="BJ142" s="816"/>
      <c r="BK142" s="816"/>
      <c r="BL142" s="816"/>
      <c r="BM142" s="816"/>
      <c r="BN142" s="816"/>
      <c r="BO142" s="816"/>
      <c r="BP142" s="816"/>
      <c r="BQ142" s="816"/>
      <c r="BR142" s="816"/>
      <c r="BS142" s="816"/>
      <c r="BT142" s="816"/>
      <c r="BU142" s="816"/>
      <c r="BV142" s="816"/>
      <c r="BW142" s="816"/>
      <c r="BX142" s="609"/>
      <c r="BY142" s="609"/>
      <c r="BZ142" s="609"/>
      <c r="CA142" s="818"/>
      <c r="CB142" s="816"/>
      <c r="CC142" s="816"/>
      <c r="CD142" s="816"/>
      <c r="CE142" s="816"/>
      <c r="CF142" s="816"/>
      <c r="CG142" s="816"/>
      <c r="CH142" s="816"/>
      <c r="CI142" s="816"/>
      <c r="CJ142" s="819"/>
      <c r="CK142" s="819"/>
      <c r="CL142" s="820"/>
      <c r="CM142" s="820"/>
      <c r="CN142" s="820"/>
      <c r="CO142" s="820"/>
      <c r="CP142" s="820"/>
      <c r="CQ142" s="820"/>
      <c r="CR142" s="609"/>
      <c r="CS142" s="609"/>
      <c r="CT142" s="816"/>
      <c r="CU142" s="816"/>
      <c r="CV142" s="609"/>
      <c r="CW142" s="609"/>
      <c r="CX142" s="816"/>
      <c r="CY142" s="816"/>
      <c r="CZ142" s="609"/>
      <c r="DA142" s="609"/>
      <c r="DB142" s="816"/>
      <c r="DC142" s="816"/>
      <c r="DD142" s="609"/>
      <c r="DE142" s="609"/>
      <c r="DF142" s="816"/>
      <c r="DG142" s="816"/>
      <c r="DH142" s="816"/>
      <c r="DI142" s="816"/>
      <c r="DJ142" s="816"/>
      <c r="DK142" s="816"/>
      <c r="DL142" s="609"/>
      <c r="DM142" s="609"/>
      <c r="DN142" s="816"/>
      <c r="DO142" s="816"/>
      <c r="DP142" s="609"/>
      <c r="DQ142" s="609"/>
      <c r="DR142" s="816"/>
      <c r="DS142" s="816"/>
      <c r="DT142" s="816"/>
      <c r="DU142" s="816"/>
      <c r="DV142" s="816"/>
      <c r="DW142" s="816"/>
      <c r="DX142" s="816"/>
      <c r="DY142" s="816"/>
      <c r="DZ142" s="816"/>
      <c r="EA142" s="816"/>
      <c r="EB142" s="816"/>
      <c r="EC142" s="816"/>
      <c r="ED142" s="816"/>
      <c r="EE142" s="816"/>
      <c r="EF142" s="609"/>
      <c r="EG142" s="609"/>
      <c r="EH142" s="816"/>
      <c r="EI142" s="816"/>
      <c r="EJ142" s="816"/>
      <c r="EK142" s="816"/>
      <c r="EL142" s="816"/>
      <c r="EM142" s="816"/>
      <c r="EN142" s="816"/>
      <c r="EO142" s="816"/>
      <c r="EP142" s="816"/>
      <c r="EQ142" s="816"/>
      <c r="ER142" s="816"/>
      <c r="ES142" s="816"/>
      <c r="ET142" s="816"/>
      <c r="EU142" s="816"/>
      <c r="EV142" s="609"/>
      <c r="EW142" s="609"/>
      <c r="EX142" s="816"/>
      <c r="EY142" s="816"/>
      <c r="EZ142" s="816"/>
      <c r="FA142" s="816"/>
      <c r="FB142" s="816"/>
      <c r="FC142" s="816"/>
      <c r="FD142" s="816"/>
      <c r="FE142" s="816"/>
      <c r="FF142" s="816"/>
      <c r="FG142" s="816"/>
      <c r="FH142" s="816"/>
      <c r="FI142" s="816"/>
      <c r="FJ142" s="816"/>
      <c r="FK142" s="816"/>
      <c r="FL142" s="816"/>
      <c r="FM142" s="816"/>
      <c r="FN142" s="816"/>
      <c r="FO142" s="816"/>
      <c r="FP142" s="816"/>
      <c r="FQ142" s="816"/>
      <c r="FR142" s="816"/>
      <c r="FS142" s="816"/>
      <c r="FT142" s="816"/>
      <c r="FU142" s="816"/>
      <c r="FV142" s="816"/>
      <c r="FW142" s="816"/>
      <c r="FX142" s="816"/>
      <c r="FY142" s="816"/>
      <c r="FZ142" s="819"/>
      <c r="GA142" s="816"/>
      <c r="GB142" s="820"/>
      <c r="GC142" s="820"/>
      <c r="GD142" s="820"/>
      <c r="GE142" s="820"/>
      <c r="GF142" s="609"/>
      <c r="GG142" s="609"/>
      <c r="GH142" s="816"/>
      <c r="GI142" s="816"/>
      <c r="GJ142" s="816"/>
      <c r="GK142" s="816"/>
      <c r="GL142" s="816"/>
      <c r="GM142" s="816"/>
      <c r="GN142" s="816"/>
      <c r="GO142" s="816"/>
      <c r="GP142" s="816"/>
      <c r="GQ142" s="816"/>
      <c r="GR142" s="816"/>
      <c r="GS142" s="816"/>
      <c r="GT142" s="818"/>
      <c r="GU142" s="816"/>
      <c r="GV142" s="816"/>
      <c r="GW142" s="816"/>
      <c r="GX142" s="816"/>
      <c r="GY142" s="816"/>
      <c r="GZ142" s="816"/>
      <c r="HA142" s="816"/>
      <c r="HB142" s="609"/>
      <c r="HC142" s="609"/>
      <c r="HD142" s="816"/>
      <c r="HE142" s="816"/>
      <c r="HF142" s="816"/>
      <c r="HG142" s="816"/>
      <c r="HH142" s="816"/>
      <c r="HI142" s="816"/>
      <c r="HJ142" s="609"/>
      <c r="HK142" s="609"/>
      <c r="HL142" s="609"/>
      <c r="HM142" s="816"/>
      <c r="HN142" s="816"/>
      <c r="HO142" s="609"/>
      <c r="HP142" s="609"/>
      <c r="HQ142" s="816"/>
      <c r="HR142" s="816"/>
      <c r="HS142" s="816"/>
      <c r="HT142" s="816"/>
      <c r="HU142" s="816"/>
      <c r="HV142" s="816"/>
      <c r="HW142" s="609"/>
      <c r="HX142" s="609"/>
      <c r="HY142" s="816"/>
      <c r="HZ142" s="816"/>
      <c r="IA142" s="816"/>
      <c r="IB142" s="816"/>
      <c r="IC142" s="816"/>
      <c r="ID142" s="816"/>
      <c r="IE142" s="609"/>
      <c r="IF142" s="609"/>
      <c r="IG142" s="816"/>
      <c r="IH142" s="816"/>
      <c r="II142" s="609"/>
      <c r="IJ142" s="609"/>
      <c r="IK142" s="816"/>
      <c r="IL142" s="816"/>
      <c r="IM142" s="609"/>
      <c r="IN142" s="609"/>
      <c r="IO142" s="816"/>
      <c r="IP142" s="816"/>
      <c r="IQ142" s="816"/>
      <c r="IR142" s="816"/>
      <c r="IS142" s="816"/>
      <c r="IT142" s="816"/>
      <c r="IU142" s="821"/>
      <c r="IV142" s="609"/>
      <c r="IW142" s="816"/>
      <c r="IX142" s="816"/>
      <c r="IY142" s="822"/>
      <c r="IZ142" s="609"/>
      <c r="JA142" s="816"/>
      <c r="JB142" s="816"/>
      <c r="JC142" s="609"/>
      <c r="JD142" s="816"/>
      <c r="JE142" s="816"/>
      <c r="JF142" s="816"/>
      <c r="JG142" s="816"/>
      <c r="JH142" s="816"/>
      <c r="JI142" s="816"/>
      <c r="JJ142" s="816"/>
      <c r="JK142" s="816"/>
      <c r="JL142" s="816"/>
      <c r="JM142" s="816"/>
      <c r="JN142" s="816"/>
      <c r="JO142" s="823"/>
      <c r="JP142" s="824"/>
      <c r="JQ142" s="825"/>
      <c r="JR142" s="825"/>
      <c r="JS142" s="816"/>
      <c r="JU142" s="826"/>
      <c r="JV142" s="826"/>
      <c r="JW142" s="826"/>
      <c r="JX142" s="826"/>
    </row>
    <row r="143" spans="2:284" s="780" customFormat="1">
      <c r="B143" s="609"/>
      <c r="C143" s="609"/>
      <c r="D143" s="609"/>
      <c r="E143" s="609"/>
      <c r="F143" s="609"/>
      <c r="G143" s="609"/>
      <c r="H143" s="609"/>
      <c r="I143" s="609"/>
      <c r="J143" s="609"/>
      <c r="K143" s="609"/>
      <c r="L143" s="609"/>
      <c r="M143" s="609"/>
      <c r="N143" s="609"/>
      <c r="O143" s="609"/>
      <c r="P143" s="609"/>
      <c r="Q143" s="609"/>
      <c r="R143" s="609"/>
      <c r="S143" s="609"/>
      <c r="T143" s="609"/>
      <c r="U143" s="609"/>
      <c r="V143" s="609"/>
      <c r="W143" s="609"/>
      <c r="X143" s="609"/>
      <c r="Y143" s="609"/>
      <c r="Z143" s="609"/>
      <c r="AA143" s="609"/>
      <c r="AB143" s="609"/>
      <c r="AC143" s="609"/>
      <c r="AD143" s="816"/>
      <c r="AE143" s="816"/>
      <c r="AF143" s="816"/>
      <c r="AG143" s="816"/>
      <c r="AH143" s="816"/>
      <c r="AI143" s="816"/>
      <c r="AJ143" s="609"/>
      <c r="AK143" s="609"/>
      <c r="AL143" s="816"/>
      <c r="AM143" s="816"/>
      <c r="AN143" s="609"/>
      <c r="AO143" s="609"/>
      <c r="AP143" s="816"/>
      <c r="AQ143" s="816"/>
      <c r="AR143" s="816"/>
      <c r="AS143" s="816"/>
      <c r="AT143" s="816"/>
      <c r="AU143" s="816"/>
      <c r="AV143" s="609"/>
      <c r="AW143" s="609"/>
      <c r="AX143" s="816"/>
      <c r="AY143" s="816"/>
      <c r="AZ143" s="817"/>
      <c r="BA143" s="609"/>
      <c r="BB143" s="609"/>
      <c r="BC143" s="816"/>
      <c r="BD143" s="816"/>
      <c r="BE143" s="816"/>
      <c r="BF143" s="816"/>
      <c r="BG143" s="816"/>
      <c r="BH143" s="816"/>
      <c r="BI143" s="816"/>
      <c r="BJ143" s="816"/>
      <c r="BK143" s="816"/>
      <c r="BL143" s="816"/>
      <c r="BM143" s="816"/>
      <c r="BN143" s="816"/>
      <c r="BO143" s="816"/>
      <c r="BP143" s="816"/>
      <c r="BQ143" s="816"/>
      <c r="BR143" s="816"/>
      <c r="BS143" s="816"/>
      <c r="BT143" s="816"/>
      <c r="BU143" s="816"/>
      <c r="BV143" s="816"/>
      <c r="BW143" s="816"/>
      <c r="BX143" s="609"/>
      <c r="BY143" s="609"/>
      <c r="BZ143" s="609"/>
      <c r="CA143" s="818"/>
      <c r="CB143" s="816"/>
      <c r="CC143" s="816"/>
      <c r="CD143" s="816"/>
      <c r="CE143" s="816"/>
      <c r="CF143" s="816"/>
      <c r="CG143" s="816"/>
      <c r="CH143" s="816"/>
      <c r="CI143" s="816"/>
      <c r="CJ143" s="819"/>
      <c r="CK143" s="819"/>
      <c r="CL143" s="820"/>
      <c r="CM143" s="820"/>
      <c r="CN143" s="820"/>
      <c r="CO143" s="820"/>
      <c r="CP143" s="820"/>
      <c r="CQ143" s="820"/>
      <c r="CR143" s="609"/>
      <c r="CS143" s="609"/>
      <c r="CT143" s="816"/>
      <c r="CU143" s="816"/>
      <c r="CV143" s="609"/>
      <c r="CW143" s="609"/>
      <c r="CX143" s="816"/>
      <c r="CY143" s="816"/>
      <c r="CZ143" s="609"/>
      <c r="DA143" s="609"/>
      <c r="DB143" s="816"/>
      <c r="DC143" s="816"/>
      <c r="DD143" s="609"/>
      <c r="DE143" s="609"/>
      <c r="DF143" s="816"/>
      <c r="DG143" s="816"/>
      <c r="DH143" s="816"/>
      <c r="DI143" s="816"/>
      <c r="DJ143" s="816"/>
      <c r="DK143" s="816"/>
      <c r="DL143" s="609"/>
      <c r="DM143" s="609"/>
      <c r="DN143" s="816"/>
      <c r="DO143" s="816"/>
      <c r="DP143" s="609"/>
      <c r="DQ143" s="609"/>
      <c r="DR143" s="816"/>
      <c r="DS143" s="816"/>
      <c r="DT143" s="816"/>
      <c r="DU143" s="816"/>
      <c r="DV143" s="816"/>
      <c r="DW143" s="816"/>
      <c r="DX143" s="816"/>
      <c r="DY143" s="816"/>
      <c r="DZ143" s="816"/>
      <c r="EA143" s="816"/>
      <c r="EB143" s="816"/>
      <c r="EC143" s="816"/>
      <c r="ED143" s="816"/>
      <c r="EE143" s="816"/>
      <c r="EF143" s="609"/>
      <c r="EG143" s="609"/>
      <c r="EH143" s="816"/>
      <c r="EI143" s="816"/>
      <c r="EJ143" s="816"/>
      <c r="EK143" s="816"/>
      <c r="EL143" s="816"/>
      <c r="EM143" s="816"/>
      <c r="EN143" s="816"/>
      <c r="EO143" s="816"/>
      <c r="EP143" s="816"/>
      <c r="EQ143" s="816"/>
      <c r="ER143" s="816"/>
      <c r="ES143" s="816"/>
      <c r="ET143" s="816"/>
      <c r="EU143" s="816"/>
      <c r="EV143" s="609"/>
      <c r="EW143" s="609"/>
      <c r="EX143" s="816"/>
      <c r="EY143" s="816"/>
      <c r="EZ143" s="816"/>
      <c r="FA143" s="816"/>
      <c r="FB143" s="816"/>
      <c r="FC143" s="816"/>
      <c r="FD143" s="816"/>
      <c r="FE143" s="816"/>
      <c r="FF143" s="816"/>
      <c r="FG143" s="816"/>
      <c r="FH143" s="816"/>
      <c r="FI143" s="816"/>
      <c r="FJ143" s="816"/>
      <c r="FK143" s="816"/>
      <c r="FL143" s="816"/>
      <c r="FM143" s="816"/>
      <c r="FN143" s="816"/>
      <c r="FO143" s="816"/>
      <c r="FP143" s="816"/>
      <c r="FQ143" s="816"/>
      <c r="FR143" s="816"/>
      <c r="FS143" s="816"/>
      <c r="FT143" s="816"/>
      <c r="FU143" s="816"/>
      <c r="FV143" s="816"/>
      <c r="FW143" s="816"/>
      <c r="FX143" s="816"/>
      <c r="FY143" s="816"/>
      <c r="FZ143" s="819"/>
      <c r="GA143" s="816"/>
      <c r="GB143" s="820"/>
      <c r="GC143" s="820"/>
      <c r="GD143" s="820"/>
      <c r="GE143" s="820"/>
      <c r="GF143" s="609"/>
      <c r="GG143" s="609"/>
      <c r="GH143" s="816"/>
      <c r="GI143" s="816"/>
      <c r="GJ143" s="816"/>
      <c r="GK143" s="816"/>
      <c r="GL143" s="816"/>
      <c r="GM143" s="816"/>
      <c r="GN143" s="816"/>
      <c r="GO143" s="816"/>
      <c r="GP143" s="816"/>
      <c r="GQ143" s="816"/>
      <c r="GR143" s="816"/>
      <c r="GS143" s="816"/>
      <c r="GT143" s="818"/>
      <c r="GU143" s="816"/>
      <c r="GV143" s="816"/>
      <c r="GW143" s="816"/>
      <c r="GX143" s="816"/>
      <c r="GY143" s="816"/>
      <c r="GZ143" s="816"/>
      <c r="HA143" s="816"/>
      <c r="HB143" s="609"/>
      <c r="HC143" s="609"/>
      <c r="HD143" s="816"/>
      <c r="HE143" s="816"/>
      <c r="HF143" s="816"/>
      <c r="HG143" s="816"/>
      <c r="HH143" s="816"/>
      <c r="HI143" s="816"/>
      <c r="HJ143" s="609"/>
      <c r="HK143" s="609"/>
      <c r="HL143" s="609"/>
      <c r="HM143" s="816"/>
      <c r="HN143" s="816"/>
      <c r="HO143" s="609"/>
      <c r="HP143" s="609"/>
      <c r="HQ143" s="816"/>
      <c r="HR143" s="816"/>
      <c r="HS143" s="816"/>
      <c r="HT143" s="816"/>
      <c r="HU143" s="816"/>
      <c r="HV143" s="816"/>
      <c r="HW143" s="609"/>
      <c r="HX143" s="609"/>
      <c r="HY143" s="816"/>
      <c r="HZ143" s="816"/>
      <c r="IA143" s="816"/>
      <c r="IB143" s="816"/>
      <c r="IC143" s="816"/>
      <c r="ID143" s="816"/>
      <c r="IE143" s="609"/>
      <c r="IF143" s="609"/>
      <c r="IG143" s="816"/>
      <c r="IH143" s="816"/>
      <c r="II143" s="609"/>
      <c r="IJ143" s="609"/>
      <c r="IK143" s="816"/>
      <c r="IL143" s="816"/>
      <c r="IM143" s="609"/>
      <c r="IN143" s="609"/>
      <c r="IO143" s="816"/>
      <c r="IP143" s="816"/>
      <c r="IQ143" s="816"/>
      <c r="IR143" s="816"/>
      <c r="IS143" s="816"/>
      <c r="IT143" s="816"/>
      <c r="IU143" s="821"/>
      <c r="IV143" s="609"/>
      <c r="IW143" s="816"/>
      <c r="IX143" s="816"/>
      <c r="IY143" s="822"/>
      <c r="IZ143" s="609"/>
      <c r="JA143" s="816"/>
      <c r="JB143" s="816"/>
      <c r="JC143" s="609"/>
      <c r="JD143" s="816"/>
      <c r="JE143" s="816"/>
      <c r="JF143" s="816"/>
      <c r="JG143" s="816"/>
      <c r="JH143" s="816"/>
      <c r="JI143" s="816"/>
      <c r="JJ143" s="816"/>
      <c r="JK143" s="816"/>
      <c r="JL143" s="816"/>
      <c r="JM143" s="816"/>
      <c r="JN143" s="816"/>
      <c r="JO143" s="823"/>
      <c r="JP143" s="824"/>
      <c r="JQ143" s="825"/>
      <c r="JR143" s="825"/>
      <c r="JS143" s="816"/>
      <c r="JU143" s="826"/>
      <c r="JV143" s="826"/>
      <c r="JW143" s="826"/>
      <c r="JX143" s="826"/>
    </row>
    <row r="144" spans="2:284" s="780" customFormat="1">
      <c r="B144" s="609"/>
      <c r="C144" s="609"/>
      <c r="D144" s="609"/>
      <c r="E144" s="609"/>
      <c r="F144" s="609"/>
      <c r="G144" s="609"/>
      <c r="H144" s="609"/>
      <c r="I144" s="609"/>
      <c r="J144" s="609"/>
      <c r="K144" s="609"/>
      <c r="L144" s="609"/>
      <c r="M144" s="609"/>
      <c r="N144" s="609"/>
      <c r="O144" s="609"/>
      <c r="P144" s="609"/>
      <c r="Q144" s="609"/>
      <c r="R144" s="609"/>
      <c r="S144" s="609"/>
      <c r="T144" s="609"/>
      <c r="U144" s="609"/>
      <c r="V144" s="609"/>
      <c r="W144" s="609"/>
      <c r="X144" s="609"/>
      <c r="Y144" s="609"/>
      <c r="Z144" s="609"/>
      <c r="AA144" s="609"/>
      <c r="AB144" s="609"/>
      <c r="AC144" s="609"/>
      <c r="AD144" s="816"/>
      <c r="AE144" s="816"/>
      <c r="AF144" s="816"/>
      <c r="AG144" s="816"/>
      <c r="AH144" s="816"/>
      <c r="AI144" s="816"/>
      <c r="AJ144" s="609"/>
      <c r="AK144" s="609"/>
      <c r="AL144" s="816"/>
      <c r="AM144" s="816"/>
      <c r="AN144" s="609"/>
      <c r="AO144" s="609"/>
      <c r="AP144" s="816"/>
      <c r="AQ144" s="816"/>
      <c r="AR144" s="816"/>
      <c r="AS144" s="816"/>
      <c r="AT144" s="816"/>
      <c r="AU144" s="816"/>
      <c r="AV144" s="609"/>
      <c r="AW144" s="609"/>
      <c r="AX144" s="816"/>
      <c r="AY144" s="816"/>
      <c r="AZ144" s="817"/>
      <c r="BA144" s="609"/>
      <c r="BB144" s="609"/>
      <c r="BC144" s="816"/>
      <c r="BD144" s="816"/>
      <c r="BE144" s="816"/>
      <c r="BF144" s="816"/>
      <c r="BG144" s="816"/>
      <c r="BH144" s="816"/>
      <c r="BI144" s="816"/>
      <c r="BJ144" s="816"/>
      <c r="BK144" s="816"/>
      <c r="BL144" s="816"/>
      <c r="BM144" s="816"/>
      <c r="BN144" s="816"/>
      <c r="BO144" s="816"/>
      <c r="BP144" s="816"/>
      <c r="BQ144" s="816"/>
      <c r="BR144" s="816"/>
      <c r="BS144" s="816"/>
      <c r="BT144" s="816"/>
      <c r="BU144" s="816"/>
      <c r="BV144" s="816"/>
      <c r="BW144" s="816"/>
      <c r="BX144" s="609"/>
      <c r="BY144" s="609"/>
      <c r="BZ144" s="609"/>
      <c r="CA144" s="818"/>
      <c r="CB144" s="816"/>
      <c r="CC144" s="816"/>
      <c r="CD144" s="816"/>
      <c r="CE144" s="816"/>
      <c r="CF144" s="816"/>
      <c r="CG144" s="816"/>
      <c r="CH144" s="816"/>
      <c r="CI144" s="816"/>
      <c r="CJ144" s="819"/>
      <c r="CK144" s="819"/>
      <c r="CL144" s="820"/>
      <c r="CM144" s="820"/>
      <c r="CN144" s="820"/>
      <c r="CO144" s="820"/>
      <c r="CP144" s="820"/>
      <c r="CQ144" s="820"/>
      <c r="CR144" s="609"/>
      <c r="CS144" s="609"/>
      <c r="CT144" s="816"/>
      <c r="CU144" s="816"/>
      <c r="CV144" s="609"/>
      <c r="CW144" s="609"/>
      <c r="CX144" s="816"/>
      <c r="CY144" s="816"/>
      <c r="CZ144" s="609"/>
      <c r="DA144" s="609"/>
      <c r="DB144" s="816"/>
      <c r="DC144" s="816"/>
      <c r="DD144" s="609"/>
      <c r="DE144" s="609"/>
      <c r="DF144" s="816"/>
      <c r="DG144" s="816"/>
      <c r="DH144" s="816"/>
      <c r="DI144" s="816"/>
      <c r="DJ144" s="816"/>
      <c r="DK144" s="816"/>
      <c r="DL144" s="609"/>
      <c r="DM144" s="609"/>
      <c r="DN144" s="816"/>
      <c r="DO144" s="816"/>
      <c r="DP144" s="609"/>
      <c r="DQ144" s="609"/>
      <c r="DR144" s="816"/>
      <c r="DS144" s="816"/>
      <c r="DT144" s="816"/>
      <c r="DU144" s="816"/>
      <c r="DV144" s="816"/>
      <c r="DW144" s="816"/>
      <c r="DX144" s="816"/>
      <c r="DY144" s="816"/>
      <c r="DZ144" s="816"/>
      <c r="EA144" s="816"/>
      <c r="EB144" s="816"/>
      <c r="EC144" s="816"/>
      <c r="ED144" s="816"/>
      <c r="EE144" s="816"/>
      <c r="EF144" s="609"/>
      <c r="EG144" s="609"/>
      <c r="EH144" s="816"/>
      <c r="EI144" s="816"/>
      <c r="EJ144" s="816"/>
      <c r="EK144" s="816"/>
      <c r="EL144" s="816"/>
      <c r="EM144" s="816"/>
      <c r="EN144" s="816"/>
      <c r="EO144" s="816"/>
      <c r="EP144" s="816"/>
      <c r="EQ144" s="816"/>
      <c r="ER144" s="816"/>
      <c r="ES144" s="816"/>
      <c r="ET144" s="816"/>
      <c r="EU144" s="816"/>
      <c r="EV144" s="609"/>
      <c r="EW144" s="609"/>
      <c r="EX144" s="816"/>
      <c r="EY144" s="816"/>
      <c r="EZ144" s="816"/>
      <c r="FA144" s="816"/>
      <c r="FB144" s="816"/>
      <c r="FC144" s="816"/>
      <c r="FD144" s="816"/>
      <c r="FE144" s="816"/>
      <c r="FF144" s="816"/>
      <c r="FG144" s="816"/>
      <c r="FH144" s="816"/>
      <c r="FI144" s="816"/>
      <c r="FJ144" s="816"/>
      <c r="FK144" s="816"/>
      <c r="FL144" s="816"/>
      <c r="FM144" s="816"/>
      <c r="FN144" s="816"/>
      <c r="FO144" s="816"/>
      <c r="FP144" s="816"/>
      <c r="FQ144" s="816"/>
      <c r="FR144" s="816"/>
      <c r="FS144" s="816"/>
      <c r="FT144" s="816"/>
      <c r="FU144" s="816"/>
      <c r="FV144" s="816"/>
      <c r="FW144" s="816"/>
      <c r="FX144" s="816"/>
      <c r="FY144" s="816"/>
      <c r="FZ144" s="819"/>
      <c r="GA144" s="816"/>
      <c r="GB144" s="820"/>
      <c r="GC144" s="820"/>
      <c r="GD144" s="820"/>
      <c r="GE144" s="820"/>
      <c r="GF144" s="609"/>
      <c r="GG144" s="609"/>
      <c r="GH144" s="816"/>
      <c r="GI144" s="816"/>
      <c r="GJ144" s="816"/>
      <c r="GK144" s="816"/>
      <c r="GL144" s="816"/>
      <c r="GM144" s="816"/>
      <c r="GN144" s="816"/>
      <c r="GO144" s="816"/>
      <c r="GP144" s="816"/>
      <c r="GQ144" s="816"/>
      <c r="GR144" s="816"/>
      <c r="GS144" s="816"/>
      <c r="GT144" s="818"/>
      <c r="GU144" s="816"/>
      <c r="GV144" s="816"/>
      <c r="GW144" s="816"/>
      <c r="GX144" s="816"/>
      <c r="GY144" s="816"/>
      <c r="GZ144" s="816"/>
      <c r="HA144" s="816"/>
      <c r="HB144" s="609"/>
      <c r="HC144" s="609"/>
      <c r="HD144" s="816"/>
      <c r="HE144" s="816"/>
      <c r="HF144" s="816"/>
      <c r="HG144" s="816"/>
      <c r="HH144" s="816"/>
      <c r="HI144" s="816"/>
      <c r="HJ144" s="609"/>
      <c r="HK144" s="609"/>
      <c r="HL144" s="609"/>
      <c r="HM144" s="816"/>
      <c r="HN144" s="816"/>
      <c r="HO144" s="609"/>
      <c r="HP144" s="609"/>
      <c r="HQ144" s="816"/>
      <c r="HR144" s="816"/>
      <c r="HS144" s="816"/>
      <c r="HT144" s="816"/>
      <c r="HU144" s="816"/>
      <c r="HV144" s="816"/>
      <c r="HW144" s="609"/>
      <c r="HX144" s="609"/>
      <c r="HY144" s="816"/>
      <c r="HZ144" s="816"/>
      <c r="IA144" s="816"/>
      <c r="IB144" s="816"/>
      <c r="IC144" s="816"/>
      <c r="ID144" s="816"/>
      <c r="IE144" s="609"/>
      <c r="IF144" s="609"/>
      <c r="IG144" s="816"/>
      <c r="IH144" s="816"/>
      <c r="II144" s="609"/>
      <c r="IJ144" s="609"/>
      <c r="IK144" s="816"/>
      <c r="IL144" s="816"/>
      <c r="IM144" s="609"/>
      <c r="IN144" s="609"/>
      <c r="IO144" s="816"/>
      <c r="IP144" s="816"/>
      <c r="IQ144" s="816"/>
      <c r="IR144" s="816"/>
      <c r="IS144" s="816"/>
      <c r="IT144" s="816"/>
      <c r="IU144" s="821"/>
      <c r="IV144" s="609"/>
      <c r="IW144" s="816"/>
      <c r="IX144" s="816"/>
      <c r="IY144" s="822"/>
      <c r="IZ144" s="609"/>
      <c r="JA144" s="816"/>
      <c r="JB144" s="816"/>
      <c r="JC144" s="609"/>
      <c r="JD144" s="816"/>
      <c r="JE144" s="816"/>
      <c r="JF144" s="816"/>
      <c r="JG144" s="816"/>
      <c r="JH144" s="816"/>
      <c r="JI144" s="816"/>
      <c r="JJ144" s="816"/>
      <c r="JK144" s="816"/>
      <c r="JL144" s="816"/>
      <c r="JM144" s="816"/>
      <c r="JN144" s="816"/>
      <c r="JO144" s="823"/>
      <c r="JP144" s="824"/>
      <c r="JQ144" s="825"/>
      <c r="JR144" s="825"/>
      <c r="JS144" s="816"/>
      <c r="JU144" s="826"/>
      <c r="JV144" s="826"/>
      <c r="JW144" s="826"/>
      <c r="JX144" s="826"/>
    </row>
    <row r="145" spans="2:284" s="780" customFormat="1">
      <c r="B145" s="609"/>
      <c r="C145" s="609"/>
      <c r="D145" s="609"/>
      <c r="E145" s="609"/>
      <c r="F145" s="609"/>
      <c r="G145" s="609"/>
      <c r="H145" s="609"/>
      <c r="I145" s="609"/>
      <c r="J145" s="609"/>
      <c r="K145" s="609"/>
      <c r="L145" s="609"/>
      <c r="M145" s="609"/>
      <c r="N145" s="609"/>
      <c r="O145" s="609"/>
      <c r="P145" s="609"/>
      <c r="Q145" s="609"/>
      <c r="R145" s="609"/>
      <c r="S145" s="609"/>
      <c r="T145" s="609"/>
      <c r="U145" s="609"/>
      <c r="V145" s="609"/>
      <c r="W145" s="609"/>
      <c r="X145" s="609"/>
      <c r="Y145" s="609"/>
      <c r="Z145" s="609"/>
      <c r="AA145" s="609"/>
      <c r="AB145" s="609"/>
      <c r="AC145" s="609"/>
      <c r="AD145" s="816"/>
      <c r="AE145" s="816"/>
      <c r="AF145" s="816"/>
      <c r="AG145" s="816"/>
      <c r="AH145" s="816"/>
      <c r="AI145" s="816"/>
      <c r="AJ145" s="609"/>
      <c r="AK145" s="609"/>
      <c r="AL145" s="816"/>
      <c r="AM145" s="816"/>
      <c r="AN145" s="609"/>
      <c r="AO145" s="609"/>
      <c r="AP145" s="816"/>
      <c r="AQ145" s="816"/>
      <c r="AR145" s="816"/>
      <c r="AS145" s="816"/>
      <c r="AT145" s="816"/>
      <c r="AU145" s="816"/>
      <c r="AV145" s="609"/>
      <c r="AW145" s="609"/>
      <c r="AX145" s="816"/>
      <c r="AY145" s="816"/>
      <c r="AZ145" s="817"/>
      <c r="BA145" s="609"/>
      <c r="BB145" s="609"/>
      <c r="BC145" s="816"/>
      <c r="BD145" s="816"/>
      <c r="BE145" s="816"/>
      <c r="BF145" s="816"/>
      <c r="BG145" s="816"/>
      <c r="BH145" s="816"/>
      <c r="BI145" s="816"/>
      <c r="BJ145" s="816"/>
      <c r="BK145" s="816"/>
      <c r="BL145" s="816"/>
      <c r="BM145" s="816"/>
      <c r="BN145" s="816"/>
      <c r="BO145" s="816"/>
      <c r="BP145" s="816"/>
      <c r="BQ145" s="816"/>
      <c r="BR145" s="816"/>
      <c r="BS145" s="816"/>
      <c r="BT145" s="816"/>
      <c r="BU145" s="816"/>
      <c r="BV145" s="816"/>
      <c r="BW145" s="816"/>
      <c r="BX145" s="609"/>
      <c r="BY145" s="609"/>
      <c r="BZ145" s="609"/>
      <c r="CA145" s="818"/>
      <c r="CB145" s="816"/>
      <c r="CC145" s="816"/>
      <c r="CD145" s="816"/>
      <c r="CE145" s="816"/>
      <c r="CF145" s="816"/>
      <c r="CG145" s="816"/>
      <c r="CH145" s="816"/>
      <c r="CI145" s="816"/>
      <c r="CJ145" s="819"/>
      <c r="CK145" s="819"/>
      <c r="CL145" s="820"/>
      <c r="CM145" s="820"/>
      <c r="CN145" s="820"/>
      <c r="CO145" s="820"/>
      <c r="CP145" s="820"/>
      <c r="CQ145" s="820"/>
      <c r="CR145" s="609"/>
      <c r="CS145" s="609"/>
      <c r="CT145" s="816"/>
      <c r="CU145" s="816"/>
      <c r="CV145" s="609"/>
      <c r="CW145" s="609"/>
      <c r="CX145" s="816"/>
      <c r="CY145" s="816"/>
      <c r="CZ145" s="609"/>
      <c r="DA145" s="609"/>
      <c r="DB145" s="816"/>
      <c r="DC145" s="816"/>
      <c r="DD145" s="609"/>
      <c r="DE145" s="609"/>
      <c r="DF145" s="816"/>
      <c r="DG145" s="816"/>
      <c r="DH145" s="816"/>
      <c r="DI145" s="816"/>
      <c r="DJ145" s="816"/>
      <c r="DK145" s="816"/>
      <c r="DL145" s="609"/>
      <c r="DM145" s="609"/>
      <c r="DN145" s="816"/>
      <c r="DO145" s="816"/>
      <c r="DP145" s="609"/>
      <c r="DQ145" s="609"/>
      <c r="DR145" s="816"/>
      <c r="DS145" s="816"/>
      <c r="DT145" s="816"/>
      <c r="DU145" s="816"/>
      <c r="DV145" s="816"/>
      <c r="DW145" s="816"/>
      <c r="DX145" s="816"/>
      <c r="DY145" s="816"/>
      <c r="DZ145" s="816"/>
      <c r="EA145" s="816"/>
      <c r="EB145" s="816"/>
      <c r="EC145" s="816"/>
      <c r="ED145" s="816"/>
      <c r="EE145" s="816"/>
      <c r="EF145" s="609"/>
      <c r="EG145" s="609"/>
      <c r="EH145" s="816"/>
      <c r="EI145" s="816"/>
      <c r="EJ145" s="816"/>
      <c r="EK145" s="816"/>
      <c r="EL145" s="816"/>
      <c r="EM145" s="816"/>
      <c r="EN145" s="816"/>
      <c r="EO145" s="816"/>
      <c r="EP145" s="816"/>
      <c r="EQ145" s="816"/>
      <c r="ER145" s="816"/>
      <c r="ES145" s="816"/>
      <c r="ET145" s="816"/>
      <c r="EU145" s="816"/>
      <c r="EV145" s="609"/>
      <c r="EW145" s="609"/>
      <c r="EX145" s="816"/>
      <c r="EY145" s="816"/>
      <c r="EZ145" s="816"/>
      <c r="FA145" s="816"/>
      <c r="FB145" s="816"/>
      <c r="FC145" s="816"/>
      <c r="FD145" s="816"/>
      <c r="FE145" s="816"/>
      <c r="FF145" s="816"/>
      <c r="FG145" s="816"/>
      <c r="FH145" s="816"/>
      <c r="FI145" s="816"/>
      <c r="FJ145" s="816"/>
      <c r="FK145" s="816"/>
      <c r="FL145" s="816"/>
      <c r="FM145" s="816"/>
      <c r="FN145" s="816"/>
      <c r="FO145" s="816"/>
      <c r="FP145" s="816"/>
      <c r="FQ145" s="816"/>
      <c r="FR145" s="816"/>
      <c r="FS145" s="816"/>
      <c r="FT145" s="816"/>
      <c r="FU145" s="816"/>
      <c r="FV145" s="816"/>
      <c r="FW145" s="816"/>
      <c r="FX145" s="816"/>
      <c r="FY145" s="816"/>
      <c r="FZ145" s="819"/>
      <c r="GA145" s="816"/>
      <c r="GB145" s="820"/>
      <c r="GC145" s="820"/>
      <c r="GD145" s="820"/>
      <c r="GE145" s="820"/>
      <c r="GF145" s="609"/>
      <c r="GG145" s="609"/>
      <c r="GH145" s="816"/>
      <c r="GI145" s="816"/>
      <c r="GJ145" s="816"/>
      <c r="GK145" s="816"/>
      <c r="GL145" s="816"/>
      <c r="GM145" s="816"/>
      <c r="GN145" s="816"/>
      <c r="GO145" s="816"/>
      <c r="GP145" s="816"/>
      <c r="GQ145" s="816"/>
      <c r="GR145" s="816"/>
      <c r="GS145" s="816"/>
      <c r="GT145" s="818"/>
      <c r="GU145" s="816"/>
      <c r="GV145" s="816"/>
      <c r="GW145" s="816"/>
      <c r="GX145" s="816"/>
      <c r="GY145" s="816"/>
      <c r="GZ145" s="816"/>
      <c r="HA145" s="816"/>
      <c r="HB145" s="609"/>
      <c r="HC145" s="609"/>
      <c r="HD145" s="816"/>
      <c r="HE145" s="816"/>
      <c r="HF145" s="816"/>
      <c r="HG145" s="816"/>
      <c r="HH145" s="816"/>
      <c r="HI145" s="816"/>
      <c r="HJ145" s="609"/>
      <c r="HK145" s="609"/>
      <c r="HL145" s="609"/>
      <c r="HM145" s="816"/>
      <c r="HN145" s="816"/>
      <c r="HO145" s="609"/>
      <c r="HP145" s="609"/>
      <c r="HQ145" s="816"/>
      <c r="HR145" s="816"/>
      <c r="HS145" s="816"/>
      <c r="HT145" s="816"/>
      <c r="HU145" s="816"/>
      <c r="HV145" s="816"/>
      <c r="HW145" s="609"/>
      <c r="HX145" s="609"/>
      <c r="HY145" s="816"/>
      <c r="HZ145" s="816"/>
      <c r="IA145" s="816"/>
      <c r="IB145" s="816"/>
      <c r="IC145" s="816"/>
      <c r="ID145" s="816"/>
      <c r="IE145" s="609"/>
      <c r="IF145" s="609"/>
      <c r="IG145" s="816"/>
      <c r="IH145" s="816"/>
      <c r="II145" s="609"/>
      <c r="IJ145" s="609"/>
      <c r="IK145" s="816"/>
      <c r="IL145" s="816"/>
      <c r="IM145" s="609"/>
      <c r="IN145" s="609"/>
      <c r="IO145" s="816"/>
      <c r="IP145" s="816"/>
      <c r="IQ145" s="816"/>
      <c r="IR145" s="816"/>
      <c r="IS145" s="816"/>
      <c r="IT145" s="816"/>
      <c r="IU145" s="821"/>
      <c r="IV145" s="609"/>
      <c r="IW145" s="816"/>
      <c r="IX145" s="816"/>
      <c r="IY145" s="822"/>
      <c r="IZ145" s="609"/>
      <c r="JA145" s="816"/>
      <c r="JB145" s="816"/>
      <c r="JC145" s="609"/>
      <c r="JD145" s="816"/>
      <c r="JE145" s="816"/>
      <c r="JF145" s="816"/>
      <c r="JG145" s="816"/>
      <c r="JH145" s="816"/>
      <c r="JI145" s="816"/>
      <c r="JJ145" s="816"/>
      <c r="JK145" s="816"/>
      <c r="JL145" s="816"/>
      <c r="JM145" s="816"/>
      <c r="JN145" s="816"/>
      <c r="JO145" s="823"/>
      <c r="JP145" s="824"/>
      <c r="JQ145" s="825"/>
      <c r="JR145" s="825"/>
      <c r="JS145" s="816"/>
      <c r="JU145" s="826"/>
      <c r="JV145" s="826"/>
      <c r="JW145" s="826"/>
      <c r="JX145" s="826"/>
    </row>
    <row r="146" spans="2:284" s="780" customFormat="1">
      <c r="B146" s="609"/>
      <c r="C146" s="609"/>
      <c r="D146" s="609"/>
      <c r="E146" s="609"/>
      <c r="F146" s="609"/>
      <c r="G146" s="609"/>
      <c r="H146" s="609"/>
      <c r="I146" s="609"/>
      <c r="J146" s="609"/>
      <c r="K146" s="609"/>
      <c r="L146" s="609"/>
      <c r="M146" s="609"/>
      <c r="N146" s="609"/>
      <c r="O146" s="609"/>
      <c r="P146" s="609"/>
      <c r="Q146" s="609"/>
      <c r="R146" s="609"/>
      <c r="S146" s="609"/>
      <c r="T146" s="609"/>
      <c r="U146" s="609"/>
      <c r="V146" s="609"/>
      <c r="W146" s="609"/>
      <c r="X146" s="609"/>
      <c r="Y146" s="609"/>
      <c r="Z146" s="609"/>
      <c r="AA146" s="609"/>
      <c r="AB146" s="609"/>
      <c r="AC146" s="609"/>
      <c r="AD146" s="816"/>
      <c r="AE146" s="816"/>
      <c r="AF146" s="816"/>
      <c r="AG146" s="816"/>
      <c r="AH146" s="816"/>
      <c r="AI146" s="816"/>
      <c r="AJ146" s="609"/>
      <c r="AK146" s="609"/>
      <c r="AL146" s="816"/>
      <c r="AM146" s="816"/>
      <c r="AN146" s="609"/>
      <c r="AO146" s="609"/>
      <c r="AP146" s="816"/>
      <c r="AQ146" s="816"/>
      <c r="AR146" s="816"/>
      <c r="AS146" s="816"/>
      <c r="AT146" s="816"/>
      <c r="AU146" s="816"/>
      <c r="AV146" s="609"/>
      <c r="AW146" s="609"/>
      <c r="AX146" s="816"/>
      <c r="AY146" s="816"/>
      <c r="AZ146" s="817"/>
      <c r="BA146" s="609"/>
      <c r="BB146" s="609"/>
      <c r="BC146" s="816"/>
      <c r="BD146" s="816"/>
      <c r="BE146" s="816"/>
      <c r="BF146" s="816"/>
      <c r="BG146" s="816"/>
      <c r="BH146" s="816"/>
      <c r="BI146" s="816"/>
      <c r="BJ146" s="816"/>
      <c r="BK146" s="816"/>
      <c r="BL146" s="816"/>
      <c r="BM146" s="816"/>
      <c r="BN146" s="816"/>
      <c r="BO146" s="816"/>
      <c r="BP146" s="816"/>
      <c r="BQ146" s="816"/>
      <c r="BR146" s="816"/>
      <c r="BS146" s="816"/>
      <c r="BT146" s="816"/>
      <c r="BU146" s="816"/>
      <c r="BV146" s="816"/>
      <c r="BW146" s="816"/>
      <c r="BX146" s="609"/>
      <c r="BY146" s="609"/>
      <c r="BZ146" s="609"/>
      <c r="CA146" s="818"/>
      <c r="CB146" s="816"/>
      <c r="CC146" s="816"/>
      <c r="CD146" s="816"/>
      <c r="CE146" s="816"/>
      <c r="CF146" s="816"/>
      <c r="CG146" s="816"/>
      <c r="CH146" s="816"/>
      <c r="CI146" s="816"/>
      <c r="CJ146" s="819"/>
      <c r="CK146" s="819"/>
      <c r="CL146" s="820"/>
      <c r="CM146" s="820"/>
      <c r="CN146" s="820"/>
      <c r="CO146" s="820"/>
      <c r="CP146" s="820"/>
      <c r="CQ146" s="820"/>
      <c r="CR146" s="609"/>
      <c r="CS146" s="609"/>
      <c r="CT146" s="816"/>
      <c r="CU146" s="816"/>
      <c r="CV146" s="609"/>
      <c r="CW146" s="609"/>
      <c r="CX146" s="816"/>
      <c r="CY146" s="816"/>
      <c r="CZ146" s="609"/>
      <c r="DA146" s="609"/>
      <c r="DB146" s="816"/>
      <c r="DC146" s="816"/>
      <c r="DD146" s="609"/>
      <c r="DE146" s="609"/>
      <c r="DF146" s="816"/>
      <c r="DG146" s="816"/>
      <c r="DH146" s="816"/>
      <c r="DI146" s="816"/>
      <c r="DJ146" s="816"/>
      <c r="DK146" s="816"/>
      <c r="DL146" s="609"/>
      <c r="DM146" s="609"/>
      <c r="DN146" s="816"/>
      <c r="DO146" s="816"/>
      <c r="DP146" s="609"/>
      <c r="DQ146" s="609"/>
      <c r="DR146" s="816"/>
      <c r="DS146" s="816"/>
      <c r="DT146" s="816"/>
      <c r="DU146" s="816"/>
      <c r="DV146" s="816"/>
      <c r="DW146" s="816"/>
      <c r="DX146" s="816"/>
      <c r="DY146" s="816"/>
      <c r="DZ146" s="816"/>
      <c r="EA146" s="816"/>
      <c r="EB146" s="816"/>
      <c r="EC146" s="816"/>
      <c r="ED146" s="816"/>
      <c r="EE146" s="816"/>
      <c r="EF146" s="609"/>
      <c r="EG146" s="609"/>
      <c r="EH146" s="816"/>
      <c r="EI146" s="816"/>
      <c r="EJ146" s="816"/>
      <c r="EK146" s="816"/>
      <c r="EL146" s="816"/>
      <c r="EM146" s="816"/>
      <c r="EN146" s="816"/>
      <c r="EO146" s="816"/>
      <c r="EP146" s="816"/>
      <c r="EQ146" s="816"/>
      <c r="ER146" s="816"/>
      <c r="ES146" s="816"/>
      <c r="ET146" s="816"/>
      <c r="EU146" s="816"/>
      <c r="EV146" s="609"/>
      <c r="EW146" s="609"/>
      <c r="EX146" s="816"/>
      <c r="EY146" s="816"/>
      <c r="EZ146" s="816"/>
      <c r="FA146" s="816"/>
      <c r="FB146" s="816"/>
      <c r="FC146" s="816"/>
      <c r="FD146" s="816"/>
      <c r="FE146" s="816"/>
      <c r="FF146" s="816"/>
      <c r="FG146" s="816"/>
      <c r="FH146" s="816"/>
      <c r="FI146" s="816"/>
      <c r="FJ146" s="816"/>
      <c r="FK146" s="816"/>
      <c r="FL146" s="816"/>
      <c r="FM146" s="816"/>
      <c r="FN146" s="816"/>
      <c r="FO146" s="816"/>
      <c r="FP146" s="816"/>
      <c r="FQ146" s="816"/>
      <c r="FR146" s="816"/>
      <c r="FS146" s="816"/>
      <c r="FT146" s="816"/>
      <c r="FU146" s="816"/>
      <c r="FV146" s="816"/>
      <c r="FW146" s="816"/>
      <c r="FX146" s="816"/>
      <c r="FY146" s="816"/>
      <c r="FZ146" s="819"/>
      <c r="GA146" s="816"/>
      <c r="GB146" s="820"/>
      <c r="GC146" s="820"/>
      <c r="GD146" s="820"/>
      <c r="GE146" s="820"/>
      <c r="GF146" s="609"/>
      <c r="GG146" s="609"/>
      <c r="GH146" s="816"/>
      <c r="GI146" s="816"/>
      <c r="GJ146" s="816"/>
      <c r="GK146" s="816"/>
      <c r="GL146" s="816"/>
      <c r="GM146" s="816"/>
      <c r="GN146" s="816"/>
      <c r="GO146" s="816"/>
      <c r="GP146" s="816"/>
      <c r="GQ146" s="816"/>
      <c r="GR146" s="816"/>
      <c r="GS146" s="816"/>
      <c r="GT146" s="818"/>
      <c r="GU146" s="816"/>
      <c r="GV146" s="816"/>
      <c r="GW146" s="816"/>
      <c r="GX146" s="816"/>
      <c r="GY146" s="816"/>
      <c r="GZ146" s="816"/>
      <c r="HA146" s="816"/>
      <c r="HB146" s="609"/>
      <c r="HC146" s="609"/>
      <c r="HD146" s="816"/>
      <c r="HE146" s="816"/>
      <c r="HF146" s="816"/>
      <c r="HG146" s="816"/>
      <c r="HH146" s="816"/>
      <c r="HI146" s="816"/>
      <c r="HJ146" s="609"/>
      <c r="HK146" s="609"/>
      <c r="HL146" s="609"/>
      <c r="HM146" s="816"/>
      <c r="HN146" s="816"/>
      <c r="HO146" s="609"/>
      <c r="HP146" s="609"/>
      <c r="HQ146" s="816"/>
      <c r="HR146" s="816"/>
      <c r="HS146" s="816"/>
      <c r="HT146" s="816"/>
      <c r="HU146" s="816"/>
      <c r="HV146" s="816"/>
      <c r="HW146" s="609"/>
      <c r="HX146" s="609"/>
      <c r="HY146" s="816"/>
      <c r="HZ146" s="816"/>
      <c r="IA146" s="816"/>
      <c r="IB146" s="816"/>
      <c r="IC146" s="816"/>
      <c r="ID146" s="816"/>
      <c r="IE146" s="609"/>
      <c r="IF146" s="609"/>
      <c r="IG146" s="816"/>
      <c r="IH146" s="816"/>
      <c r="II146" s="609"/>
      <c r="IJ146" s="609"/>
      <c r="IK146" s="816"/>
      <c r="IL146" s="816"/>
      <c r="IM146" s="609"/>
      <c r="IN146" s="609"/>
      <c r="IO146" s="816"/>
      <c r="IP146" s="816"/>
      <c r="IQ146" s="816"/>
      <c r="IR146" s="816"/>
      <c r="IS146" s="816"/>
      <c r="IT146" s="816"/>
      <c r="IU146" s="821"/>
      <c r="IV146" s="609"/>
      <c r="IW146" s="816"/>
      <c r="IX146" s="816"/>
      <c r="IY146" s="822"/>
      <c r="IZ146" s="609"/>
      <c r="JA146" s="816"/>
      <c r="JB146" s="816"/>
      <c r="JC146" s="609"/>
      <c r="JD146" s="816"/>
      <c r="JE146" s="816"/>
      <c r="JF146" s="816"/>
      <c r="JG146" s="816"/>
      <c r="JH146" s="816"/>
      <c r="JI146" s="816"/>
      <c r="JJ146" s="816"/>
      <c r="JK146" s="816"/>
      <c r="JL146" s="816"/>
      <c r="JM146" s="816"/>
      <c r="JN146" s="816"/>
      <c r="JO146" s="823"/>
      <c r="JP146" s="824"/>
      <c r="JQ146" s="825"/>
      <c r="JR146" s="825"/>
      <c r="JS146" s="816"/>
      <c r="JU146" s="826"/>
      <c r="JV146" s="826"/>
      <c r="JW146" s="826"/>
      <c r="JX146" s="826"/>
    </row>
    <row r="147" spans="2:284" s="780" customFormat="1">
      <c r="B147" s="609"/>
      <c r="C147" s="609"/>
      <c r="D147" s="609"/>
      <c r="E147" s="609"/>
      <c r="F147" s="609"/>
      <c r="G147" s="609"/>
      <c r="H147" s="609"/>
      <c r="I147" s="609"/>
      <c r="J147" s="609"/>
      <c r="K147" s="609"/>
      <c r="L147" s="609"/>
      <c r="M147" s="609"/>
      <c r="N147" s="609"/>
      <c r="O147" s="609"/>
      <c r="P147" s="609"/>
      <c r="Q147" s="609"/>
      <c r="R147" s="609"/>
      <c r="S147" s="609"/>
      <c r="T147" s="609"/>
      <c r="U147" s="609"/>
      <c r="V147" s="609"/>
      <c r="W147" s="609"/>
      <c r="X147" s="609"/>
      <c r="Y147" s="609"/>
      <c r="Z147" s="609"/>
      <c r="AA147" s="609"/>
      <c r="AB147" s="609"/>
      <c r="AC147" s="609"/>
      <c r="AD147" s="816"/>
      <c r="AE147" s="816"/>
      <c r="AF147" s="816"/>
      <c r="AG147" s="816"/>
      <c r="AH147" s="816"/>
      <c r="AI147" s="816"/>
      <c r="AJ147" s="609"/>
      <c r="AK147" s="609"/>
      <c r="AL147" s="816"/>
      <c r="AM147" s="816"/>
      <c r="AN147" s="609"/>
      <c r="AO147" s="609"/>
      <c r="AP147" s="816"/>
      <c r="AQ147" s="816"/>
      <c r="AR147" s="816"/>
      <c r="AS147" s="816"/>
      <c r="AT147" s="816"/>
      <c r="AU147" s="816"/>
      <c r="AV147" s="609"/>
      <c r="AW147" s="609"/>
      <c r="AX147" s="816"/>
      <c r="AY147" s="816"/>
      <c r="AZ147" s="817"/>
      <c r="BA147" s="609"/>
      <c r="BB147" s="609"/>
      <c r="BC147" s="816"/>
      <c r="BD147" s="816"/>
      <c r="BE147" s="816"/>
      <c r="BF147" s="816"/>
      <c r="BG147" s="816"/>
      <c r="BH147" s="816"/>
      <c r="BI147" s="816"/>
      <c r="BJ147" s="816"/>
      <c r="BK147" s="816"/>
      <c r="BL147" s="816"/>
      <c r="BM147" s="816"/>
      <c r="BN147" s="816"/>
      <c r="BO147" s="816"/>
      <c r="BP147" s="816"/>
      <c r="BQ147" s="816"/>
      <c r="BR147" s="816"/>
      <c r="BS147" s="816"/>
      <c r="BT147" s="816"/>
      <c r="BU147" s="816"/>
      <c r="BV147" s="816"/>
      <c r="BW147" s="816"/>
      <c r="BX147" s="609"/>
      <c r="BY147" s="609"/>
      <c r="BZ147" s="609"/>
      <c r="CA147" s="818"/>
      <c r="CB147" s="816"/>
      <c r="CC147" s="816"/>
      <c r="CD147" s="816"/>
      <c r="CE147" s="816"/>
      <c r="CF147" s="816"/>
      <c r="CG147" s="816"/>
      <c r="CH147" s="816"/>
      <c r="CI147" s="816"/>
      <c r="CJ147" s="819"/>
      <c r="CK147" s="819"/>
      <c r="CL147" s="820"/>
      <c r="CM147" s="820"/>
      <c r="CN147" s="820"/>
      <c r="CO147" s="820"/>
      <c r="CP147" s="820"/>
      <c r="CQ147" s="820"/>
      <c r="CR147" s="609"/>
      <c r="CS147" s="609"/>
      <c r="CT147" s="816"/>
      <c r="CU147" s="816"/>
      <c r="CV147" s="609"/>
      <c r="CW147" s="609"/>
      <c r="CX147" s="816"/>
      <c r="CY147" s="816"/>
      <c r="CZ147" s="609"/>
      <c r="DA147" s="609"/>
      <c r="DB147" s="816"/>
      <c r="DC147" s="816"/>
      <c r="DD147" s="609"/>
      <c r="DE147" s="609"/>
      <c r="DF147" s="816"/>
      <c r="DG147" s="816"/>
      <c r="DH147" s="816"/>
      <c r="DI147" s="816"/>
      <c r="DJ147" s="816"/>
      <c r="DK147" s="816"/>
      <c r="DL147" s="609"/>
      <c r="DM147" s="609"/>
      <c r="DN147" s="816"/>
      <c r="DO147" s="816"/>
      <c r="DP147" s="609"/>
      <c r="DQ147" s="609"/>
      <c r="DR147" s="816"/>
      <c r="DS147" s="816"/>
      <c r="DT147" s="816"/>
      <c r="DU147" s="816"/>
      <c r="DV147" s="816"/>
      <c r="DW147" s="816"/>
      <c r="DX147" s="816"/>
      <c r="DY147" s="816"/>
      <c r="DZ147" s="816"/>
      <c r="EA147" s="816"/>
      <c r="EB147" s="816"/>
      <c r="EC147" s="816"/>
      <c r="ED147" s="816"/>
      <c r="EE147" s="816"/>
      <c r="EF147" s="609"/>
      <c r="EG147" s="609"/>
      <c r="EH147" s="816"/>
      <c r="EI147" s="816"/>
      <c r="EJ147" s="816"/>
      <c r="EK147" s="816"/>
      <c r="EL147" s="816"/>
      <c r="EM147" s="816"/>
      <c r="EN147" s="816"/>
      <c r="EO147" s="816"/>
      <c r="EP147" s="816"/>
      <c r="EQ147" s="816"/>
      <c r="ER147" s="816"/>
      <c r="ES147" s="816"/>
      <c r="ET147" s="816"/>
      <c r="EU147" s="816"/>
      <c r="EV147" s="609"/>
      <c r="EW147" s="609"/>
      <c r="EX147" s="816"/>
      <c r="EY147" s="816"/>
      <c r="EZ147" s="816"/>
      <c r="FA147" s="816"/>
      <c r="FB147" s="816"/>
      <c r="FC147" s="816"/>
      <c r="FD147" s="816"/>
      <c r="FE147" s="816"/>
      <c r="FF147" s="816"/>
      <c r="FG147" s="816"/>
      <c r="FH147" s="816"/>
      <c r="FI147" s="816"/>
      <c r="FJ147" s="816"/>
      <c r="FK147" s="816"/>
      <c r="FL147" s="816"/>
      <c r="FM147" s="816"/>
      <c r="FN147" s="816"/>
      <c r="FO147" s="816"/>
      <c r="FP147" s="816"/>
      <c r="FQ147" s="816"/>
      <c r="FR147" s="816"/>
      <c r="FS147" s="816"/>
      <c r="FT147" s="816"/>
      <c r="FU147" s="816"/>
      <c r="FV147" s="816"/>
      <c r="FW147" s="816"/>
      <c r="FX147" s="816"/>
      <c r="FY147" s="816"/>
      <c r="FZ147" s="819"/>
      <c r="GA147" s="816"/>
      <c r="GB147" s="820"/>
      <c r="GC147" s="820"/>
      <c r="GD147" s="820"/>
      <c r="GE147" s="820"/>
      <c r="GF147" s="609"/>
      <c r="GG147" s="609"/>
      <c r="GH147" s="816"/>
      <c r="GI147" s="816"/>
      <c r="GJ147" s="816"/>
      <c r="GK147" s="816"/>
      <c r="GL147" s="816"/>
      <c r="GM147" s="816"/>
      <c r="GN147" s="816"/>
      <c r="GO147" s="816"/>
      <c r="GP147" s="816"/>
      <c r="GQ147" s="816"/>
      <c r="GR147" s="816"/>
      <c r="GS147" s="816"/>
      <c r="GT147" s="818"/>
      <c r="GU147" s="816"/>
      <c r="GV147" s="816"/>
      <c r="GW147" s="816"/>
      <c r="GX147" s="816"/>
      <c r="GY147" s="816"/>
      <c r="GZ147" s="816"/>
      <c r="HA147" s="816"/>
      <c r="HB147" s="609"/>
      <c r="HC147" s="609"/>
      <c r="HD147" s="816"/>
      <c r="HE147" s="816"/>
      <c r="HF147" s="816"/>
      <c r="HG147" s="816"/>
      <c r="HH147" s="816"/>
      <c r="HI147" s="816"/>
      <c r="HJ147" s="609"/>
      <c r="HK147" s="609"/>
      <c r="HL147" s="609"/>
      <c r="HM147" s="816"/>
      <c r="HN147" s="816"/>
      <c r="HO147" s="609"/>
      <c r="HP147" s="609"/>
      <c r="HQ147" s="816"/>
      <c r="HR147" s="816"/>
      <c r="HS147" s="816"/>
      <c r="HT147" s="816"/>
      <c r="HU147" s="816"/>
      <c r="HV147" s="816"/>
      <c r="HW147" s="609"/>
      <c r="HX147" s="609"/>
      <c r="HY147" s="816"/>
      <c r="HZ147" s="816"/>
      <c r="IA147" s="816"/>
      <c r="IB147" s="816"/>
      <c r="IC147" s="816"/>
      <c r="ID147" s="816"/>
      <c r="IE147" s="609"/>
      <c r="IF147" s="609"/>
      <c r="IG147" s="816"/>
      <c r="IH147" s="816"/>
      <c r="II147" s="609"/>
      <c r="IJ147" s="609"/>
      <c r="IK147" s="816"/>
      <c r="IL147" s="816"/>
      <c r="IM147" s="609"/>
      <c r="IN147" s="609"/>
      <c r="IO147" s="816"/>
      <c r="IP147" s="816"/>
      <c r="IQ147" s="816"/>
      <c r="IR147" s="816"/>
      <c r="IS147" s="816"/>
      <c r="IT147" s="816"/>
      <c r="IU147" s="821"/>
      <c r="IV147" s="609"/>
      <c r="IW147" s="816"/>
      <c r="IX147" s="816"/>
      <c r="IY147" s="822"/>
      <c r="IZ147" s="609"/>
      <c r="JA147" s="816"/>
      <c r="JB147" s="816"/>
      <c r="JC147" s="609"/>
      <c r="JD147" s="816"/>
      <c r="JE147" s="816"/>
      <c r="JF147" s="816"/>
      <c r="JG147" s="816"/>
      <c r="JH147" s="816"/>
      <c r="JI147" s="816"/>
      <c r="JJ147" s="816"/>
      <c r="JK147" s="816"/>
      <c r="JL147" s="816"/>
      <c r="JM147" s="816"/>
      <c r="JN147" s="816"/>
      <c r="JO147" s="823"/>
      <c r="JP147" s="824"/>
      <c r="JQ147" s="825"/>
      <c r="JR147" s="825"/>
      <c r="JS147" s="816"/>
      <c r="JU147" s="826"/>
      <c r="JV147" s="826"/>
      <c r="JW147" s="826"/>
      <c r="JX147" s="826"/>
    </row>
    <row r="148" spans="2:284" s="780" customFormat="1">
      <c r="B148" s="609"/>
      <c r="C148" s="609"/>
      <c r="D148" s="609"/>
      <c r="E148" s="609"/>
      <c r="F148" s="609"/>
      <c r="G148" s="609"/>
      <c r="H148" s="609"/>
      <c r="I148" s="609"/>
      <c r="J148" s="609"/>
      <c r="K148" s="609"/>
      <c r="L148" s="609"/>
      <c r="M148" s="609"/>
      <c r="N148" s="609"/>
      <c r="O148" s="609"/>
      <c r="P148" s="609"/>
      <c r="Q148" s="609"/>
      <c r="R148" s="609"/>
      <c r="S148" s="609"/>
      <c r="T148" s="609"/>
      <c r="U148" s="609"/>
      <c r="V148" s="609"/>
      <c r="W148" s="609"/>
      <c r="X148" s="609"/>
      <c r="Y148" s="609"/>
      <c r="Z148" s="609"/>
      <c r="AA148" s="609"/>
      <c r="AB148" s="609"/>
      <c r="AC148" s="609"/>
      <c r="AD148" s="816"/>
      <c r="AE148" s="816"/>
      <c r="AF148" s="816"/>
      <c r="AG148" s="816"/>
      <c r="AH148" s="816"/>
      <c r="AI148" s="816"/>
      <c r="AJ148" s="609"/>
      <c r="AK148" s="609"/>
      <c r="AL148" s="816"/>
      <c r="AM148" s="816"/>
      <c r="AN148" s="609"/>
      <c r="AO148" s="609"/>
      <c r="AP148" s="816"/>
      <c r="AQ148" s="816"/>
      <c r="AR148" s="816"/>
      <c r="AS148" s="816"/>
      <c r="AT148" s="816"/>
      <c r="AU148" s="816"/>
      <c r="AV148" s="609"/>
      <c r="AW148" s="609"/>
      <c r="AX148" s="816"/>
      <c r="AY148" s="816"/>
      <c r="AZ148" s="817"/>
      <c r="BA148" s="609"/>
      <c r="BB148" s="609"/>
      <c r="BC148" s="816"/>
      <c r="BD148" s="816"/>
      <c r="BE148" s="816"/>
      <c r="BF148" s="816"/>
      <c r="BG148" s="816"/>
      <c r="BH148" s="816"/>
      <c r="BI148" s="816"/>
      <c r="BJ148" s="816"/>
      <c r="BK148" s="816"/>
      <c r="BL148" s="816"/>
      <c r="BM148" s="816"/>
      <c r="BN148" s="816"/>
      <c r="BO148" s="816"/>
      <c r="BP148" s="816"/>
      <c r="BQ148" s="816"/>
      <c r="BR148" s="816"/>
      <c r="BS148" s="816"/>
      <c r="BT148" s="816"/>
      <c r="BU148" s="816"/>
      <c r="BV148" s="816"/>
      <c r="BW148" s="816"/>
      <c r="BX148" s="609"/>
      <c r="BY148" s="609"/>
      <c r="BZ148" s="609"/>
      <c r="CA148" s="818"/>
      <c r="CB148" s="816"/>
      <c r="CC148" s="816"/>
      <c r="CD148" s="816"/>
      <c r="CE148" s="816"/>
      <c r="CF148" s="816"/>
      <c r="CG148" s="816"/>
      <c r="CH148" s="816"/>
      <c r="CI148" s="816"/>
      <c r="CJ148" s="819"/>
      <c r="CK148" s="819"/>
      <c r="CL148" s="820"/>
      <c r="CM148" s="820"/>
      <c r="CN148" s="820"/>
      <c r="CO148" s="820"/>
      <c r="CP148" s="820"/>
      <c r="CQ148" s="820"/>
      <c r="CR148" s="609"/>
      <c r="CS148" s="609"/>
      <c r="CT148" s="816"/>
      <c r="CU148" s="816"/>
      <c r="CV148" s="609"/>
      <c r="CW148" s="609"/>
      <c r="CX148" s="816"/>
      <c r="CY148" s="816"/>
      <c r="CZ148" s="609"/>
      <c r="DA148" s="609"/>
      <c r="DB148" s="816"/>
      <c r="DC148" s="816"/>
      <c r="DD148" s="609"/>
      <c r="DE148" s="609"/>
      <c r="DF148" s="816"/>
      <c r="DG148" s="816"/>
      <c r="DH148" s="816"/>
      <c r="DI148" s="816"/>
      <c r="DJ148" s="816"/>
      <c r="DK148" s="816"/>
      <c r="DL148" s="609"/>
      <c r="DM148" s="609"/>
      <c r="DN148" s="816"/>
      <c r="DO148" s="816"/>
      <c r="DP148" s="609"/>
      <c r="DQ148" s="609"/>
      <c r="DR148" s="816"/>
      <c r="DS148" s="816"/>
      <c r="DT148" s="816"/>
      <c r="DU148" s="816"/>
      <c r="DV148" s="816"/>
      <c r="DW148" s="816"/>
      <c r="DX148" s="816"/>
      <c r="DY148" s="816"/>
      <c r="DZ148" s="816"/>
      <c r="EA148" s="816"/>
      <c r="EB148" s="816"/>
      <c r="EC148" s="816"/>
      <c r="ED148" s="816"/>
      <c r="EE148" s="816"/>
      <c r="EF148" s="609"/>
      <c r="EG148" s="609"/>
      <c r="EH148" s="816"/>
      <c r="EI148" s="816"/>
      <c r="EJ148" s="816"/>
      <c r="EK148" s="816"/>
      <c r="EL148" s="816"/>
      <c r="EM148" s="816"/>
      <c r="EN148" s="816"/>
      <c r="EO148" s="816"/>
      <c r="EP148" s="816"/>
      <c r="EQ148" s="816"/>
      <c r="ER148" s="816"/>
      <c r="ES148" s="816"/>
      <c r="ET148" s="816"/>
      <c r="EU148" s="816"/>
      <c r="EV148" s="609"/>
      <c r="EW148" s="609"/>
      <c r="EX148" s="816"/>
      <c r="EY148" s="816"/>
      <c r="EZ148" s="816"/>
      <c r="FA148" s="816"/>
      <c r="FB148" s="816"/>
      <c r="FC148" s="816"/>
      <c r="FD148" s="816"/>
      <c r="FE148" s="816"/>
      <c r="FF148" s="816"/>
      <c r="FG148" s="816"/>
      <c r="FH148" s="816"/>
      <c r="FI148" s="816"/>
      <c r="FJ148" s="816"/>
      <c r="FK148" s="816"/>
      <c r="FL148" s="816"/>
      <c r="FM148" s="816"/>
      <c r="FN148" s="816"/>
      <c r="FO148" s="816"/>
      <c r="FP148" s="816"/>
      <c r="FQ148" s="816"/>
      <c r="FR148" s="816"/>
      <c r="FS148" s="816"/>
      <c r="FT148" s="816"/>
      <c r="FU148" s="816"/>
      <c r="FV148" s="816"/>
      <c r="FW148" s="816"/>
      <c r="FX148" s="816"/>
      <c r="FY148" s="816"/>
      <c r="FZ148" s="819"/>
      <c r="GA148" s="816"/>
      <c r="GB148" s="820"/>
      <c r="GC148" s="820"/>
      <c r="GD148" s="820"/>
      <c r="GE148" s="820"/>
      <c r="GF148" s="609"/>
      <c r="GG148" s="609"/>
      <c r="GH148" s="816"/>
      <c r="GI148" s="816"/>
      <c r="GJ148" s="816"/>
      <c r="GK148" s="816"/>
      <c r="GL148" s="816"/>
      <c r="GM148" s="816"/>
      <c r="GN148" s="816"/>
      <c r="GO148" s="816"/>
      <c r="GP148" s="816"/>
      <c r="GQ148" s="816"/>
      <c r="GR148" s="816"/>
      <c r="GS148" s="816"/>
      <c r="GT148" s="818"/>
      <c r="GU148" s="816"/>
      <c r="GV148" s="816"/>
      <c r="GW148" s="816"/>
      <c r="GX148" s="816"/>
      <c r="GY148" s="816"/>
      <c r="GZ148" s="816"/>
      <c r="HA148" s="816"/>
      <c r="HB148" s="609"/>
      <c r="HC148" s="609"/>
      <c r="HD148" s="816"/>
      <c r="HE148" s="816"/>
      <c r="HF148" s="816"/>
      <c r="HG148" s="816"/>
      <c r="HH148" s="816"/>
      <c r="HI148" s="816"/>
      <c r="HJ148" s="609"/>
      <c r="HK148" s="609"/>
      <c r="HL148" s="609"/>
      <c r="HM148" s="816"/>
      <c r="HN148" s="816"/>
      <c r="HO148" s="609"/>
      <c r="HP148" s="609"/>
      <c r="HQ148" s="816"/>
      <c r="HR148" s="816"/>
      <c r="HS148" s="816"/>
      <c r="HT148" s="816"/>
      <c r="HU148" s="816"/>
      <c r="HV148" s="816"/>
      <c r="HW148" s="609"/>
      <c r="HX148" s="609"/>
      <c r="HY148" s="816"/>
      <c r="HZ148" s="816"/>
      <c r="IA148" s="816"/>
      <c r="IB148" s="816"/>
      <c r="IC148" s="816"/>
      <c r="ID148" s="816"/>
      <c r="IE148" s="609"/>
      <c r="IF148" s="609"/>
      <c r="IG148" s="816"/>
      <c r="IH148" s="816"/>
      <c r="II148" s="609"/>
      <c r="IJ148" s="609"/>
      <c r="IK148" s="816"/>
      <c r="IL148" s="816"/>
      <c r="IM148" s="609"/>
      <c r="IN148" s="609"/>
      <c r="IO148" s="816"/>
      <c r="IP148" s="816"/>
      <c r="IQ148" s="816"/>
      <c r="IR148" s="816"/>
      <c r="IS148" s="816"/>
      <c r="IT148" s="816"/>
      <c r="IU148" s="821"/>
      <c r="IV148" s="609"/>
      <c r="IW148" s="816"/>
      <c r="IX148" s="816"/>
      <c r="IY148" s="822"/>
      <c r="IZ148" s="609"/>
      <c r="JA148" s="816"/>
      <c r="JB148" s="816"/>
      <c r="JC148" s="609"/>
      <c r="JD148" s="816"/>
      <c r="JE148" s="816"/>
      <c r="JF148" s="816"/>
      <c r="JG148" s="816"/>
      <c r="JH148" s="816"/>
      <c r="JI148" s="816"/>
      <c r="JJ148" s="816"/>
      <c r="JK148" s="816"/>
      <c r="JL148" s="816"/>
      <c r="JM148" s="816"/>
      <c r="JN148" s="816"/>
      <c r="JO148" s="823"/>
      <c r="JP148" s="824"/>
      <c r="JQ148" s="825"/>
      <c r="JR148" s="825"/>
      <c r="JS148" s="816"/>
      <c r="JU148" s="826"/>
      <c r="JV148" s="826"/>
      <c r="JW148" s="826"/>
      <c r="JX148" s="826"/>
    </row>
    <row r="149" spans="2:284" s="780" customFormat="1"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  <c r="Y149" s="609"/>
      <c r="Z149" s="609"/>
      <c r="AA149" s="609"/>
      <c r="AB149" s="609"/>
      <c r="AC149" s="609"/>
      <c r="AD149" s="816"/>
      <c r="AE149" s="816"/>
      <c r="AF149" s="816"/>
      <c r="AG149" s="816"/>
      <c r="AH149" s="816"/>
      <c r="AI149" s="816"/>
      <c r="AJ149" s="609"/>
      <c r="AK149" s="609"/>
      <c r="AL149" s="816"/>
      <c r="AM149" s="816"/>
      <c r="AN149" s="609"/>
      <c r="AO149" s="609"/>
      <c r="AP149" s="816"/>
      <c r="AQ149" s="816"/>
      <c r="AR149" s="816"/>
      <c r="AS149" s="816"/>
      <c r="AT149" s="816"/>
      <c r="AU149" s="816"/>
      <c r="AV149" s="609"/>
      <c r="AW149" s="609"/>
      <c r="AX149" s="816"/>
      <c r="AY149" s="816"/>
      <c r="AZ149" s="817"/>
      <c r="BA149" s="609"/>
      <c r="BB149" s="609"/>
      <c r="BC149" s="816"/>
      <c r="BD149" s="816"/>
      <c r="BE149" s="816"/>
      <c r="BF149" s="816"/>
      <c r="BG149" s="816"/>
      <c r="BH149" s="816"/>
      <c r="BI149" s="816"/>
      <c r="BJ149" s="816"/>
      <c r="BK149" s="816"/>
      <c r="BL149" s="816"/>
      <c r="BM149" s="816"/>
      <c r="BN149" s="816"/>
      <c r="BO149" s="816"/>
      <c r="BP149" s="816"/>
      <c r="BQ149" s="816"/>
      <c r="BR149" s="816"/>
      <c r="BS149" s="816"/>
      <c r="BT149" s="816"/>
      <c r="BU149" s="816"/>
      <c r="BV149" s="816"/>
      <c r="BW149" s="816"/>
      <c r="BX149" s="609"/>
      <c r="BY149" s="609"/>
      <c r="BZ149" s="609"/>
      <c r="CA149" s="818"/>
      <c r="CB149" s="816"/>
      <c r="CC149" s="816"/>
      <c r="CD149" s="816"/>
      <c r="CE149" s="816"/>
      <c r="CF149" s="816"/>
      <c r="CG149" s="816"/>
      <c r="CH149" s="816"/>
      <c r="CI149" s="816"/>
      <c r="CJ149" s="819"/>
      <c r="CK149" s="819"/>
      <c r="CL149" s="820"/>
      <c r="CM149" s="820"/>
      <c r="CN149" s="820"/>
      <c r="CO149" s="820"/>
      <c r="CP149" s="820"/>
      <c r="CQ149" s="820"/>
      <c r="CR149" s="609"/>
      <c r="CS149" s="609"/>
      <c r="CT149" s="816"/>
      <c r="CU149" s="816"/>
      <c r="CV149" s="609"/>
      <c r="CW149" s="609"/>
      <c r="CX149" s="816"/>
      <c r="CY149" s="816"/>
      <c r="CZ149" s="609"/>
      <c r="DA149" s="609"/>
      <c r="DB149" s="816"/>
      <c r="DC149" s="816"/>
      <c r="DD149" s="609"/>
      <c r="DE149" s="609"/>
      <c r="DF149" s="816"/>
      <c r="DG149" s="816"/>
      <c r="DH149" s="816"/>
      <c r="DI149" s="816"/>
      <c r="DJ149" s="816"/>
      <c r="DK149" s="816"/>
      <c r="DL149" s="609"/>
      <c r="DM149" s="609"/>
      <c r="DN149" s="816"/>
      <c r="DO149" s="816"/>
      <c r="DP149" s="609"/>
      <c r="DQ149" s="609"/>
      <c r="DR149" s="816"/>
      <c r="DS149" s="816"/>
      <c r="DT149" s="816"/>
      <c r="DU149" s="816"/>
      <c r="DV149" s="816"/>
      <c r="DW149" s="816"/>
      <c r="DX149" s="816"/>
      <c r="DY149" s="816"/>
      <c r="DZ149" s="816"/>
      <c r="EA149" s="816"/>
      <c r="EB149" s="816"/>
      <c r="EC149" s="816"/>
      <c r="ED149" s="816"/>
      <c r="EE149" s="816"/>
      <c r="EF149" s="609"/>
      <c r="EG149" s="609"/>
      <c r="EH149" s="816"/>
      <c r="EI149" s="816"/>
      <c r="EJ149" s="816"/>
      <c r="EK149" s="816"/>
      <c r="EL149" s="816"/>
      <c r="EM149" s="816"/>
      <c r="EN149" s="816"/>
      <c r="EO149" s="816"/>
      <c r="EP149" s="816"/>
      <c r="EQ149" s="816"/>
      <c r="ER149" s="816"/>
      <c r="ES149" s="816"/>
      <c r="ET149" s="816"/>
      <c r="EU149" s="816"/>
      <c r="EV149" s="609"/>
      <c r="EW149" s="609"/>
      <c r="EX149" s="816"/>
      <c r="EY149" s="816"/>
      <c r="EZ149" s="816"/>
      <c r="FA149" s="816"/>
      <c r="FB149" s="816"/>
      <c r="FC149" s="816"/>
      <c r="FD149" s="816"/>
      <c r="FE149" s="816"/>
      <c r="FF149" s="816"/>
      <c r="FG149" s="816"/>
      <c r="FH149" s="816"/>
      <c r="FI149" s="816"/>
      <c r="FJ149" s="816"/>
      <c r="FK149" s="816"/>
      <c r="FL149" s="816"/>
      <c r="FM149" s="816"/>
      <c r="FN149" s="816"/>
      <c r="FO149" s="816"/>
      <c r="FP149" s="816"/>
      <c r="FQ149" s="816"/>
      <c r="FR149" s="816"/>
      <c r="FS149" s="816"/>
      <c r="FT149" s="816"/>
      <c r="FU149" s="816"/>
      <c r="FV149" s="816"/>
      <c r="FW149" s="816"/>
      <c r="FX149" s="816"/>
      <c r="FY149" s="816"/>
      <c r="FZ149" s="819"/>
      <c r="GA149" s="816"/>
      <c r="GB149" s="820"/>
      <c r="GC149" s="820"/>
      <c r="GD149" s="820"/>
      <c r="GE149" s="820"/>
      <c r="GF149" s="609"/>
      <c r="GG149" s="609"/>
      <c r="GH149" s="816"/>
      <c r="GI149" s="816"/>
      <c r="GJ149" s="816"/>
      <c r="GK149" s="816"/>
      <c r="GL149" s="816"/>
      <c r="GM149" s="816"/>
      <c r="GN149" s="816"/>
      <c r="GO149" s="816"/>
      <c r="GP149" s="816"/>
      <c r="GQ149" s="816"/>
      <c r="GR149" s="816"/>
      <c r="GS149" s="816"/>
      <c r="GT149" s="818"/>
      <c r="GU149" s="816"/>
      <c r="GV149" s="816"/>
      <c r="GW149" s="816"/>
      <c r="GX149" s="816"/>
      <c r="GY149" s="816"/>
      <c r="GZ149" s="816"/>
      <c r="HA149" s="816"/>
      <c r="HB149" s="609"/>
      <c r="HC149" s="609"/>
      <c r="HD149" s="816"/>
      <c r="HE149" s="816"/>
      <c r="HF149" s="816"/>
      <c r="HG149" s="816"/>
      <c r="HH149" s="816"/>
      <c r="HI149" s="816"/>
      <c r="HJ149" s="609"/>
      <c r="HK149" s="609"/>
      <c r="HL149" s="609"/>
      <c r="HM149" s="816"/>
      <c r="HN149" s="816"/>
      <c r="HO149" s="609"/>
      <c r="HP149" s="609"/>
      <c r="HQ149" s="816"/>
      <c r="HR149" s="816"/>
      <c r="HS149" s="816"/>
      <c r="HT149" s="816"/>
      <c r="HU149" s="816"/>
      <c r="HV149" s="816"/>
      <c r="HW149" s="609"/>
      <c r="HX149" s="609"/>
      <c r="HY149" s="816"/>
      <c r="HZ149" s="816"/>
      <c r="IA149" s="816"/>
      <c r="IB149" s="816"/>
      <c r="IC149" s="816"/>
      <c r="ID149" s="816"/>
      <c r="IE149" s="609"/>
      <c r="IF149" s="609"/>
      <c r="IG149" s="816"/>
      <c r="IH149" s="816"/>
      <c r="II149" s="609"/>
      <c r="IJ149" s="609"/>
      <c r="IK149" s="816"/>
      <c r="IL149" s="816"/>
      <c r="IM149" s="609"/>
      <c r="IN149" s="609"/>
      <c r="IO149" s="816"/>
      <c r="IP149" s="816"/>
      <c r="IQ149" s="816"/>
      <c r="IR149" s="816"/>
      <c r="IS149" s="816"/>
      <c r="IT149" s="816"/>
      <c r="IU149" s="821"/>
      <c r="IV149" s="609"/>
      <c r="IW149" s="816"/>
      <c r="IX149" s="816"/>
      <c r="IY149" s="822"/>
      <c r="IZ149" s="609"/>
      <c r="JA149" s="816"/>
      <c r="JB149" s="816"/>
      <c r="JC149" s="609"/>
      <c r="JD149" s="816"/>
      <c r="JE149" s="816"/>
      <c r="JF149" s="816"/>
      <c r="JG149" s="816"/>
      <c r="JH149" s="816"/>
      <c r="JI149" s="816"/>
      <c r="JJ149" s="816"/>
      <c r="JK149" s="816"/>
      <c r="JL149" s="816"/>
      <c r="JM149" s="816"/>
      <c r="JN149" s="816"/>
      <c r="JO149" s="823"/>
      <c r="JP149" s="824"/>
      <c r="JQ149" s="825"/>
      <c r="JR149" s="825"/>
      <c r="JS149" s="816"/>
      <c r="JU149" s="826"/>
      <c r="JV149" s="826"/>
      <c r="JW149" s="826"/>
      <c r="JX149" s="826"/>
    </row>
    <row r="150" spans="2:284" s="780" customFormat="1"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  <c r="Y150" s="609"/>
      <c r="Z150" s="609"/>
      <c r="AA150" s="609"/>
      <c r="AB150" s="609"/>
      <c r="AC150" s="609"/>
      <c r="AD150" s="816"/>
      <c r="AE150" s="816"/>
      <c r="AF150" s="816"/>
      <c r="AG150" s="816"/>
      <c r="AH150" s="816"/>
      <c r="AI150" s="816"/>
      <c r="AJ150" s="609"/>
      <c r="AK150" s="609"/>
      <c r="AL150" s="816"/>
      <c r="AM150" s="816"/>
      <c r="AN150" s="609"/>
      <c r="AO150" s="609"/>
      <c r="AP150" s="816"/>
      <c r="AQ150" s="816"/>
      <c r="AR150" s="816"/>
      <c r="AS150" s="816"/>
      <c r="AT150" s="816"/>
      <c r="AU150" s="816"/>
      <c r="AV150" s="609"/>
      <c r="AW150" s="609"/>
      <c r="AX150" s="816"/>
      <c r="AY150" s="816"/>
      <c r="AZ150" s="817"/>
      <c r="BA150" s="609"/>
      <c r="BB150" s="609"/>
      <c r="BC150" s="816"/>
      <c r="BD150" s="816"/>
      <c r="BE150" s="816"/>
      <c r="BF150" s="816"/>
      <c r="BG150" s="816"/>
      <c r="BH150" s="816"/>
      <c r="BI150" s="816"/>
      <c r="BJ150" s="816"/>
      <c r="BK150" s="816"/>
      <c r="BL150" s="816"/>
      <c r="BM150" s="816"/>
      <c r="BN150" s="816"/>
      <c r="BO150" s="816"/>
      <c r="BP150" s="816"/>
      <c r="BQ150" s="816"/>
      <c r="BR150" s="816"/>
      <c r="BS150" s="816"/>
      <c r="BT150" s="816"/>
      <c r="BU150" s="816"/>
      <c r="BV150" s="816"/>
      <c r="BW150" s="816"/>
      <c r="BX150" s="609"/>
      <c r="BY150" s="609"/>
      <c r="BZ150" s="609"/>
      <c r="CA150" s="818"/>
      <c r="CB150" s="816"/>
      <c r="CC150" s="816"/>
      <c r="CD150" s="816"/>
      <c r="CE150" s="816"/>
      <c r="CF150" s="816"/>
      <c r="CG150" s="816"/>
      <c r="CH150" s="816"/>
      <c r="CI150" s="816"/>
      <c r="CJ150" s="819"/>
      <c r="CK150" s="819"/>
      <c r="CL150" s="820"/>
      <c r="CM150" s="820"/>
      <c r="CN150" s="820"/>
      <c r="CO150" s="820"/>
      <c r="CP150" s="820"/>
      <c r="CQ150" s="820"/>
      <c r="CR150" s="609"/>
      <c r="CS150" s="609"/>
      <c r="CT150" s="816"/>
      <c r="CU150" s="816"/>
      <c r="CV150" s="609"/>
      <c r="CW150" s="609"/>
      <c r="CX150" s="816"/>
      <c r="CY150" s="816"/>
      <c r="CZ150" s="609"/>
      <c r="DA150" s="609"/>
      <c r="DB150" s="816"/>
      <c r="DC150" s="816"/>
      <c r="DD150" s="609"/>
      <c r="DE150" s="609"/>
      <c r="DF150" s="816"/>
      <c r="DG150" s="816"/>
      <c r="DH150" s="816"/>
      <c r="DI150" s="816"/>
      <c r="DJ150" s="816"/>
      <c r="DK150" s="816"/>
      <c r="DL150" s="609"/>
      <c r="DM150" s="609"/>
      <c r="DN150" s="816"/>
      <c r="DO150" s="816"/>
      <c r="DP150" s="609"/>
      <c r="DQ150" s="609"/>
      <c r="DR150" s="816"/>
      <c r="DS150" s="816"/>
      <c r="DT150" s="816"/>
      <c r="DU150" s="816"/>
      <c r="DV150" s="816"/>
      <c r="DW150" s="816"/>
      <c r="DX150" s="816"/>
      <c r="DY150" s="816"/>
      <c r="DZ150" s="816"/>
      <c r="EA150" s="816"/>
      <c r="EB150" s="816"/>
      <c r="EC150" s="816"/>
      <c r="ED150" s="816"/>
      <c r="EE150" s="816"/>
      <c r="EF150" s="609"/>
      <c r="EG150" s="609"/>
      <c r="EH150" s="816"/>
      <c r="EI150" s="816"/>
      <c r="EJ150" s="816"/>
      <c r="EK150" s="816"/>
      <c r="EL150" s="816"/>
      <c r="EM150" s="816"/>
      <c r="EN150" s="816"/>
      <c r="EO150" s="816"/>
      <c r="EP150" s="816"/>
      <c r="EQ150" s="816"/>
      <c r="ER150" s="816"/>
      <c r="ES150" s="816"/>
      <c r="ET150" s="816"/>
      <c r="EU150" s="816"/>
      <c r="EV150" s="609"/>
      <c r="EW150" s="609"/>
      <c r="EX150" s="816"/>
      <c r="EY150" s="816"/>
      <c r="EZ150" s="816"/>
      <c r="FA150" s="816"/>
      <c r="FB150" s="816"/>
      <c r="FC150" s="816"/>
      <c r="FD150" s="816"/>
      <c r="FE150" s="816"/>
      <c r="FF150" s="816"/>
      <c r="FG150" s="816"/>
      <c r="FH150" s="816"/>
      <c r="FI150" s="816"/>
      <c r="FJ150" s="816"/>
      <c r="FK150" s="816"/>
      <c r="FL150" s="816"/>
      <c r="FM150" s="816"/>
      <c r="FN150" s="816"/>
      <c r="FO150" s="816"/>
      <c r="FP150" s="816"/>
      <c r="FQ150" s="816"/>
      <c r="FR150" s="816"/>
      <c r="FS150" s="816"/>
      <c r="FT150" s="816"/>
      <c r="FU150" s="816"/>
      <c r="FV150" s="816"/>
      <c r="FW150" s="816"/>
      <c r="FX150" s="816"/>
      <c r="FY150" s="816"/>
      <c r="FZ150" s="819"/>
      <c r="GA150" s="816"/>
      <c r="GB150" s="820"/>
      <c r="GC150" s="820"/>
      <c r="GD150" s="820"/>
      <c r="GE150" s="820"/>
      <c r="GF150" s="609"/>
      <c r="GG150" s="609"/>
      <c r="GH150" s="816"/>
      <c r="GI150" s="816"/>
      <c r="GJ150" s="816"/>
      <c r="GK150" s="816"/>
      <c r="GL150" s="816"/>
      <c r="GM150" s="816"/>
      <c r="GN150" s="816"/>
      <c r="GO150" s="816"/>
      <c r="GP150" s="816"/>
      <c r="GQ150" s="816"/>
      <c r="GR150" s="816"/>
      <c r="GS150" s="816"/>
      <c r="GT150" s="818"/>
      <c r="GU150" s="816"/>
      <c r="GV150" s="816"/>
      <c r="GW150" s="816"/>
      <c r="GX150" s="816"/>
      <c r="GY150" s="816"/>
      <c r="GZ150" s="816"/>
      <c r="HA150" s="816"/>
      <c r="HB150" s="609"/>
      <c r="HC150" s="609"/>
      <c r="HD150" s="816"/>
      <c r="HE150" s="816"/>
      <c r="HF150" s="816"/>
      <c r="HG150" s="816"/>
      <c r="HH150" s="816"/>
      <c r="HI150" s="816"/>
      <c r="HJ150" s="609"/>
      <c r="HK150" s="609"/>
      <c r="HL150" s="609"/>
      <c r="HM150" s="816"/>
      <c r="HN150" s="816"/>
      <c r="HO150" s="609"/>
      <c r="HP150" s="609"/>
      <c r="HQ150" s="816"/>
      <c r="HR150" s="816"/>
      <c r="HS150" s="816"/>
      <c r="HT150" s="816"/>
      <c r="HU150" s="816"/>
      <c r="HV150" s="816"/>
      <c r="HW150" s="609"/>
      <c r="HX150" s="609"/>
      <c r="HY150" s="816"/>
      <c r="HZ150" s="816"/>
      <c r="IA150" s="816"/>
      <c r="IB150" s="816"/>
      <c r="IC150" s="816"/>
      <c r="ID150" s="816"/>
      <c r="IE150" s="609"/>
      <c r="IF150" s="609"/>
      <c r="IG150" s="816"/>
      <c r="IH150" s="816"/>
      <c r="II150" s="609"/>
      <c r="IJ150" s="609"/>
      <c r="IK150" s="816"/>
      <c r="IL150" s="816"/>
      <c r="IM150" s="609"/>
      <c r="IN150" s="609"/>
      <c r="IO150" s="816"/>
      <c r="IP150" s="816"/>
      <c r="IQ150" s="816"/>
      <c r="IR150" s="816"/>
      <c r="IS150" s="816"/>
      <c r="IT150" s="816"/>
      <c r="IU150" s="821"/>
      <c r="IV150" s="609"/>
      <c r="IW150" s="816"/>
      <c r="IX150" s="816"/>
      <c r="IY150" s="822"/>
      <c r="IZ150" s="609"/>
      <c r="JA150" s="816"/>
      <c r="JB150" s="816"/>
      <c r="JC150" s="609"/>
      <c r="JD150" s="816"/>
      <c r="JE150" s="816"/>
      <c r="JF150" s="816"/>
      <c r="JG150" s="816"/>
      <c r="JH150" s="816"/>
      <c r="JI150" s="816"/>
      <c r="JJ150" s="816"/>
      <c r="JK150" s="816"/>
      <c r="JL150" s="816"/>
      <c r="JM150" s="816"/>
      <c r="JN150" s="816"/>
      <c r="JO150" s="823"/>
      <c r="JP150" s="824"/>
      <c r="JQ150" s="825"/>
      <c r="JR150" s="825"/>
      <c r="JS150" s="816"/>
      <c r="JU150" s="826"/>
      <c r="JV150" s="826"/>
      <c r="JW150" s="826"/>
      <c r="JX150" s="826"/>
    </row>
    <row r="151" spans="2:284" s="780" customFormat="1">
      <c r="B151" s="609"/>
      <c r="C151" s="609"/>
      <c r="D151" s="609"/>
      <c r="E151" s="609"/>
      <c r="F151" s="609"/>
      <c r="G151" s="609"/>
      <c r="H151" s="609"/>
      <c r="I151" s="609"/>
      <c r="J151" s="609"/>
      <c r="K151" s="609"/>
      <c r="L151" s="609"/>
      <c r="M151" s="609"/>
      <c r="N151" s="609"/>
      <c r="O151" s="609"/>
      <c r="P151" s="609"/>
      <c r="Q151" s="609"/>
      <c r="R151" s="609"/>
      <c r="S151" s="609"/>
      <c r="T151" s="609"/>
      <c r="U151" s="609"/>
      <c r="V151" s="609"/>
      <c r="W151" s="609"/>
      <c r="X151" s="609"/>
      <c r="Y151" s="609"/>
      <c r="Z151" s="609"/>
      <c r="AA151" s="609"/>
      <c r="AB151" s="609"/>
      <c r="AC151" s="609"/>
      <c r="AD151" s="816"/>
      <c r="AE151" s="816"/>
      <c r="AF151" s="816"/>
      <c r="AG151" s="816"/>
      <c r="AH151" s="816"/>
      <c r="AI151" s="816"/>
      <c r="AJ151" s="609"/>
      <c r="AK151" s="609"/>
      <c r="AL151" s="816"/>
      <c r="AM151" s="816"/>
      <c r="AN151" s="609"/>
      <c r="AO151" s="609"/>
      <c r="AP151" s="816"/>
      <c r="AQ151" s="816"/>
      <c r="AR151" s="816"/>
      <c r="AS151" s="816"/>
      <c r="AT151" s="816"/>
      <c r="AU151" s="816"/>
      <c r="AV151" s="609"/>
      <c r="AW151" s="609"/>
      <c r="AX151" s="816"/>
      <c r="AY151" s="816"/>
      <c r="AZ151" s="817"/>
      <c r="BA151" s="609"/>
      <c r="BB151" s="609"/>
      <c r="BC151" s="816"/>
      <c r="BD151" s="816"/>
      <c r="BE151" s="816"/>
      <c r="BF151" s="816"/>
      <c r="BG151" s="816"/>
      <c r="BH151" s="816"/>
      <c r="BI151" s="816"/>
      <c r="BJ151" s="816"/>
      <c r="BK151" s="816"/>
      <c r="BL151" s="816"/>
      <c r="BM151" s="816"/>
      <c r="BN151" s="816"/>
      <c r="BO151" s="816"/>
      <c r="BP151" s="816"/>
      <c r="BQ151" s="816"/>
      <c r="BR151" s="816"/>
      <c r="BS151" s="816"/>
      <c r="BT151" s="816"/>
      <c r="BU151" s="816"/>
      <c r="BV151" s="816"/>
      <c r="BW151" s="816"/>
      <c r="BX151" s="609"/>
      <c r="BY151" s="609"/>
      <c r="BZ151" s="609"/>
      <c r="CA151" s="818"/>
      <c r="CB151" s="816"/>
      <c r="CC151" s="816"/>
      <c r="CD151" s="816"/>
      <c r="CE151" s="816"/>
      <c r="CF151" s="816"/>
      <c r="CG151" s="816"/>
      <c r="CH151" s="816"/>
      <c r="CI151" s="816"/>
      <c r="CJ151" s="819"/>
      <c r="CK151" s="819"/>
      <c r="CL151" s="820"/>
      <c r="CM151" s="820"/>
      <c r="CN151" s="820"/>
      <c r="CO151" s="820"/>
      <c r="CP151" s="820"/>
      <c r="CQ151" s="820"/>
      <c r="CR151" s="609"/>
      <c r="CS151" s="609"/>
      <c r="CT151" s="816"/>
      <c r="CU151" s="816"/>
      <c r="CV151" s="609"/>
      <c r="CW151" s="609"/>
      <c r="CX151" s="816"/>
      <c r="CY151" s="816"/>
      <c r="CZ151" s="609"/>
      <c r="DA151" s="609"/>
      <c r="DB151" s="816"/>
      <c r="DC151" s="816"/>
      <c r="DD151" s="609"/>
      <c r="DE151" s="609"/>
      <c r="DF151" s="816"/>
      <c r="DG151" s="816"/>
      <c r="DH151" s="816"/>
      <c r="DI151" s="816"/>
      <c r="DJ151" s="816"/>
      <c r="DK151" s="816"/>
      <c r="DL151" s="609"/>
      <c r="DM151" s="609"/>
      <c r="DN151" s="816"/>
      <c r="DO151" s="816"/>
      <c r="DP151" s="609"/>
      <c r="DQ151" s="609"/>
      <c r="DR151" s="816"/>
      <c r="DS151" s="816"/>
      <c r="DT151" s="816"/>
      <c r="DU151" s="816"/>
      <c r="DV151" s="816"/>
      <c r="DW151" s="816"/>
      <c r="DX151" s="816"/>
      <c r="DY151" s="816"/>
      <c r="DZ151" s="816"/>
      <c r="EA151" s="816"/>
      <c r="EB151" s="816"/>
      <c r="EC151" s="816"/>
      <c r="ED151" s="816"/>
      <c r="EE151" s="816"/>
      <c r="EF151" s="609"/>
      <c r="EG151" s="609"/>
      <c r="EH151" s="816"/>
      <c r="EI151" s="816"/>
      <c r="EJ151" s="816"/>
      <c r="EK151" s="816"/>
      <c r="EL151" s="816"/>
      <c r="EM151" s="816"/>
      <c r="EN151" s="816"/>
      <c r="EO151" s="816"/>
      <c r="EP151" s="816"/>
      <c r="EQ151" s="816"/>
      <c r="ER151" s="816"/>
      <c r="ES151" s="816"/>
      <c r="ET151" s="816"/>
      <c r="EU151" s="816"/>
      <c r="EV151" s="609"/>
      <c r="EW151" s="609"/>
      <c r="EX151" s="816"/>
      <c r="EY151" s="816"/>
      <c r="EZ151" s="816"/>
      <c r="FA151" s="816"/>
      <c r="FB151" s="816"/>
      <c r="FC151" s="816"/>
      <c r="FD151" s="816"/>
      <c r="FE151" s="816"/>
      <c r="FF151" s="816"/>
      <c r="FG151" s="816"/>
      <c r="FH151" s="816"/>
      <c r="FI151" s="816"/>
      <c r="FJ151" s="816"/>
      <c r="FK151" s="816"/>
      <c r="FL151" s="816"/>
      <c r="FM151" s="816"/>
      <c r="FN151" s="816"/>
      <c r="FO151" s="816"/>
      <c r="FP151" s="816"/>
      <c r="FQ151" s="816"/>
      <c r="FR151" s="816"/>
      <c r="FS151" s="816"/>
      <c r="FT151" s="816"/>
      <c r="FU151" s="816"/>
      <c r="FV151" s="816"/>
      <c r="FW151" s="816"/>
      <c r="FX151" s="816"/>
      <c r="FY151" s="816"/>
      <c r="FZ151" s="819"/>
      <c r="GA151" s="816"/>
      <c r="GB151" s="820"/>
      <c r="GC151" s="820"/>
      <c r="GD151" s="820"/>
      <c r="GE151" s="820"/>
      <c r="GF151" s="609"/>
      <c r="GG151" s="609"/>
      <c r="GH151" s="816"/>
      <c r="GI151" s="816"/>
      <c r="GJ151" s="816"/>
      <c r="GK151" s="816"/>
      <c r="GL151" s="816"/>
      <c r="GM151" s="816"/>
      <c r="GN151" s="816"/>
      <c r="GO151" s="816"/>
      <c r="GP151" s="816"/>
      <c r="GQ151" s="816"/>
      <c r="GR151" s="816"/>
      <c r="GS151" s="816"/>
      <c r="GT151" s="818"/>
      <c r="GU151" s="816"/>
      <c r="GV151" s="816"/>
      <c r="GW151" s="816"/>
      <c r="GX151" s="816"/>
      <c r="GY151" s="816"/>
      <c r="GZ151" s="816"/>
      <c r="HA151" s="816"/>
      <c r="HB151" s="609"/>
      <c r="HC151" s="609"/>
      <c r="HD151" s="816"/>
      <c r="HE151" s="816"/>
      <c r="HF151" s="816"/>
      <c r="HG151" s="816"/>
      <c r="HH151" s="816"/>
      <c r="HI151" s="816"/>
      <c r="HJ151" s="609"/>
      <c r="HK151" s="609"/>
      <c r="HL151" s="609"/>
      <c r="HM151" s="816"/>
      <c r="HN151" s="816"/>
      <c r="HO151" s="609"/>
      <c r="HP151" s="609"/>
      <c r="HQ151" s="816"/>
      <c r="HR151" s="816"/>
      <c r="HS151" s="816"/>
      <c r="HT151" s="816"/>
      <c r="HU151" s="816"/>
      <c r="HV151" s="816"/>
      <c r="HW151" s="609"/>
      <c r="HX151" s="609"/>
      <c r="HY151" s="816"/>
      <c r="HZ151" s="816"/>
      <c r="IA151" s="816"/>
      <c r="IB151" s="816"/>
      <c r="IC151" s="816"/>
      <c r="ID151" s="816"/>
      <c r="IE151" s="609"/>
      <c r="IF151" s="609"/>
      <c r="IG151" s="816"/>
      <c r="IH151" s="816"/>
      <c r="II151" s="609"/>
      <c r="IJ151" s="609"/>
      <c r="IK151" s="816"/>
      <c r="IL151" s="816"/>
      <c r="IM151" s="609"/>
      <c r="IN151" s="609"/>
      <c r="IO151" s="816"/>
      <c r="IP151" s="816"/>
      <c r="IQ151" s="816"/>
      <c r="IR151" s="816"/>
      <c r="IS151" s="816"/>
      <c r="IT151" s="816"/>
      <c r="IU151" s="821"/>
      <c r="IV151" s="609"/>
      <c r="IW151" s="816"/>
      <c r="IX151" s="816"/>
      <c r="IY151" s="822"/>
      <c r="IZ151" s="609"/>
      <c r="JA151" s="816"/>
      <c r="JB151" s="816"/>
      <c r="JC151" s="609"/>
      <c r="JD151" s="816"/>
      <c r="JE151" s="816"/>
      <c r="JF151" s="816"/>
      <c r="JG151" s="816"/>
      <c r="JH151" s="816"/>
      <c r="JI151" s="816"/>
      <c r="JJ151" s="816"/>
      <c r="JK151" s="816"/>
      <c r="JL151" s="816"/>
      <c r="JM151" s="816"/>
      <c r="JN151" s="816"/>
      <c r="JO151" s="823"/>
      <c r="JP151" s="824"/>
      <c r="JQ151" s="825"/>
      <c r="JR151" s="825"/>
      <c r="JS151" s="816"/>
      <c r="JU151" s="826"/>
      <c r="JV151" s="826"/>
      <c r="JW151" s="826"/>
      <c r="JX151" s="826"/>
    </row>
    <row r="152" spans="2:284" s="780" customFormat="1">
      <c r="B152" s="609"/>
      <c r="C152" s="609"/>
      <c r="D152" s="609"/>
      <c r="E152" s="609"/>
      <c r="F152" s="609"/>
      <c r="G152" s="609"/>
      <c r="H152" s="609"/>
      <c r="I152" s="609"/>
      <c r="J152" s="609"/>
      <c r="K152" s="609"/>
      <c r="L152" s="609"/>
      <c r="M152" s="609"/>
      <c r="N152" s="609"/>
      <c r="O152" s="609"/>
      <c r="P152" s="609"/>
      <c r="Q152" s="609"/>
      <c r="R152" s="609"/>
      <c r="S152" s="609"/>
      <c r="T152" s="609"/>
      <c r="U152" s="609"/>
      <c r="V152" s="609"/>
      <c r="W152" s="609"/>
      <c r="X152" s="609"/>
      <c r="Y152" s="609"/>
      <c r="Z152" s="609"/>
      <c r="AA152" s="609"/>
      <c r="AB152" s="609"/>
      <c r="AC152" s="609"/>
      <c r="AD152" s="816"/>
      <c r="AE152" s="816"/>
      <c r="AF152" s="816"/>
      <c r="AG152" s="816"/>
      <c r="AH152" s="816"/>
      <c r="AI152" s="816"/>
      <c r="AJ152" s="609"/>
      <c r="AK152" s="609"/>
      <c r="AL152" s="816"/>
      <c r="AM152" s="816"/>
      <c r="AN152" s="609"/>
      <c r="AO152" s="609"/>
      <c r="AP152" s="816"/>
      <c r="AQ152" s="816"/>
      <c r="AR152" s="816"/>
      <c r="AS152" s="816"/>
      <c r="AT152" s="816"/>
      <c r="AU152" s="816"/>
      <c r="AV152" s="609"/>
      <c r="AW152" s="609"/>
      <c r="AX152" s="816"/>
      <c r="AY152" s="816"/>
      <c r="AZ152" s="817"/>
      <c r="BA152" s="609"/>
      <c r="BB152" s="609"/>
      <c r="BC152" s="816"/>
      <c r="BD152" s="816"/>
      <c r="BE152" s="816"/>
      <c r="BF152" s="816"/>
      <c r="BG152" s="816"/>
      <c r="BH152" s="816"/>
      <c r="BI152" s="816"/>
      <c r="BJ152" s="816"/>
      <c r="BK152" s="816"/>
      <c r="BL152" s="816"/>
      <c r="BM152" s="816"/>
      <c r="BN152" s="816"/>
      <c r="BO152" s="816"/>
      <c r="BP152" s="816"/>
      <c r="BQ152" s="816"/>
      <c r="BR152" s="816"/>
      <c r="BS152" s="816"/>
      <c r="BT152" s="816"/>
      <c r="BU152" s="816"/>
      <c r="BV152" s="816"/>
      <c r="BW152" s="816"/>
      <c r="BX152" s="609"/>
      <c r="BY152" s="609"/>
      <c r="BZ152" s="609"/>
      <c r="CA152" s="818"/>
      <c r="CB152" s="816"/>
      <c r="CC152" s="816"/>
      <c r="CD152" s="816"/>
      <c r="CE152" s="816"/>
      <c r="CF152" s="816"/>
      <c r="CG152" s="816"/>
      <c r="CH152" s="816"/>
      <c r="CI152" s="816"/>
      <c r="CJ152" s="819"/>
      <c r="CK152" s="819"/>
      <c r="CL152" s="820"/>
      <c r="CM152" s="820"/>
      <c r="CN152" s="820"/>
      <c r="CO152" s="820"/>
      <c r="CP152" s="820"/>
      <c r="CQ152" s="820"/>
      <c r="CR152" s="609"/>
      <c r="CS152" s="609"/>
      <c r="CT152" s="816"/>
      <c r="CU152" s="816"/>
      <c r="CV152" s="609"/>
      <c r="CW152" s="609"/>
      <c r="CX152" s="816"/>
      <c r="CY152" s="816"/>
      <c r="CZ152" s="609"/>
      <c r="DA152" s="609"/>
      <c r="DB152" s="816"/>
      <c r="DC152" s="816"/>
      <c r="DD152" s="609"/>
      <c r="DE152" s="609"/>
      <c r="DF152" s="816"/>
      <c r="DG152" s="816"/>
      <c r="DH152" s="816"/>
      <c r="DI152" s="816"/>
      <c r="DJ152" s="816"/>
      <c r="DK152" s="816"/>
      <c r="DL152" s="609"/>
      <c r="DM152" s="609"/>
      <c r="DN152" s="816"/>
      <c r="DO152" s="816"/>
      <c r="DP152" s="609"/>
      <c r="DQ152" s="609"/>
      <c r="DR152" s="816"/>
      <c r="DS152" s="816"/>
      <c r="DT152" s="816"/>
      <c r="DU152" s="816"/>
      <c r="DV152" s="816"/>
      <c r="DW152" s="816"/>
      <c r="DX152" s="816"/>
      <c r="DY152" s="816"/>
      <c r="DZ152" s="816"/>
      <c r="EA152" s="816"/>
      <c r="EB152" s="816"/>
      <c r="EC152" s="816"/>
      <c r="ED152" s="816"/>
      <c r="EE152" s="816"/>
      <c r="EF152" s="609"/>
      <c r="EG152" s="609"/>
      <c r="EH152" s="816"/>
      <c r="EI152" s="816"/>
      <c r="EJ152" s="816"/>
      <c r="EK152" s="816"/>
      <c r="EL152" s="816"/>
      <c r="EM152" s="816"/>
      <c r="EN152" s="816"/>
      <c r="EO152" s="816"/>
      <c r="EP152" s="816"/>
      <c r="EQ152" s="816"/>
      <c r="ER152" s="816"/>
      <c r="ES152" s="816"/>
      <c r="ET152" s="816"/>
      <c r="EU152" s="816"/>
      <c r="EV152" s="609"/>
      <c r="EW152" s="609"/>
      <c r="EX152" s="816"/>
      <c r="EY152" s="816"/>
      <c r="EZ152" s="816"/>
      <c r="FA152" s="816"/>
      <c r="FB152" s="816"/>
      <c r="FC152" s="816"/>
      <c r="FD152" s="816"/>
      <c r="FE152" s="816"/>
      <c r="FF152" s="816"/>
      <c r="FG152" s="816"/>
      <c r="FH152" s="816"/>
      <c r="FI152" s="816"/>
      <c r="FJ152" s="816"/>
      <c r="FK152" s="816"/>
      <c r="FL152" s="816"/>
      <c r="FM152" s="816"/>
      <c r="FN152" s="816"/>
      <c r="FO152" s="816"/>
      <c r="FP152" s="816"/>
      <c r="FQ152" s="816"/>
      <c r="FR152" s="816"/>
      <c r="FS152" s="816"/>
      <c r="FT152" s="816"/>
      <c r="FU152" s="816"/>
      <c r="FV152" s="816"/>
      <c r="FW152" s="816"/>
      <c r="FX152" s="816"/>
      <c r="FY152" s="816"/>
      <c r="FZ152" s="819"/>
      <c r="GA152" s="816"/>
      <c r="GB152" s="820"/>
      <c r="GC152" s="820"/>
      <c r="GD152" s="820"/>
      <c r="GE152" s="820"/>
      <c r="GF152" s="609"/>
      <c r="GG152" s="609"/>
      <c r="GH152" s="816"/>
      <c r="GI152" s="816"/>
      <c r="GJ152" s="816"/>
      <c r="GK152" s="816"/>
      <c r="GL152" s="816"/>
      <c r="GM152" s="816"/>
      <c r="GN152" s="816"/>
      <c r="GO152" s="816"/>
      <c r="GP152" s="816"/>
      <c r="GQ152" s="816"/>
      <c r="GR152" s="816"/>
      <c r="GS152" s="816"/>
      <c r="GT152" s="818"/>
      <c r="GU152" s="816"/>
      <c r="GV152" s="816"/>
      <c r="GW152" s="816"/>
      <c r="GX152" s="816"/>
      <c r="GY152" s="816"/>
      <c r="GZ152" s="816"/>
      <c r="HA152" s="816"/>
      <c r="HB152" s="609"/>
      <c r="HC152" s="609"/>
      <c r="HD152" s="816"/>
      <c r="HE152" s="816"/>
      <c r="HF152" s="816"/>
      <c r="HG152" s="816"/>
      <c r="HH152" s="816"/>
      <c r="HI152" s="816"/>
      <c r="HJ152" s="609"/>
      <c r="HK152" s="609"/>
      <c r="HL152" s="609"/>
      <c r="HM152" s="816"/>
      <c r="HN152" s="816"/>
      <c r="HO152" s="609"/>
      <c r="HP152" s="609"/>
      <c r="HQ152" s="816"/>
      <c r="HR152" s="816"/>
      <c r="HS152" s="816"/>
      <c r="HT152" s="816"/>
      <c r="HU152" s="816"/>
      <c r="HV152" s="816"/>
      <c r="HW152" s="609"/>
      <c r="HX152" s="609"/>
      <c r="HY152" s="816"/>
      <c r="HZ152" s="816"/>
      <c r="IA152" s="816"/>
      <c r="IB152" s="816"/>
      <c r="IC152" s="816"/>
      <c r="ID152" s="816"/>
      <c r="IE152" s="609"/>
      <c r="IF152" s="609"/>
      <c r="IG152" s="816"/>
      <c r="IH152" s="816"/>
      <c r="II152" s="609"/>
      <c r="IJ152" s="609"/>
      <c r="IK152" s="816"/>
      <c r="IL152" s="816"/>
      <c r="IM152" s="609"/>
      <c r="IN152" s="609"/>
      <c r="IO152" s="816"/>
      <c r="IP152" s="816"/>
      <c r="IQ152" s="816"/>
      <c r="IR152" s="816"/>
      <c r="IS152" s="816"/>
      <c r="IT152" s="816"/>
      <c r="IU152" s="821"/>
      <c r="IV152" s="609"/>
      <c r="IW152" s="816"/>
      <c r="IX152" s="816"/>
      <c r="IY152" s="822"/>
      <c r="IZ152" s="609"/>
      <c r="JA152" s="816"/>
      <c r="JB152" s="816"/>
      <c r="JC152" s="609"/>
      <c r="JD152" s="816"/>
      <c r="JE152" s="816"/>
      <c r="JF152" s="816"/>
      <c r="JG152" s="816"/>
      <c r="JH152" s="816"/>
      <c r="JI152" s="816"/>
      <c r="JJ152" s="816"/>
      <c r="JK152" s="816"/>
      <c r="JL152" s="816"/>
      <c r="JM152" s="816"/>
      <c r="JN152" s="816"/>
      <c r="JO152" s="823"/>
      <c r="JP152" s="824"/>
      <c r="JQ152" s="825"/>
      <c r="JR152" s="825"/>
      <c r="JS152" s="816"/>
      <c r="JU152" s="826"/>
      <c r="JV152" s="826"/>
      <c r="JW152" s="826"/>
      <c r="JX152" s="826"/>
    </row>
    <row r="153" spans="2:284" s="780" customFormat="1">
      <c r="B153" s="609"/>
      <c r="C153" s="609"/>
      <c r="D153" s="609"/>
      <c r="E153" s="609"/>
      <c r="F153" s="609"/>
      <c r="G153" s="609"/>
      <c r="H153" s="609"/>
      <c r="I153" s="609"/>
      <c r="J153" s="609"/>
      <c r="K153" s="609"/>
      <c r="L153" s="609"/>
      <c r="M153" s="609"/>
      <c r="N153" s="609"/>
      <c r="O153" s="609"/>
      <c r="P153" s="609"/>
      <c r="Q153" s="609"/>
      <c r="R153" s="609"/>
      <c r="S153" s="609"/>
      <c r="T153" s="609"/>
      <c r="U153" s="609"/>
      <c r="V153" s="609"/>
      <c r="W153" s="609"/>
      <c r="X153" s="609"/>
      <c r="Y153" s="609"/>
      <c r="Z153" s="609"/>
      <c r="AA153" s="609"/>
      <c r="AB153" s="609"/>
      <c r="AC153" s="609"/>
      <c r="AD153" s="816"/>
      <c r="AE153" s="816"/>
      <c r="AF153" s="816"/>
      <c r="AG153" s="816"/>
      <c r="AH153" s="816"/>
      <c r="AI153" s="816"/>
      <c r="AJ153" s="609"/>
      <c r="AK153" s="609"/>
      <c r="AL153" s="816"/>
      <c r="AM153" s="816"/>
      <c r="AN153" s="609"/>
      <c r="AO153" s="609"/>
      <c r="AP153" s="816"/>
      <c r="AQ153" s="816"/>
      <c r="AR153" s="816"/>
      <c r="AS153" s="816"/>
      <c r="AT153" s="816"/>
      <c r="AU153" s="816"/>
      <c r="AV153" s="609"/>
      <c r="AW153" s="609"/>
      <c r="AX153" s="816"/>
      <c r="AY153" s="816"/>
      <c r="AZ153" s="817"/>
      <c r="BA153" s="609"/>
      <c r="BB153" s="609"/>
      <c r="BC153" s="816"/>
      <c r="BD153" s="816"/>
      <c r="BE153" s="816"/>
      <c r="BF153" s="816"/>
      <c r="BG153" s="816"/>
      <c r="BH153" s="816"/>
      <c r="BI153" s="816"/>
      <c r="BJ153" s="816"/>
      <c r="BK153" s="816"/>
      <c r="BL153" s="816"/>
      <c r="BM153" s="816"/>
      <c r="BN153" s="816"/>
      <c r="BO153" s="816"/>
      <c r="BP153" s="816"/>
      <c r="BQ153" s="816"/>
      <c r="BR153" s="816"/>
      <c r="BS153" s="816"/>
      <c r="BT153" s="816"/>
      <c r="BU153" s="816"/>
      <c r="BV153" s="816"/>
      <c r="BW153" s="816"/>
      <c r="BX153" s="609"/>
      <c r="BY153" s="609"/>
      <c r="BZ153" s="609"/>
      <c r="CA153" s="818"/>
      <c r="CB153" s="816"/>
      <c r="CC153" s="816"/>
      <c r="CD153" s="816"/>
      <c r="CE153" s="816"/>
      <c r="CF153" s="816"/>
      <c r="CG153" s="816"/>
      <c r="CH153" s="816"/>
      <c r="CI153" s="816"/>
      <c r="CJ153" s="819"/>
      <c r="CK153" s="819"/>
      <c r="CL153" s="820"/>
      <c r="CM153" s="820"/>
      <c r="CN153" s="820"/>
      <c r="CO153" s="820"/>
      <c r="CP153" s="820"/>
      <c r="CQ153" s="820"/>
      <c r="CR153" s="609"/>
      <c r="CS153" s="609"/>
      <c r="CT153" s="816"/>
      <c r="CU153" s="816"/>
      <c r="CV153" s="609"/>
      <c r="CW153" s="609"/>
      <c r="CX153" s="816"/>
      <c r="CY153" s="816"/>
      <c r="CZ153" s="609"/>
      <c r="DA153" s="609"/>
      <c r="DB153" s="816"/>
      <c r="DC153" s="816"/>
      <c r="DD153" s="609"/>
      <c r="DE153" s="609"/>
      <c r="DF153" s="816"/>
      <c r="DG153" s="816"/>
      <c r="DH153" s="816"/>
      <c r="DI153" s="816"/>
      <c r="DJ153" s="816"/>
      <c r="DK153" s="816"/>
      <c r="DL153" s="609"/>
      <c r="DM153" s="609"/>
      <c r="DN153" s="816"/>
      <c r="DO153" s="816"/>
      <c r="DP153" s="609"/>
      <c r="DQ153" s="609"/>
      <c r="DR153" s="816"/>
      <c r="DS153" s="816"/>
      <c r="DT153" s="816"/>
      <c r="DU153" s="816"/>
      <c r="DV153" s="816"/>
      <c r="DW153" s="816"/>
      <c r="DX153" s="816"/>
      <c r="DY153" s="816"/>
      <c r="DZ153" s="816"/>
      <c r="EA153" s="816"/>
      <c r="EB153" s="816"/>
      <c r="EC153" s="816"/>
      <c r="ED153" s="816"/>
      <c r="EE153" s="816"/>
      <c r="EF153" s="609"/>
      <c r="EG153" s="609"/>
      <c r="EH153" s="816"/>
      <c r="EI153" s="816"/>
      <c r="EJ153" s="816"/>
      <c r="EK153" s="816"/>
      <c r="EL153" s="816"/>
      <c r="EM153" s="816"/>
      <c r="EN153" s="816"/>
      <c r="EO153" s="816"/>
      <c r="EP153" s="816"/>
      <c r="EQ153" s="816"/>
      <c r="ER153" s="816"/>
      <c r="ES153" s="816"/>
      <c r="ET153" s="816"/>
      <c r="EU153" s="816"/>
      <c r="EV153" s="609"/>
      <c r="EW153" s="609"/>
      <c r="EX153" s="816"/>
      <c r="EY153" s="816"/>
      <c r="EZ153" s="816"/>
      <c r="FA153" s="816"/>
      <c r="FB153" s="816"/>
      <c r="FC153" s="816"/>
      <c r="FD153" s="816"/>
      <c r="FE153" s="816"/>
      <c r="FF153" s="816"/>
      <c r="FG153" s="816"/>
      <c r="FH153" s="816"/>
      <c r="FI153" s="816"/>
      <c r="FJ153" s="816"/>
      <c r="FK153" s="816"/>
      <c r="FL153" s="816"/>
      <c r="FM153" s="816"/>
      <c r="FN153" s="816"/>
      <c r="FO153" s="816"/>
      <c r="FP153" s="816"/>
      <c r="FQ153" s="816"/>
      <c r="FR153" s="816"/>
      <c r="FS153" s="816"/>
      <c r="FT153" s="816"/>
      <c r="FU153" s="816"/>
      <c r="FV153" s="816"/>
      <c r="FW153" s="816"/>
      <c r="FX153" s="816"/>
      <c r="FY153" s="816"/>
      <c r="FZ153" s="819"/>
      <c r="GA153" s="816"/>
      <c r="GB153" s="820"/>
      <c r="GC153" s="820"/>
      <c r="GD153" s="820"/>
      <c r="GE153" s="820"/>
      <c r="GF153" s="609"/>
      <c r="GG153" s="609"/>
      <c r="GH153" s="816"/>
      <c r="GI153" s="816"/>
      <c r="GJ153" s="816"/>
      <c r="GK153" s="816"/>
      <c r="GL153" s="816"/>
      <c r="GM153" s="816"/>
      <c r="GN153" s="816"/>
      <c r="GO153" s="816"/>
      <c r="GP153" s="816"/>
      <c r="GQ153" s="816"/>
      <c r="GR153" s="816"/>
      <c r="GS153" s="816"/>
      <c r="GT153" s="818"/>
      <c r="GU153" s="816"/>
      <c r="GV153" s="816"/>
      <c r="GW153" s="816"/>
      <c r="GX153" s="816"/>
      <c r="GY153" s="816"/>
      <c r="GZ153" s="816"/>
      <c r="HA153" s="816"/>
      <c r="HB153" s="609"/>
      <c r="HC153" s="609"/>
      <c r="HD153" s="816"/>
      <c r="HE153" s="816"/>
      <c r="HF153" s="816"/>
      <c r="HG153" s="816"/>
      <c r="HH153" s="816"/>
      <c r="HI153" s="816"/>
      <c r="HJ153" s="609"/>
      <c r="HK153" s="609"/>
      <c r="HL153" s="609"/>
      <c r="HM153" s="816"/>
      <c r="HN153" s="816"/>
      <c r="HO153" s="609"/>
      <c r="HP153" s="609"/>
      <c r="HQ153" s="816"/>
      <c r="HR153" s="816"/>
      <c r="HS153" s="816"/>
      <c r="HT153" s="816"/>
      <c r="HU153" s="816"/>
      <c r="HV153" s="816"/>
      <c r="HW153" s="609"/>
      <c r="HX153" s="609"/>
      <c r="HY153" s="816"/>
      <c r="HZ153" s="816"/>
      <c r="IA153" s="816"/>
      <c r="IB153" s="816"/>
      <c r="IC153" s="816"/>
      <c r="ID153" s="816"/>
      <c r="IE153" s="609"/>
      <c r="IF153" s="609"/>
      <c r="IG153" s="816"/>
      <c r="IH153" s="816"/>
      <c r="II153" s="609"/>
      <c r="IJ153" s="609"/>
      <c r="IK153" s="816"/>
      <c r="IL153" s="816"/>
      <c r="IM153" s="609"/>
      <c r="IN153" s="609"/>
      <c r="IO153" s="816"/>
      <c r="IP153" s="816"/>
      <c r="IQ153" s="816"/>
      <c r="IR153" s="816"/>
      <c r="IS153" s="816"/>
      <c r="IT153" s="816"/>
      <c r="IU153" s="821"/>
      <c r="IV153" s="609"/>
      <c r="IW153" s="816"/>
      <c r="IX153" s="816"/>
      <c r="IY153" s="822"/>
      <c r="IZ153" s="609"/>
      <c r="JA153" s="816"/>
      <c r="JB153" s="816"/>
      <c r="JC153" s="609"/>
      <c r="JD153" s="816"/>
      <c r="JE153" s="816"/>
      <c r="JF153" s="816"/>
      <c r="JG153" s="816"/>
      <c r="JH153" s="816"/>
      <c r="JI153" s="816"/>
      <c r="JJ153" s="816"/>
      <c r="JK153" s="816"/>
      <c r="JL153" s="816"/>
      <c r="JM153" s="816"/>
      <c r="JN153" s="816"/>
      <c r="JO153" s="823"/>
      <c r="JP153" s="824"/>
      <c r="JQ153" s="825"/>
      <c r="JR153" s="825"/>
      <c r="JS153" s="816"/>
      <c r="JU153" s="826"/>
      <c r="JV153" s="826"/>
      <c r="JW153" s="826"/>
      <c r="JX153" s="826"/>
    </row>
    <row r="154" spans="2:284" s="780" customFormat="1">
      <c r="B154" s="609"/>
      <c r="C154" s="609"/>
      <c r="D154" s="609"/>
      <c r="E154" s="609"/>
      <c r="F154" s="609"/>
      <c r="G154" s="609"/>
      <c r="H154" s="609"/>
      <c r="I154" s="609"/>
      <c r="J154" s="609"/>
      <c r="K154" s="609"/>
      <c r="L154" s="609"/>
      <c r="M154" s="609"/>
      <c r="N154" s="609"/>
      <c r="O154" s="609"/>
      <c r="P154" s="609"/>
      <c r="Q154" s="609"/>
      <c r="R154" s="609"/>
      <c r="S154" s="609"/>
      <c r="T154" s="609"/>
      <c r="U154" s="609"/>
      <c r="V154" s="609"/>
      <c r="W154" s="609"/>
      <c r="X154" s="609"/>
      <c r="Y154" s="609"/>
      <c r="Z154" s="609"/>
      <c r="AA154" s="609"/>
      <c r="AB154" s="609"/>
      <c r="AC154" s="609"/>
      <c r="AD154" s="816"/>
      <c r="AE154" s="816"/>
      <c r="AF154" s="816"/>
      <c r="AG154" s="816"/>
      <c r="AH154" s="816"/>
      <c r="AI154" s="816"/>
      <c r="AJ154" s="609"/>
      <c r="AK154" s="609"/>
      <c r="AL154" s="816"/>
      <c r="AM154" s="816"/>
      <c r="AN154" s="609"/>
      <c r="AO154" s="609"/>
      <c r="AP154" s="816"/>
      <c r="AQ154" s="816"/>
      <c r="AR154" s="816"/>
      <c r="AS154" s="816"/>
      <c r="AT154" s="816"/>
      <c r="AU154" s="816"/>
      <c r="AV154" s="609"/>
      <c r="AW154" s="609"/>
      <c r="AX154" s="816"/>
      <c r="AY154" s="816"/>
      <c r="AZ154" s="817"/>
      <c r="BA154" s="609"/>
      <c r="BB154" s="609"/>
      <c r="BC154" s="816"/>
      <c r="BD154" s="816"/>
      <c r="BE154" s="816"/>
      <c r="BF154" s="816"/>
      <c r="BG154" s="816"/>
      <c r="BH154" s="816"/>
      <c r="BI154" s="816"/>
      <c r="BJ154" s="816"/>
      <c r="BK154" s="816"/>
      <c r="BL154" s="816"/>
      <c r="BM154" s="816"/>
      <c r="BN154" s="816"/>
      <c r="BO154" s="816"/>
      <c r="BP154" s="816"/>
      <c r="BQ154" s="816"/>
      <c r="BR154" s="816"/>
      <c r="BS154" s="816"/>
      <c r="BT154" s="816"/>
      <c r="BU154" s="816"/>
      <c r="BV154" s="816"/>
      <c r="BW154" s="816"/>
      <c r="BX154" s="609"/>
      <c r="BY154" s="609"/>
      <c r="BZ154" s="609"/>
      <c r="CA154" s="818"/>
      <c r="CB154" s="816"/>
      <c r="CC154" s="816"/>
      <c r="CD154" s="816"/>
      <c r="CE154" s="816"/>
      <c r="CF154" s="816"/>
      <c r="CG154" s="816"/>
      <c r="CH154" s="816"/>
      <c r="CI154" s="816"/>
      <c r="CJ154" s="819"/>
      <c r="CK154" s="819"/>
      <c r="CL154" s="820"/>
      <c r="CM154" s="820"/>
      <c r="CN154" s="820"/>
      <c r="CO154" s="820"/>
      <c r="CP154" s="820"/>
      <c r="CQ154" s="820"/>
      <c r="CR154" s="609"/>
      <c r="CS154" s="609"/>
      <c r="CT154" s="816"/>
      <c r="CU154" s="816"/>
      <c r="CV154" s="609"/>
      <c r="CW154" s="609"/>
      <c r="CX154" s="816"/>
      <c r="CY154" s="816"/>
      <c r="CZ154" s="609"/>
      <c r="DA154" s="609"/>
      <c r="DB154" s="816"/>
      <c r="DC154" s="816"/>
      <c r="DD154" s="609"/>
      <c r="DE154" s="609"/>
      <c r="DF154" s="816"/>
      <c r="DG154" s="816"/>
      <c r="DH154" s="816"/>
      <c r="DI154" s="816"/>
      <c r="DJ154" s="816"/>
      <c r="DK154" s="816"/>
      <c r="DL154" s="609"/>
      <c r="DM154" s="609"/>
      <c r="DN154" s="816"/>
      <c r="DO154" s="816"/>
      <c r="DP154" s="609"/>
      <c r="DQ154" s="609"/>
      <c r="DR154" s="816"/>
      <c r="DS154" s="816"/>
      <c r="DT154" s="816"/>
      <c r="DU154" s="816"/>
      <c r="DV154" s="816"/>
      <c r="DW154" s="816"/>
      <c r="DX154" s="816"/>
      <c r="DY154" s="816"/>
      <c r="DZ154" s="816"/>
      <c r="EA154" s="816"/>
      <c r="EB154" s="816"/>
      <c r="EC154" s="816"/>
      <c r="ED154" s="816"/>
      <c r="EE154" s="816"/>
      <c r="EF154" s="609"/>
      <c r="EG154" s="609"/>
      <c r="EH154" s="816"/>
      <c r="EI154" s="816"/>
      <c r="EJ154" s="816"/>
      <c r="EK154" s="816"/>
      <c r="EL154" s="816"/>
      <c r="EM154" s="816"/>
      <c r="EN154" s="816"/>
      <c r="EO154" s="816"/>
      <c r="EP154" s="816"/>
      <c r="EQ154" s="816"/>
      <c r="ER154" s="816"/>
      <c r="ES154" s="816"/>
      <c r="ET154" s="816"/>
      <c r="EU154" s="816"/>
      <c r="EV154" s="609"/>
      <c r="EW154" s="609"/>
      <c r="EX154" s="816"/>
      <c r="EY154" s="816"/>
      <c r="EZ154" s="816"/>
      <c r="FA154" s="816"/>
      <c r="FB154" s="816"/>
      <c r="FC154" s="816"/>
      <c r="FD154" s="816"/>
      <c r="FE154" s="816"/>
      <c r="FF154" s="816"/>
      <c r="FG154" s="816"/>
      <c r="FH154" s="816"/>
      <c r="FI154" s="816"/>
      <c r="FJ154" s="816"/>
      <c r="FK154" s="816"/>
      <c r="FL154" s="816"/>
      <c r="FM154" s="816"/>
      <c r="FN154" s="816"/>
      <c r="FO154" s="816"/>
      <c r="FP154" s="816"/>
      <c r="FQ154" s="816"/>
      <c r="FR154" s="816"/>
      <c r="FS154" s="816"/>
      <c r="FT154" s="816"/>
      <c r="FU154" s="816"/>
      <c r="FV154" s="816"/>
      <c r="FW154" s="816"/>
      <c r="FX154" s="816"/>
      <c r="FY154" s="816"/>
      <c r="FZ154" s="819"/>
      <c r="GA154" s="816"/>
      <c r="GB154" s="820"/>
      <c r="GC154" s="820"/>
      <c r="GD154" s="820"/>
      <c r="GE154" s="820"/>
      <c r="GF154" s="609"/>
      <c r="GG154" s="609"/>
      <c r="GH154" s="816"/>
      <c r="GI154" s="816"/>
      <c r="GJ154" s="816"/>
      <c r="GK154" s="816"/>
      <c r="GL154" s="816"/>
      <c r="GM154" s="816"/>
      <c r="GN154" s="816"/>
      <c r="GO154" s="816"/>
      <c r="GP154" s="816"/>
      <c r="GQ154" s="816"/>
      <c r="GR154" s="816"/>
      <c r="GS154" s="816"/>
      <c r="GT154" s="818"/>
      <c r="GU154" s="816"/>
      <c r="GV154" s="816"/>
      <c r="GW154" s="816"/>
      <c r="GX154" s="816"/>
      <c r="GY154" s="816"/>
      <c r="GZ154" s="816"/>
      <c r="HA154" s="816"/>
      <c r="HB154" s="609"/>
      <c r="HC154" s="609"/>
      <c r="HD154" s="816"/>
      <c r="HE154" s="816"/>
      <c r="HF154" s="816"/>
      <c r="HG154" s="816"/>
      <c r="HH154" s="816"/>
      <c r="HI154" s="816"/>
      <c r="HJ154" s="609"/>
      <c r="HK154" s="609"/>
      <c r="HL154" s="609"/>
      <c r="HM154" s="816"/>
      <c r="HN154" s="816"/>
      <c r="HO154" s="609"/>
      <c r="HP154" s="609"/>
      <c r="HQ154" s="816"/>
      <c r="HR154" s="816"/>
      <c r="HS154" s="816"/>
      <c r="HT154" s="816"/>
      <c r="HU154" s="816"/>
      <c r="HV154" s="816"/>
      <c r="HW154" s="609"/>
      <c r="HX154" s="609"/>
      <c r="HY154" s="816"/>
      <c r="HZ154" s="816"/>
      <c r="IA154" s="816"/>
      <c r="IB154" s="816"/>
      <c r="IC154" s="816"/>
      <c r="ID154" s="816"/>
      <c r="IE154" s="609"/>
      <c r="IF154" s="609"/>
      <c r="IG154" s="816"/>
      <c r="IH154" s="816"/>
      <c r="II154" s="609"/>
      <c r="IJ154" s="609"/>
      <c r="IK154" s="816"/>
      <c r="IL154" s="816"/>
      <c r="IM154" s="609"/>
      <c r="IN154" s="609"/>
      <c r="IO154" s="816"/>
      <c r="IP154" s="816"/>
      <c r="IQ154" s="816"/>
      <c r="IR154" s="816"/>
      <c r="IS154" s="816"/>
      <c r="IT154" s="816"/>
      <c r="IU154" s="821"/>
      <c r="IV154" s="609"/>
      <c r="IW154" s="816"/>
      <c r="IX154" s="816"/>
      <c r="IY154" s="822"/>
      <c r="IZ154" s="609"/>
      <c r="JA154" s="816"/>
      <c r="JB154" s="816"/>
      <c r="JC154" s="609"/>
      <c r="JD154" s="816"/>
      <c r="JE154" s="816"/>
      <c r="JF154" s="816"/>
      <c r="JG154" s="816"/>
      <c r="JH154" s="816"/>
      <c r="JI154" s="816"/>
      <c r="JJ154" s="816"/>
      <c r="JK154" s="816"/>
      <c r="JL154" s="816"/>
      <c r="JM154" s="816"/>
      <c r="JN154" s="816"/>
      <c r="JO154" s="823"/>
      <c r="JP154" s="824"/>
      <c r="JQ154" s="825"/>
      <c r="JR154" s="825"/>
      <c r="JS154" s="816"/>
      <c r="JU154" s="826"/>
      <c r="JV154" s="826"/>
      <c r="JW154" s="826"/>
      <c r="JX154" s="826"/>
    </row>
    <row r="155" spans="2:284" s="780" customFormat="1">
      <c r="B155" s="609"/>
      <c r="C155" s="609"/>
      <c r="D155" s="609"/>
      <c r="E155" s="609"/>
      <c r="F155" s="609"/>
      <c r="G155" s="609"/>
      <c r="H155" s="609"/>
      <c r="I155" s="609"/>
      <c r="J155" s="609"/>
      <c r="K155" s="609"/>
      <c r="L155" s="609"/>
      <c r="M155" s="609"/>
      <c r="N155" s="609"/>
      <c r="O155" s="609"/>
      <c r="P155" s="609"/>
      <c r="Q155" s="609"/>
      <c r="R155" s="609"/>
      <c r="S155" s="609"/>
      <c r="T155" s="609"/>
      <c r="U155" s="609"/>
      <c r="V155" s="609"/>
      <c r="W155" s="609"/>
      <c r="X155" s="609"/>
      <c r="Y155" s="609"/>
      <c r="Z155" s="609"/>
      <c r="AA155" s="609"/>
      <c r="AB155" s="609"/>
      <c r="AC155" s="609"/>
      <c r="AD155" s="816"/>
      <c r="AE155" s="816"/>
      <c r="AF155" s="816"/>
      <c r="AG155" s="816"/>
      <c r="AH155" s="816"/>
      <c r="AI155" s="816"/>
      <c r="AJ155" s="609"/>
      <c r="AK155" s="609"/>
      <c r="AL155" s="816"/>
      <c r="AM155" s="816"/>
      <c r="AN155" s="609"/>
      <c r="AO155" s="609"/>
      <c r="AP155" s="816"/>
      <c r="AQ155" s="816"/>
      <c r="AR155" s="816"/>
      <c r="AS155" s="816"/>
      <c r="AT155" s="816"/>
      <c r="AU155" s="816"/>
      <c r="AV155" s="609"/>
      <c r="AW155" s="609"/>
      <c r="AX155" s="816"/>
      <c r="AY155" s="816"/>
      <c r="AZ155" s="817"/>
      <c r="BA155" s="609"/>
      <c r="BB155" s="609"/>
      <c r="BC155" s="816"/>
      <c r="BD155" s="816"/>
      <c r="BE155" s="816"/>
      <c r="BF155" s="816"/>
      <c r="BG155" s="816"/>
      <c r="BH155" s="816"/>
      <c r="BI155" s="816"/>
      <c r="BJ155" s="816"/>
      <c r="BK155" s="816"/>
      <c r="BL155" s="816"/>
      <c r="BM155" s="816"/>
      <c r="BN155" s="816"/>
      <c r="BO155" s="816"/>
      <c r="BP155" s="816"/>
      <c r="BQ155" s="816"/>
      <c r="BR155" s="816"/>
      <c r="BS155" s="816"/>
      <c r="BT155" s="816"/>
      <c r="BU155" s="816"/>
      <c r="BV155" s="816"/>
      <c r="BW155" s="816"/>
      <c r="BX155" s="609"/>
      <c r="BY155" s="609"/>
      <c r="BZ155" s="609"/>
      <c r="CA155" s="818"/>
      <c r="CB155" s="816"/>
      <c r="CC155" s="816"/>
      <c r="CD155" s="816"/>
      <c r="CE155" s="816"/>
      <c r="CF155" s="816"/>
      <c r="CG155" s="816"/>
      <c r="CH155" s="816"/>
      <c r="CI155" s="816"/>
      <c r="CJ155" s="819"/>
      <c r="CK155" s="819"/>
      <c r="CL155" s="820"/>
      <c r="CM155" s="820"/>
      <c r="CN155" s="820"/>
      <c r="CO155" s="820"/>
      <c r="CP155" s="820"/>
      <c r="CQ155" s="820"/>
      <c r="CR155" s="609"/>
      <c r="CS155" s="609"/>
      <c r="CT155" s="816"/>
      <c r="CU155" s="816"/>
      <c r="CV155" s="609"/>
      <c r="CW155" s="609"/>
      <c r="CX155" s="816"/>
      <c r="CY155" s="816"/>
      <c r="CZ155" s="609"/>
      <c r="DA155" s="609"/>
      <c r="DB155" s="816"/>
      <c r="DC155" s="816"/>
      <c r="DD155" s="609"/>
      <c r="DE155" s="609"/>
      <c r="DF155" s="816"/>
      <c r="DG155" s="816"/>
      <c r="DH155" s="816"/>
      <c r="DI155" s="816"/>
      <c r="DJ155" s="816"/>
      <c r="DK155" s="816"/>
      <c r="DL155" s="609"/>
      <c r="DM155" s="609"/>
      <c r="DN155" s="816"/>
      <c r="DO155" s="816"/>
      <c r="DP155" s="609"/>
      <c r="DQ155" s="609"/>
      <c r="DR155" s="816"/>
      <c r="DS155" s="816"/>
      <c r="DT155" s="816"/>
      <c r="DU155" s="816"/>
      <c r="DV155" s="816"/>
      <c r="DW155" s="816"/>
      <c r="DX155" s="816"/>
      <c r="DY155" s="816"/>
      <c r="DZ155" s="816"/>
      <c r="EA155" s="816"/>
      <c r="EB155" s="816"/>
      <c r="EC155" s="816"/>
      <c r="ED155" s="816"/>
      <c r="EE155" s="816"/>
      <c r="EF155" s="609"/>
      <c r="EG155" s="609"/>
      <c r="EH155" s="816"/>
      <c r="EI155" s="816"/>
      <c r="EJ155" s="816"/>
      <c r="EK155" s="816"/>
      <c r="EL155" s="816"/>
      <c r="EM155" s="816"/>
      <c r="EN155" s="816"/>
      <c r="EO155" s="816"/>
      <c r="EP155" s="816"/>
      <c r="EQ155" s="816"/>
      <c r="ER155" s="816"/>
      <c r="ES155" s="816"/>
      <c r="ET155" s="816"/>
      <c r="EU155" s="816"/>
      <c r="EV155" s="609"/>
      <c r="EW155" s="609"/>
      <c r="EX155" s="816"/>
      <c r="EY155" s="816"/>
      <c r="EZ155" s="816"/>
      <c r="FA155" s="816"/>
      <c r="FB155" s="816"/>
      <c r="FC155" s="816"/>
      <c r="FD155" s="816"/>
      <c r="FE155" s="816"/>
      <c r="FF155" s="816"/>
      <c r="FG155" s="816"/>
      <c r="FH155" s="816"/>
      <c r="FI155" s="816"/>
      <c r="FJ155" s="816"/>
      <c r="FK155" s="816"/>
      <c r="FL155" s="816"/>
      <c r="FM155" s="816"/>
      <c r="FN155" s="816"/>
      <c r="FO155" s="816"/>
      <c r="FP155" s="816"/>
      <c r="FQ155" s="816"/>
      <c r="FR155" s="816"/>
      <c r="FS155" s="816"/>
      <c r="FT155" s="816"/>
      <c r="FU155" s="816"/>
      <c r="FV155" s="816"/>
      <c r="FW155" s="816"/>
      <c r="FX155" s="816"/>
      <c r="FY155" s="816"/>
      <c r="FZ155" s="819"/>
      <c r="GA155" s="816"/>
      <c r="GB155" s="820"/>
      <c r="GC155" s="820"/>
      <c r="GD155" s="820"/>
      <c r="GE155" s="820"/>
      <c r="GF155" s="609"/>
      <c r="GG155" s="609"/>
      <c r="GH155" s="816"/>
      <c r="GI155" s="816"/>
      <c r="GJ155" s="816"/>
      <c r="GK155" s="816"/>
      <c r="GL155" s="816"/>
      <c r="GM155" s="816"/>
      <c r="GN155" s="816"/>
      <c r="GO155" s="816"/>
      <c r="GP155" s="816"/>
      <c r="GQ155" s="816"/>
      <c r="GR155" s="816"/>
      <c r="GS155" s="816"/>
      <c r="GT155" s="818"/>
      <c r="GU155" s="816"/>
      <c r="GV155" s="816"/>
      <c r="GW155" s="816"/>
      <c r="GX155" s="816"/>
      <c r="GY155" s="816"/>
      <c r="GZ155" s="816"/>
      <c r="HA155" s="816"/>
      <c r="HB155" s="609"/>
      <c r="HC155" s="609"/>
      <c r="HD155" s="816"/>
      <c r="HE155" s="816"/>
      <c r="HF155" s="816"/>
      <c r="HG155" s="816"/>
      <c r="HH155" s="816"/>
      <c r="HI155" s="816"/>
      <c r="HJ155" s="609"/>
      <c r="HK155" s="609"/>
      <c r="HL155" s="609"/>
      <c r="HM155" s="816"/>
      <c r="HN155" s="816"/>
      <c r="HO155" s="609"/>
      <c r="HP155" s="609"/>
      <c r="HQ155" s="816"/>
      <c r="HR155" s="816"/>
      <c r="HS155" s="816"/>
      <c r="HT155" s="816"/>
      <c r="HU155" s="816"/>
      <c r="HV155" s="816"/>
      <c r="HW155" s="609"/>
      <c r="HX155" s="609"/>
      <c r="HY155" s="816"/>
      <c r="HZ155" s="816"/>
      <c r="IA155" s="816"/>
      <c r="IB155" s="816"/>
      <c r="IC155" s="816"/>
      <c r="ID155" s="816"/>
      <c r="IE155" s="609"/>
      <c r="IF155" s="609"/>
      <c r="IG155" s="816"/>
      <c r="IH155" s="816"/>
      <c r="II155" s="609"/>
      <c r="IJ155" s="609"/>
      <c r="IK155" s="816"/>
      <c r="IL155" s="816"/>
      <c r="IM155" s="609"/>
      <c r="IN155" s="609"/>
      <c r="IO155" s="816"/>
      <c r="IP155" s="816"/>
      <c r="IQ155" s="816"/>
      <c r="IR155" s="816"/>
      <c r="IS155" s="816"/>
      <c r="IT155" s="816"/>
      <c r="IU155" s="821"/>
      <c r="IV155" s="609"/>
      <c r="IW155" s="816"/>
      <c r="IX155" s="816"/>
      <c r="IY155" s="822"/>
      <c r="IZ155" s="609"/>
      <c r="JA155" s="816"/>
      <c r="JB155" s="816"/>
      <c r="JC155" s="609"/>
      <c r="JD155" s="816"/>
      <c r="JE155" s="816"/>
      <c r="JF155" s="816"/>
      <c r="JG155" s="816"/>
      <c r="JH155" s="816"/>
      <c r="JI155" s="816"/>
      <c r="JJ155" s="816"/>
      <c r="JK155" s="816"/>
      <c r="JL155" s="816"/>
      <c r="JM155" s="816"/>
      <c r="JN155" s="816"/>
      <c r="JO155" s="823"/>
      <c r="JP155" s="824"/>
      <c r="JQ155" s="825"/>
      <c r="JR155" s="825"/>
      <c r="JS155" s="816"/>
      <c r="JU155" s="826"/>
      <c r="JV155" s="826"/>
      <c r="JW155" s="826"/>
      <c r="JX155" s="826"/>
    </row>
    <row r="156" spans="2:284" s="780" customFormat="1"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09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816"/>
      <c r="AE156" s="816"/>
      <c r="AF156" s="816"/>
      <c r="AG156" s="816"/>
      <c r="AH156" s="816"/>
      <c r="AI156" s="816"/>
      <c r="AJ156" s="609"/>
      <c r="AK156" s="609"/>
      <c r="AL156" s="816"/>
      <c r="AM156" s="816"/>
      <c r="AN156" s="609"/>
      <c r="AO156" s="609"/>
      <c r="AP156" s="816"/>
      <c r="AQ156" s="816"/>
      <c r="AR156" s="816"/>
      <c r="AS156" s="816"/>
      <c r="AT156" s="816"/>
      <c r="AU156" s="816"/>
      <c r="AV156" s="609"/>
      <c r="AW156" s="609"/>
      <c r="AX156" s="816"/>
      <c r="AY156" s="816"/>
      <c r="AZ156" s="817"/>
      <c r="BA156" s="609"/>
      <c r="BB156" s="609"/>
      <c r="BC156" s="816"/>
      <c r="BD156" s="816"/>
      <c r="BE156" s="816"/>
      <c r="BF156" s="816"/>
      <c r="BG156" s="816"/>
      <c r="BH156" s="816"/>
      <c r="BI156" s="816"/>
      <c r="BJ156" s="816"/>
      <c r="BK156" s="816"/>
      <c r="BL156" s="816"/>
      <c r="BM156" s="816"/>
      <c r="BN156" s="816"/>
      <c r="BO156" s="816"/>
      <c r="BP156" s="816"/>
      <c r="BQ156" s="816"/>
      <c r="BR156" s="816"/>
      <c r="BS156" s="816"/>
      <c r="BT156" s="816"/>
      <c r="BU156" s="816"/>
      <c r="BV156" s="816"/>
      <c r="BW156" s="816"/>
      <c r="BX156" s="609"/>
      <c r="BY156" s="609"/>
      <c r="BZ156" s="609"/>
      <c r="CA156" s="818"/>
      <c r="CB156" s="816"/>
      <c r="CC156" s="816"/>
      <c r="CD156" s="816"/>
      <c r="CE156" s="816"/>
      <c r="CF156" s="816"/>
      <c r="CG156" s="816"/>
      <c r="CH156" s="816"/>
      <c r="CI156" s="816"/>
      <c r="CJ156" s="819"/>
      <c r="CK156" s="819"/>
      <c r="CL156" s="820"/>
      <c r="CM156" s="820"/>
      <c r="CN156" s="820"/>
      <c r="CO156" s="820"/>
      <c r="CP156" s="820"/>
      <c r="CQ156" s="820"/>
      <c r="CR156" s="609"/>
      <c r="CS156" s="609"/>
      <c r="CT156" s="816"/>
      <c r="CU156" s="816"/>
      <c r="CV156" s="609"/>
      <c r="CW156" s="609"/>
      <c r="CX156" s="816"/>
      <c r="CY156" s="816"/>
      <c r="CZ156" s="609"/>
      <c r="DA156" s="609"/>
      <c r="DB156" s="816"/>
      <c r="DC156" s="816"/>
      <c r="DD156" s="609"/>
      <c r="DE156" s="609"/>
      <c r="DF156" s="816"/>
      <c r="DG156" s="816"/>
      <c r="DH156" s="816"/>
      <c r="DI156" s="816"/>
      <c r="DJ156" s="816"/>
      <c r="DK156" s="816"/>
      <c r="DL156" s="609"/>
      <c r="DM156" s="609"/>
      <c r="DN156" s="816"/>
      <c r="DO156" s="816"/>
      <c r="DP156" s="609"/>
      <c r="DQ156" s="609"/>
      <c r="DR156" s="816"/>
      <c r="DS156" s="816"/>
      <c r="DT156" s="816"/>
      <c r="DU156" s="816"/>
      <c r="DV156" s="816"/>
      <c r="DW156" s="816"/>
      <c r="DX156" s="816"/>
      <c r="DY156" s="816"/>
      <c r="DZ156" s="816"/>
      <c r="EA156" s="816"/>
      <c r="EB156" s="816"/>
      <c r="EC156" s="816"/>
      <c r="ED156" s="816"/>
      <c r="EE156" s="816"/>
      <c r="EF156" s="609"/>
      <c r="EG156" s="609"/>
      <c r="EH156" s="816"/>
      <c r="EI156" s="816"/>
      <c r="EJ156" s="816"/>
      <c r="EK156" s="816"/>
      <c r="EL156" s="816"/>
      <c r="EM156" s="816"/>
      <c r="EN156" s="816"/>
      <c r="EO156" s="816"/>
      <c r="EP156" s="816"/>
      <c r="EQ156" s="816"/>
      <c r="ER156" s="816"/>
      <c r="ES156" s="816"/>
      <c r="ET156" s="816"/>
      <c r="EU156" s="816"/>
      <c r="EV156" s="609"/>
      <c r="EW156" s="609"/>
      <c r="EX156" s="816"/>
      <c r="EY156" s="816"/>
      <c r="EZ156" s="816"/>
      <c r="FA156" s="816"/>
      <c r="FB156" s="816"/>
      <c r="FC156" s="816"/>
      <c r="FD156" s="816"/>
      <c r="FE156" s="816"/>
      <c r="FF156" s="816"/>
      <c r="FG156" s="816"/>
      <c r="FH156" s="816"/>
      <c r="FI156" s="816"/>
      <c r="FJ156" s="816"/>
      <c r="FK156" s="816"/>
      <c r="FL156" s="816"/>
      <c r="FM156" s="816"/>
      <c r="FN156" s="816"/>
      <c r="FO156" s="816"/>
      <c r="FP156" s="816"/>
      <c r="FQ156" s="816"/>
      <c r="FR156" s="816"/>
      <c r="FS156" s="816"/>
      <c r="FT156" s="816"/>
      <c r="FU156" s="816"/>
      <c r="FV156" s="816"/>
      <c r="FW156" s="816"/>
      <c r="FX156" s="816"/>
      <c r="FY156" s="816"/>
      <c r="FZ156" s="819"/>
      <c r="GA156" s="816"/>
      <c r="GB156" s="820"/>
      <c r="GC156" s="820"/>
      <c r="GD156" s="820"/>
      <c r="GE156" s="820"/>
      <c r="GF156" s="609"/>
      <c r="GG156" s="609"/>
      <c r="GH156" s="816"/>
      <c r="GI156" s="816"/>
      <c r="GJ156" s="816"/>
      <c r="GK156" s="816"/>
      <c r="GL156" s="816"/>
      <c r="GM156" s="816"/>
      <c r="GN156" s="816"/>
      <c r="GO156" s="816"/>
      <c r="GP156" s="816"/>
      <c r="GQ156" s="816"/>
      <c r="GR156" s="816"/>
      <c r="GS156" s="816"/>
      <c r="GT156" s="818"/>
      <c r="GU156" s="816"/>
      <c r="GV156" s="816"/>
      <c r="GW156" s="816"/>
      <c r="GX156" s="816"/>
      <c r="GY156" s="816"/>
      <c r="GZ156" s="816"/>
      <c r="HA156" s="816"/>
      <c r="HB156" s="609"/>
      <c r="HC156" s="609"/>
      <c r="HD156" s="816"/>
      <c r="HE156" s="816"/>
      <c r="HF156" s="816"/>
      <c r="HG156" s="816"/>
      <c r="HH156" s="816"/>
      <c r="HI156" s="816"/>
      <c r="HJ156" s="609"/>
      <c r="HK156" s="609"/>
      <c r="HL156" s="609"/>
      <c r="HM156" s="816"/>
      <c r="HN156" s="816"/>
      <c r="HO156" s="609"/>
      <c r="HP156" s="609"/>
      <c r="HQ156" s="816"/>
      <c r="HR156" s="816"/>
      <c r="HS156" s="816"/>
      <c r="HT156" s="816"/>
      <c r="HU156" s="816"/>
      <c r="HV156" s="816"/>
      <c r="HW156" s="609"/>
      <c r="HX156" s="609"/>
      <c r="HY156" s="816"/>
      <c r="HZ156" s="816"/>
      <c r="IA156" s="816"/>
      <c r="IB156" s="816"/>
      <c r="IC156" s="816"/>
      <c r="ID156" s="816"/>
      <c r="IE156" s="609"/>
      <c r="IF156" s="609"/>
      <c r="IG156" s="816"/>
      <c r="IH156" s="816"/>
      <c r="II156" s="609"/>
      <c r="IJ156" s="609"/>
      <c r="IK156" s="816"/>
      <c r="IL156" s="816"/>
      <c r="IM156" s="609"/>
      <c r="IN156" s="609"/>
      <c r="IO156" s="816"/>
      <c r="IP156" s="816"/>
      <c r="IQ156" s="816"/>
      <c r="IR156" s="816"/>
      <c r="IS156" s="816"/>
      <c r="IT156" s="816"/>
      <c r="IU156" s="821"/>
      <c r="IV156" s="609"/>
      <c r="IW156" s="816"/>
      <c r="IX156" s="816"/>
      <c r="IY156" s="822"/>
      <c r="IZ156" s="609"/>
      <c r="JA156" s="816"/>
      <c r="JB156" s="816"/>
      <c r="JC156" s="609"/>
      <c r="JD156" s="816"/>
      <c r="JE156" s="816"/>
      <c r="JF156" s="816"/>
      <c r="JG156" s="816"/>
      <c r="JH156" s="816"/>
      <c r="JI156" s="816"/>
      <c r="JJ156" s="816"/>
      <c r="JK156" s="816"/>
      <c r="JL156" s="816"/>
      <c r="JM156" s="816"/>
      <c r="JN156" s="816"/>
      <c r="JO156" s="823"/>
      <c r="JP156" s="824"/>
      <c r="JQ156" s="825"/>
      <c r="JR156" s="825"/>
      <c r="JS156" s="816"/>
      <c r="JU156" s="826"/>
      <c r="JV156" s="826"/>
      <c r="JW156" s="826"/>
      <c r="JX156" s="826"/>
    </row>
    <row r="157" spans="2:284" s="780" customFormat="1"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09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816"/>
      <c r="AE157" s="816"/>
      <c r="AF157" s="816"/>
      <c r="AG157" s="816"/>
      <c r="AH157" s="816"/>
      <c r="AI157" s="816"/>
      <c r="AJ157" s="609"/>
      <c r="AK157" s="609"/>
      <c r="AL157" s="816"/>
      <c r="AM157" s="816"/>
      <c r="AN157" s="609"/>
      <c r="AO157" s="609"/>
      <c r="AP157" s="816"/>
      <c r="AQ157" s="816"/>
      <c r="AR157" s="816"/>
      <c r="AS157" s="816"/>
      <c r="AT157" s="816"/>
      <c r="AU157" s="816"/>
      <c r="AV157" s="609"/>
      <c r="AW157" s="609"/>
      <c r="AX157" s="816"/>
      <c r="AY157" s="816"/>
      <c r="AZ157" s="817"/>
      <c r="BA157" s="609"/>
      <c r="BB157" s="609"/>
      <c r="BC157" s="816"/>
      <c r="BD157" s="816"/>
      <c r="BE157" s="816"/>
      <c r="BF157" s="816"/>
      <c r="BG157" s="816"/>
      <c r="BH157" s="816"/>
      <c r="BI157" s="816"/>
      <c r="BJ157" s="816"/>
      <c r="BK157" s="816"/>
      <c r="BL157" s="816"/>
      <c r="BM157" s="816"/>
      <c r="BN157" s="816"/>
      <c r="BO157" s="816"/>
      <c r="BP157" s="816"/>
      <c r="BQ157" s="816"/>
      <c r="BR157" s="816"/>
      <c r="BS157" s="816"/>
      <c r="BT157" s="816"/>
      <c r="BU157" s="816"/>
      <c r="BV157" s="816"/>
      <c r="BW157" s="816"/>
      <c r="BX157" s="609"/>
      <c r="BY157" s="609"/>
      <c r="BZ157" s="609"/>
      <c r="CA157" s="818"/>
      <c r="CB157" s="816"/>
      <c r="CC157" s="816"/>
      <c r="CD157" s="816"/>
      <c r="CE157" s="816"/>
      <c r="CF157" s="816"/>
      <c r="CG157" s="816"/>
      <c r="CH157" s="816"/>
      <c r="CI157" s="816"/>
      <c r="CJ157" s="819"/>
      <c r="CK157" s="819"/>
      <c r="CL157" s="820"/>
      <c r="CM157" s="820"/>
      <c r="CN157" s="820"/>
      <c r="CO157" s="820"/>
      <c r="CP157" s="820"/>
      <c r="CQ157" s="820"/>
      <c r="CR157" s="609"/>
      <c r="CS157" s="609"/>
      <c r="CT157" s="816"/>
      <c r="CU157" s="816"/>
      <c r="CV157" s="609"/>
      <c r="CW157" s="609"/>
      <c r="CX157" s="816"/>
      <c r="CY157" s="816"/>
      <c r="CZ157" s="609"/>
      <c r="DA157" s="609"/>
      <c r="DB157" s="816"/>
      <c r="DC157" s="816"/>
      <c r="DD157" s="609"/>
      <c r="DE157" s="609"/>
      <c r="DF157" s="816"/>
      <c r="DG157" s="816"/>
      <c r="DH157" s="816"/>
      <c r="DI157" s="816"/>
      <c r="DJ157" s="816"/>
      <c r="DK157" s="816"/>
      <c r="DL157" s="609"/>
      <c r="DM157" s="609"/>
      <c r="DN157" s="816"/>
      <c r="DO157" s="816"/>
      <c r="DP157" s="609"/>
      <c r="DQ157" s="609"/>
      <c r="DR157" s="816"/>
      <c r="DS157" s="816"/>
      <c r="DT157" s="816"/>
      <c r="DU157" s="816"/>
      <c r="DV157" s="816"/>
      <c r="DW157" s="816"/>
      <c r="DX157" s="816"/>
      <c r="DY157" s="816"/>
      <c r="DZ157" s="816"/>
      <c r="EA157" s="816"/>
      <c r="EB157" s="816"/>
      <c r="EC157" s="816"/>
      <c r="ED157" s="816"/>
      <c r="EE157" s="816"/>
      <c r="EF157" s="609"/>
      <c r="EG157" s="609"/>
      <c r="EH157" s="816"/>
      <c r="EI157" s="816"/>
      <c r="EJ157" s="816"/>
      <c r="EK157" s="816"/>
      <c r="EL157" s="816"/>
      <c r="EM157" s="816"/>
      <c r="EN157" s="816"/>
      <c r="EO157" s="816"/>
      <c r="EP157" s="816"/>
      <c r="EQ157" s="816"/>
      <c r="ER157" s="816"/>
      <c r="ES157" s="816"/>
      <c r="ET157" s="816"/>
      <c r="EU157" s="816"/>
      <c r="EV157" s="609"/>
      <c r="EW157" s="609"/>
      <c r="EX157" s="816"/>
      <c r="EY157" s="816"/>
      <c r="EZ157" s="816"/>
      <c r="FA157" s="816"/>
      <c r="FB157" s="816"/>
      <c r="FC157" s="816"/>
      <c r="FD157" s="816"/>
      <c r="FE157" s="816"/>
      <c r="FF157" s="816"/>
      <c r="FG157" s="816"/>
      <c r="FH157" s="816"/>
      <c r="FI157" s="816"/>
      <c r="FJ157" s="816"/>
      <c r="FK157" s="816"/>
      <c r="FL157" s="816"/>
      <c r="FM157" s="816"/>
      <c r="FN157" s="816"/>
      <c r="FO157" s="816"/>
      <c r="FP157" s="816"/>
      <c r="FQ157" s="816"/>
      <c r="FR157" s="816"/>
      <c r="FS157" s="816"/>
      <c r="FT157" s="816"/>
      <c r="FU157" s="816"/>
      <c r="FV157" s="816"/>
      <c r="FW157" s="816"/>
      <c r="FX157" s="816"/>
      <c r="FY157" s="816"/>
      <c r="FZ157" s="819"/>
      <c r="GA157" s="816"/>
      <c r="GB157" s="820"/>
      <c r="GC157" s="820"/>
      <c r="GD157" s="820"/>
      <c r="GE157" s="820"/>
      <c r="GF157" s="817"/>
      <c r="GG157" s="609"/>
      <c r="GH157" s="816"/>
      <c r="GI157" s="816"/>
      <c r="GJ157" s="816"/>
      <c r="GK157" s="816"/>
      <c r="GL157" s="816"/>
      <c r="GM157" s="816"/>
      <c r="GN157" s="816"/>
      <c r="GO157" s="816"/>
      <c r="GP157" s="816"/>
      <c r="GQ157" s="816"/>
      <c r="GR157" s="816"/>
      <c r="GS157" s="816"/>
      <c r="GT157" s="818"/>
      <c r="GU157" s="816"/>
      <c r="GV157" s="816"/>
      <c r="GW157" s="816"/>
      <c r="GX157" s="816"/>
      <c r="GY157" s="816"/>
      <c r="GZ157" s="816"/>
      <c r="HA157" s="816"/>
      <c r="HB157" s="609"/>
      <c r="HC157" s="609"/>
      <c r="HD157" s="816"/>
      <c r="HE157" s="816"/>
      <c r="HF157" s="816"/>
      <c r="HG157" s="816"/>
      <c r="HH157" s="816"/>
      <c r="HI157" s="816"/>
      <c r="HJ157" s="609"/>
      <c r="HK157" s="609"/>
      <c r="HL157" s="609"/>
      <c r="HM157" s="816"/>
      <c r="HN157" s="816"/>
      <c r="HO157" s="609"/>
      <c r="HP157" s="609"/>
      <c r="HQ157" s="816"/>
      <c r="HR157" s="816"/>
      <c r="HS157" s="816"/>
      <c r="HT157" s="816"/>
      <c r="HU157" s="816"/>
      <c r="HV157" s="816"/>
      <c r="HW157" s="609"/>
      <c r="HX157" s="609"/>
      <c r="HY157" s="816"/>
      <c r="HZ157" s="816"/>
      <c r="IA157" s="816"/>
      <c r="IB157" s="816"/>
      <c r="IC157" s="816"/>
      <c r="ID157" s="816"/>
      <c r="IE157" s="609"/>
      <c r="IF157" s="609"/>
      <c r="IG157" s="816"/>
      <c r="IH157" s="816"/>
      <c r="II157" s="609"/>
      <c r="IJ157" s="609"/>
      <c r="IK157" s="816"/>
      <c r="IL157" s="816"/>
      <c r="IM157" s="609"/>
      <c r="IN157" s="609"/>
      <c r="IO157" s="816"/>
      <c r="IP157" s="816"/>
      <c r="IQ157" s="816"/>
      <c r="IR157" s="816"/>
      <c r="IS157" s="816"/>
      <c r="IT157" s="816"/>
      <c r="IU157" s="821"/>
      <c r="IV157" s="609"/>
      <c r="IW157" s="816"/>
      <c r="IX157" s="816"/>
      <c r="IY157" s="822"/>
      <c r="IZ157" s="609"/>
      <c r="JA157" s="816"/>
      <c r="JB157" s="816"/>
      <c r="JC157" s="609"/>
      <c r="JD157" s="816"/>
      <c r="JE157" s="816"/>
      <c r="JF157" s="816"/>
      <c r="JG157" s="816"/>
      <c r="JH157" s="816"/>
      <c r="JI157" s="816"/>
      <c r="JJ157" s="816"/>
      <c r="JK157" s="816"/>
      <c r="JL157" s="816"/>
      <c r="JM157" s="816"/>
      <c r="JN157" s="816"/>
      <c r="JO157" s="823"/>
      <c r="JP157" s="824"/>
      <c r="JQ157" s="825"/>
      <c r="JR157" s="825"/>
      <c r="JS157" s="816"/>
      <c r="JU157" s="826"/>
      <c r="JV157" s="826"/>
      <c r="JW157" s="826"/>
      <c r="JX157" s="826"/>
    </row>
    <row r="158" spans="2:284" s="780" customFormat="1">
      <c r="B158" s="609"/>
      <c r="C158" s="609"/>
      <c r="D158" s="609"/>
      <c r="E158" s="609"/>
      <c r="F158" s="609"/>
      <c r="G158" s="609"/>
      <c r="H158" s="609"/>
      <c r="I158" s="609"/>
      <c r="J158" s="609"/>
      <c r="K158" s="609"/>
      <c r="L158" s="609"/>
      <c r="M158" s="609"/>
      <c r="N158" s="609"/>
      <c r="O158" s="609"/>
      <c r="P158" s="609"/>
      <c r="Q158" s="609"/>
      <c r="R158" s="609"/>
      <c r="S158" s="609"/>
      <c r="T158" s="609"/>
      <c r="U158" s="609"/>
      <c r="V158" s="609"/>
      <c r="W158" s="609"/>
      <c r="X158" s="609"/>
      <c r="Y158" s="609"/>
      <c r="Z158" s="609"/>
      <c r="AA158" s="609"/>
      <c r="AB158" s="609"/>
      <c r="AC158" s="609"/>
      <c r="AD158" s="816"/>
      <c r="AE158" s="816"/>
      <c r="AF158" s="816"/>
      <c r="AG158" s="816"/>
      <c r="AH158" s="816"/>
      <c r="AI158" s="816"/>
      <c r="AJ158" s="609"/>
      <c r="AK158" s="609"/>
      <c r="AL158" s="816"/>
      <c r="AM158" s="816"/>
      <c r="AN158" s="609"/>
      <c r="AO158" s="609"/>
      <c r="AP158" s="816"/>
      <c r="AQ158" s="816"/>
      <c r="AR158" s="816"/>
      <c r="AS158" s="816"/>
      <c r="AT158" s="816"/>
      <c r="AU158" s="816"/>
      <c r="AV158" s="609"/>
      <c r="AW158" s="609"/>
      <c r="AX158" s="816"/>
      <c r="AY158" s="816"/>
      <c r="AZ158" s="817"/>
      <c r="BA158" s="609"/>
      <c r="BB158" s="609"/>
      <c r="BC158" s="816"/>
      <c r="BD158" s="816"/>
      <c r="BE158" s="816"/>
      <c r="BF158" s="816"/>
      <c r="BG158" s="816"/>
      <c r="BH158" s="816"/>
      <c r="BI158" s="816"/>
      <c r="BJ158" s="816"/>
      <c r="BK158" s="816"/>
      <c r="BL158" s="816"/>
      <c r="BM158" s="816"/>
      <c r="BN158" s="816"/>
      <c r="BO158" s="816"/>
      <c r="BP158" s="816"/>
      <c r="BQ158" s="816"/>
      <c r="BR158" s="816"/>
      <c r="BS158" s="816"/>
      <c r="BT158" s="816"/>
      <c r="BU158" s="816"/>
      <c r="BV158" s="816"/>
      <c r="BW158" s="816"/>
      <c r="BX158" s="609"/>
      <c r="BY158" s="609"/>
      <c r="BZ158" s="609"/>
      <c r="CA158" s="818"/>
      <c r="CB158" s="816"/>
      <c r="CC158" s="816"/>
      <c r="CD158" s="816"/>
      <c r="CE158" s="816"/>
      <c r="CF158" s="816"/>
      <c r="CG158" s="816"/>
      <c r="CH158" s="816"/>
      <c r="CI158" s="816"/>
      <c r="CJ158" s="819"/>
      <c r="CK158" s="819"/>
      <c r="CL158" s="820"/>
      <c r="CM158" s="820"/>
      <c r="CN158" s="820"/>
      <c r="CO158" s="820"/>
      <c r="CP158" s="820"/>
      <c r="CQ158" s="820"/>
      <c r="CR158" s="609"/>
      <c r="CS158" s="609"/>
      <c r="CT158" s="816"/>
      <c r="CU158" s="816"/>
      <c r="CV158" s="609"/>
      <c r="CW158" s="609"/>
      <c r="CX158" s="816"/>
      <c r="CY158" s="816"/>
      <c r="CZ158" s="609"/>
      <c r="DA158" s="609"/>
      <c r="DB158" s="816"/>
      <c r="DC158" s="816"/>
      <c r="DD158" s="609"/>
      <c r="DE158" s="609"/>
      <c r="DF158" s="816"/>
      <c r="DG158" s="816"/>
      <c r="DH158" s="816"/>
      <c r="DI158" s="816"/>
      <c r="DJ158" s="816"/>
      <c r="DK158" s="816"/>
      <c r="DL158" s="609"/>
      <c r="DM158" s="609"/>
      <c r="DN158" s="816"/>
      <c r="DO158" s="816"/>
      <c r="DP158" s="609"/>
      <c r="DQ158" s="609"/>
      <c r="DR158" s="816"/>
      <c r="DS158" s="816"/>
      <c r="DT158" s="816"/>
      <c r="DU158" s="816"/>
      <c r="DV158" s="816"/>
      <c r="DW158" s="816"/>
      <c r="DX158" s="816"/>
      <c r="DY158" s="816"/>
      <c r="DZ158" s="816"/>
      <c r="EA158" s="816"/>
      <c r="EB158" s="816"/>
      <c r="EC158" s="816"/>
      <c r="ED158" s="816"/>
      <c r="EE158" s="816"/>
      <c r="EF158" s="609"/>
      <c r="EG158" s="609"/>
      <c r="EH158" s="816"/>
      <c r="EI158" s="816"/>
      <c r="EJ158" s="816"/>
      <c r="EK158" s="816"/>
      <c r="EL158" s="816"/>
      <c r="EM158" s="816"/>
      <c r="EN158" s="816"/>
      <c r="EO158" s="816"/>
      <c r="EP158" s="816"/>
      <c r="EQ158" s="816"/>
      <c r="ER158" s="816"/>
      <c r="ES158" s="816"/>
      <c r="ET158" s="816"/>
      <c r="EU158" s="816"/>
      <c r="EV158" s="609"/>
      <c r="EW158" s="609"/>
      <c r="EX158" s="816"/>
      <c r="EY158" s="816"/>
      <c r="EZ158" s="816"/>
      <c r="FA158" s="816"/>
      <c r="FB158" s="816"/>
      <c r="FC158" s="816"/>
      <c r="FD158" s="816"/>
      <c r="FE158" s="816"/>
      <c r="FF158" s="816"/>
      <c r="FG158" s="816"/>
      <c r="FH158" s="816"/>
      <c r="FI158" s="816"/>
      <c r="FJ158" s="816"/>
      <c r="FK158" s="816"/>
      <c r="FL158" s="816"/>
      <c r="FM158" s="816"/>
      <c r="FN158" s="816"/>
      <c r="FO158" s="816"/>
      <c r="FP158" s="816"/>
      <c r="FQ158" s="816"/>
      <c r="FR158" s="816"/>
      <c r="FS158" s="816"/>
      <c r="FT158" s="816"/>
      <c r="FU158" s="816"/>
      <c r="FV158" s="816"/>
      <c r="FW158" s="816"/>
      <c r="FX158" s="816"/>
      <c r="FY158" s="816"/>
      <c r="FZ158" s="819"/>
      <c r="GA158" s="816"/>
      <c r="GB158" s="820"/>
      <c r="GC158" s="820"/>
      <c r="GD158" s="820"/>
      <c r="GE158" s="820"/>
      <c r="GF158" s="609"/>
      <c r="GG158" s="609"/>
      <c r="GH158" s="816"/>
      <c r="GI158" s="816"/>
      <c r="GJ158" s="816"/>
      <c r="GK158" s="816"/>
      <c r="GL158" s="816"/>
      <c r="GM158" s="816"/>
      <c r="GN158" s="816"/>
      <c r="GO158" s="816"/>
      <c r="GP158" s="816"/>
      <c r="GQ158" s="816"/>
      <c r="GR158" s="816"/>
      <c r="GS158" s="816"/>
      <c r="GT158" s="818"/>
      <c r="GU158" s="816"/>
      <c r="GV158" s="816"/>
      <c r="GW158" s="816"/>
      <c r="GX158" s="816"/>
      <c r="GY158" s="816"/>
      <c r="GZ158" s="816"/>
      <c r="HA158" s="816"/>
      <c r="HB158" s="609"/>
      <c r="HC158" s="609"/>
      <c r="HD158" s="816"/>
      <c r="HE158" s="816"/>
      <c r="HF158" s="816"/>
      <c r="HG158" s="816"/>
      <c r="HH158" s="816"/>
      <c r="HI158" s="816"/>
      <c r="HJ158" s="609"/>
      <c r="HK158" s="609"/>
      <c r="HL158" s="609"/>
      <c r="HM158" s="816"/>
      <c r="HN158" s="816"/>
      <c r="HO158" s="609"/>
      <c r="HP158" s="609"/>
      <c r="HQ158" s="816"/>
      <c r="HR158" s="816"/>
      <c r="HS158" s="816"/>
      <c r="HT158" s="816"/>
      <c r="HU158" s="816"/>
      <c r="HV158" s="816"/>
      <c r="HW158" s="609"/>
      <c r="HX158" s="609"/>
      <c r="HY158" s="816"/>
      <c r="HZ158" s="816"/>
      <c r="IA158" s="816"/>
      <c r="IB158" s="816"/>
      <c r="IC158" s="816"/>
      <c r="ID158" s="816"/>
      <c r="IE158" s="609"/>
      <c r="IF158" s="609"/>
      <c r="IG158" s="816"/>
      <c r="IH158" s="816"/>
      <c r="II158" s="609"/>
      <c r="IJ158" s="609"/>
      <c r="IK158" s="816"/>
      <c r="IL158" s="816"/>
      <c r="IM158" s="609"/>
      <c r="IN158" s="609"/>
      <c r="IO158" s="816"/>
      <c r="IP158" s="816"/>
      <c r="IQ158" s="816"/>
      <c r="IR158" s="816"/>
      <c r="IS158" s="816"/>
      <c r="IT158" s="816"/>
      <c r="IU158" s="821"/>
      <c r="IV158" s="609"/>
      <c r="IW158" s="816"/>
      <c r="IX158" s="816"/>
      <c r="IY158" s="822"/>
      <c r="IZ158" s="609"/>
      <c r="JA158" s="816"/>
      <c r="JB158" s="816"/>
      <c r="JC158" s="609"/>
      <c r="JD158" s="816"/>
      <c r="JE158" s="816"/>
      <c r="JF158" s="816"/>
      <c r="JG158" s="816"/>
      <c r="JH158" s="816"/>
      <c r="JI158" s="816"/>
      <c r="JJ158" s="816"/>
      <c r="JK158" s="816"/>
      <c r="JL158" s="816"/>
      <c r="JM158" s="816"/>
      <c r="JN158" s="816"/>
      <c r="JO158" s="823"/>
      <c r="JP158" s="824"/>
      <c r="JQ158" s="825"/>
      <c r="JR158" s="825"/>
      <c r="JS158" s="816"/>
      <c r="JU158" s="826"/>
      <c r="JV158" s="826"/>
      <c r="JW158" s="826"/>
      <c r="JX158" s="826"/>
    </row>
    <row r="159" spans="2:284" s="780" customFormat="1">
      <c r="B159" s="609"/>
      <c r="C159" s="609"/>
      <c r="D159" s="609"/>
      <c r="E159" s="609"/>
      <c r="F159" s="609"/>
      <c r="G159" s="609"/>
      <c r="H159" s="609"/>
      <c r="I159" s="609"/>
      <c r="J159" s="609"/>
      <c r="K159" s="609"/>
      <c r="L159" s="609"/>
      <c r="M159" s="609"/>
      <c r="N159" s="609"/>
      <c r="O159" s="609"/>
      <c r="P159" s="609"/>
      <c r="Q159" s="609"/>
      <c r="R159" s="609"/>
      <c r="S159" s="609"/>
      <c r="T159" s="609"/>
      <c r="U159" s="609"/>
      <c r="V159" s="609"/>
      <c r="W159" s="609"/>
      <c r="X159" s="609"/>
      <c r="Y159" s="609"/>
      <c r="Z159" s="609"/>
      <c r="AA159" s="609"/>
      <c r="AB159" s="609"/>
      <c r="AC159" s="609"/>
      <c r="AD159" s="816"/>
      <c r="AE159" s="816"/>
      <c r="AF159" s="816"/>
      <c r="AG159" s="816"/>
      <c r="AH159" s="816"/>
      <c r="AI159" s="816"/>
      <c r="AJ159" s="609"/>
      <c r="AK159" s="609"/>
      <c r="AL159" s="816"/>
      <c r="AM159" s="816"/>
      <c r="AN159" s="609"/>
      <c r="AO159" s="609"/>
      <c r="AP159" s="816"/>
      <c r="AQ159" s="816"/>
      <c r="AR159" s="816"/>
      <c r="AS159" s="816"/>
      <c r="AT159" s="816"/>
      <c r="AU159" s="816"/>
      <c r="AV159" s="609"/>
      <c r="AW159" s="609"/>
      <c r="AX159" s="816"/>
      <c r="AY159" s="816"/>
      <c r="AZ159" s="817"/>
      <c r="BA159" s="609"/>
      <c r="BB159" s="609"/>
      <c r="BC159" s="816"/>
      <c r="BD159" s="816"/>
      <c r="BE159" s="816"/>
      <c r="BF159" s="816"/>
      <c r="BG159" s="816"/>
      <c r="BH159" s="816"/>
      <c r="BI159" s="816"/>
      <c r="BJ159" s="816"/>
      <c r="BK159" s="816"/>
      <c r="BL159" s="816"/>
      <c r="BM159" s="816"/>
      <c r="BN159" s="816"/>
      <c r="BO159" s="816"/>
      <c r="BP159" s="816"/>
      <c r="BQ159" s="816"/>
      <c r="BR159" s="816"/>
      <c r="BS159" s="816"/>
      <c r="BT159" s="816"/>
      <c r="BU159" s="816"/>
      <c r="BV159" s="816"/>
      <c r="BW159" s="816"/>
      <c r="BX159" s="609"/>
      <c r="BY159" s="609"/>
      <c r="BZ159" s="609"/>
      <c r="CA159" s="818"/>
      <c r="CB159" s="816"/>
      <c r="CC159" s="816"/>
      <c r="CD159" s="816"/>
      <c r="CE159" s="816"/>
      <c r="CF159" s="816"/>
      <c r="CG159" s="816"/>
      <c r="CH159" s="816"/>
      <c r="CI159" s="816"/>
      <c r="CJ159" s="819"/>
      <c r="CK159" s="819"/>
      <c r="CL159" s="820"/>
      <c r="CM159" s="820"/>
      <c r="CN159" s="820"/>
      <c r="CO159" s="820"/>
      <c r="CP159" s="820"/>
      <c r="CQ159" s="820"/>
      <c r="CR159" s="609"/>
      <c r="CS159" s="609"/>
      <c r="CT159" s="816"/>
      <c r="CU159" s="816"/>
      <c r="CV159" s="609"/>
      <c r="CW159" s="609"/>
      <c r="CX159" s="816"/>
      <c r="CY159" s="816"/>
      <c r="CZ159" s="609"/>
      <c r="DA159" s="609"/>
      <c r="DB159" s="816"/>
      <c r="DC159" s="816"/>
      <c r="DD159" s="609"/>
      <c r="DE159" s="609"/>
      <c r="DF159" s="816"/>
      <c r="DG159" s="816"/>
      <c r="DH159" s="816"/>
      <c r="DI159" s="816"/>
      <c r="DJ159" s="816"/>
      <c r="DK159" s="816"/>
      <c r="DL159" s="609"/>
      <c r="DM159" s="609"/>
      <c r="DN159" s="816"/>
      <c r="DO159" s="816"/>
      <c r="DP159" s="609"/>
      <c r="DQ159" s="609"/>
      <c r="DR159" s="816"/>
      <c r="DS159" s="816"/>
      <c r="DT159" s="816"/>
      <c r="DU159" s="816"/>
      <c r="DV159" s="816"/>
      <c r="DW159" s="816"/>
      <c r="DX159" s="816"/>
      <c r="DY159" s="816"/>
      <c r="DZ159" s="816"/>
      <c r="EA159" s="816"/>
      <c r="EB159" s="816"/>
      <c r="EC159" s="816"/>
      <c r="ED159" s="816"/>
      <c r="EE159" s="816"/>
      <c r="EF159" s="609"/>
      <c r="EG159" s="609"/>
      <c r="EH159" s="816"/>
      <c r="EI159" s="816"/>
      <c r="EJ159" s="816"/>
      <c r="EK159" s="816"/>
      <c r="EL159" s="816"/>
      <c r="EM159" s="816"/>
      <c r="EN159" s="816"/>
      <c r="EO159" s="816"/>
      <c r="EP159" s="816"/>
      <c r="EQ159" s="816"/>
      <c r="ER159" s="816"/>
      <c r="ES159" s="816"/>
      <c r="ET159" s="816"/>
      <c r="EU159" s="816"/>
      <c r="EV159" s="609"/>
      <c r="EW159" s="609"/>
      <c r="EX159" s="816"/>
      <c r="EY159" s="816"/>
      <c r="EZ159" s="816"/>
      <c r="FA159" s="816"/>
      <c r="FB159" s="816"/>
      <c r="FC159" s="816"/>
      <c r="FD159" s="816"/>
      <c r="FE159" s="816"/>
      <c r="FF159" s="816"/>
      <c r="FG159" s="816"/>
      <c r="FH159" s="816"/>
      <c r="FI159" s="816"/>
      <c r="FJ159" s="816"/>
      <c r="FK159" s="816"/>
      <c r="FL159" s="816"/>
      <c r="FM159" s="816"/>
      <c r="FN159" s="816"/>
      <c r="FO159" s="816"/>
      <c r="FP159" s="816"/>
      <c r="FQ159" s="816"/>
      <c r="FR159" s="816"/>
      <c r="FS159" s="816"/>
      <c r="FT159" s="816"/>
      <c r="FU159" s="816"/>
      <c r="FV159" s="816"/>
      <c r="FW159" s="816"/>
      <c r="FX159" s="816"/>
      <c r="FY159" s="816"/>
      <c r="FZ159" s="819"/>
      <c r="GA159" s="816"/>
      <c r="GB159" s="820"/>
      <c r="GC159" s="820"/>
      <c r="GD159" s="820"/>
      <c r="GE159" s="820"/>
      <c r="GF159" s="609"/>
      <c r="GG159" s="609"/>
      <c r="GH159" s="816"/>
      <c r="GI159" s="816"/>
      <c r="GJ159" s="816"/>
      <c r="GK159" s="816"/>
      <c r="GL159" s="816"/>
      <c r="GM159" s="816"/>
      <c r="GN159" s="816"/>
      <c r="GO159" s="816"/>
      <c r="GP159" s="816"/>
      <c r="GQ159" s="816"/>
      <c r="GR159" s="816"/>
      <c r="GS159" s="816"/>
      <c r="GT159" s="818"/>
      <c r="GU159" s="816"/>
      <c r="GV159" s="816"/>
      <c r="GW159" s="816"/>
      <c r="GX159" s="816"/>
      <c r="GY159" s="816"/>
      <c r="GZ159" s="816"/>
      <c r="HA159" s="816"/>
      <c r="HB159" s="609"/>
      <c r="HC159" s="609"/>
      <c r="HD159" s="816"/>
      <c r="HE159" s="816"/>
      <c r="HF159" s="816"/>
      <c r="HG159" s="816"/>
      <c r="HH159" s="816"/>
      <c r="HI159" s="816"/>
      <c r="HJ159" s="609"/>
      <c r="HK159" s="609"/>
      <c r="HL159" s="609"/>
      <c r="HM159" s="816"/>
      <c r="HN159" s="816"/>
      <c r="HO159" s="609"/>
      <c r="HP159" s="609"/>
      <c r="HQ159" s="816"/>
      <c r="HR159" s="816"/>
      <c r="HS159" s="816"/>
      <c r="HT159" s="816"/>
      <c r="HU159" s="816"/>
      <c r="HV159" s="816"/>
      <c r="HW159" s="609"/>
      <c r="HX159" s="609"/>
      <c r="HY159" s="816"/>
      <c r="HZ159" s="816"/>
      <c r="IA159" s="816"/>
      <c r="IB159" s="816"/>
      <c r="IC159" s="816"/>
      <c r="ID159" s="816"/>
      <c r="IE159" s="609"/>
      <c r="IF159" s="609"/>
      <c r="IG159" s="816"/>
      <c r="IH159" s="816"/>
      <c r="II159" s="609"/>
      <c r="IJ159" s="609"/>
      <c r="IK159" s="816"/>
      <c r="IL159" s="816"/>
      <c r="IM159" s="609"/>
      <c r="IN159" s="609"/>
      <c r="IO159" s="816"/>
      <c r="IP159" s="816"/>
      <c r="IQ159" s="816"/>
      <c r="IR159" s="816"/>
      <c r="IS159" s="816"/>
      <c r="IT159" s="816"/>
      <c r="IU159" s="821"/>
      <c r="IV159" s="609"/>
      <c r="IW159" s="816"/>
      <c r="IX159" s="816"/>
      <c r="IY159" s="822"/>
      <c r="IZ159" s="609"/>
      <c r="JA159" s="816"/>
      <c r="JB159" s="816"/>
      <c r="JC159" s="609"/>
      <c r="JD159" s="816"/>
      <c r="JE159" s="816"/>
      <c r="JF159" s="816"/>
      <c r="JG159" s="816"/>
      <c r="JH159" s="816"/>
      <c r="JI159" s="816"/>
      <c r="JJ159" s="816"/>
      <c r="JK159" s="816"/>
      <c r="JL159" s="816"/>
      <c r="JM159" s="816"/>
      <c r="JN159" s="816"/>
      <c r="JO159" s="823"/>
      <c r="JP159" s="824"/>
      <c r="JQ159" s="825"/>
      <c r="JR159" s="825"/>
      <c r="JS159" s="816"/>
      <c r="JU159" s="826"/>
      <c r="JV159" s="826"/>
      <c r="JW159" s="826"/>
      <c r="JX159" s="826"/>
    </row>
    <row r="160" spans="2:284" s="780" customFormat="1">
      <c r="B160" s="609"/>
      <c r="C160" s="609"/>
      <c r="D160" s="609"/>
      <c r="E160" s="609"/>
      <c r="F160" s="609"/>
      <c r="G160" s="609"/>
      <c r="H160" s="609"/>
      <c r="I160" s="609"/>
      <c r="J160" s="609"/>
      <c r="K160" s="609"/>
      <c r="L160" s="609"/>
      <c r="M160" s="609"/>
      <c r="N160" s="609"/>
      <c r="O160" s="609"/>
      <c r="P160" s="609"/>
      <c r="Q160" s="609"/>
      <c r="R160" s="609"/>
      <c r="S160" s="609"/>
      <c r="T160" s="609"/>
      <c r="U160" s="609"/>
      <c r="V160" s="609"/>
      <c r="W160" s="609"/>
      <c r="X160" s="609"/>
      <c r="Y160" s="609"/>
      <c r="Z160" s="609"/>
      <c r="AA160" s="609"/>
      <c r="AB160" s="609"/>
      <c r="AC160" s="609"/>
      <c r="AD160" s="816"/>
      <c r="AE160" s="816"/>
      <c r="AF160" s="816"/>
      <c r="AG160" s="816"/>
      <c r="AH160" s="816"/>
      <c r="AI160" s="816"/>
      <c r="AJ160" s="609"/>
      <c r="AK160" s="609"/>
      <c r="AL160" s="816"/>
      <c r="AM160" s="816"/>
      <c r="AN160" s="609"/>
      <c r="AO160" s="609"/>
      <c r="AP160" s="816"/>
      <c r="AQ160" s="816"/>
      <c r="AR160" s="816"/>
      <c r="AS160" s="816"/>
      <c r="AT160" s="816"/>
      <c r="AU160" s="816"/>
      <c r="AV160" s="609"/>
      <c r="AW160" s="609"/>
      <c r="AX160" s="816"/>
      <c r="AY160" s="816"/>
      <c r="AZ160" s="817"/>
      <c r="BA160" s="609"/>
      <c r="BB160" s="609"/>
      <c r="BC160" s="816"/>
      <c r="BD160" s="816"/>
      <c r="BE160" s="816"/>
      <c r="BF160" s="816"/>
      <c r="BG160" s="816"/>
      <c r="BH160" s="816"/>
      <c r="BI160" s="816"/>
      <c r="BJ160" s="816"/>
      <c r="BK160" s="816"/>
      <c r="BL160" s="816"/>
      <c r="BM160" s="816"/>
      <c r="BN160" s="816"/>
      <c r="BO160" s="816"/>
      <c r="BP160" s="816"/>
      <c r="BQ160" s="816"/>
      <c r="BR160" s="816"/>
      <c r="BS160" s="816"/>
      <c r="BT160" s="816"/>
      <c r="BU160" s="816"/>
      <c r="BV160" s="816"/>
      <c r="BW160" s="816"/>
      <c r="BX160" s="609"/>
      <c r="BY160" s="609"/>
      <c r="BZ160" s="609"/>
      <c r="CA160" s="818"/>
      <c r="CB160" s="816"/>
      <c r="CC160" s="816"/>
      <c r="CD160" s="816"/>
      <c r="CE160" s="816"/>
      <c r="CF160" s="816"/>
      <c r="CG160" s="816"/>
      <c r="CH160" s="816"/>
      <c r="CI160" s="816"/>
      <c r="CJ160" s="819"/>
      <c r="CK160" s="819"/>
      <c r="CL160" s="820"/>
      <c r="CM160" s="820"/>
      <c r="CN160" s="820"/>
      <c r="CO160" s="820"/>
      <c r="CP160" s="820"/>
      <c r="CQ160" s="820"/>
      <c r="CR160" s="609"/>
      <c r="CS160" s="609"/>
      <c r="CT160" s="816"/>
      <c r="CU160" s="816"/>
      <c r="CV160" s="609"/>
      <c r="CW160" s="609"/>
      <c r="CX160" s="816"/>
      <c r="CY160" s="816"/>
      <c r="CZ160" s="609"/>
      <c r="DA160" s="609"/>
      <c r="DB160" s="816"/>
      <c r="DC160" s="816"/>
      <c r="DD160" s="609"/>
      <c r="DE160" s="609"/>
      <c r="DF160" s="816"/>
      <c r="DG160" s="816"/>
      <c r="DH160" s="816"/>
      <c r="DI160" s="816"/>
      <c r="DJ160" s="816"/>
      <c r="DK160" s="816"/>
      <c r="DL160" s="609"/>
      <c r="DM160" s="609"/>
      <c r="DN160" s="816"/>
      <c r="DO160" s="816"/>
      <c r="DP160" s="609"/>
      <c r="DQ160" s="609"/>
      <c r="DR160" s="816"/>
      <c r="DS160" s="816"/>
      <c r="DT160" s="816"/>
      <c r="DU160" s="816"/>
      <c r="DV160" s="816"/>
      <c r="DW160" s="816"/>
      <c r="DX160" s="816"/>
      <c r="DY160" s="816"/>
      <c r="DZ160" s="816"/>
      <c r="EA160" s="816"/>
      <c r="EB160" s="816"/>
      <c r="EC160" s="816"/>
      <c r="ED160" s="816"/>
      <c r="EE160" s="816"/>
      <c r="EF160" s="609"/>
      <c r="EG160" s="609"/>
      <c r="EH160" s="816"/>
      <c r="EI160" s="816"/>
      <c r="EJ160" s="816"/>
      <c r="EK160" s="816"/>
      <c r="EL160" s="816"/>
      <c r="EM160" s="816"/>
      <c r="EN160" s="816"/>
      <c r="EO160" s="816"/>
      <c r="EP160" s="816"/>
      <c r="EQ160" s="816"/>
      <c r="ER160" s="816"/>
      <c r="ES160" s="816"/>
      <c r="ET160" s="816"/>
      <c r="EU160" s="816"/>
      <c r="EV160" s="609"/>
      <c r="EW160" s="609"/>
      <c r="EX160" s="816"/>
      <c r="EY160" s="816"/>
      <c r="EZ160" s="816"/>
      <c r="FA160" s="816"/>
      <c r="FB160" s="816"/>
      <c r="FC160" s="816"/>
      <c r="FD160" s="816"/>
      <c r="FE160" s="816"/>
      <c r="FF160" s="816"/>
      <c r="FG160" s="816"/>
      <c r="FH160" s="816"/>
      <c r="FI160" s="816"/>
      <c r="FJ160" s="816"/>
      <c r="FK160" s="816"/>
      <c r="FL160" s="816"/>
      <c r="FM160" s="816"/>
      <c r="FN160" s="816"/>
      <c r="FO160" s="816"/>
      <c r="FP160" s="816"/>
      <c r="FQ160" s="816"/>
      <c r="FR160" s="816"/>
      <c r="FS160" s="816"/>
      <c r="FT160" s="816"/>
      <c r="FU160" s="816"/>
      <c r="FV160" s="816"/>
      <c r="FW160" s="816"/>
      <c r="FX160" s="816"/>
      <c r="FY160" s="816"/>
      <c r="FZ160" s="819"/>
      <c r="GA160" s="816"/>
      <c r="GB160" s="820"/>
      <c r="GC160" s="820"/>
      <c r="GD160" s="820"/>
      <c r="GE160" s="820"/>
      <c r="GF160" s="609"/>
      <c r="GG160" s="609"/>
      <c r="GH160" s="816"/>
      <c r="GI160" s="816"/>
      <c r="GJ160" s="816"/>
      <c r="GK160" s="816"/>
      <c r="GL160" s="816"/>
      <c r="GM160" s="816"/>
      <c r="GN160" s="816"/>
      <c r="GO160" s="816"/>
      <c r="GP160" s="816"/>
      <c r="GQ160" s="816"/>
      <c r="GR160" s="816"/>
      <c r="GS160" s="816"/>
      <c r="GT160" s="818"/>
      <c r="GU160" s="816"/>
      <c r="GV160" s="816"/>
      <c r="GW160" s="816"/>
      <c r="GX160" s="816"/>
      <c r="GY160" s="816"/>
      <c r="GZ160" s="816"/>
      <c r="HA160" s="816"/>
      <c r="HB160" s="609"/>
      <c r="HC160" s="609"/>
      <c r="HD160" s="816"/>
      <c r="HE160" s="816"/>
      <c r="HF160" s="816"/>
      <c r="HG160" s="816"/>
      <c r="HH160" s="816"/>
      <c r="HI160" s="816"/>
      <c r="HJ160" s="609"/>
      <c r="HK160" s="609"/>
      <c r="HL160" s="609"/>
      <c r="HM160" s="816"/>
      <c r="HN160" s="816"/>
      <c r="HO160" s="609"/>
      <c r="HP160" s="609"/>
      <c r="HQ160" s="816"/>
      <c r="HR160" s="816"/>
      <c r="HS160" s="816"/>
      <c r="HT160" s="816"/>
      <c r="HU160" s="816"/>
      <c r="HV160" s="816"/>
      <c r="HW160" s="609"/>
      <c r="HX160" s="609"/>
      <c r="HY160" s="816"/>
      <c r="HZ160" s="816"/>
      <c r="IA160" s="816"/>
      <c r="IB160" s="816"/>
      <c r="IC160" s="816"/>
      <c r="ID160" s="816"/>
      <c r="IE160" s="609"/>
      <c r="IF160" s="609"/>
      <c r="IG160" s="816"/>
      <c r="IH160" s="816"/>
      <c r="II160" s="609"/>
      <c r="IJ160" s="609"/>
      <c r="IK160" s="816"/>
      <c r="IL160" s="816"/>
      <c r="IM160" s="609"/>
      <c r="IN160" s="609"/>
      <c r="IO160" s="816"/>
      <c r="IP160" s="816"/>
      <c r="IQ160" s="816"/>
      <c r="IR160" s="816"/>
      <c r="IS160" s="816"/>
      <c r="IT160" s="816"/>
      <c r="IU160" s="821"/>
      <c r="IV160" s="609"/>
      <c r="IW160" s="816"/>
      <c r="IX160" s="816"/>
      <c r="IY160" s="822"/>
      <c r="IZ160" s="609"/>
      <c r="JA160" s="816"/>
      <c r="JB160" s="816"/>
      <c r="JC160" s="609"/>
      <c r="JD160" s="816"/>
      <c r="JE160" s="816"/>
      <c r="JF160" s="816"/>
      <c r="JG160" s="816"/>
      <c r="JH160" s="816"/>
      <c r="JI160" s="816"/>
      <c r="JJ160" s="816"/>
      <c r="JK160" s="816"/>
      <c r="JL160" s="816"/>
      <c r="JM160" s="816"/>
      <c r="JN160" s="816"/>
      <c r="JO160" s="823"/>
      <c r="JP160" s="824"/>
      <c r="JQ160" s="825"/>
      <c r="JR160" s="825"/>
      <c r="JS160" s="816"/>
      <c r="JU160" s="826"/>
      <c r="JV160" s="826"/>
      <c r="JW160" s="826"/>
      <c r="JX160" s="826"/>
    </row>
    <row r="161" spans="2:284" s="780" customFormat="1">
      <c r="B161" s="609"/>
      <c r="C161" s="609"/>
      <c r="D161" s="609"/>
      <c r="E161" s="609"/>
      <c r="F161" s="609"/>
      <c r="G161" s="609"/>
      <c r="H161" s="609"/>
      <c r="I161" s="609"/>
      <c r="J161" s="609"/>
      <c r="K161" s="609"/>
      <c r="L161" s="609"/>
      <c r="M161" s="609"/>
      <c r="N161" s="609"/>
      <c r="O161" s="609"/>
      <c r="P161" s="609"/>
      <c r="Q161" s="609"/>
      <c r="R161" s="609"/>
      <c r="S161" s="609"/>
      <c r="T161" s="609"/>
      <c r="U161" s="609"/>
      <c r="V161" s="609"/>
      <c r="W161" s="609"/>
      <c r="X161" s="609"/>
      <c r="Y161" s="609"/>
      <c r="Z161" s="609"/>
      <c r="AA161" s="609"/>
      <c r="AB161" s="609"/>
      <c r="AC161" s="609"/>
      <c r="AD161" s="816"/>
      <c r="AE161" s="816"/>
      <c r="AF161" s="816"/>
      <c r="AG161" s="816"/>
      <c r="AH161" s="816"/>
      <c r="AI161" s="816"/>
      <c r="AJ161" s="609"/>
      <c r="AK161" s="609"/>
      <c r="AL161" s="816"/>
      <c r="AM161" s="816"/>
      <c r="AN161" s="609"/>
      <c r="AO161" s="609"/>
      <c r="AP161" s="816"/>
      <c r="AQ161" s="816"/>
      <c r="AR161" s="816"/>
      <c r="AS161" s="816"/>
      <c r="AT161" s="816"/>
      <c r="AU161" s="816"/>
      <c r="AV161" s="609"/>
      <c r="AW161" s="609"/>
      <c r="AX161" s="816"/>
      <c r="AY161" s="816"/>
      <c r="AZ161" s="817"/>
      <c r="BA161" s="609"/>
      <c r="BB161" s="609"/>
      <c r="BC161" s="816"/>
      <c r="BD161" s="816"/>
      <c r="BE161" s="816"/>
      <c r="BF161" s="816"/>
      <c r="BG161" s="816"/>
      <c r="BH161" s="816"/>
      <c r="BI161" s="816"/>
      <c r="BJ161" s="816"/>
      <c r="BK161" s="816"/>
      <c r="BL161" s="816"/>
      <c r="BM161" s="816"/>
      <c r="BN161" s="816"/>
      <c r="BO161" s="816"/>
      <c r="BP161" s="816"/>
      <c r="BQ161" s="816"/>
      <c r="BR161" s="816"/>
      <c r="BS161" s="816"/>
      <c r="BT161" s="816"/>
      <c r="BU161" s="816"/>
      <c r="BV161" s="816"/>
      <c r="BW161" s="816"/>
      <c r="BX161" s="609"/>
      <c r="BY161" s="609"/>
      <c r="BZ161" s="609"/>
      <c r="CA161" s="818"/>
      <c r="CB161" s="816"/>
      <c r="CC161" s="816"/>
      <c r="CD161" s="816"/>
      <c r="CE161" s="816"/>
      <c r="CF161" s="816"/>
      <c r="CG161" s="816"/>
      <c r="CH161" s="816"/>
      <c r="CI161" s="816"/>
      <c r="CJ161" s="819"/>
      <c r="CK161" s="819"/>
      <c r="CL161" s="820"/>
      <c r="CM161" s="820"/>
      <c r="CN161" s="820"/>
      <c r="CO161" s="820"/>
      <c r="CP161" s="820"/>
      <c r="CQ161" s="820"/>
      <c r="CR161" s="609"/>
      <c r="CS161" s="609"/>
      <c r="CT161" s="816"/>
      <c r="CU161" s="816"/>
      <c r="CV161" s="609"/>
      <c r="CW161" s="609"/>
      <c r="CX161" s="816"/>
      <c r="CY161" s="816"/>
      <c r="CZ161" s="609"/>
      <c r="DA161" s="609"/>
      <c r="DB161" s="816"/>
      <c r="DC161" s="816"/>
      <c r="DD161" s="609"/>
      <c r="DE161" s="609"/>
      <c r="DF161" s="816"/>
      <c r="DG161" s="816"/>
      <c r="DH161" s="816"/>
      <c r="DI161" s="816"/>
      <c r="DJ161" s="816"/>
      <c r="DK161" s="816"/>
      <c r="DL161" s="609"/>
      <c r="DM161" s="609"/>
      <c r="DN161" s="816"/>
      <c r="DO161" s="816"/>
      <c r="DP161" s="609"/>
      <c r="DQ161" s="609"/>
      <c r="DR161" s="816"/>
      <c r="DS161" s="816"/>
      <c r="DT161" s="816"/>
      <c r="DU161" s="816"/>
      <c r="DV161" s="816"/>
      <c r="DW161" s="816"/>
      <c r="DX161" s="816"/>
      <c r="DY161" s="816"/>
      <c r="DZ161" s="816"/>
      <c r="EA161" s="816"/>
      <c r="EB161" s="816"/>
      <c r="EC161" s="816"/>
      <c r="ED161" s="816"/>
      <c r="EE161" s="816"/>
      <c r="EF161" s="609"/>
      <c r="EG161" s="609"/>
      <c r="EH161" s="816"/>
      <c r="EI161" s="816"/>
      <c r="EJ161" s="816"/>
      <c r="EK161" s="816"/>
      <c r="EL161" s="816"/>
      <c r="EM161" s="816"/>
      <c r="EN161" s="816"/>
      <c r="EO161" s="816"/>
      <c r="EP161" s="816"/>
      <c r="EQ161" s="816"/>
      <c r="ER161" s="816"/>
      <c r="ES161" s="816"/>
      <c r="ET161" s="816"/>
      <c r="EU161" s="816"/>
      <c r="EV161" s="609"/>
      <c r="EW161" s="609"/>
      <c r="EX161" s="816"/>
      <c r="EY161" s="816"/>
      <c r="EZ161" s="816"/>
      <c r="FA161" s="816"/>
      <c r="FB161" s="816"/>
      <c r="FC161" s="816"/>
      <c r="FD161" s="816"/>
      <c r="FE161" s="816"/>
      <c r="FF161" s="816"/>
      <c r="FG161" s="816"/>
      <c r="FH161" s="816"/>
      <c r="FI161" s="816"/>
      <c r="FJ161" s="816"/>
      <c r="FK161" s="816"/>
      <c r="FL161" s="816"/>
      <c r="FM161" s="816"/>
      <c r="FN161" s="816"/>
      <c r="FO161" s="816"/>
      <c r="FP161" s="816"/>
      <c r="FQ161" s="816"/>
      <c r="FR161" s="816"/>
      <c r="FS161" s="816"/>
      <c r="FT161" s="816"/>
      <c r="FU161" s="816"/>
      <c r="FV161" s="816"/>
      <c r="FW161" s="816"/>
      <c r="FX161" s="816"/>
      <c r="FY161" s="816"/>
      <c r="FZ161" s="819"/>
      <c r="GA161" s="816"/>
      <c r="GB161" s="820"/>
      <c r="GC161" s="820"/>
      <c r="GD161" s="820"/>
      <c r="GE161" s="820"/>
      <c r="GF161" s="609"/>
      <c r="GG161" s="609"/>
      <c r="GH161" s="816"/>
      <c r="GI161" s="816"/>
      <c r="GJ161" s="816"/>
      <c r="GK161" s="816"/>
      <c r="GL161" s="816"/>
      <c r="GM161" s="816"/>
      <c r="GN161" s="816"/>
      <c r="GO161" s="816"/>
      <c r="GP161" s="816"/>
      <c r="GQ161" s="816"/>
      <c r="GR161" s="816"/>
      <c r="GS161" s="816"/>
      <c r="GT161" s="818"/>
      <c r="GU161" s="816"/>
      <c r="GV161" s="816"/>
      <c r="GW161" s="816"/>
      <c r="GX161" s="816"/>
      <c r="GY161" s="816"/>
      <c r="GZ161" s="816"/>
      <c r="HA161" s="816"/>
      <c r="HB161" s="609"/>
      <c r="HC161" s="609"/>
      <c r="HD161" s="816"/>
      <c r="HE161" s="816"/>
      <c r="HF161" s="816"/>
      <c r="HG161" s="816"/>
      <c r="HH161" s="816"/>
      <c r="HI161" s="816"/>
      <c r="HJ161" s="609"/>
      <c r="HK161" s="609"/>
      <c r="HL161" s="609"/>
      <c r="HM161" s="816"/>
      <c r="HN161" s="816"/>
      <c r="HO161" s="609"/>
      <c r="HP161" s="609"/>
      <c r="HQ161" s="816"/>
      <c r="HR161" s="816"/>
      <c r="HS161" s="816"/>
      <c r="HT161" s="816"/>
      <c r="HU161" s="816"/>
      <c r="HV161" s="816"/>
      <c r="HW161" s="609"/>
      <c r="HX161" s="609"/>
      <c r="HY161" s="816"/>
      <c r="HZ161" s="816"/>
      <c r="IA161" s="816"/>
      <c r="IB161" s="816"/>
      <c r="IC161" s="816"/>
      <c r="ID161" s="816"/>
      <c r="IE161" s="609"/>
      <c r="IF161" s="609"/>
      <c r="IG161" s="816"/>
      <c r="IH161" s="816"/>
      <c r="II161" s="609"/>
      <c r="IJ161" s="609"/>
      <c r="IK161" s="816"/>
      <c r="IL161" s="816"/>
      <c r="IM161" s="609"/>
      <c r="IN161" s="609"/>
      <c r="IO161" s="816"/>
      <c r="IP161" s="816"/>
      <c r="IQ161" s="816"/>
      <c r="IR161" s="816"/>
      <c r="IS161" s="816"/>
      <c r="IT161" s="816"/>
      <c r="IU161" s="821"/>
      <c r="IV161" s="609"/>
      <c r="IW161" s="816"/>
      <c r="IX161" s="816"/>
      <c r="IY161" s="822"/>
      <c r="IZ161" s="609"/>
      <c r="JA161" s="816"/>
      <c r="JB161" s="816"/>
      <c r="JC161" s="609"/>
      <c r="JD161" s="816"/>
      <c r="JE161" s="816"/>
      <c r="JF161" s="816"/>
      <c r="JG161" s="816"/>
      <c r="JH161" s="816"/>
      <c r="JI161" s="816"/>
      <c r="JJ161" s="816"/>
      <c r="JK161" s="816"/>
      <c r="JL161" s="816"/>
      <c r="JM161" s="816"/>
      <c r="JN161" s="816"/>
      <c r="JO161" s="823"/>
      <c r="JP161" s="824"/>
      <c r="JQ161" s="825"/>
      <c r="JR161" s="825"/>
      <c r="JS161" s="816"/>
      <c r="JU161" s="826"/>
      <c r="JV161" s="826"/>
      <c r="JW161" s="826"/>
      <c r="JX161" s="826"/>
    </row>
    <row r="162" spans="2:284" s="780" customFormat="1">
      <c r="B162" s="609"/>
      <c r="C162" s="609"/>
      <c r="D162" s="609"/>
      <c r="E162" s="609"/>
      <c r="F162" s="609"/>
      <c r="G162" s="609"/>
      <c r="H162" s="609"/>
      <c r="I162" s="609"/>
      <c r="J162" s="609"/>
      <c r="K162" s="609"/>
      <c r="L162" s="609"/>
      <c r="M162" s="609"/>
      <c r="N162" s="609"/>
      <c r="O162" s="609"/>
      <c r="P162" s="609"/>
      <c r="Q162" s="609"/>
      <c r="R162" s="609"/>
      <c r="S162" s="609"/>
      <c r="T162" s="609"/>
      <c r="U162" s="609"/>
      <c r="V162" s="609"/>
      <c r="W162" s="609"/>
      <c r="X162" s="609"/>
      <c r="Y162" s="609"/>
      <c r="Z162" s="609"/>
      <c r="AA162" s="609"/>
      <c r="AB162" s="609"/>
      <c r="AC162" s="609"/>
      <c r="AD162" s="816"/>
      <c r="AE162" s="816"/>
      <c r="AF162" s="816"/>
      <c r="AG162" s="816"/>
      <c r="AH162" s="816"/>
      <c r="AI162" s="816"/>
      <c r="AJ162" s="609"/>
      <c r="AK162" s="609"/>
      <c r="AL162" s="816"/>
      <c r="AM162" s="816"/>
      <c r="AN162" s="609"/>
      <c r="AO162" s="609"/>
      <c r="AP162" s="816"/>
      <c r="AQ162" s="816"/>
      <c r="AR162" s="816"/>
      <c r="AS162" s="816"/>
      <c r="AT162" s="816"/>
      <c r="AU162" s="816"/>
      <c r="AV162" s="609"/>
      <c r="AW162" s="609"/>
      <c r="AX162" s="816"/>
      <c r="AY162" s="816"/>
      <c r="AZ162" s="817"/>
      <c r="BA162" s="609"/>
      <c r="BB162" s="609"/>
      <c r="BC162" s="816"/>
      <c r="BD162" s="816"/>
      <c r="BE162" s="816"/>
      <c r="BF162" s="816"/>
      <c r="BG162" s="816"/>
      <c r="BH162" s="816"/>
      <c r="BI162" s="816"/>
      <c r="BJ162" s="816"/>
      <c r="BK162" s="816"/>
      <c r="BL162" s="816"/>
      <c r="BM162" s="816"/>
      <c r="BN162" s="816"/>
      <c r="BO162" s="816"/>
      <c r="BP162" s="816"/>
      <c r="BQ162" s="816"/>
      <c r="BR162" s="816"/>
      <c r="BS162" s="816"/>
      <c r="BT162" s="816"/>
      <c r="BU162" s="816"/>
      <c r="BV162" s="816"/>
      <c r="BW162" s="816"/>
      <c r="BX162" s="609"/>
      <c r="BY162" s="609"/>
      <c r="BZ162" s="609"/>
      <c r="CA162" s="818"/>
      <c r="CB162" s="816"/>
      <c r="CC162" s="816"/>
      <c r="CD162" s="816"/>
      <c r="CE162" s="816"/>
      <c r="CF162" s="816"/>
      <c r="CG162" s="816"/>
      <c r="CH162" s="816"/>
      <c r="CI162" s="816"/>
      <c r="CJ162" s="819"/>
      <c r="CK162" s="819"/>
      <c r="CL162" s="820"/>
      <c r="CM162" s="820"/>
      <c r="CN162" s="820"/>
      <c r="CO162" s="820"/>
      <c r="CP162" s="820"/>
      <c r="CQ162" s="820"/>
      <c r="CR162" s="609"/>
      <c r="CS162" s="609"/>
      <c r="CT162" s="816"/>
      <c r="CU162" s="816"/>
      <c r="CV162" s="609"/>
      <c r="CW162" s="609"/>
      <c r="CX162" s="816"/>
      <c r="CY162" s="816"/>
      <c r="CZ162" s="609"/>
      <c r="DA162" s="609"/>
      <c r="DB162" s="816"/>
      <c r="DC162" s="816"/>
      <c r="DD162" s="609"/>
      <c r="DE162" s="609"/>
      <c r="DF162" s="816"/>
      <c r="DG162" s="816"/>
      <c r="DH162" s="816"/>
      <c r="DI162" s="816"/>
      <c r="DJ162" s="816"/>
      <c r="DK162" s="816"/>
      <c r="DL162" s="609"/>
      <c r="DM162" s="609"/>
      <c r="DN162" s="816"/>
      <c r="DO162" s="816"/>
      <c r="DP162" s="609"/>
      <c r="DQ162" s="609"/>
      <c r="DR162" s="816"/>
      <c r="DS162" s="816"/>
      <c r="DT162" s="816"/>
      <c r="DU162" s="816"/>
      <c r="DV162" s="816"/>
      <c r="DW162" s="816"/>
      <c r="DX162" s="816"/>
      <c r="DY162" s="816"/>
      <c r="DZ162" s="816"/>
      <c r="EA162" s="816"/>
      <c r="EB162" s="816"/>
      <c r="EC162" s="816"/>
      <c r="ED162" s="816"/>
      <c r="EE162" s="816"/>
      <c r="EF162" s="609"/>
      <c r="EG162" s="609"/>
      <c r="EH162" s="816"/>
      <c r="EI162" s="816"/>
      <c r="EJ162" s="816"/>
      <c r="EK162" s="816"/>
      <c r="EL162" s="816"/>
      <c r="EM162" s="816"/>
      <c r="EN162" s="816"/>
      <c r="EO162" s="816"/>
      <c r="EP162" s="816"/>
      <c r="EQ162" s="816"/>
      <c r="ER162" s="816"/>
      <c r="ES162" s="816"/>
      <c r="ET162" s="816"/>
      <c r="EU162" s="816"/>
      <c r="EV162" s="609"/>
      <c r="EW162" s="609"/>
      <c r="EX162" s="816"/>
      <c r="EY162" s="816"/>
      <c r="EZ162" s="816"/>
      <c r="FA162" s="816"/>
      <c r="FB162" s="816"/>
      <c r="FC162" s="816"/>
      <c r="FD162" s="816"/>
      <c r="FE162" s="816"/>
      <c r="FF162" s="816"/>
      <c r="FG162" s="816"/>
      <c r="FH162" s="816"/>
      <c r="FI162" s="816"/>
      <c r="FJ162" s="816"/>
      <c r="FK162" s="816"/>
      <c r="FL162" s="816"/>
      <c r="FM162" s="816"/>
      <c r="FN162" s="816"/>
      <c r="FO162" s="816"/>
      <c r="FP162" s="816"/>
      <c r="FQ162" s="816"/>
      <c r="FR162" s="816"/>
      <c r="FS162" s="816"/>
      <c r="FT162" s="816"/>
      <c r="FU162" s="816"/>
      <c r="FV162" s="816"/>
      <c r="FW162" s="816"/>
      <c r="FX162" s="816"/>
      <c r="FY162" s="816"/>
      <c r="FZ162" s="819"/>
      <c r="GA162" s="816"/>
      <c r="GB162" s="820"/>
      <c r="GC162" s="820"/>
      <c r="GD162" s="820"/>
      <c r="GE162" s="820"/>
      <c r="GF162" s="609"/>
      <c r="GG162" s="609"/>
      <c r="GH162" s="816"/>
      <c r="GI162" s="816"/>
      <c r="GJ162" s="816"/>
      <c r="GK162" s="816"/>
      <c r="GL162" s="816"/>
      <c r="GM162" s="816"/>
      <c r="GN162" s="816"/>
      <c r="GO162" s="816"/>
      <c r="GP162" s="816"/>
      <c r="GQ162" s="816"/>
      <c r="GR162" s="816"/>
      <c r="GS162" s="816"/>
      <c r="GT162" s="818"/>
      <c r="GU162" s="816"/>
      <c r="GV162" s="816"/>
      <c r="GW162" s="816"/>
      <c r="GX162" s="816"/>
      <c r="GY162" s="816"/>
      <c r="GZ162" s="816"/>
      <c r="HA162" s="816"/>
      <c r="HB162" s="609"/>
      <c r="HC162" s="609"/>
      <c r="HD162" s="816"/>
      <c r="HE162" s="816"/>
      <c r="HF162" s="816"/>
      <c r="HG162" s="816"/>
      <c r="HH162" s="816"/>
      <c r="HI162" s="816"/>
      <c r="HJ162" s="609"/>
      <c r="HK162" s="609"/>
      <c r="HL162" s="609"/>
      <c r="HM162" s="816"/>
      <c r="HN162" s="816"/>
      <c r="HO162" s="609"/>
      <c r="HP162" s="609"/>
      <c r="HQ162" s="816"/>
      <c r="HR162" s="816"/>
      <c r="HS162" s="816"/>
      <c r="HT162" s="816"/>
      <c r="HU162" s="816"/>
      <c r="HV162" s="816"/>
      <c r="HW162" s="609"/>
      <c r="HX162" s="609"/>
      <c r="HY162" s="816"/>
      <c r="HZ162" s="816"/>
      <c r="IA162" s="816"/>
      <c r="IB162" s="816"/>
      <c r="IC162" s="816"/>
      <c r="ID162" s="816"/>
      <c r="IE162" s="609"/>
      <c r="IF162" s="609"/>
      <c r="IG162" s="816"/>
      <c r="IH162" s="816"/>
      <c r="II162" s="609"/>
      <c r="IJ162" s="609"/>
      <c r="IK162" s="816"/>
      <c r="IL162" s="816"/>
      <c r="IM162" s="609"/>
      <c r="IN162" s="609"/>
      <c r="IO162" s="816"/>
      <c r="IP162" s="816"/>
      <c r="IQ162" s="816"/>
      <c r="IR162" s="816"/>
      <c r="IS162" s="816"/>
      <c r="IT162" s="816"/>
      <c r="IU162" s="821"/>
      <c r="IV162" s="609"/>
      <c r="IW162" s="816"/>
      <c r="IX162" s="816"/>
      <c r="IY162" s="822"/>
      <c r="IZ162" s="609"/>
      <c r="JA162" s="816"/>
      <c r="JB162" s="816"/>
      <c r="JC162" s="609"/>
      <c r="JD162" s="816"/>
      <c r="JE162" s="816"/>
      <c r="JF162" s="816"/>
      <c r="JG162" s="816"/>
      <c r="JH162" s="816"/>
      <c r="JI162" s="816"/>
      <c r="JJ162" s="816"/>
      <c r="JK162" s="816"/>
      <c r="JL162" s="816"/>
      <c r="JM162" s="816"/>
      <c r="JN162" s="816"/>
      <c r="JO162" s="823"/>
      <c r="JP162" s="824"/>
      <c r="JQ162" s="825"/>
      <c r="JR162" s="825"/>
      <c r="JS162" s="816"/>
      <c r="JU162" s="826"/>
      <c r="JV162" s="826"/>
      <c r="JW162" s="826"/>
      <c r="JX162" s="826"/>
    </row>
    <row r="163" spans="2:284" s="780" customFormat="1">
      <c r="B163" s="609"/>
      <c r="C163" s="609"/>
      <c r="D163" s="609"/>
      <c r="E163" s="609"/>
      <c r="F163" s="609"/>
      <c r="G163" s="609"/>
      <c r="H163" s="609"/>
      <c r="I163" s="609"/>
      <c r="J163" s="609"/>
      <c r="K163" s="609"/>
      <c r="L163" s="609"/>
      <c r="M163" s="609"/>
      <c r="N163" s="609"/>
      <c r="O163" s="609"/>
      <c r="P163" s="609"/>
      <c r="Q163" s="609"/>
      <c r="R163" s="609"/>
      <c r="S163" s="609"/>
      <c r="T163" s="609"/>
      <c r="U163" s="609"/>
      <c r="V163" s="609"/>
      <c r="W163" s="609"/>
      <c r="X163" s="609"/>
      <c r="Y163" s="609"/>
      <c r="Z163" s="609"/>
      <c r="AA163" s="609"/>
      <c r="AB163" s="609"/>
      <c r="AC163" s="609"/>
      <c r="AD163" s="816"/>
      <c r="AE163" s="816"/>
      <c r="AF163" s="816"/>
      <c r="AG163" s="816"/>
      <c r="AH163" s="816"/>
      <c r="AI163" s="816"/>
      <c r="AJ163" s="609"/>
      <c r="AK163" s="609"/>
      <c r="AL163" s="816"/>
      <c r="AM163" s="816"/>
      <c r="AN163" s="609"/>
      <c r="AO163" s="609"/>
      <c r="AP163" s="816"/>
      <c r="AQ163" s="816"/>
      <c r="AR163" s="816"/>
      <c r="AS163" s="816"/>
      <c r="AT163" s="816"/>
      <c r="AU163" s="816"/>
      <c r="AV163" s="609"/>
      <c r="AW163" s="609"/>
      <c r="AX163" s="816"/>
      <c r="AY163" s="816"/>
      <c r="AZ163" s="817"/>
      <c r="BA163" s="609"/>
      <c r="BB163" s="609"/>
      <c r="BC163" s="816"/>
      <c r="BD163" s="816"/>
      <c r="BE163" s="816"/>
      <c r="BF163" s="816"/>
      <c r="BG163" s="816"/>
      <c r="BH163" s="816"/>
      <c r="BI163" s="816"/>
      <c r="BJ163" s="816"/>
      <c r="BK163" s="816"/>
      <c r="BL163" s="816"/>
      <c r="BM163" s="816"/>
      <c r="BN163" s="816"/>
      <c r="BO163" s="816"/>
      <c r="BP163" s="816"/>
      <c r="BQ163" s="816"/>
      <c r="BR163" s="816"/>
      <c r="BS163" s="816"/>
      <c r="BT163" s="816"/>
      <c r="BU163" s="816"/>
      <c r="BV163" s="816"/>
      <c r="BW163" s="816"/>
      <c r="BX163" s="609"/>
      <c r="BY163" s="609"/>
      <c r="BZ163" s="609"/>
      <c r="CA163" s="818"/>
      <c r="CB163" s="816"/>
      <c r="CC163" s="816"/>
      <c r="CD163" s="816"/>
      <c r="CE163" s="816"/>
      <c r="CF163" s="816"/>
      <c r="CG163" s="816"/>
      <c r="CH163" s="816"/>
      <c r="CI163" s="816"/>
      <c r="CJ163" s="819"/>
      <c r="CK163" s="819"/>
      <c r="CL163" s="820"/>
      <c r="CM163" s="820"/>
      <c r="CN163" s="820"/>
      <c r="CO163" s="820"/>
      <c r="CP163" s="820"/>
      <c r="CQ163" s="820"/>
      <c r="CR163" s="609"/>
      <c r="CS163" s="609"/>
      <c r="CT163" s="816"/>
      <c r="CU163" s="816"/>
      <c r="CV163" s="609"/>
      <c r="CW163" s="609"/>
      <c r="CX163" s="816"/>
      <c r="CY163" s="816"/>
      <c r="CZ163" s="609"/>
      <c r="DA163" s="609"/>
      <c r="DB163" s="816"/>
      <c r="DC163" s="816"/>
      <c r="DD163" s="609"/>
      <c r="DE163" s="609"/>
      <c r="DF163" s="816"/>
      <c r="DG163" s="816"/>
      <c r="DH163" s="816"/>
      <c r="DI163" s="816"/>
      <c r="DJ163" s="816"/>
      <c r="DK163" s="816"/>
      <c r="DL163" s="609"/>
      <c r="DM163" s="609"/>
      <c r="DN163" s="816"/>
      <c r="DO163" s="816"/>
      <c r="DP163" s="609"/>
      <c r="DQ163" s="609"/>
      <c r="DR163" s="816"/>
      <c r="DS163" s="816"/>
      <c r="DT163" s="816"/>
      <c r="DU163" s="816"/>
      <c r="DV163" s="816"/>
      <c r="DW163" s="816"/>
      <c r="DX163" s="816"/>
      <c r="DY163" s="816"/>
      <c r="DZ163" s="816"/>
      <c r="EA163" s="816"/>
      <c r="EB163" s="816"/>
      <c r="EC163" s="816"/>
      <c r="ED163" s="816"/>
      <c r="EE163" s="816"/>
      <c r="EF163" s="609"/>
      <c r="EG163" s="609"/>
      <c r="EH163" s="816"/>
      <c r="EI163" s="816"/>
      <c r="EJ163" s="816"/>
      <c r="EK163" s="816"/>
      <c r="EL163" s="816"/>
      <c r="EM163" s="816"/>
      <c r="EN163" s="816"/>
      <c r="EO163" s="816"/>
      <c r="EP163" s="816"/>
      <c r="EQ163" s="816"/>
      <c r="ER163" s="816"/>
      <c r="ES163" s="816"/>
      <c r="ET163" s="816"/>
      <c r="EU163" s="816"/>
      <c r="EV163" s="609"/>
      <c r="EW163" s="609"/>
      <c r="EX163" s="816"/>
      <c r="EY163" s="816"/>
      <c r="EZ163" s="816"/>
      <c r="FA163" s="816"/>
      <c r="FB163" s="816"/>
      <c r="FC163" s="816"/>
      <c r="FD163" s="816"/>
      <c r="FE163" s="816"/>
      <c r="FF163" s="816"/>
      <c r="FG163" s="816"/>
      <c r="FH163" s="816"/>
      <c r="FI163" s="816"/>
      <c r="FJ163" s="816"/>
      <c r="FK163" s="816"/>
      <c r="FL163" s="816"/>
      <c r="FM163" s="816"/>
      <c r="FN163" s="816"/>
      <c r="FO163" s="816"/>
      <c r="FP163" s="816"/>
      <c r="FQ163" s="816"/>
      <c r="FR163" s="816"/>
      <c r="FS163" s="816"/>
      <c r="FT163" s="816"/>
      <c r="FU163" s="816"/>
      <c r="FV163" s="816"/>
      <c r="FW163" s="816"/>
      <c r="FX163" s="816"/>
      <c r="FY163" s="816"/>
      <c r="FZ163" s="819"/>
      <c r="GA163" s="816"/>
      <c r="GB163" s="820"/>
      <c r="GC163" s="820"/>
      <c r="GD163" s="820"/>
      <c r="GE163" s="820"/>
      <c r="GF163" s="609"/>
      <c r="GG163" s="609"/>
      <c r="GH163" s="816"/>
      <c r="GI163" s="816"/>
      <c r="GJ163" s="816"/>
      <c r="GK163" s="816"/>
      <c r="GL163" s="816"/>
      <c r="GM163" s="816"/>
      <c r="GN163" s="816"/>
      <c r="GO163" s="816"/>
      <c r="GP163" s="816"/>
      <c r="GQ163" s="816"/>
      <c r="GR163" s="816"/>
      <c r="GS163" s="816"/>
      <c r="GT163" s="818"/>
      <c r="GU163" s="816"/>
      <c r="GV163" s="816"/>
      <c r="GW163" s="816"/>
      <c r="GX163" s="816"/>
      <c r="GY163" s="816"/>
      <c r="GZ163" s="816"/>
      <c r="HA163" s="816"/>
      <c r="HB163" s="609"/>
      <c r="HC163" s="609"/>
      <c r="HD163" s="816"/>
      <c r="HE163" s="816"/>
      <c r="HF163" s="816"/>
      <c r="HG163" s="816"/>
      <c r="HH163" s="816"/>
      <c r="HI163" s="816"/>
      <c r="HJ163" s="609"/>
      <c r="HK163" s="609"/>
      <c r="HL163" s="609"/>
      <c r="HM163" s="816"/>
      <c r="HN163" s="816"/>
      <c r="HO163" s="609"/>
      <c r="HP163" s="609"/>
      <c r="HQ163" s="816"/>
      <c r="HR163" s="816"/>
      <c r="HS163" s="816"/>
      <c r="HT163" s="816"/>
      <c r="HU163" s="816"/>
      <c r="HV163" s="816"/>
      <c r="HW163" s="609"/>
      <c r="HX163" s="609"/>
      <c r="HY163" s="816"/>
      <c r="HZ163" s="816"/>
      <c r="IA163" s="816"/>
      <c r="IB163" s="816"/>
      <c r="IC163" s="816"/>
      <c r="ID163" s="816"/>
      <c r="IE163" s="609"/>
      <c r="IF163" s="609"/>
      <c r="IG163" s="816"/>
      <c r="IH163" s="816"/>
      <c r="II163" s="609"/>
      <c r="IJ163" s="609"/>
      <c r="IK163" s="816"/>
      <c r="IL163" s="816"/>
      <c r="IM163" s="609"/>
      <c r="IN163" s="609"/>
      <c r="IO163" s="816"/>
      <c r="IP163" s="816"/>
      <c r="IQ163" s="816"/>
      <c r="IR163" s="816"/>
      <c r="IS163" s="816"/>
      <c r="IT163" s="816"/>
      <c r="IU163" s="821"/>
      <c r="IV163" s="609"/>
      <c r="IW163" s="816"/>
      <c r="IX163" s="816"/>
      <c r="IY163" s="822"/>
      <c r="IZ163" s="609"/>
      <c r="JA163" s="816"/>
      <c r="JB163" s="816"/>
      <c r="JC163" s="609"/>
      <c r="JD163" s="816"/>
      <c r="JE163" s="816"/>
      <c r="JF163" s="816"/>
      <c r="JG163" s="816"/>
      <c r="JH163" s="816"/>
      <c r="JI163" s="816"/>
      <c r="JJ163" s="816"/>
      <c r="JK163" s="816"/>
      <c r="JL163" s="816"/>
      <c r="JM163" s="816"/>
      <c r="JN163" s="816"/>
      <c r="JO163" s="823"/>
      <c r="JP163" s="824"/>
      <c r="JQ163" s="825"/>
      <c r="JR163" s="825"/>
      <c r="JS163" s="816"/>
      <c r="JU163" s="826"/>
      <c r="JV163" s="826"/>
      <c r="JW163" s="826"/>
      <c r="JX163" s="826"/>
    </row>
    <row r="164" spans="2:284" s="780" customFormat="1">
      <c r="B164" s="609"/>
      <c r="C164" s="609"/>
      <c r="D164" s="609"/>
      <c r="E164" s="609"/>
      <c r="F164" s="609"/>
      <c r="G164" s="609"/>
      <c r="H164" s="609"/>
      <c r="I164" s="609"/>
      <c r="J164" s="609"/>
      <c r="K164" s="609"/>
      <c r="L164" s="609"/>
      <c r="M164" s="609"/>
      <c r="N164" s="609"/>
      <c r="O164" s="609"/>
      <c r="P164" s="609"/>
      <c r="Q164" s="609"/>
      <c r="R164" s="609"/>
      <c r="S164" s="609"/>
      <c r="T164" s="609"/>
      <c r="U164" s="609"/>
      <c r="V164" s="609"/>
      <c r="W164" s="609"/>
      <c r="X164" s="609"/>
      <c r="Y164" s="609"/>
      <c r="Z164" s="609"/>
      <c r="AA164" s="609"/>
      <c r="AB164" s="609"/>
      <c r="AC164" s="609"/>
      <c r="AD164" s="816"/>
      <c r="AE164" s="816"/>
      <c r="AF164" s="816"/>
      <c r="AG164" s="816"/>
      <c r="AH164" s="816"/>
      <c r="AI164" s="816"/>
      <c r="AJ164" s="609"/>
      <c r="AK164" s="609"/>
      <c r="AL164" s="816"/>
      <c r="AM164" s="816"/>
      <c r="AN164" s="609"/>
      <c r="AO164" s="609"/>
      <c r="AP164" s="816"/>
      <c r="AQ164" s="816"/>
      <c r="AR164" s="816"/>
      <c r="AS164" s="816"/>
      <c r="AT164" s="816"/>
      <c r="AU164" s="816"/>
      <c r="AV164" s="609"/>
      <c r="AW164" s="609"/>
      <c r="AX164" s="816"/>
      <c r="AY164" s="816"/>
      <c r="AZ164" s="817"/>
      <c r="BA164" s="609"/>
      <c r="BB164" s="609"/>
      <c r="BC164" s="816"/>
      <c r="BD164" s="816"/>
      <c r="BE164" s="816"/>
      <c r="BF164" s="816"/>
      <c r="BG164" s="816"/>
      <c r="BH164" s="816"/>
      <c r="BI164" s="816"/>
      <c r="BJ164" s="816"/>
      <c r="BK164" s="816"/>
      <c r="BL164" s="816"/>
      <c r="BM164" s="816"/>
      <c r="BN164" s="816"/>
      <c r="BO164" s="816"/>
      <c r="BP164" s="816"/>
      <c r="BQ164" s="816"/>
      <c r="BR164" s="816"/>
      <c r="BS164" s="816"/>
      <c r="BT164" s="816"/>
      <c r="BU164" s="816"/>
      <c r="BV164" s="816"/>
      <c r="BW164" s="816"/>
      <c r="BX164" s="609"/>
      <c r="BY164" s="609"/>
      <c r="BZ164" s="609"/>
      <c r="CA164" s="818"/>
      <c r="CB164" s="816"/>
      <c r="CC164" s="816"/>
      <c r="CD164" s="816"/>
      <c r="CE164" s="816"/>
      <c r="CF164" s="816"/>
      <c r="CG164" s="816"/>
      <c r="CH164" s="816"/>
      <c r="CI164" s="816"/>
      <c r="CJ164" s="819"/>
      <c r="CK164" s="819"/>
      <c r="CL164" s="820"/>
      <c r="CM164" s="820"/>
      <c r="CN164" s="820"/>
      <c r="CO164" s="820"/>
      <c r="CP164" s="820"/>
      <c r="CQ164" s="820"/>
      <c r="CR164" s="609"/>
      <c r="CS164" s="609"/>
      <c r="CT164" s="816"/>
      <c r="CU164" s="816"/>
      <c r="CV164" s="609"/>
      <c r="CW164" s="609"/>
      <c r="CX164" s="816"/>
      <c r="CY164" s="816"/>
      <c r="CZ164" s="609"/>
      <c r="DA164" s="609"/>
      <c r="DB164" s="816"/>
      <c r="DC164" s="816"/>
      <c r="DD164" s="609"/>
      <c r="DE164" s="609"/>
      <c r="DF164" s="816"/>
      <c r="DG164" s="816"/>
      <c r="DH164" s="816"/>
      <c r="DI164" s="816"/>
      <c r="DJ164" s="816"/>
      <c r="DK164" s="816"/>
      <c r="DL164" s="609"/>
      <c r="DM164" s="609"/>
      <c r="DN164" s="816"/>
      <c r="DO164" s="816"/>
      <c r="DP164" s="609"/>
      <c r="DQ164" s="609"/>
      <c r="DR164" s="816"/>
      <c r="DS164" s="816"/>
      <c r="DT164" s="816"/>
      <c r="DU164" s="816"/>
      <c r="DV164" s="816"/>
      <c r="DW164" s="816"/>
      <c r="DX164" s="816"/>
      <c r="DY164" s="816"/>
      <c r="DZ164" s="816"/>
      <c r="EA164" s="816"/>
      <c r="EB164" s="816"/>
      <c r="EC164" s="816"/>
      <c r="ED164" s="816"/>
      <c r="EE164" s="816"/>
      <c r="EF164" s="609"/>
      <c r="EG164" s="609"/>
      <c r="EH164" s="816"/>
      <c r="EI164" s="816"/>
      <c r="EJ164" s="816"/>
      <c r="EK164" s="816"/>
      <c r="EL164" s="816"/>
      <c r="EM164" s="816"/>
      <c r="EN164" s="816"/>
      <c r="EO164" s="816"/>
      <c r="EP164" s="816"/>
      <c r="EQ164" s="816"/>
      <c r="ER164" s="816"/>
      <c r="ES164" s="816"/>
      <c r="ET164" s="816"/>
      <c r="EU164" s="816"/>
      <c r="EV164" s="609"/>
      <c r="EW164" s="609"/>
      <c r="EX164" s="816"/>
      <c r="EY164" s="816"/>
      <c r="EZ164" s="816"/>
      <c r="FA164" s="816"/>
      <c r="FB164" s="816"/>
      <c r="FC164" s="816"/>
      <c r="FD164" s="816"/>
      <c r="FE164" s="816"/>
      <c r="FF164" s="816"/>
      <c r="FG164" s="816"/>
      <c r="FH164" s="816"/>
      <c r="FI164" s="816"/>
      <c r="FJ164" s="816"/>
      <c r="FK164" s="816"/>
      <c r="FL164" s="816"/>
      <c r="FM164" s="816"/>
      <c r="FN164" s="816"/>
      <c r="FO164" s="816"/>
      <c r="FP164" s="816"/>
      <c r="FQ164" s="816"/>
      <c r="FR164" s="816"/>
      <c r="FS164" s="816"/>
      <c r="FT164" s="816"/>
      <c r="FU164" s="816"/>
      <c r="FV164" s="816"/>
      <c r="FW164" s="816"/>
      <c r="FX164" s="816"/>
      <c r="FY164" s="816"/>
      <c r="FZ164" s="819"/>
      <c r="GA164" s="816"/>
      <c r="GB164" s="820"/>
      <c r="GC164" s="820"/>
      <c r="GD164" s="820"/>
      <c r="GE164" s="820"/>
      <c r="GF164" s="609"/>
      <c r="GG164" s="609"/>
      <c r="GH164" s="816"/>
      <c r="GI164" s="816"/>
      <c r="GJ164" s="816"/>
      <c r="GK164" s="816"/>
      <c r="GL164" s="816"/>
      <c r="GM164" s="816"/>
      <c r="GN164" s="816"/>
      <c r="GO164" s="816"/>
      <c r="GP164" s="816"/>
      <c r="GQ164" s="816"/>
      <c r="GR164" s="816"/>
      <c r="GS164" s="816"/>
      <c r="GT164" s="818"/>
      <c r="GU164" s="816"/>
      <c r="GV164" s="816"/>
      <c r="GW164" s="816"/>
      <c r="GX164" s="816"/>
      <c r="GY164" s="816"/>
      <c r="GZ164" s="816"/>
      <c r="HA164" s="816"/>
      <c r="HB164" s="609"/>
      <c r="HC164" s="609"/>
      <c r="HD164" s="816"/>
      <c r="HE164" s="816"/>
      <c r="HF164" s="816"/>
      <c r="HG164" s="816"/>
      <c r="HH164" s="816"/>
      <c r="HI164" s="816"/>
      <c r="HJ164" s="609"/>
      <c r="HK164" s="609"/>
      <c r="HL164" s="609"/>
      <c r="HM164" s="816"/>
      <c r="HN164" s="816"/>
      <c r="HO164" s="609"/>
      <c r="HP164" s="609"/>
      <c r="HQ164" s="816"/>
      <c r="HR164" s="816"/>
      <c r="HS164" s="816"/>
      <c r="HT164" s="816"/>
      <c r="HU164" s="816"/>
      <c r="HV164" s="816"/>
      <c r="HW164" s="609"/>
      <c r="HX164" s="609"/>
      <c r="HY164" s="816"/>
      <c r="HZ164" s="816"/>
      <c r="IA164" s="816"/>
      <c r="IB164" s="816"/>
      <c r="IC164" s="816"/>
      <c r="ID164" s="816"/>
      <c r="IE164" s="609"/>
      <c r="IF164" s="609"/>
      <c r="IG164" s="816"/>
      <c r="IH164" s="816"/>
      <c r="II164" s="609"/>
      <c r="IJ164" s="609"/>
      <c r="IK164" s="816"/>
      <c r="IL164" s="816"/>
      <c r="IM164" s="609"/>
      <c r="IN164" s="609"/>
      <c r="IO164" s="816"/>
      <c r="IP164" s="816"/>
      <c r="IQ164" s="816"/>
      <c r="IR164" s="816"/>
      <c r="IS164" s="816"/>
      <c r="IT164" s="816"/>
      <c r="IU164" s="821"/>
      <c r="IV164" s="609"/>
      <c r="IW164" s="816"/>
      <c r="IX164" s="816"/>
      <c r="IY164" s="822"/>
      <c r="IZ164" s="609"/>
      <c r="JA164" s="816"/>
      <c r="JB164" s="816"/>
      <c r="JC164" s="609"/>
      <c r="JD164" s="816"/>
      <c r="JE164" s="816"/>
      <c r="JF164" s="816"/>
      <c r="JG164" s="816"/>
      <c r="JH164" s="816"/>
      <c r="JI164" s="816"/>
      <c r="JJ164" s="816"/>
      <c r="JK164" s="816"/>
      <c r="JL164" s="816"/>
      <c r="JM164" s="816"/>
      <c r="JN164" s="816"/>
      <c r="JO164" s="823"/>
      <c r="JP164" s="824"/>
      <c r="JQ164" s="825"/>
      <c r="JR164" s="825"/>
      <c r="JS164" s="816"/>
      <c r="JU164" s="826"/>
      <c r="JV164" s="826"/>
      <c r="JW164" s="826"/>
      <c r="JX164" s="826"/>
    </row>
    <row r="165" spans="2:284" s="780" customFormat="1"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09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816"/>
      <c r="AE165" s="816"/>
      <c r="AF165" s="816"/>
      <c r="AG165" s="816"/>
      <c r="AH165" s="816"/>
      <c r="AI165" s="816"/>
      <c r="AJ165" s="609"/>
      <c r="AK165" s="609"/>
      <c r="AL165" s="816"/>
      <c r="AM165" s="816"/>
      <c r="AN165" s="609"/>
      <c r="AO165" s="609"/>
      <c r="AP165" s="816"/>
      <c r="AQ165" s="816"/>
      <c r="AR165" s="816"/>
      <c r="AS165" s="816"/>
      <c r="AT165" s="816"/>
      <c r="AU165" s="816"/>
      <c r="AV165" s="609"/>
      <c r="AW165" s="609"/>
      <c r="AX165" s="816"/>
      <c r="AY165" s="816"/>
      <c r="AZ165" s="817"/>
      <c r="BA165" s="609"/>
      <c r="BB165" s="609"/>
      <c r="BC165" s="816"/>
      <c r="BD165" s="816"/>
      <c r="BE165" s="816"/>
      <c r="BF165" s="816"/>
      <c r="BG165" s="816"/>
      <c r="BH165" s="816"/>
      <c r="BI165" s="816"/>
      <c r="BJ165" s="816"/>
      <c r="BK165" s="816"/>
      <c r="BL165" s="816"/>
      <c r="BM165" s="816"/>
      <c r="BN165" s="816"/>
      <c r="BO165" s="816"/>
      <c r="BP165" s="816"/>
      <c r="BQ165" s="816"/>
      <c r="BR165" s="816"/>
      <c r="BS165" s="816"/>
      <c r="BT165" s="816"/>
      <c r="BU165" s="816"/>
      <c r="BV165" s="816"/>
      <c r="BW165" s="816"/>
      <c r="BX165" s="609"/>
      <c r="BY165" s="609"/>
      <c r="BZ165" s="609"/>
      <c r="CA165" s="818"/>
      <c r="CB165" s="816"/>
      <c r="CC165" s="816"/>
      <c r="CD165" s="816"/>
      <c r="CE165" s="816"/>
      <c r="CF165" s="816"/>
      <c r="CG165" s="816"/>
      <c r="CH165" s="816"/>
      <c r="CI165" s="816"/>
      <c r="CJ165" s="819"/>
      <c r="CK165" s="819"/>
      <c r="CL165" s="820"/>
      <c r="CM165" s="820"/>
      <c r="CN165" s="820"/>
      <c r="CO165" s="820"/>
      <c r="CP165" s="820"/>
      <c r="CQ165" s="820"/>
      <c r="CR165" s="609"/>
      <c r="CS165" s="609"/>
      <c r="CT165" s="816"/>
      <c r="CU165" s="816"/>
      <c r="CV165" s="609"/>
      <c r="CW165" s="609"/>
      <c r="CX165" s="816"/>
      <c r="CY165" s="816"/>
      <c r="CZ165" s="609"/>
      <c r="DA165" s="609"/>
      <c r="DB165" s="816"/>
      <c r="DC165" s="816"/>
      <c r="DD165" s="609"/>
      <c r="DE165" s="609"/>
      <c r="DF165" s="816"/>
      <c r="DG165" s="816"/>
      <c r="DH165" s="816"/>
      <c r="DI165" s="816"/>
      <c r="DJ165" s="816"/>
      <c r="DK165" s="816"/>
      <c r="DL165" s="609"/>
      <c r="DM165" s="609"/>
      <c r="DN165" s="816"/>
      <c r="DO165" s="816"/>
      <c r="DP165" s="609"/>
      <c r="DQ165" s="609"/>
      <c r="DR165" s="816"/>
      <c r="DS165" s="816"/>
      <c r="DT165" s="816"/>
      <c r="DU165" s="816"/>
      <c r="DV165" s="816"/>
      <c r="DW165" s="816"/>
      <c r="DX165" s="816"/>
      <c r="DY165" s="816"/>
      <c r="DZ165" s="816"/>
      <c r="EA165" s="816"/>
      <c r="EB165" s="816"/>
      <c r="EC165" s="816"/>
      <c r="ED165" s="816"/>
      <c r="EE165" s="816"/>
      <c r="EF165" s="609"/>
      <c r="EG165" s="609"/>
      <c r="EH165" s="816"/>
      <c r="EI165" s="816"/>
      <c r="EJ165" s="816"/>
      <c r="EK165" s="816"/>
      <c r="EL165" s="816"/>
      <c r="EM165" s="816"/>
      <c r="EN165" s="816"/>
      <c r="EO165" s="816"/>
      <c r="EP165" s="816"/>
      <c r="EQ165" s="816"/>
      <c r="ER165" s="816"/>
      <c r="ES165" s="816"/>
      <c r="ET165" s="816"/>
      <c r="EU165" s="816"/>
      <c r="EV165" s="609"/>
      <c r="EW165" s="609"/>
      <c r="EX165" s="816"/>
      <c r="EY165" s="816"/>
      <c r="EZ165" s="816"/>
      <c r="FA165" s="816"/>
      <c r="FB165" s="816"/>
      <c r="FC165" s="816"/>
      <c r="FD165" s="816"/>
      <c r="FE165" s="816"/>
      <c r="FF165" s="816"/>
      <c r="FG165" s="816"/>
      <c r="FH165" s="816"/>
      <c r="FI165" s="816"/>
      <c r="FJ165" s="816"/>
      <c r="FK165" s="816"/>
      <c r="FL165" s="816"/>
      <c r="FM165" s="816"/>
      <c r="FN165" s="816"/>
      <c r="FO165" s="816"/>
      <c r="FP165" s="816"/>
      <c r="FQ165" s="816"/>
      <c r="FR165" s="816"/>
      <c r="FS165" s="816"/>
      <c r="FT165" s="816"/>
      <c r="FU165" s="816"/>
      <c r="FV165" s="816"/>
      <c r="FW165" s="816"/>
      <c r="FX165" s="816"/>
      <c r="FY165" s="816"/>
      <c r="FZ165" s="819"/>
      <c r="GA165" s="816"/>
      <c r="GB165" s="820"/>
      <c r="GC165" s="820"/>
      <c r="GD165" s="820"/>
      <c r="GE165" s="820"/>
      <c r="GF165" s="609"/>
      <c r="GG165" s="609"/>
      <c r="GH165" s="816"/>
      <c r="GI165" s="816"/>
      <c r="GJ165" s="816"/>
      <c r="GK165" s="816"/>
      <c r="GL165" s="816"/>
      <c r="GM165" s="816"/>
      <c r="GN165" s="816"/>
      <c r="GO165" s="816"/>
      <c r="GP165" s="816"/>
      <c r="GQ165" s="816"/>
      <c r="GR165" s="816"/>
      <c r="GS165" s="816"/>
      <c r="GT165" s="818"/>
      <c r="GU165" s="816"/>
      <c r="GV165" s="816"/>
      <c r="GW165" s="816"/>
      <c r="GX165" s="816"/>
      <c r="GY165" s="816"/>
      <c r="GZ165" s="816"/>
      <c r="HA165" s="816"/>
      <c r="HB165" s="609"/>
      <c r="HC165" s="609"/>
      <c r="HD165" s="816"/>
      <c r="HE165" s="816"/>
      <c r="HF165" s="816"/>
      <c r="HG165" s="816"/>
      <c r="HH165" s="816"/>
      <c r="HI165" s="816"/>
      <c r="HJ165" s="609"/>
      <c r="HK165" s="609"/>
      <c r="HL165" s="609"/>
      <c r="HM165" s="816"/>
      <c r="HN165" s="816"/>
      <c r="HO165" s="609"/>
      <c r="HP165" s="609"/>
      <c r="HQ165" s="816"/>
      <c r="HR165" s="816"/>
      <c r="HS165" s="816"/>
      <c r="HT165" s="816"/>
      <c r="HU165" s="816"/>
      <c r="HV165" s="816"/>
      <c r="HW165" s="609"/>
      <c r="HX165" s="609"/>
      <c r="HY165" s="816"/>
      <c r="HZ165" s="816"/>
      <c r="IA165" s="816"/>
      <c r="IB165" s="816"/>
      <c r="IC165" s="816"/>
      <c r="ID165" s="816"/>
      <c r="IE165" s="609"/>
      <c r="IF165" s="609"/>
      <c r="IG165" s="816"/>
      <c r="IH165" s="816"/>
      <c r="II165" s="609"/>
      <c r="IJ165" s="609"/>
      <c r="IK165" s="816"/>
      <c r="IL165" s="816"/>
      <c r="IM165" s="609"/>
      <c r="IN165" s="609"/>
      <c r="IO165" s="816"/>
      <c r="IP165" s="816"/>
      <c r="IQ165" s="816"/>
      <c r="IR165" s="816"/>
      <c r="IS165" s="816"/>
      <c r="IT165" s="816"/>
      <c r="IU165" s="821"/>
      <c r="IV165" s="609"/>
      <c r="IW165" s="816"/>
      <c r="IX165" s="816"/>
      <c r="IY165" s="822"/>
      <c r="IZ165" s="609"/>
      <c r="JA165" s="816"/>
      <c r="JB165" s="816"/>
      <c r="JC165" s="609"/>
      <c r="JD165" s="816"/>
      <c r="JE165" s="816"/>
      <c r="JF165" s="816"/>
      <c r="JG165" s="816"/>
      <c r="JH165" s="816"/>
      <c r="JI165" s="816"/>
      <c r="JJ165" s="816"/>
      <c r="JK165" s="816"/>
      <c r="JL165" s="816"/>
      <c r="JM165" s="816"/>
      <c r="JN165" s="816"/>
      <c r="JO165" s="823"/>
      <c r="JP165" s="824"/>
      <c r="JQ165" s="825"/>
      <c r="JR165" s="825"/>
      <c r="JS165" s="816"/>
      <c r="JU165" s="826"/>
      <c r="JV165" s="826"/>
      <c r="JW165" s="826"/>
      <c r="JX165" s="826"/>
    </row>
    <row r="166" spans="2:284" s="780" customFormat="1">
      <c r="B166" s="609"/>
      <c r="C166" s="609"/>
      <c r="D166" s="609"/>
      <c r="E166" s="609"/>
      <c r="F166" s="609"/>
      <c r="G166" s="609"/>
      <c r="H166" s="609"/>
      <c r="I166" s="609"/>
      <c r="J166" s="609"/>
      <c r="K166" s="609"/>
      <c r="L166" s="609"/>
      <c r="M166" s="609"/>
      <c r="N166" s="609"/>
      <c r="O166" s="609"/>
      <c r="P166" s="609"/>
      <c r="Q166" s="609"/>
      <c r="R166" s="609"/>
      <c r="S166" s="609"/>
      <c r="T166" s="609"/>
      <c r="U166" s="609"/>
      <c r="V166" s="609"/>
      <c r="W166" s="609"/>
      <c r="X166" s="609"/>
      <c r="Y166" s="609"/>
      <c r="Z166" s="609"/>
      <c r="AA166" s="609"/>
      <c r="AB166" s="609"/>
      <c r="AC166" s="609"/>
      <c r="AD166" s="816"/>
      <c r="AE166" s="816"/>
      <c r="AF166" s="816"/>
      <c r="AG166" s="816"/>
      <c r="AH166" s="816"/>
      <c r="AI166" s="816"/>
      <c r="AJ166" s="609"/>
      <c r="AK166" s="609"/>
      <c r="AL166" s="816"/>
      <c r="AM166" s="816"/>
      <c r="AN166" s="609"/>
      <c r="AO166" s="609"/>
      <c r="AP166" s="816"/>
      <c r="AQ166" s="816"/>
      <c r="AR166" s="816"/>
      <c r="AS166" s="816"/>
      <c r="AT166" s="816"/>
      <c r="AU166" s="816"/>
      <c r="AV166" s="609"/>
      <c r="AW166" s="609"/>
      <c r="AX166" s="816"/>
      <c r="AY166" s="816"/>
      <c r="AZ166" s="817"/>
      <c r="BA166" s="609"/>
      <c r="BB166" s="609"/>
      <c r="BC166" s="816"/>
      <c r="BD166" s="816"/>
      <c r="BE166" s="816"/>
      <c r="BF166" s="816"/>
      <c r="BG166" s="816"/>
      <c r="BH166" s="816"/>
      <c r="BI166" s="816"/>
      <c r="BJ166" s="816"/>
      <c r="BK166" s="816"/>
      <c r="BL166" s="816"/>
      <c r="BM166" s="816"/>
      <c r="BN166" s="816"/>
      <c r="BO166" s="816"/>
      <c r="BP166" s="816"/>
      <c r="BQ166" s="816"/>
      <c r="BR166" s="816"/>
      <c r="BS166" s="816"/>
      <c r="BT166" s="816"/>
      <c r="BU166" s="816"/>
      <c r="BV166" s="816"/>
      <c r="BW166" s="816"/>
      <c r="BX166" s="609"/>
      <c r="BY166" s="609"/>
      <c r="BZ166" s="609"/>
      <c r="CA166" s="818"/>
      <c r="CB166" s="816"/>
      <c r="CC166" s="816"/>
      <c r="CD166" s="816"/>
      <c r="CE166" s="816"/>
      <c r="CF166" s="816"/>
      <c r="CG166" s="816"/>
      <c r="CH166" s="816"/>
      <c r="CI166" s="816"/>
      <c r="CJ166" s="819"/>
      <c r="CK166" s="819"/>
      <c r="CL166" s="820"/>
      <c r="CM166" s="820"/>
      <c r="CN166" s="820"/>
      <c r="CO166" s="820"/>
      <c r="CP166" s="820"/>
      <c r="CQ166" s="820"/>
      <c r="CR166" s="609"/>
      <c r="CS166" s="609"/>
      <c r="CT166" s="816"/>
      <c r="CU166" s="816"/>
      <c r="CV166" s="609"/>
      <c r="CW166" s="609"/>
      <c r="CX166" s="816"/>
      <c r="CY166" s="816"/>
      <c r="CZ166" s="609"/>
      <c r="DA166" s="609"/>
      <c r="DB166" s="816"/>
      <c r="DC166" s="816"/>
      <c r="DD166" s="609"/>
      <c r="DE166" s="609"/>
      <c r="DF166" s="816"/>
      <c r="DG166" s="816"/>
      <c r="DH166" s="816"/>
      <c r="DI166" s="816"/>
      <c r="DJ166" s="816"/>
      <c r="DK166" s="816"/>
      <c r="DL166" s="609"/>
      <c r="DM166" s="609"/>
      <c r="DN166" s="816"/>
      <c r="DO166" s="816"/>
      <c r="DP166" s="609"/>
      <c r="DQ166" s="609"/>
      <c r="DR166" s="816"/>
      <c r="DS166" s="816"/>
      <c r="DT166" s="816"/>
      <c r="DU166" s="816"/>
      <c r="DV166" s="816"/>
      <c r="DW166" s="816"/>
      <c r="DX166" s="816"/>
      <c r="DY166" s="816"/>
      <c r="DZ166" s="816"/>
      <c r="EA166" s="816"/>
      <c r="EB166" s="816"/>
      <c r="EC166" s="816"/>
      <c r="ED166" s="816"/>
      <c r="EE166" s="816"/>
      <c r="EF166" s="609"/>
      <c r="EG166" s="609"/>
      <c r="EH166" s="816"/>
      <c r="EI166" s="816"/>
      <c r="EJ166" s="816"/>
      <c r="EK166" s="816"/>
      <c r="EL166" s="816"/>
      <c r="EM166" s="816"/>
      <c r="EN166" s="816"/>
      <c r="EO166" s="816"/>
      <c r="EP166" s="816"/>
      <c r="EQ166" s="816"/>
      <c r="ER166" s="816"/>
      <c r="ES166" s="816"/>
      <c r="ET166" s="816"/>
      <c r="EU166" s="816"/>
      <c r="EV166" s="609"/>
      <c r="EW166" s="609"/>
      <c r="EX166" s="816"/>
      <c r="EY166" s="816"/>
      <c r="EZ166" s="816"/>
      <c r="FA166" s="816"/>
      <c r="FB166" s="816"/>
      <c r="FC166" s="816"/>
      <c r="FD166" s="816"/>
      <c r="FE166" s="816"/>
      <c r="FF166" s="816"/>
      <c r="FG166" s="816"/>
      <c r="FH166" s="816"/>
      <c r="FI166" s="816"/>
      <c r="FJ166" s="816"/>
      <c r="FK166" s="816"/>
      <c r="FL166" s="816"/>
      <c r="FM166" s="816"/>
      <c r="FN166" s="816"/>
      <c r="FO166" s="816"/>
      <c r="FP166" s="816"/>
      <c r="FQ166" s="816"/>
      <c r="FR166" s="816"/>
      <c r="FS166" s="816"/>
      <c r="FT166" s="816"/>
      <c r="FU166" s="816"/>
      <c r="FV166" s="816"/>
      <c r="FW166" s="816"/>
      <c r="FX166" s="816"/>
      <c r="FY166" s="816"/>
      <c r="FZ166" s="819"/>
      <c r="GA166" s="816"/>
      <c r="GB166" s="820"/>
      <c r="GC166" s="820"/>
      <c r="GD166" s="820"/>
      <c r="GE166" s="820"/>
      <c r="GF166" s="609"/>
      <c r="GG166" s="609"/>
      <c r="GH166" s="816"/>
      <c r="GI166" s="816"/>
      <c r="GJ166" s="816"/>
      <c r="GK166" s="816"/>
      <c r="GL166" s="816"/>
      <c r="GM166" s="816"/>
      <c r="GN166" s="816"/>
      <c r="GO166" s="816"/>
      <c r="GP166" s="816"/>
      <c r="GQ166" s="816"/>
      <c r="GR166" s="816"/>
      <c r="GS166" s="816"/>
      <c r="GT166" s="818"/>
      <c r="GU166" s="816"/>
      <c r="GV166" s="816"/>
      <c r="GW166" s="816"/>
      <c r="GX166" s="816"/>
      <c r="GY166" s="816"/>
      <c r="GZ166" s="816"/>
      <c r="HA166" s="816"/>
      <c r="HB166" s="609"/>
      <c r="HC166" s="609"/>
      <c r="HD166" s="816"/>
      <c r="HE166" s="816"/>
      <c r="HF166" s="816"/>
      <c r="HG166" s="816"/>
      <c r="HH166" s="816"/>
      <c r="HI166" s="816"/>
      <c r="HJ166" s="609"/>
      <c r="HK166" s="609"/>
      <c r="HL166" s="609"/>
      <c r="HM166" s="816"/>
      <c r="HN166" s="816"/>
      <c r="HO166" s="609"/>
      <c r="HP166" s="609"/>
      <c r="HQ166" s="816"/>
      <c r="HR166" s="816"/>
      <c r="HS166" s="816"/>
      <c r="HT166" s="816"/>
      <c r="HU166" s="816"/>
      <c r="HV166" s="816"/>
      <c r="HW166" s="609"/>
      <c r="HX166" s="609"/>
      <c r="HY166" s="816"/>
      <c r="HZ166" s="816"/>
      <c r="IA166" s="816"/>
      <c r="IB166" s="816"/>
      <c r="IC166" s="816"/>
      <c r="ID166" s="816"/>
      <c r="IE166" s="609"/>
      <c r="IF166" s="609"/>
      <c r="IG166" s="816"/>
      <c r="IH166" s="816"/>
      <c r="II166" s="609"/>
      <c r="IJ166" s="609"/>
      <c r="IK166" s="816"/>
      <c r="IL166" s="816"/>
      <c r="IM166" s="609"/>
      <c r="IN166" s="609"/>
      <c r="IO166" s="816"/>
      <c r="IP166" s="816"/>
      <c r="IQ166" s="816"/>
      <c r="IR166" s="816"/>
      <c r="IS166" s="816"/>
      <c r="IT166" s="816"/>
      <c r="IU166" s="821"/>
      <c r="IV166" s="609"/>
      <c r="IW166" s="816"/>
      <c r="IX166" s="816"/>
      <c r="IY166" s="822"/>
      <c r="IZ166" s="609"/>
      <c r="JA166" s="816"/>
      <c r="JB166" s="816"/>
      <c r="JC166" s="609"/>
      <c r="JD166" s="816"/>
      <c r="JE166" s="816"/>
      <c r="JF166" s="816"/>
      <c r="JG166" s="816"/>
      <c r="JH166" s="816"/>
      <c r="JI166" s="816"/>
      <c r="JJ166" s="816"/>
      <c r="JK166" s="816"/>
      <c r="JL166" s="816"/>
      <c r="JM166" s="816"/>
      <c r="JN166" s="816"/>
      <c r="JO166" s="823"/>
      <c r="JP166" s="824"/>
      <c r="JQ166" s="825"/>
      <c r="JR166" s="825"/>
      <c r="JS166" s="816"/>
      <c r="JU166" s="826"/>
      <c r="JV166" s="826"/>
      <c r="JW166" s="826"/>
      <c r="JX166" s="826"/>
    </row>
    <row r="167" spans="2:284" s="780" customFormat="1">
      <c r="B167" s="609"/>
      <c r="C167" s="609"/>
      <c r="D167" s="609"/>
      <c r="E167" s="609"/>
      <c r="F167" s="609"/>
      <c r="G167" s="609"/>
      <c r="H167" s="609"/>
      <c r="I167" s="609"/>
      <c r="J167" s="609"/>
      <c r="K167" s="609"/>
      <c r="L167" s="609"/>
      <c r="M167" s="609"/>
      <c r="N167" s="609"/>
      <c r="O167" s="609"/>
      <c r="P167" s="609"/>
      <c r="Q167" s="609"/>
      <c r="R167" s="609"/>
      <c r="S167" s="609"/>
      <c r="T167" s="609"/>
      <c r="U167" s="609"/>
      <c r="V167" s="609"/>
      <c r="W167" s="609"/>
      <c r="X167" s="609"/>
      <c r="Y167" s="609"/>
      <c r="Z167" s="609"/>
      <c r="AA167" s="609"/>
      <c r="AB167" s="609"/>
      <c r="AC167" s="609"/>
      <c r="AD167" s="816"/>
      <c r="AE167" s="816"/>
      <c r="AF167" s="816"/>
      <c r="AG167" s="816"/>
      <c r="AH167" s="816"/>
      <c r="AI167" s="816"/>
      <c r="AJ167" s="609"/>
      <c r="AK167" s="609"/>
      <c r="AL167" s="816"/>
      <c r="AM167" s="816"/>
      <c r="AN167" s="609"/>
      <c r="AO167" s="609"/>
      <c r="AP167" s="816"/>
      <c r="AQ167" s="816"/>
      <c r="AR167" s="816"/>
      <c r="AS167" s="816"/>
      <c r="AT167" s="816"/>
      <c r="AU167" s="816"/>
      <c r="AV167" s="609"/>
      <c r="AW167" s="609"/>
      <c r="AX167" s="816"/>
      <c r="AY167" s="816"/>
      <c r="AZ167" s="817"/>
      <c r="BA167" s="609"/>
      <c r="BB167" s="609"/>
      <c r="BC167" s="816"/>
      <c r="BD167" s="816"/>
      <c r="BE167" s="816"/>
      <c r="BF167" s="816"/>
      <c r="BG167" s="816"/>
      <c r="BH167" s="816"/>
      <c r="BI167" s="816"/>
      <c r="BJ167" s="816"/>
      <c r="BK167" s="816"/>
      <c r="BL167" s="816"/>
      <c r="BM167" s="816"/>
      <c r="BN167" s="816"/>
      <c r="BO167" s="816"/>
      <c r="BP167" s="816"/>
      <c r="BQ167" s="816"/>
      <c r="BR167" s="816"/>
      <c r="BS167" s="816"/>
      <c r="BT167" s="816"/>
      <c r="BU167" s="816"/>
      <c r="BV167" s="816"/>
      <c r="BW167" s="816"/>
      <c r="BX167" s="609"/>
      <c r="BY167" s="609"/>
      <c r="BZ167" s="609"/>
      <c r="CA167" s="818"/>
      <c r="CB167" s="816"/>
      <c r="CC167" s="816"/>
      <c r="CD167" s="816"/>
      <c r="CE167" s="816"/>
      <c r="CF167" s="816"/>
      <c r="CG167" s="816"/>
      <c r="CH167" s="816"/>
      <c r="CI167" s="816"/>
      <c r="CJ167" s="819"/>
      <c r="CK167" s="819"/>
      <c r="CL167" s="820"/>
      <c r="CM167" s="820"/>
      <c r="CN167" s="820"/>
      <c r="CO167" s="820"/>
      <c r="CP167" s="820"/>
      <c r="CQ167" s="820"/>
      <c r="CR167" s="609"/>
      <c r="CS167" s="609"/>
      <c r="CT167" s="816"/>
      <c r="CU167" s="816"/>
      <c r="CV167" s="609"/>
      <c r="CW167" s="609"/>
      <c r="CX167" s="816"/>
      <c r="CY167" s="816"/>
      <c r="CZ167" s="609"/>
      <c r="DA167" s="609"/>
      <c r="DB167" s="816"/>
      <c r="DC167" s="816"/>
      <c r="DD167" s="609"/>
      <c r="DE167" s="609"/>
      <c r="DF167" s="816"/>
      <c r="DG167" s="816"/>
      <c r="DH167" s="816"/>
      <c r="DI167" s="816"/>
      <c r="DJ167" s="816"/>
      <c r="DK167" s="816"/>
      <c r="DL167" s="609"/>
      <c r="DM167" s="609"/>
      <c r="DN167" s="816"/>
      <c r="DO167" s="816"/>
      <c r="DP167" s="609"/>
      <c r="DQ167" s="609"/>
      <c r="DR167" s="816"/>
      <c r="DS167" s="816"/>
      <c r="DT167" s="816"/>
      <c r="DU167" s="816"/>
      <c r="DV167" s="816"/>
      <c r="DW167" s="816"/>
      <c r="DX167" s="816"/>
      <c r="DY167" s="816"/>
      <c r="DZ167" s="816"/>
      <c r="EA167" s="816"/>
      <c r="EB167" s="816"/>
      <c r="EC167" s="816"/>
      <c r="ED167" s="816"/>
      <c r="EE167" s="816"/>
      <c r="EF167" s="609"/>
      <c r="EG167" s="609"/>
      <c r="EH167" s="816"/>
      <c r="EI167" s="816"/>
      <c r="EJ167" s="816"/>
      <c r="EK167" s="816"/>
      <c r="EL167" s="816"/>
      <c r="EM167" s="816"/>
      <c r="EN167" s="816"/>
      <c r="EO167" s="816"/>
      <c r="EP167" s="816"/>
      <c r="EQ167" s="816"/>
      <c r="ER167" s="816"/>
      <c r="ES167" s="816"/>
      <c r="ET167" s="816"/>
      <c r="EU167" s="816"/>
      <c r="EV167" s="609"/>
      <c r="EW167" s="609"/>
      <c r="EX167" s="816"/>
      <c r="EY167" s="816"/>
      <c r="EZ167" s="816"/>
      <c r="FA167" s="816"/>
      <c r="FB167" s="816"/>
      <c r="FC167" s="816"/>
      <c r="FD167" s="816"/>
      <c r="FE167" s="816"/>
      <c r="FF167" s="816"/>
      <c r="FG167" s="816"/>
      <c r="FH167" s="816"/>
      <c r="FI167" s="816"/>
      <c r="FJ167" s="816"/>
      <c r="FK167" s="816"/>
      <c r="FL167" s="816"/>
      <c r="FM167" s="816"/>
      <c r="FN167" s="816"/>
      <c r="FO167" s="816"/>
      <c r="FP167" s="816"/>
      <c r="FQ167" s="816"/>
      <c r="FR167" s="816"/>
      <c r="FS167" s="816"/>
      <c r="FT167" s="816"/>
      <c r="FU167" s="816"/>
      <c r="FV167" s="816"/>
      <c r="FW167" s="816"/>
      <c r="FX167" s="816"/>
      <c r="FY167" s="816"/>
      <c r="FZ167" s="819"/>
      <c r="GA167" s="816"/>
      <c r="GB167" s="820"/>
      <c r="GC167" s="820"/>
      <c r="GD167" s="820"/>
      <c r="GE167" s="820"/>
      <c r="GF167" s="609"/>
      <c r="GG167" s="609"/>
      <c r="GH167" s="816"/>
      <c r="GI167" s="816"/>
      <c r="GJ167" s="816"/>
      <c r="GK167" s="816"/>
      <c r="GL167" s="816"/>
      <c r="GM167" s="816"/>
      <c r="GN167" s="816"/>
      <c r="GO167" s="816"/>
      <c r="GP167" s="816"/>
      <c r="GQ167" s="816"/>
      <c r="GR167" s="816"/>
      <c r="GS167" s="816"/>
      <c r="GT167" s="818"/>
      <c r="GU167" s="816"/>
      <c r="GV167" s="816"/>
      <c r="GW167" s="816"/>
      <c r="GX167" s="816"/>
      <c r="GY167" s="816"/>
      <c r="GZ167" s="816"/>
      <c r="HA167" s="816"/>
      <c r="HB167" s="609"/>
      <c r="HC167" s="609"/>
      <c r="HD167" s="816"/>
      <c r="HE167" s="816"/>
      <c r="HF167" s="816"/>
      <c r="HG167" s="816"/>
      <c r="HH167" s="816"/>
      <c r="HI167" s="816"/>
      <c r="HJ167" s="609"/>
      <c r="HK167" s="609"/>
      <c r="HL167" s="609"/>
      <c r="HM167" s="816"/>
      <c r="HN167" s="816"/>
      <c r="HO167" s="609"/>
      <c r="HP167" s="609"/>
      <c r="HQ167" s="816"/>
      <c r="HR167" s="816"/>
      <c r="HS167" s="816"/>
      <c r="HT167" s="816"/>
      <c r="HU167" s="816"/>
      <c r="HV167" s="816"/>
      <c r="HW167" s="609"/>
      <c r="HX167" s="609"/>
      <c r="HY167" s="816"/>
      <c r="HZ167" s="816"/>
      <c r="IA167" s="816"/>
      <c r="IB167" s="816"/>
      <c r="IC167" s="816"/>
      <c r="ID167" s="816"/>
      <c r="IE167" s="609"/>
      <c r="IF167" s="609"/>
      <c r="IG167" s="816"/>
      <c r="IH167" s="816"/>
      <c r="II167" s="609"/>
      <c r="IJ167" s="609"/>
      <c r="IK167" s="816"/>
      <c r="IL167" s="816"/>
      <c r="IM167" s="609"/>
      <c r="IN167" s="609"/>
      <c r="IO167" s="816"/>
      <c r="IP167" s="816"/>
      <c r="IQ167" s="816"/>
      <c r="IR167" s="816"/>
      <c r="IS167" s="816"/>
      <c r="IT167" s="816"/>
      <c r="IU167" s="821"/>
      <c r="IV167" s="609"/>
      <c r="IW167" s="816"/>
      <c r="IX167" s="816"/>
      <c r="IY167" s="822"/>
      <c r="IZ167" s="609"/>
      <c r="JA167" s="816"/>
      <c r="JB167" s="816"/>
      <c r="JC167" s="609"/>
      <c r="JD167" s="816"/>
      <c r="JE167" s="816"/>
      <c r="JF167" s="816"/>
      <c r="JG167" s="816"/>
      <c r="JH167" s="816"/>
      <c r="JI167" s="816"/>
      <c r="JJ167" s="816"/>
      <c r="JK167" s="816"/>
      <c r="JL167" s="816"/>
      <c r="JM167" s="816"/>
      <c r="JN167" s="816"/>
      <c r="JO167" s="823"/>
      <c r="JP167" s="824"/>
      <c r="JQ167" s="825"/>
      <c r="JR167" s="825"/>
      <c r="JS167" s="816"/>
      <c r="JU167" s="826"/>
      <c r="JV167" s="826"/>
      <c r="JW167" s="826"/>
      <c r="JX167" s="826"/>
    </row>
    <row r="168" spans="2:284" s="780" customFormat="1"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09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816"/>
      <c r="AE168" s="816"/>
      <c r="AF168" s="816"/>
      <c r="AG168" s="816"/>
      <c r="AH168" s="816"/>
      <c r="AI168" s="816"/>
      <c r="AJ168" s="609"/>
      <c r="AK168" s="609"/>
      <c r="AL168" s="816"/>
      <c r="AM168" s="816"/>
      <c r="AN168" s="609"/>
      <c r="AO168" s="609"/>
      <c r="AP168" s="816"/>
      <c r="AQ168" s="816"/>
      <c r="AR168" s="816"/>
      <c r="AS168" s="816"/>
      <c r="AT168" s="816"/>
      <c r="AU168" s="816"/>
      <c r="AV168" s="609"/>
      <c r="AW168" s="609"/>
      <c r="AX168" s="816"/>
      <c r="AY168" s="816"/>
      <c r="AZ168" s="817"/>
      <c r="BA168" s="609"/>
      <c r="BB168" s="609"/>
      <c r="BC168" s="816"/>
      <c r="BD168" s="816"/>
      <c r="BE168" s="816"/>
      <c r="BF168" s="816"/>
      <c r="BG168" s="816"/>
      <c r="BH168" s="816"/>
      <c r="BI168" s="816"/>
      <c r="BJ168" s="816"/>
      <c r="BK168" s="816"/>
      <c r="BL168" s="816"/>
      <c r="BM168" s="816"/>
      <c r="BN168" s="816"/>
      <c r="BO168" s="816"/>
      <c r="BP168" s="816"/>
      <c r="BQ168" s="816"/>
      <c r="BR168" s="816"/>
      <c r="BS168" s="816"/>
      <c r="BT168" s="816"/>
      <c r="BU168" s="816"/>
      <c r="BV168" s="816"/>
      <c r="BW168" s="816"/>
      <c r="BX168" s="609"/>
      <c r="BY168" s="609"/>
      <c r="BZ168" s="609"/>
      <c r="CA168" s="818"/>
      <c r="CB168" s="816"/>
      <c r="CC168" s="816"/>
      <c r="CD168" s="816"/>
      <c r="CE168" s="816"/>
      <c r="CF168" s="816"/>
      <c r="CG168" s="816"/>
      <c r="CH168" s="816"/>
      <c r="CI168" s="816"/>
      <c r="CJ168" s="819"/>
      <c r="CK168" s="819"/>
      <c r="CL168" s="820"/>
      <c r="CM168" s="820"/>
      <c r="CN168" s="820"/>
      <c r="CO168" s="820"/>
      <c r="CP168" s="820"/>
      <c r="CQ168" s="820"/>
      <c r="CR168" s="609"/>
      <c r="CS168" s="609"/>
      <c r="CT168" s="816"/>
      <c r="CU168" s="816"/>
      <c r="CV168" s="609"/>
      <c r="CW168" s="609"/>
      <c r="CX168" s="816"/>
      <c r="CY168" s="816"/>
      <c r="CZ168" s="609"/>
      <c r="DA168" s="609"/>
      <c r="DB168" s="816"/>
      <c r="DC168" s="816"/>
      <c r="DD168" s="609"/>
      <c r="DE168" s="609"/>
      <c r="DF168" s="816"/>
      <c r="DG168" s="816"/>
      <c r="DH168" s="816"/>
      <c r="DI168" s="816"/>
      <c r="DJ168" s="816"/>
      <c r="DK168" s="816"/>
      <c r="DL168" s="609"/>
      <c r="DM168" s="609"/>
      <c r="DN168" s="816"/>
      <c r="DO168" s="816"/>
      <c r="DP168" s="609"/>
      <c r="DQ168" s="609"/>
      <c r="DR168" s="816"/>
      <c r="DS168" s="816"/>
      <c r="DT168" s="816"/>
      <c r="DU168" s="816"/>
      <c r="DV168" s="816"/>
      <c r="DW168" s="816"/>
      <c r="DX168" s="816"/>
      <c r="DY168" s="816"/>
      <c r="DZ168" s="816"/>
      <c r="EA168" s="816"/>
      <c r="EB168" s="816"/>
      <c r="EC168" s="816"/>
      <c r="ED168" s="816"/>
      <c r="EE168" s="816"/>
      <c r="EF168" s="609"/>
      <c r="EG168" s="609"/>
      <c r="EH168" s="816"/>
      <c r="EI168" s="816"/>
      <c r="EJ168" s="816"/>
      <c r="EK168" s="816"/>
      <c r="EL168" s="816"/>
      <c r="EM168" s="816"/>
      <c r="EN168" s="816"/>
      <c r="EO168" s="816"/>
      <c r="EP168" s="816"/>
      <c r="EQ168" s="816"/>
      <c r="ER168" s="816"/>
      <c r="ES168" s="816"/>
      <c r="ET168" s="816"/>
      <c r="EU168" s="816"/>
      <c r="EV168" s="609"/>
      <c r="EW168" s="609"/>
      <c r="EX168" s="816"/>
      <c r="EY168" s="816"/>
      <c r="EZ168" s="816"/>
      <c r="FA168" s="816"/>
      <c r="FB168" s="816"/>
      <c r="FC168" s="816"/>
      <c r="FD168" s="816"/>
      <c r="FE168" s="816"/>
      <c r="FF168" s="816"/>
      <c r="FG168" s="816"/>
      <c r="FH168" s="816"/>
      <c r="FI168" s="816"/>
      <c r="FJ168" s="816"/>
      <c r="FK168" s="816"/>
      <c r="FL168" s="816"/>
      <c r="FM168" s="816"/>
      <c r="FN168" s="816"/>
      <c r="FO168" s="816"/>
      <c r="FP168" s="816"/>
      <c r="FQ168" s="816"/>
      <c r="FR168" s="816"/>
      <c r="FS168" s="816"/>
      <c r="FT168" s="816"/>
      <c r="FU168" s="816"/>
      <c r="FV168" s="816"/>
      <c r="FW168" s="816"/>
      <c r="FX168" s="816"/>
      <c r="FY168" s="816"/>
      <c r="FZ168" s="819"/>
      <c r="GA168" s="816"/>
      <c r="GB168" s="820"/>
      <c r="GC168" s="820"/>
      <c r="GD168" s="820"/>
      <c r="GE168" s="820"/>
      <c r="GF168" s="609"/>
      <c r="GG168" s="609"/>
      <c r="GH168" s="816"/>
      <c r="GI168" s="816"/>
      <c r="GJ168" s="816"/>
      <c r="GK168" s="816"/>
      <c r="GL168" s="816"/>
      <c r="GM168" s="816"/>
      <c r="GN168" s="816"/>
      <c r="GO168" s="816"/>
      <c r="GP168" s="816"/>
      <c r="GQ168" s="816"/>
      <c r="GR168" s="816"/>
      <c r="GS168" s="816"/>
      <c r="GT168" s="818"/>
      <c r="GU168" s="816"/>
      <c r="GV168" s="816"/>
      <c r="GW168" s="816"/>
      <c r="GX168" s="816"/>
      <c r="GY168" s="816"/>
      <c r="GZ168" s="816"/>
      <c r="HA168" s="816"/>
      <c r="HB168" s="609"/>
      <c r="HC168" s="609"/>
      <c r="HD168" s="816"/>
      <c r="HE168" s="816"/>
      <c r="HF168" s="816"/>
      <c r="HG168" s="816"/>
      <c r="HH168" s="816"/>
      <c r="HI168" s="816"/>
      <c r="HJ168" s="609"/>
      <c r="HK168" s="609"/>
      <c r="HL168" s="609"/>
      <c r="HM168" s="816"/>
      <c r="HN168" s="816"/>
      <c r="HO168" s="609"/>
      <c r="HP168" s="609"/>
      <c r="HQ168" s="816"/>
      <c r="HR168" s="816"/>
      <c r="HS168" s="816"/>
      <c r="HT168" s="816"/>
      <c r="HU168" s="816"/>
      <c r="HV168" s="816"/>
      <c r="HW168" s="609"/>
      <c r="HX168" s="609"/>
      <c r="HY168" s="816"/>
      <c r="HZ168" s="816"/>
      <c r="IA168" s="816"/>
      <c r="IB168" s="816"/>
      <c r="IC168" s="816"/>
      <c r="ID168" s="816"/>
      <c r="IE168" s="609"/>
      <c r="IF168" s="609"/>
      <c r="IG168" s="816"/>
      <c r="IH168" s="816"/>
      <c r="II168" s="609"/>
      <c r="IJ168" s="609"/>
      <c r="IK168" s="816"/>
      <c r="IL168" s="816"/>
      <c r="IM168" s="609"/>
      <c r="IN168" s="609"/>
      <c r="IO168" s="816"/>
      <c r="IP168" s="816"/>
      <c r="IQ168" s="816"/>
      <c r="IR168" s="816"/>
      <c r="IS168" s="816"/>
      <c r="IT168" s="816"/>
      <c r="IU168" s="821"/>
      <c r="IV168" s="609"/>
      <c r="IW168" s="816"/>
      <c r="IX168" s="816"/>
      <c r="IY168" s="822"/>
      <c r="IZ168" s="609"/>
      <c r="JA168" s="816"/>
      <c r="JB168" s="816"/>
      <c r="JC168" s="609"/>
      <c r="JD168" s="816"/>
      <c r="JE168" s="816"/>
      <c r="JF168" s="816"/>
      <c r="JG168" s="816"/>
      <c r="JH168" s="816"/>
      <c r="JI168" s="816"/>
      <c r="JJ168" s="816"/>
      <c r="JK168" s="816"/>
      <c r="JL168" s="816"/>
      <c r="JM168" s="816"/>
      <c r="JN168" s="816"/>
      <c r="JO168" s="823"/>
      <c r="JP168" s="824"/>
      <c r="JQ168" s="825"/>
      <c r="JR168" s="825"/>
      <c r="JS168" s="816"/>
      <c r="JU168" s="826"/>
      <c r="JV168" s="826"/>
      <c r="JW168" s="826"/>
      <c r="JX168" s="826"/>
    </row>
    <row r="169" spans="2:284" s="780" customFormat="1"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09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816"/>
      <c r="AE169" s="816"/>
      <c r="AF169" s="816"/>
      <c r="AG169" s="816"/>
      <c r="AH169" s="816"/>
      <c r="AI169" s="816"/>
      <c r="AJ169" s="609"/>
      <c r="AK169" s="609"/>
      <c r="AL169" s="816"/>
      <c r="AM169" s="816"/>
      <c r="AN169" s="609"/>
      <c r="AO169" s="609"/>
      <c r="AP169" s="816"/>
      <c r="AQ169" s="816"/>
      <c r="AR169" s="816"/>
      <c r="AS169" s="816"/>
      <c r="AT169" s="816"/>
      <c r="AU169" s="816"/>
      <c r="AV169" s="609"/>
      <c r="AW169" s="609"/>
      <c r="AX169" s="816"/>
      <c r="AY169" s="816"/>
      <c r="AZ169" s="817"/>
      <c r="BA169" s="609"/>
      <c r="BB169" s="609"/>
      <c r="BC169" s="816"/>
      <c r="BD169" s="816"/>
      <c r="BE169" s="816"/>
      <c r="BF169" s="816"/>
      <c r="BG169" s="816"/>
      <c r="BH169" s="816"/>
      <c r="BI169" s="816"/>
      <c r="BJ169" s="816"/>
      <c r="BK169" s="816"/>
      <c r="BL169" s="816"/>
      <c r="BM169" s="816"/>
      <c r="BN169" s="816"/>
      <c r="BO169" s="816"/>
      <c r="BP169" s="816"/>
      <c r="BQ169" s="816"/>
      <c r="BR169" s="816"/>
      <c r="BS169" s="816"/>
      <c r="BT169" s="816"/>
      <c r="BU169" s="816"/>
      <c r="BV169" s="816"/>
      <c r="BW169" s="816"/>
      <c r="BX169" s="609"/>
      <c r="BY169" s="609"/>
      <c r="BZ169" s="609"/>
      <c r="CA169" s="818"/>
      <c r="CB169" s="816"/>
      <c r="CC169" s="816"/>
      <c r="CD169" s="816"/>
      <c r="CE169" s="816"/>
      <c r="CF169" s="816"/>
      <c r="CG169" s="816"/>
      <c r="CH169" s="816"/>
      <c r="CI169" s="816"/>
      <c r="CJ169" s="819"/>
      <c r="CK169" s="819"/>
      <c r="CL169" s="820"/>
      <c r="CM169" s="820"/>
      <c r="CN169" s="820"/>
      <c r="CO169" s="820"/>
      <c r="CP169" s="820"/>
      <c r="CQ169" s="820"/>
      <c r="CR169" s="609"/>
      <c r="CS169" s="609"/>
      <c r="CT169" s="816"/>
      <c r="CU169" s="816"/>
      <c r="CV169" s="609"/>
      <c r="CW169" s="609"/>
      <c r="CX169" s="816"/>
      <c r="CY169" s="816"/>
      <c r="CZ169" s="609"/>
      <c r="DA169" s="609"/>
      <c r="DB169" s="816"/>
      <c r="DC169" s="816"/>
      <c r="DD169" s="609"/>
      <c r="DE169" s="609"/>
      <c r="DF169" s="816"/>
      <c r="DG169" s="816"/>
      <c r="DH169" s="816"/>
      <c r="DI169" s="816"/>
      <c r="DJ169" s="816"/>
      <c r="DK169" s="816"/>
      <c r="DL169" s="609"/>
      <c r="DM169" s="609"/>
      <c r="DN169" s="816"/>
      <c r="DO169" s="816"/>
      <c r="DP169" s="609"/>
      <c r="DQ169" s="609"/>
      <c r="DR169" s="816"/>
      <c r="DS169" s="816"/>
      <c r="DT169" s="816"/>
      <c r="DU169" s="816"/>
      <c r="DV169" s="816"/>
      <c r="DW169" s="816"/>
      <c r="DX169" s="816"/>
      <c r="DY169" s="816"/>
      <c r="DZ169" s="816"/>
      <c r="EA169" s="816"/>
      <c r="EB169" s="816"/>
      <c r="EC169" s="816"/>
      <c r="ED169" s="816"/>
      <c r="EE169" s="816"/>
      <c r="EF169" s="609"/>
      <c r="EG169" s="609"/>
      <c r="EH169" s="816"/>
      <c r="EI169" s="816"/>
      <c r="EJ169" s="816"/>
      <c r="EK169" s="816"/>
      <c r="EL169" s="816"/>
      <c r="EM169" s="816"/>
      <c r="EN169" s="816"/>
      <c r="EO169" s="816"/>
      <c r="EP169" s="816"/>
      <c r="EQ169" s="816"/>
      <c r="ER169" s="816"/>
      <c r="ES169" s="816"/>
      <c r="ET169" s="816"/>
      <c r="EU169" s="816"/>
      <c r="EV169" s="609"/>
      <c r="EW169" s="609"/>
      <c r="EX169" s="816"/>
      <c r="EY169" s="816"/>
      <c r="EZ169" s="816"/>
      <c r="FA169" s="816"/>
      <c r="FB169" s="816"/>
      <c r="FC169" s="816"/>
      <c r="FD169" s="816"/>
      <c r="FE169" s="816"/>
      <c r="FF169" s="816"/>
      <c r="FG169" s="816"/>
      <c r="FH169" s="816"/>
      <c r="FI169" s="816"/>
      <c r="FJ169" s="816"/>
      <c r="FK169" s="816"/>
      <c r="FL169" s="816"/>
      <c r="FM169" s="816"/>
      <c r="FN169" s="816"/>
      <c r="FO169" s="816"/>
      <c r="FP169" s="816"/>
      <c r="FQ169" s="816"/>
      <c r="FR169" s="816"/>
      <c r="FS169" s="816"/>
      <c r="FT169" s="816"/>
      <c r="FU169" s="816"/>
      <c r="FV169" s="816"/>
      <c r="FW169" s="816"/>
      <c r="FX169" s="816"/>
      <c r="FY169" s="816"/>
      <c r="FZ169" s="819"/>
      <c r="GA169" s="816"/>
      <c r="GB169" s="820"/>
      <c r="GC169" s="820"/>
      <c r="GD169" s="820"/>
      <c r="GE169" s="820"/>
      <c r="GF169" s="609"/>
      <c r="GG169" s="609"/>
      <c r="GH169" s="816"/>
      <c r="GI169" s="816"/>
      <c r="GJ169" s="816"/>
      <c r="GK169" s="816"/>
      <c r="GL169" s="816"/>
      <c r="GM169" s="816"/>
      <c r="GN169" s="816"/>
      <c r="GO169" s="816"/>
      <c r="GP169" s="816"/>
      <c r="GQ169" s="816"/>
      <c r="GR169" s="816"/>
      <c r="GS169" s="816"/>
      <c r="GT169" s="818"/>
      <c r="GU169" s="816"/>
      <c r="GV169" s="816"/>
      <c r="GW169" s="816"/>
      <c r="GX169" s="816"/>
      <c r="GY169" s="816"/>
      <c r="GZ169" s="816"/>
      <c r="HA169" s="816"/>
      <c r="HB169" s="609"/>
      <c r="HC169" s="609"/>
      <c r="HD169" s="816"/>
      <c r="HE169" s="816"/>
      <c r="HF169" s="816"/>
      <c r="HG169" s="816"/>
      <c r="HH169" s="816"/>
      <c r="HI169" s="816"/>
      <c r="HJ169" s="609"/>
      <c r="HK169" s="609"/>
      <c r="HL169" s="609"/>
      <c r="HM169" s="816"/>
      <c r="HN169" s="816"/>
      <c r="HO169" s="609"/>
      <c r="HP169" s="609"/>
      <c r="HQ169" s="816"/>
      <c r="HR169" s="816"/>
      <c r="HS169" s="816"/>
      <c r="HT169" s="816"/>
      <c r="HU169" s="816"/>
      <c r="HV169" s="816"/>
      <c r="HW169" s="609"/>
      <c r="HX169" s="609"/>
      <c r="HY169" s="816"/>
      <c r="HZ169" s="816"/>
      <c r="IA169" s="816"/>
      <c r="IB169" s="816"/>
      <c r="IC169" s="816"/>
      <c r="ID169" s="816"/>
      <c r="IE169" s="609"/>
      <c r="IF169" s="609"/>
      <c r="IG169" s="816"/>
      <c r="IH169" s="816"/>
      <c r="II169" s="609"/>
      <c r="IJ169" s="609"/>
      <c r="IK169" s="816"/>
      <c r="IL169" s="816"/>
      <c r="IM169" s="609"/>
      <c r="IN169" s="609"/>
      <c r="IO169" s="816"/>
      <c r="IP169" s="816"/>
      <c r="IQ169" s="816"/>
      <c r="IR169" s="816"/>
      <c r="IS169" s="816"/>
      <c r="IT169" s="816"/>
      <c r="IU169" s="821"/>
      <c r="IV169" s="609"/>
      <c r="IW169" s="816"/>
      <c r="IX169" s="816"/>
      <c r="IY169" s="822"/>
      <c r="IZ169" s="609"/>
      <c r="JA169" s="816"/>
      <c r="JB169" s="816"/>
      <c r="JC169" s="609"/>
      <c r="JD169" s="816"/>
      <c r="JE169" s="816"/>
      <c r="JF169" s="816"/>
      <c r="JG169" s="816"/>
      <c r="JH169" s="816"/>
      <c r="JI169" s="816"/>
      <c r="JJ169" s="816"/>
      <c r="JK169" s="816"/>
      <c r="JL169" s="816"/>
      <c r="JM169" s="816"/>
      <c r="JN169" s="816"/>
      <c r="JO169" s="823"/>
      <c r="JP169" s="824"/>
      <c r="JQ169" s="825"/>
      <c r="JR169" s="825"/>
      <c r="JS169" s="816"/>
      <c r="JU169" s="826"/>
      <c r="JV169" s="826"/>
      <c r="JW169" s="826"/>
      <c r="JX169" s="826"/>
    </row>
    <row r="170" spans="2:284" s="780" customFormat="1">
      <c r="B170" s="609"/>
      <c r="C170" s="609"/>
      <c r="D170" s="609"/>
      <c r="E170" s="609"/>
      <c r="F170" s="609"/>
      <c r="G170" s="609"/>
      <c r="H170" s="609"/>
      <c r="I170" s="609"/>
      <c r="J170" s="609"/>
      <c r="K170" s="609"/>
      <c r="L170" s="609"/>
      <c r="M170" s="609"/>
      <c r="N170" s="609"/>
      <c r="O170" s="609"/>
      <c r="P170" s="609"/>
      <c r="Q170" s="609"/>
      <c r="R170" s="609"/>
      <c r="S170" s="609"/>
      <c r="T170" s="609"/>
      <c r="U170" s="609"/>
      <c r="V170" s="609"/>
      <c r="W170" s="609"/>
      <c r="X170" s="609"/>
      <c r="Y170" s="609"/>
      <c r="Z170" s="609"/>
      <c r="AA170" s="609"/>
      <c r="AB170" s="609"/>
      <c r="AC170" s="609"/>
      <c r="AD170" s="816"/>
      <c r="AE170" s="816"/>
      <c r="AF170" s="816"/>
      <c r="AG170" s="816"/>
      <c r="AH170" s="816"/>
      <c r="AI170" s="816"/>
      <c r="AJ170" s="609"/>
      <c r="AK170" s="609"/>
      <c r="AL170" s="816"/>
      <c r="AM170" s="816"/>
      <c r="AN170" s="609"/>
      <c r="AO170" s="609"/>
      <c r="AP170" s="816"/>
      <c r="AQ170" s="816"/>
      <c r="AR170" s="816"/>
      <c r="AS170" s="816"/>
      <c r="AT170" s="816"/>
      <c r="AU170" s="816"/>
      <c r="AV170" s="609"/>
      <c r="AW170" s="609"/>
      <c r="AX170" s="816"/>
      <c r="AY170" s="816"/>
      <c r="AZ170" s="817"/>
      <c r="BA170" s="609"/>
      <c r="BB170" s="609"/>
      <c r="BC170" s="816"/>
      <c r="BD170" s="816"/>
      <c r="BE170" s="816"/>
      <c r="BF170" s="816"/>
      <c r="BG170" s="816"/>
      <c r="BH170" s="816"/>
      <c r="BI170" s="816"/>
      <c r="BJ170" s="816"/>
      <c r="BK170" s="816"/>
      <c r="BL170" s="816"/>
      <c r="BM170" s="816"/>
      <c r="BN170" s="816"/>
      <c r="BO170" s="816"/>
      <c r="BP170" s="816"/>
      <c r="BQ170" s="816"/>
      <c r="BR170" s="816"/>
      <c r="BS170" s="816"/>
      <c r="BT170" s="816"/>
      <c r="BU170" s="816"/>
      <c r="BV170" s="816"/>
      <c r="BW170" s="816"/>
      <c r="BX170" s="609"/>
      <c r="BY170" s="609"/>
      <c r="BZ170" s="609"/>
      <c r="CA170" s="818"/>
      <c r="CB170" s="816"/>
      <c r="CC170" s="816"/>
      <c r="CD170" s="816"/>
      <c r="CE170" s="816"/>
      <c r="CF170" s="816"/>
      <c r="CG170" s="816"/>
      <c r="CH170" s="816"/>
      <c r="CI170" s="816"/>
      <c r="CJ170" s="819"/>
      <c r="CK170" s="819"/>
      <c r="CL170" s="820"/>
      <c r="CM170" s="820"/>
      <c r="CN170" s="820"/>
      <c r="CO170" s="820"/>
      <c r="CP170" s="820"/>
      <c r="CQ170" s="820"/>
      <c r="CR170" s="609"/>
      <c r="CS170" s="609"/>
      <c r="CT170" s="816"/>
      <c r="CU170" s="816"/>
      <c r="CV170" s="609"/>
      <c r="CW170" s="609"/>
      <c r="CX170" s="816"/>
      <c r="CY170" s="816"/>
      <c r="CZ170" s="609"/>
      <c r="DA170" s="609"/>
      <c r="DB170" s="816"/>
      <c r="DC170" s="816"/>
      <c r="DD170" s="609"/>
      <c r="DE170" s="609"/>
      <c r="DF170" s="816"/>
      <c r="DG170" s="816"/>
      <c r="DH170" s="816"/>
      <c r="DI170" s="816"/>
      <c r="DJ170" s="816"/>
      <c r="DK170" s="816"/>
      <c r="DL170" s="609"/>
      <c r="DM170" s="609"/>
      <c r="DN170" s="816"/>
      <c r="DO170" s="816"/>
      <c r="DP170" s="609"/>
      <c r="DQ170" s="609"/>
      <c r="DR170" s="816"/>
      <c r="DS170" s="816"/>
      <c r="DT170" s="816"/>
      <c r="DU170" s="816"/>
      <c r="DV170" s="816"/>
      <c r="DW170" s="816"/>
      <c r="DX170" s="816"/>
      <c r="DY170" s="816"/>
      <c r="DZ170" s="816"/>
      <c r="EA170" s="816"/>
      <c r="EB170" s="816"/>
      <c r="EC170" s="816"/>
      <c r="ED170" s="816"/>
      <c r="EE170" s="816"/>
      <c r="EF170" s="609"/>
      <c r="EG170" s="609"/>
      <c r="EH170" s="816"/>
      <c r="EI170" s="816"/>
      <c r="EJ170" s="816"/>
      <c r="EK170" s="816"/>
      <c r="EL170" s="816"/>
      <c r="EM170" s="816"/>
      <c r="EN170" s="816"/>
      <c r="EO170" s="816"/>
      <c r="EP170" s="816"/>
      <c r="EQ170" s="816"/>
      <c r="ER170" s="816"/>
      <c r="ES170" s="816"/>
      <c r="ET170" s="816"/>
      <c r="EU170" s="816"/>
      <c r="EV170" s="609"/>
      <c r="EW170" s="609"/>
      <c r="EX170" s="816"/>
      <c r="EY170" s="816"/>
      <c r="EZ170" s="816"/>
      <c r="FA170" s="816"/>
      <c r="FB170" s="816"/>
      <c r="FC170" s="816"/>
      <c r="FD170" s="816"/>
      <c r="FE170" s="816"/>
      <c r="FF170" s="816"/>
      <c r="FG170" s="816"/>
      <c r="FH170" s="816"/>
      <c r="FI170" s="816"/>
      <c r="FJ170" s="816"/>
      <c r="FK170" s="816"/>
      <c r="FL170" s="816"/>
      <c r="FM170" s="816"/>
      <c r="FN170" s="816"/>
      <c r="FO170" s="816"/>
      <c r="FP170" s="816"/>
      <c r="FQ170" s="816"/>
      <c r="FR170" s="816"/>
      <c r="FS170" s="816"/>
      <c r="FT170" s="816"/>
      <c r="FU170" s="816"/>
      <c r="FV170" s="816"/>
      <c r="FW170" s="816"/>
      <c r="FX170" s="816"/>
      <c r="FY170" s="816"/>
      <c r="FZ170" s="819"/>
      <c r="GA170" s="816"/>
      <c r="GB170" s="820"/>
      <c r="GC170" s="820"/>
      <c r="GD170" s="820"/>
      <c r="GE170" s="820"/>
      <c r="GF170" s="609"/>
      <c r="GG170" s="609"/>
      <c r="GH170" s="816"/>
      <c r="GI170" s="816"/>
      <c r="GJ170" s="816"/>
      <c r="GK170" s="816"/>
      <c r="GL170" s="816"/>
      <c r="GM170" s="816"/>
      <c r="GN170" s="816"/>
      <c r="GO170" s="816"/>
      <c r="GP170" s="816"/>
      <c r="GQ170" s="816"/>
      <c r="GR170" s="816"/>
      <c r="GS170" s="816"/>
      <c r="GT170" s="818"/>
      <c r="GU170" s="816"/>
      <c r="GV170" s="816"/>
      <c r="GW170" s="816"/>
      <c r="GX170" s="816"/>
      <c r="GY170" s="816"/>
      <c r="GZ170" s="816"/>
      <c r="HA170" s="816"/>
      <c r="HB170" s="609"/>
      <c r="HC170" s="609"/>
      <c r="HD170" s="816"/>
      <c r="HE170" s="816"/>
      <c r="HF170" s="816"/>
      <c r="HG170" s="816"/>
      <c r="HH170" s="816"/>
      <c r="HI170" s="816"/>
      <c r="HJ170" s="609"/>
      <c r="HK170" s="609"/>
      <c r="HL170" s="609"/>
      <c r="HM170" s="816"/>
      <c r="HN170" s="816"/>
      <c r="HO170" s="609"/>
      <c r="HP170" s="609"/>
      <c r="HQ170" s="816"/>
      <c r="HR170" s="816"/>
      <c r="HS170" s="816"/>
      <c r="HT170" s="816"/>
      <c r="HU170" s="816"/>
      <c r="HV170" s="816"/>
      <c r="HW170" s="609"/>
      <c r="HX170" s="609"/>
      <c r="HY170" s="816"/>
      <c r="HZ170" s="816"/>
      <c r="IA170" s="816"/>
      <c r="IB170" s="816"/>
      <c r="IC170" s="816"/>
      <c r="ID170" s="816"/>
      <c r="IE170" s="609"/>
      <c r="IF170" s="609"/>
      <c r="IG170" s="816"/>
      <c r="IH170" s="816"/>
      <c r="II170" s="609"/>
      <c r="IJ170" s="609"/>
      <c r="IK170" s="816"/>
      <c r="IL170" s="816"/>
      <c r="IM170" s="609"/>
      <c r="IN170" s="609"/>
      <c r="IO170" s="816"/>
      <c r="IP170" s="816"/>
      <c r="IQ170" s="816"/>
      <c r="IR170" s="816"/>
      <c r="IS170" s="816"/>
      <c r="IT170" s="816"/>
      <c r="IU170" s="821"/>
      <c r="IV170" s="609"/>
      <c r="IW170" s="816"/>
      <c r="IX170" s="816"/>
      <c r="IY170" s="822"/>
      <c r="IZ170" s="609"/>
      <c r="JA170" s="816"/>
      <c r="JB170" s="816"/>
      <c r="JC170" s="609"/>
      <c r="JD170" s="816"/>
      <c r="JE170" s="816"/>
      <c r="JF170" s="816"/>
      <c r="JG170" s="816"/>
      <c r="JH170" s="816"/>
      <c r="JI170" s="816"/>
      <c r="JJ170" s="816"/>
      <c r="JK170" s="816"/>
      <c r="JL170" s="816"/>
      <c r="JM170" s="816"/>
      <c r="JN170" s="816"/>
      <c r="JO170" s="823"/>
      <c r="JP170" s="824"/>
      <c r="JQ170" s="825"/>
      <c r="JR170" s="825"/>
      <c r="JS170" s="816"/>
      <c r="JU170" s="826"/>
      <c r="JV170" s="826"/>
      <c r="JW170" s="826"/>
      <c r="JX170" s="826"/>
    </row>
    <row r="171" spans="2:284" s="780" customFormat="1">
      <c r="B171" s="609"/>
      <c r="C171" s="609"/>
      <c r="D171" s="609"/>
      <c r="E171" s="609"/>
      <c r="F171" s="609"/>
      <c r="G171" s="609"/>
      <c r="H171" s="609"/>
      <c r="I171" s="609"/>
      <c r="J171" s="609"/>
      <c r="K171" s="609"/>
      <c r="L171" s="609"/>
      <c r="M171" s="609"/>
      <c r="N171" s="609"/>
      <c r="O171" s="609"/>
      <c r="P171" s="609"/>
      <c r="Q171" s="609"/>
      <c r="R171" s="609"/>
      <c r="S171" s="609"/>
      <c r="T171" s="609"/>
      <c r="U171" s="609"/>
      <c r="V171" s="609"/>
      <c r="W171" s="609"/>
      <c r="X171" s="609"/>
      <c r="Y171" s="609"/>
      <c r="Z171" s="609"/>
      <c r="AA171" s="609"/>
      <c r="AB171" s="609"/>
      <c r="AC171" s="609"/>
      <c r="AD171" s="816"/>
      <c r="AE171" s="816"/>
      <c r="AF171" s="816"/>
      <c r="AG171" s="816"/>
      <c r="AH171" s="816"/>
      <c r="AI171" s="816"/>
      <c r="AJ171" s="609"/>
      <c r="AK171" s="609"/>
      <c r="AL171" s="816"/>
      <c r="AM171" s="816"/>
      <c r="AN171" s="609"/>
      <c r="AO171" s="609"/>
      <c r="AP171" s="816"/>
      <c r="AQ171" s="816"/>
      <c r="AR171" s="816"/>
      <c r="AS171" s="816"/>
      <c r="AT171" s="816"/>
      <c r="AU171" s="816"/>
      <c r="AV171" s="609"/>
      <c r="AW171" s="609"/>
      <c r="AX171" s="816"/>
      <c r="AY171" s="816"/>
      <c r="AZ171" s="817"/>
      <c r="BA171" s="609"/>
      <c r="BB171" s="609"/>
      <c r="BC171" s="816"/>
      <c r="BD171" s="816"/>
      <c r="BE171" s="816"/>
      <c r="BF171" s="816"/>
      <c r="BG171" s="816"/>
      <c r="BH171" s="816"/>
      <c r="BI171" s="816"/>
      <c r="BJ171" s="816"/>
      <c r="BK171" s="816"/>
      <c r="BL171" s="816"/>
      <c r="BM171" s="816"/>
      <c r="BN171" s="816"/>
      <c r="BO171" s="816"/>
      <c r="BP171" s="816"/>
      <c r="BQ171" s="816"/>
      <c r="BR171" s="816"/>
      <c r="BS171" s="816"/>
      <c r="BT171" s="816"/>
      <c r="BU171" s="816"/>
      <c r="BV171" s="816"/>
      <c r="BW171" s="816"/>
      <c r="BX171" s="609"/>
      <c r="BY171" s="609"/>
      <c r="BZ171" s="609"/>
      <c r="CA171" s="818"/>
      <c r="CB171" s="816"/>
      <c r="CC171" s="816"/>
      <c r="CD171" s="816"/>
      <c r="CE171" s="816"/>
      <c r="CF171" s="816"/>
      <c r="CG171" s="816"/>
      <c r="CH171" s="816"/>
      <c r="CI171" s="816"/>
      <c r="CJ171" s="819"/>
      <c r="CK171" s="819"/>
      <c r="CL171" s="820"/>
      <c r="CM171" s="820"/>
      <c r="CN171" s="820"/>
      <c r="CO171" s="820"/>
      <c r="CP171" s="820"/>
      <c r="CQ171" s="820"/>
      <c r="CR171" s="609"/>
      <c r="CS171" s="609"/>
      <c r="CT171" s="816"/>
      <c r="CU171" s="816"/>
      <c r="CV171" s="609"/>
      <c r="CW171" s="609"/>
      <c r="CX171" s="816"/>
      <c r="CY171" s="816"/>
      <c r="CZ171" s="609"/>
      <c r="DA171" s="609"/>
      <c r="DB171" s="816"/>
      <c r="DC171" s="816"/>
      <c r="DD171" s="609"/>
      <c r="DE171" s="609"/>
      <c r="DF171" s="816"/>
      <c r="DG171" s="816"/>
      <c r="DH171" s="816"/>
      <c r="DI171" s="816"/>
      <c r="DJ171" s="816"/>
      <c r="DK171" s="816"/>
      <c r="DL171" s="609"/>
      <c r="DM171" s="609"/>
      <c r="DN171" s="816"/>
      <c r="DO171" s="816"/>
      <c r="DP171" s="609"/>
      <c r="DQ171" s="609"/>
      <c r="DR171" s="816"/>
      <c r="DS171" s="816"/>
      <c r="DT171" s="816"/>
      <c r="DU171" s="816"/>
      <c r="DV171" s="816"/>
      <c r="DW171" s="816"/>
      <c r="DX171" s="816"/>
      <c r="DY171" s="816"/>
      <c r="DZ171" s="816"/>
      <c r="EA171" s="816"/>
      <c r="EB171" s="816"/>
      <c r="EC171" s="816"/>
      <c r="ED171" s="816"/>
      <c r="EE171" s="816"/>
      <c r="EF171" s="609"/>
      <c r="EG171" s="609"/>
      <c r="EH171" s="816"/>
      <c r="EI171" s="816"/>
      <c r="EJ171" s="816"/>
      <c r="EK171" s="816"/>
      <c r="EL171" s="816"/>
      <c r="EM171" s="816"/>
      <c r="EN171" s="816"/>
      <c r="EO171" s="816"/>
      <c r="EP171" s="816"/>
      <c r="EQ171" s="816"/>
      <c r="ER171" s="816"/>
      <c r="ES171" s="816"/>
      <c r="ET171" s="816"/>
      <c r="EU171" s="816"/>
      <c r="EV171" s="609"/>
      <c r="EW171" s="609"/>
      <c r="EX171" s="816"/>
      <c r="EY171" s="816"/>
      <c r="EZ171" s="816"/>
      <c r="FA171" s="816"/>
      <c r="FB171" s="816"/>
      <c r="FC171" s="816"/>
      <c r="FD171" s="816"/>
      <c r="FE171" s="816"/>
      <c r="FF171" s="816"/>
      <c r="FG171" s="816"/>
      <c r="FH171" s="816"/>
      <c r="FI171" s="816"/>
      <c r="FJ171" s="816"/>
      <c r="FK171" s="816"/>
      <c r="FL171" s="816"/>
      <c r="FM171" s="816"/>
      <c r="FN171" s="816"/>
      <c r="FO171" s="816"/>
      <c r="FP171" s="816"/>
      <c r="FQ171" s="816"/>
      <c r="FR171" s="816"/>
      <c r="FS171" s="816"/>
      <c r="FT171" s="816"/>
      <c r="FU171" s="816"/>
      <c r="FV171" s="816"/>
      <c r="FW171" s="816"/>
      <c r="FX171" s="816"/>
      <c r="FY171" s="816"/>
      <c r="FZ171" s="819"/>
      <c r="GA171" s="816"/>
      <c r="GB171" s="820"/>
      <c r="GC171" s="820"/>
      <c r="GD171" s="820"/>
      <c r="GE171" s="820"/>
      <c r="GF171" s="609"/>
      <c r="GG171" s="609"/>
      <c r="GH171" s="816"/>
      <c r="GI171" s="816"/>
      <c r="GJ171" s="816"/>
      <c r="GK171" s="816"/>
      <c r="GL171" s="816"/>
      <c r="GM171" s="816"/>
      <c r="GN171" s="816"/>
      <c r="GO171" s="816"/>
      <c r="GP171" s="816"/>
      <c r="GQ171" s="816"/>
      <c r="GR171" s="816"/>
      <c r="GS171" s="816"/>
      <c r="GT171" s="818"/>
      <c r="GU171" s="816"/>
      <c r="GV171" s="816"/>
      <c r="GW171" s="816"/>
      <c r="GX171" s="816"/>
      <c r="GY171" s="816"/>
      <c r="GZ171" s="816"/>
      <c r="HA171" s="816"/>
      <c r="HB171" s="609"/>
      <c r="HC171" s="609"/>
      <c r="HD171" s="816"/>
      <c r="HE171" s="816"/>
      <c r="HF171" s="816"/>
      <c r="HG171" s="816"/>
      <c r="HH171" s="816"/>
      <c r="HI171" s="816"/>
      <c r="HJ171" s="609"/>
      <c r="HK171" s="609"/>
      <c r="HL171" s="609"/>
      <c r="HM171" s="816"/>
      <c r="HN171" s="816"/>
      <c r="HO171" s="609"/>
      <c r="HP171" s="609"/>
      <c r="HQ171" s="816"/>
      <c r="HR171" s="816"/>
      <c r="HS171" s="816"/>
      <c r="HT171" s="816"/>
      <c r="HU171" s="816"/>
      <c r="HV171" s="816"/>
      <c r="HW171" s="609"/>
      <c r="HX171" s="609"/>
      <c r="HY171" s="816"/>
      <c r="HZ171" s="816"/>
      <c r="IA171" s="816"/>
      <c r="IB171" s="816"/>
      <c r="IC171" s="816"/>
      <c r="ID171" s="816"/>
      <c r="IE171" s="609"/>
      <c r="IF171" s="609"/>
      <c r="IG171" s="816"/>
      <c r="IH171" s="816"/>
      <c r="II171" s="609"/>
      <c r="IJ171" s="609"/>
      <c r="IK171" s="816"/>
      <c r="IL171" s="816"/>
      <c r="IM171" s="609"/>
      <c r="IN171" s="609"/>
      <c r="IO171" s="816"/>
      <c r="IP171" s="816"/>
      <c r="IQ171" s="816"/>
      <c r="IR171" s="816"/>
      <c r="IS171" s="816"/>
      <c r="IT171" s="816"/>
      <c r="IU171" s="821"/>
      <c r="IV171" s="609"/>
      <c r="IW171" s="816"/>
      <c r="IX171" s="816"/>
      <c r="IY171" s="822"/>
      <c r="IZ171" s="609"/>
      <c r="JA171" s="816"/>
      <c r="JB171" s="816"/>
      <c r="JC171" s="609"/>
      <c r="JD171" s="816"/>
      <c r="JE171" s="816"/>
      <c r="JF171" s="816"/>
      <c r="JG171" s="816"/>
      <c r="JH171" s="816"/>
      <c r="JI171" s="816"/>
      <c r="JJ171" s="816"/>
      <c r="JK171" s="816"/>
      <c r="JL171" s="816"/>
      <c r="JM171" s="816"/>
      <c r="JN171" s="816"/>
      <c r="JO171" s="823"/>
      <c r="JP171" s="824"/>
      <c r="JQ171" s="825"/>
      <c r="JR171" s="825"/>
      <c r="JS171" s="816"/>
      <c r="JU171" s="826"/>
      <c r="JV171" s="826"/>
      <c r="JW171" s="826"/>
      <c r="JX171" s="826"/>
    </row>
    <row r="172" spans="2:284" s="780" customFormat="1">
      <c r="B172" s="609"/>
      <c r="C172" s="609"/>
      <c r="D172" s="609"/>
      <c r="E172" s="609"/>
      <c r="F172" s="609"/>
      <c r="G172" s="609"/>
      <c r="H172" s="609"/>
      <c r="I172" s="609"/>
      <c r="J172" s="609"/>
      <c r="K172" s="609"/>
      <c r="L172" s="609"/>
      <c r="M172" s="609"/>
      <c r="N172" s="609"/>
      <c r="O172" s="609"/>
      <c r="P172" s="609"/>
      <c r="Q172" s="609"/>
      <c r="R172" s="609"/>
      <c r="S172" s="609"/>
      <c r="T172" s="609"/>
      <c r="U172" s="609"/>
      <c r="V172" s="609"/>
      <c r="W172" s="609"/>
      <c r="X172" s="609"/>
      <c r="Y172" s="609"/>
      <c r="Z172" s="609"/>
      <c r="AA172" s="609"/>
      <c r="AB172" s="609"/>
      <c r="AC172" s="609"/>
      <c r="AD172" s="816"/>
      <c r="AE172" s="816"/>
      <c r="AF172" s="816"/>
      <c r="AG172" s="816"/>
      <c r="AH172" s="816"/>
      <c r="AI172" s="816"/>
      <c r="AJ172" s="609"/>
      <c r="AK172" s="609"/>
      <c r="AL172" s="816"/>
      <c r="AM172" s="816"/>
      <c r="AN172" s="609"/>
      <c r="AO172" s="609"/>
      <c r="AP172" s="816"/>
      <c r="AQ172" s="816"/>
      <c r="AR172" s="816"/>
      <c r="AS172" s="816"/>
      <c r="AT172" s="816"/>
      <c r="AU172" s="816"/>
      <c r="AV172" s="609"/>
      <c r="AW172" s="609"/>
      <c r="AX172" s="816"/>
      <c r="AY172" s="816"/>
      <c r="AZ172" s="817"/>
      <c r="BA172" s="609"/>
      <c r="BB172" s="609"/>
      <c r="BC172" s="816"/>
      <c r="BD172" s="816"/>
      <c r="BE172" s="816"/>
      <c r="BF172" s="816"/>
      <c r="BG172" s="816"/>
      <c r="BH172" s="816"/>
      <c r="BI172" s="816"/>
      <c r="BJ172" s="816"/>
      <c r="BK172" s="816"/>
      <c r="BL172" s="816"/>
      <c r="BM172" s="816"/>
      <c r="BN172" s="816"/>
      <c r="BO172" s="816"/>
      <c r="BP172" s="816"/>
      <c r="BQ172" s="816"/>
      <c r="BR172" s="816"/>
      <c r="BS172" s="816"/>
      <c r="BT172" s="816"/>
      <c r="BU172" s="816"/>
      <c r="BV172" s="816"/>
      <c r="BW172" s="816"/>
      <c r="BX172" s="609"/>
      <c r="BY172" s="609"/>
      <c r="BZ172" s="609"/>
      <c r="CA172" s="818"/>
      <c r="CB172" s="816"/>
      <c r="CC172" s="816"/>
      <c r="CD172" s="816"/>
      <c r="CE172" s="816"/>
      <c r="CF172" s="816"/>
      <c r="CG172" s="816"/>
      <c r="CH172" s="816"/>
      <c r="CI172" s="816"/>
      <c r="CJ172" s="819"/>
      <c r="CK172" s="819"/>
      <c r="CL172" s="820"/>
      <c r="CM172" s="820"/>
      <c r="CN172" s="820"/>
      <c r="CO172" s="820"/>
      <c r="CP172" s="820"/>
      <c r="CQ172" s="820"/>
      <c r="CR172" s="609"/>
      <c r="CS172" s="609"/>
      <c r="CT172" s="816"/>
      <c r="CU172" s="816"/>
      <c r="CV172" s="609"/>
      <c r="CW172" s="609"/>
      <c r="CX172" s="816"/>
      <c r="CY172" s="816"/>
      <c r="CZ172" s="609"/>
      <c r="DA172" s="609"/>
      <c r="DB172" s="816"/>
      <c r="DC172" s="816"/>
      <c r="DD172" s="609"/>
      <c r="DE172" s="609"/>
      <c r="DF172" s="816"/>
      <c r="DG172" s="816"/>
      <c r="DH172" s="816"/>
      <c r="DI172" s="816"/>
      <c r="DJ172" s="816"/>
      <c r="DK172" s="816"/>
      <c r="DL172" s="609"/>
      <c r="DM172" s="609"/>
      <c r="DN172" s="816"/>
      <c r="DO172" s="816"/>
      <c r="DP172" s="609"/>
      <c r="DQ172" s="609"/>
      <c r="DR172" s="816"/>
      <c r="DS172" s="816"/>
      <c r="DT172" s="816"/>
      <c r="DU172" s="816"/>
      <c r="DV172" s="816"/>
      <c r="DW172" s="816"/>
      <c r="DX172" s="816"/>
      <c r="DY172" s="816"/>
      <c r="DZ172" s="816"/>
      <c r="EA172" s="816"/>
      <c r="EB172" s="816"/>
      <c r="EC172" s="816"/>
      <c r="ED172" s="816"/>
      <c r="EE172" s="816"/>
      <c r="EF172" s="609"/>
      <c r="EG172" s="609"/>
      <c r="EH172" s="816"/>
      <c r="EI172" s="816"/>
      <c r="EJ172" s="816"/>
      <c r="EK172" s="816"/>
      <c r="EL172" s="816"/>
      <c r="EM172" s="816"/>
      <c r="EN172" s="816"/>
      <c r="EO172" s="816"/>
      <c r="EP172" s="816"/>
      <c r="EQ172" s="816"/>
      <c r="ER172" s="816"/>
      <c r="ES172" s="816"/>
      <c r="ET172" s="816"/>
      <c r="EU172" s="816"/>
      <c r="EV172" s="609"/>
      <c r="EW172" s="609"/>
      <c r="EX172" s="816"/>
      <c r="EY172" s="816"/>
      <c r="EZ172" s="816"/>
      <c r="FA172" s="816"/>
      <c r="FB172" s="816"/>
      <c r="FC172" s="816"/>
      <c r="FD172" s="816"/>
      <c r="FE172" s="816"/>
      <c r="FF172" s="816"/>
      <c r="FG172" s="816"/>
      <c r="FH172" s="816"/>
      <c r="FI172" s="816"/>
      <c r="FJ172" s="816"/>
      <c r="FK172" s="816"/>
      <c r="FL172" s="816"/>
      <c r="FM172" s="816"/>
      <c r="FN172" s="816"/>
      <c r="FO172" s="816"/>
      <c r="FP172" s="816"/>
      <c r="FQ172" s="816"/>
      <c r="FR172" s="816"/>
      <c r="FS172" s="816"/>
      <c r="FT172" s="816"/>
      <c r="FU172" s="816"/>
      <c r="FV172" s="816"/>
      <c r="FW172" s="816"/>
      <c r="FX172" s="816"/>
      <c r="FY172" s="816"/>
      <c r="FZ172" s="819"/>
      <c r="GA172" s="816"/>
      <c r="GB172" s="820"/>
      <c r="GC172" s="820"/>
      <c r="GD172" s="820"/>
      <c r="GE172" s="820"/>
      <c r="GF172" s="609"/>
      <c r="GG172" s="609"/>
      <c r="GH172" s="816"/>
      <c r="GI172" s="816"/>
      <c r="GJ172" s="816"/>
      <c r="GK172" s="816"/>
      <c r="GL172" s="816"/>
      <c r="GM172" s="816"/>
      <c r="GN172" s="816"/>
      <c r="GO172" s="816"/>
      <c r="GP172" s="816"/>
      <c r="GQ172" s="816"/>
      <c r="GR172" s="816"/>
      <c r="GS172" s="816"/>
      <c r="GT172" s="818"/>
      <c r="GU172" s="816"/>
      <c r="GV172" s="816"/>
      <c r="GW172" s="816"/>
      <c r="GX172" s="816"/>
      <c r="GY172" s="816"/>
      <c r="GZ172" s="816"/>
      <c r="HA172" s="816"/>
      <c r="HB172" s="609"/>
      <c r="HC172" s="609"/>
      <c r="HD172" s="816"/>
      <c r="HE172" s="816"/>
      <c r="HF172" s="816"/>
      <c r="HG172" s="816"/>
      <c r="HH172" s="816"/>
      <c r="HI172" s="816"/>
      <c r="HJ172" s="609"/>
      <c r="HK172" s="609"/>
      <c r="HL172" s="609"/>
      <c r="HM172" s="816"/>
      <c r="HN172" s="816"/>
      <c r="HO172" s="609"/>
      <c r="HP172" s="609"/>
      <c r="HQ172" s="816"/>
      <c r="HR172" s="816"/>
      <c r="HS172" s="816"/>
      <c r="HT172" s="816"/>
      <c r="HU172" s="816"/>
      <c r="HV172" s="816"/>
      <c r="HW172" s="609"/>
      <c r="HX172" s="609"/>
      <c r="HY172" s="816"/>
      <c r="HZ172" s="816"/>
      <c r="IA172" s="816"/>
      <c r="IB172" s="816"/>
      <c r="IC172" s="816"/>
      <c r="ID172" s="816"/>
      <c r="IE172" s="609"/>
      <c r="IF172" s="609"/>
      <c r="IG172" s="816"/>
      <c r="IH172" s="816"/>
      <c r="II172" s="609"/>
      <c r="IJ172" s="609"/>
      <c r="IK172" s="816"/>
      <c r="IL172" s="816"/>
      <c r="IM172" s="609"/>
      <c r="IN172" s="609"/>
      <c r="IO172" s="816"/>
      <c r="IP172" s="816"/>
      <c r="IQ172" s="816"/>
      <c r="IR172" s="816"/>
      <c r="IS172" s="816"/>
      <c r="IT172" s="816"/>
      <c r="IU172" s="821"/>
      <c r="IV172" s="609"/>
      <c r="IW172" s="816"/>
      <c r="IX172" s="816"/>
      <c r="IY172" s="822"/>
      <c r="IZ172" s="609"/>
      <c r="JA172" s="816"/>
      <c r="JB172" s="816"/>
      <c r="JC172" s="609"/>
      <c r="JD172" s="816"/>
      <c r="JE172" s="816"/>
      <c r="JF172" s="816"/>
      <c r="JG172" s="816"/>
      <c r="JH172" s="816"/>
      <c r="JI172" s="816"/>
      <c r="JJ172" s="816"/>
      <c r="JK172" s="816"/>
      <c r="JL172" s="816"/>
      <c r="JM172" s="816"/>
      <c r="JN172" s="816"/>
      <c r="JO172" s="823"/>
      <c r="JP172" s="824"/>
      <c r="JQ172" s="825"/>
      <c r="JR172" s="825"/>
      <c r="JS172" s="816"/>
      <c r="JU172" s="826"/>
      <c r="JV172" s="826"/>
      <c r="JW172" s="826"/>
      <c r="JX172" s="826"/>
    </row>
    <row r="173" spans="2:284" s="780" customFormat="1">
      <c r="B173" s="609"/>
      <c r="C173" s="609"/>
      <c r="D173" s="609"/>
      <c r="E173" s="609"/>
      <c r="F173" s="609"/>
      <c r="G173" s="609"/>
      <c r="H173" s="609"/>
      <c r="I173" s="609"/>
      <c r="J173" s="609"/>
      <c r="K173" s="609"/>
      <c r="L173" s="609"/>
      <c r="M173" s="609"/>
      <c r="N173" s="609"/>
      <c r="O173" s="609"/>
      <c r="P173" s="609"/>
      <c r="Q173" s="609"/>
      <c r="R173" s="609"/>
      <c r="S173" s="609"/>
      <c r="T173" s="609"/>
      <c r="U173" s="609"/>
      <c r="V173" s="609"/>
      <c r="W173" s="609"/>
      <c r="X173" s="609"/>
      <c r="Y173" s="609"/>
      <c r="Z173" s="609"/>
      <c r="AA173" s="609"/>
      <c r="AB173" s="609"/>
      <c r="AC173" s="609"/>
      <c r="AD173" s="816"/>
      <c r="AE173" s="816"/>
      <c r="AF173" s="816"/>
      <c r="AG173" s="816"/>
      <c r="AH173" s="816"/>
      <c r="AI173" s="816"/>
      <c r="AJ173" s="609"/>
      <c r="AK173" s="609"/>
      <c r="AL173" s="816"/>
      <c r="AM173" s="816"/>
      <c r="AN173" s="609"/>
      <c r="AO173" s="609"/>
      <c r="AP173" s="816"/>
      <c r="AQ173" s="816"/>
      <c r="AR173" s="816"/>
      <c r="AS173" s="816"/>
      <c r="AT173" s="816"/>
      <c r="AU173" s="816"/>
      <c r="AV173" s="609"/>
      <c r="AW173" s="609"/>
      <c r="AX173" s="816"/>
      <c r="AY173" s="816"/>
      <c r="AZ173" s="817"/>
      <c r="BA173" s="609"/>
      <c r="BB173" s="609"/>
      <c r="BC173" s="816"/>
      <c r="BD173" s="816"/>
      <c r="BE173" s="816"/>
      <c r="BF173" s="816"/>
      <c r="BG173" s="816"/>
      <c r="BH173" s="816"/>
      <c r="BI173" s="816"/>
      <c r="BJ173" s="816"/>
      <c r="BK173" s="816"/>
      <c r="BL173" s="816"/>
      <c r="BM173" s="816"/>
      <c r="BN173" s="816"/>
      <c r="BO173" s="816"/>
      <c r="BP173" s="816"/>
      <c r="BQ173" s="816"/>
      <c r="BR173" s="816"/>
      <c r="BS173" s="816"/>
      <c r="BT173" s="816"/>
      <c r="BU173" s="816"/>
      <c r="BV173" s="816"/>
      <c r="BW173" s="816"/>
      <c r="BX173" s="609"/>
      <c r="BY173" s="609"/>
      <c r="BZ173" s="609"/>
      <c r="CA173" s="818"/>
      <c r="CB173" s="816"/>
      <c r="CC173" s="816"/>
      <c r="CD173" s="816"/>
      <c r="CE173" s="816"/>
      <c r="CF173" s="816"/>
      <c r="CG173" s="816"/>
      <c r="CH173" s="816"/>
      <c r="CI173" s="816"/>
      <c r="CJ173" s="819"/>
      <c r="CK173" s="819"/>
      <c r="CL173" s="820"/>
      <c r="CM173" s="820"/>
      <c r="CN173" s="820"/>
      <c r="CO173" s="820"/>
      <c r="CP173" s="820"/>
      <c r="CQ173" s="820"/>
      <c r="CR173" s="609"/>
      <c r="CS173" s="609"/>
      <c r="CT173" s="816"/>
      <c r="CU173" s="816"/>
      <c r="CV173" s="609"/>
      <c r="CW173" s="609"/>
      <c r="CX173" s="816"/>
      <c r="CY173" s="816"/>
      <c r="CZ173" s="609"/>
      <c r="DA173" s="609"/>
      <c r="DB173" s="816"/>
      <c r="DC173" s="816"/>
      <c r="DD173" s="609"/>
      <c r="DE173" s="609"/>
      <c r="DF173" s="816"/>
      <c r="DG173" s="816"/>
      <c r="DH173" s="816"/>
      <c r="DI173" s="816"/>
      <c r="DJ173" s="816"/>
      <c r="DK173" s="816"/>
      <c r="DL173" s="609"/>
      <c r="DM173" s="609"/>
      <c r="DN173" s="816"/>
      <c r="DO173" s="816"/>
      <c r="DP173" s="609"/>
      <c r="DQ173" s="609"/>
      <c r="DR173" s="816"/>
      <c r="DS173" s="816"/>
      <c r="DT173" s="816"/>
      <c r="DU173" s="816"/>
      <c r="DV173" s="816"/>
      <c r="DW173" s="816"/>
      <c r="DX173" s="816"/>
      <c r="DY173" s="816"/>
      <c r="DZ173" s="816"/>
      <c r="EA173" s="816"/>
      <c r="EB173" s="816"/>
      <c r="EC173" s="816"/>
      <c r="ED173" s="816"/>
      <c r="EE173" s="816"/>
      <c r="EF173" s="609"/>
      <c r="EG173" s="609"/>
      <c r="EH173" s="816"/>
      <c r="EI173" s="816"/>
      <c r="EJ173" s="816"/>
      <c r="EK173" s="816"/>
      <c r="EL173" s="816"/>
      <c r="EM173" s="816"/>
      <c r="EN173" s="816"/>
      <c r="EO173" s="816"/>
      <c r="EP173" s="816"/>
      <c r="EQ173" s="816"/>
      <c r="ER173" s="816"/>
      <c r="ES173" s="816"/>
      <c r="ET173" s="816"/>
      <c r="EU173" s="816"/>
      <c r="EV173" s="609"/>
      <c r="EW173" s="609"/>
      <c r="EX173" s="816"/>
      <c r="EY173" s="816"/>
      <c r="EZ173" s="816"/>
      <c r="FA173" s="816"/>
      <c r="FB173" s="816"/>
      <c r="FC173" s="816"/>
      <c r="FD173" s="816"/>
      <c r="FE173" s="816"/>
      <c r="FF173" s="816"/>
      <c r="FG173" s="816"/>
      <c r="FH173" s="816"/>
      <c r="FI173" s="816"/>
      <c r="FJ173" s="816"/>
      <c r="FK173" s="816"/>
      <c r="FL173" s="816"/>
      <c r="FM173" s="816"/>
      <c r="FN173" s="816"/>
      <c r="FO173" s="816"/>
      <c r="FP173" s="816"/>
      <c r="FQ173" s="816"/>
      <c r="FR173" s="816"/>
      <c r="FS173" s="816"/>
      <c r="FT173" s="816"/>
      <c r="FU173" s="816"/>
      <c r="FV173" s="816"/>
      <c r="FW173" s="816"/>
      <c r="FX173" s="816"/>
      <c r="FY173" s="816"/>
      <c r="FZ173" s="819"/>
      <c r="GA173" s="816"/>
      <c r="GB173" s="820"/>
      <c r="GC173" s="820"/>
      <c r="GD173" s="820"/>
      <c r="GE173" s="820"/>
      <c r="GF173" s="609"/>
      <c r="GG173" s="609"/>
      <c r="GH173" s="816"/>
      <c r="GI173" s="816"/>
      <c r="GJ173" s="816"/>
      <c r="GK173" s="816"/>
      <c r="GL173" s="816"/>
      <c r="GM173" s="816"/>
      <c r="GN173" s="816"/>
      <c r="GO173" s="816"/>
      <c r="GP173" s="816"/>
      <c r="GQ173" s="816"/>
      <c r="GR173" s="816"/>
      <c r="GS173" s="816"/>
      <c r="GT173" s="818"/>
      <c r="GU173" s="816"/>
      <c r="GV173" s="816"/>
      <c r="GW173" s="816"/>
      <c r="GX173" s="816"/>
      <c r="GY173" s="816"/>
      <c r="GZ173" s="816"/>
      <c r="HA173" s="816"/>
      <c r="HB173" s="609"/>
      <c r="HC173" s="609"/>
      <c r="HD173" s="816"/>
      <c r="HE173" s="816"/>
      <c r="HF173" s="816"/>
      <c r="HG173" s="816"/>
      <c r="HH173" s="816"/>
      <c r="HI173" s="816"/>
      <c r="HJ173" s="609"/>
      <c r="HK173" s="609"/>
      <c r="HL173" s="609"/>
      <c r="HM173" s="816"/>
      <c r="HN173" s="816"/>
      <c r="HO173" s="609"/>
      <c r="HP173" s="609"/>
      <c r="HQ173" s="816"/>
      <c r="HR173" s="816"/>
      <c r="HS173" s="816"/>
      <c r="HT173" s="816"/>
      <c r="HU173" s="816"/>
      <c r="HV173" s="816"/>
      <c r="HW173" s="609"/>
      <c r="HX173" s="609"/>
      <c r="HY173" s="816"/>
      <c r="HZ173" s="816"/>
      <c r="IA173" s="816"/>
      <c r="IB173" s="816"/>
      <c r="IC173" s="816"/>
      <c r="ID173" s="816"/>
      <c r="IE173" s="609"/>
      <c r="IF173" s="609"/>
      <c r="IG173" s="816"/>
      <c r="IH173" s="816"/>
      <c r="II173" s="609"/>
      <c r="IJ173" s="609"/>
      <c r="IK173" s="816"/>
      <c r="IL173" s="816"/>
      <c r="IM173" s="609"/>
      <c r="IN173" s="609"/>
      <c r="IO173" s="816"/>
      <c r="IP173" s="816"/>
      <c r="IQ173" s="816"/>
      <c r="IR173" s="816"/>
      <c r="IS173" s="816"/>
      <c r="IT173" s="816"/>
      <c r="IU173" s="821"/>
      <c r="IV173" s="609"/>
      <c r="IW173" s="816"/>
      <c r="IX173" s="816"/>
      <c r="IY173" s="822"/>
      <c r="IZ173" s="609"/>
      <c r="JA173" s="816"/>
      <c r="JB173" s="816"/>
      <c r="JC173" s="609"/>
      <c r="JD173" s="816"/>
      <c r="JE173" s="816"/>
      <c r="JF173" s="816"/>
      <c r="JG173" s="816"/>
      <c r="JH173" s="816"/>
      <c r="JI173" s="816"/>
      <c r="JJ173" s="816"/>
      <c r="JK173" s="816"/>
      <c r="JL173" s="816"/>
      <c r="JM173" s="816"/>
      <c r="JN173" s="816"/>
      <c r="JO173" s="823"/>
      <c r="JP173" s="824"/>
      <c r="JQ173" s="825"/>
      <c r="JR173" s="825"/>
      <c r="JS173" s="816"/>
      <c r="JU173" s="826"/>
      <c r="JV173" s="826"/>
      <c r="JW173" s="826"/>
      <c r="JX173" s="826"/>
    </row>
    <row r="174" spans="2:284" s="780" customFormat="1">
      <c r="B174" s="609"/>
      <c r="C174" s="609"/>
      <c r="D174" s="609"/>
      <c r="E174" s="609"/>
      <c r="F174" s="609"/>
      <c r="G174" s="609"/>
      <c r="H174" s="609"/>
      <c r="I174" s="609"/>
      <c r="J174" s="609"/>
      <c r="K174" s="609"/>
      <c r="L174" s="609"/>
      <c r="M174" s="609"/>
      <c r="N174" s="609"/>
      <c r="O174" s="609"/>
      <c r="P174" s="609"/>
      <c r="Q174" s="609"/>
      <c r="R174" s="609"/>
      <c r="S174" s="609"/>
      <c r="T174" s="609"/>
      <c r="U174" s="609"/>
      <c r="V174" s="609"/>
      <c r="W174" s="609"/>
      <c r="X174" s="609"/>
      <c r="Y174" s="609"/>
      <c r="Z174" s="609"/>
      <c r="AA174" s="609"/>
      <c r="AB174" s="609"/>
      <c r="AC174" s="609"/>
      <c r="AD174" s="816"/>
      <c r="AE174" s="816"/>
      <c r="AF174" s="816"/>
      <c r="AG174" s="816"/>
      <c r="AH174" s="816"/>
      <c r="AI174" s="816"/>
      <c r="AJ174" s="609"/>
      <c r="AK174" s="609"/>
      <c r="AL174" s="816"/>
      <c r="AM174" s="816"/>
      <c r="AN174" s="609"/>
      <c r="AO174" s="609"/>
      <c r="AP174" s="816"/>
      <c r="AQ174" s="816"/>
      <c r="AR174" s="816"/>
      <c r="AS174" s="816"/>
      <c r="AT174" s="816"/>
      <c r="AU174" s="816"/>
      <c r="AV174" s="609"/>
      <c r="AW174" s="609"/>
      <c r="AX174" s="816"/>
      <c r="AY174" s="816"/>
      <c r="AZ174" s="817"/>
      <c r="BA174" s="609"/>
      <c r="BB174" s="609"/>
      <c r="BC174" s="816"/>
      <c r="BD174" s="816"/>
      <c r="BE174" s="816"/>
      <c r="BF174" s="816"/>
      <c r="BG174" s="816"/>
      <c r="BH174" s="816"/>
      <c r="BI174" s="816"/>
      <c r="BJ174" s="816"/>
      <c r="BK174" s="816"/>
      <c r="BL174" s="816"/>
      <c r="BM174" s="816"/>
      <c r="BN174" s="816"/>
      <c r="BO174" s="816"/>
      <c r="BP174" s="816"/>
      <c r="BQ174" s="816"/>
      <c r="BR174" s="816"/>
      <c r="BS174" s="816"/>
      <c r="BT174" s="816"/>
      <c r="BU174" s="816"/>
      <c r="BV174" s="816"/>
      <c r="BW174" s="816"/>
      <c r="BX174" s="609"/>
      <c r="BY174" s="609"/>
      <c r="BZ174" s="609"/>
      <c r="CA174" s="818"/>
      <c r="CB174" s="816"/>
      <c r="CC174" s="816"/>
      <c r="CD174" s="816"/>
      <c r="CE174" s="816"/>
      <c r="CF174" s="816"/>
      <c r="CG174" s="816"/>
      <c r="CH174" s="816"/>
      <c r="CI174" s="816"/>
      <c r="CJ174" s="819"/>
      <c r="CK174" s="819"/>
      <c r="CL174" s="820"/>
      <c r="CM174" s="820"/>
      <c r="CN174" s="820"/>
      <c r="CO174" s="820"/>
      <c r="CP174" s="820"/>
      <c r="CQ174" s="820"/>
      <c r="CR174" s="609"/>
      <c r="CS174" s="609"/>
      <c r="CT174" s="816"/>
      <c r="CU174" s="816"/>
      <c r="CV174" s="609"/>
      <c r="CW174" s="609"/>
      <c r="CX174" s="816"/>
      <c r="CY174" s="816"/>
      <c r="CZ174" s="609"/>
      <c r="DA174" s="609"/>
      <c r="DB174" s="816"/>
      <c r="DC174" s="816"/>
      <c r="DD174" s="609"/>
      <c r="DE174" s="609"/>
      <c r="DF174" s="816"/>
      <c r="DG174" s="816"/>
      <c r="DH174" s="816"/>
      <c r="DI174" s="816"/>
      <c r="DJ174" s="816"/>
      <c r="DK174" s="816"/>
      <c r="DL174" s="609"/>
      <c r="DM174" s="609"/>
      <c r="DN174" s="816"/>
      <c r="DO174" s="816"/>
      <c r="DP174" s="609"/>
      <c r="DQ174" s="609"/>
      <c r="DR174" s="816"/>
      <c r="DS174" s="816"/>
      <c r="DT174" s="816"/>
      <c r="DU174" s="816"/>
      <c r="DV174" s="816"/>
      <c r="DW174" s="816"/>
      <c r="DX174" s="816"/>
      <c r="DY174" s="816"/>
      <c r="DZ174" s="816"/>
      <c r="EA174" s="816"/>
      <c r="EB174" s="816"/>
      <c r="EC174" s="816"/>
      <c r="ED174" s="816"/>
      <c r="EE174" s="816"/>
      <c r="EF174" s="609"/>
      <c r="EG174" s="609"/>
      <c r="EH174" s="816"/>
      <c r="EI174" s="816"/>
      <c r="EJ174" s="816"/>
      <c r="EK174" s="816"/>
      <c r="EL174" s="816"/>
      <c r="EM174" s="816"/>
      <c r="EN174" s="816"/>
      <c r="EO174" s="816"/>
      <c r="EP174" s="816"/>
      <c r="EQ174" s="816"/>
      <c r="ER174" s="816"/>
      <c r="ES174" s="816"/>
      <c r="ET174" s="816"/>
      <c r="EU174" s="816"/>
      <c r="EV174" s="609"/>
      <c r="EW174" s="609"/>
      <c r="EX174" s="816"/>
      <c r="EY174" s="816"/>
      <c r="EZ174" s="816"/>
      <c r="FA174" s="816"/>
      <c r="FB174" s="816"/>
      <c r="FC174" s="816"/>
      <c r="FD174" s="816"/>
      <c r="FE174" s="816"/>
      <c r="FF174" s="816"/>
      <c r="FG174" s="816"/>
      <c r="FH174" s="816"/>
      <c r="FI174" s="816"/>
      <c r="FJ174" s="816"/>
      <c r="FK174" s="816"/>
      <c r="FL174" s="816"/>
      <c r="FM174" s="816"/>
      <c r="FN174" s="816"/>
      <c r="FO174" s="816"/>
      <c r="FP174" s="816"/>
      <c r="FQ174" s="816"/>
      <c r="FR174" s="816"/>
      <c r="FS174" s="816"/>
      <c r="FT174" s="816"/>
      <c r="FU174" s="816"/>
      <c r="FV174" s="816"/>
      <c r="FW174" s="816"/>
      <c r="FX174" s="816"/>
      <c r="FY174" s="816"/>
      <c r="FZ174" s="819"/>
      <c r="GA174" s="816"/>
      <c r="GB174" s="820"/>
      <c r="GC174" s="820"/>
      <c r="GD174" s="820"/>
      <c r="GE174" s="820"/>
      <c r="GF174" s="609"/>
      <c r="GG174" s="609"/>
      <c r="GH174" s="816"/>
      <c r="GI174" s="816"/>
      <c r="GJ174" s="816"/>
      <c r="GK174" s="816"/>
      <c r="GL174" s="816"/>
      <c r="GM174" s="816"/>
      <c r="GN174" s="816"/>
      <c r="GO174" s="816"/>
      <c r="GP174" s="816"/>
      <c r="GQ174" s="816"/>
      <c r="GR174" s="816"/>
      <c r="GS174" s="816"/>
      <c r="GT174" s="818"/>
      <c r="GU174" s="816"/>
      <c r="GV174" s="816"/>
      <c r="GW174" s="816"/>
      <c r="GX174" s="816"/>
      <c r="GY174" s="816"/>
      <c r="GZ174" s="816"/>
      <c r="HA174" s="816"/>
      <c r="HB174" s="609"/>
      <c r="HC174" s="609"/>
      <c r="HD174" s="816"/>
      <c r="HE174" s="816"/>
      <c r="HF174" s="816"/>
      <c r="HG174" s="816"/>
      <c r="HH174" s="816"/>
      <c r="HI174" s="816"/>
      <c r="HJ174" s="609"/>
      <c r="HK174" s="609"/>
      <c r="HL174" s="609"/>
      <c r="HM174" s="816"/>
      <c r="HN174" s="816"/>
      <c r="HO174" s="609"/>
      <c r="HP174" s="609"/>
      <c r="HQ174" s="816"/>
      <c r="HR174" s="816"/>
      <c r="HS174" s="816"/>
      <c r="HT174" s="816"/>
      <c r="HU174" s="816"/>
      <c r="HV174" s="816"/>
      <c r="HW174" s="609"/>
      <c r="HX174" s="609"/>
      <c r="HY174" s="816"/>
      <c r="HZ174" s="816"/>
      <c r="IA174" s="816"/>
      <c r="IB174" s="816"/>
      <c r="IC174" s="816"/>
      <c r="ID174" s="816"/>
      <c r="IE174" s="609"/>
      <c r="IF174" s="609"/>
      <c r="IG174" s="816"/>
      <c r="IH174" s="816"/>
      <c r="II174" s="609"/>
      <c r="IJ174" s="609"/>
      <c r="IK174" s="816"/>
      <c r="IL174" s="816"/>
      <c r="IM174" s="609"/>
      <c r="IN174" s="609"/>
      <c r="IO174" s="816"/>
      <c r="IP174" s="816"/>
      <c r="IQ174" s="816"/>
      <c r="IR174" s="816"/>
      <c r="IS174" s="816"/>
      <c r="IT174" s="816"/>
      <c r="IU174" s="821"/>
      <c r="IV174" s="609"/>
      <c r="IW174" s="816"/>
      <c r="IX174" s="816"/>
      <c r="IY174" s="822"/>
      <c r="IZ174" s="609"/>
      <c r="JA174" s="816"/>
      <c r="JB174" s="816"/>
      <c r="JC174" s="609"/>
      <c r="JD174" s="816"/>
      <c r="JE174" s="816"/>
      <c r="JF174" s="816"/>
      <c r="JG174" s="816"/>
      <c r="JH174" s="816"/>
      <c r="JI174" s="816"/>
      <c r="JJ174" s="816"/>
      <c r="JK174" s="816"/>
      <c r="JL174" s="816"/>
      <c r="JM174" s="816"/>
      <c r="JN174" s="816"/>
      <c r="JO174" s="823"/>
      <c r="JP174" s="824"/>
      <c r="JQ174" s="825"/>
      <c r="JR174" s="825"/>
      <c r="JS174" s="816"/>
      <c r="JU174" s="826"/>
      <c r="JV174" s="826"/>
      <c r="JW174" s="826"/>
      <c r="JX174" s="826"/>
    </row>
    <row r="175" spans="2:284" s="780" customFormat="1">
      <c r="B175" s="609"/>
      <c r="C175" s="609"/>
      <c r="D175" s="609"/>
      <c r="E175" s="609"/>
      <c r="F175" s="609"/>
      <c r="G175" s="609"/>
      <c r="H175" s="609"/>
      <c r="I175" s="609"/>
      <c r="J175" s="609"/>
      <c r="K175" s="609"/>
      <c r="L175" s="609"/>
      <c r="M175" s="609"/>
      <c r="N175" s="609"/>
      <c r="O175" s="609"/>
      <c r="P175" s="609"/>
      <c r="Q175" s="609"/>
      <c r="R175" s="609"/>
      <c r="S175" s="609"/>
      <c r="T175" s="609"/>
      <c r="U175" s="609"/>
      <c r="V175" s="609"/>
      <c r="W175" s="609"/>
      <c r="X175" s="609"/>
      <c r="Y175" s="609"/>
      <c r="Z175" s="609"/>
      <c r="AA175" s="609"/>
      <c r="AB175" s="609"/>
      <c r="AC175" s="609"/>
      <c r="AD175" s="816"/>
      <c r="AE175" s="816"/>
      <c r="AF175" s="816"/>
      <c r="AG175" s="816"/>
      <c r="AH175" s="816"/>
      <c r="AI175" s="816"/>
      <c r="AJ175" s="609"/>
      <c r="AK175" s="609"/>
      <c r="AL175" s="816"/>
      <c r="AM175" s="816"/>
      <c r="AN175" s="609"/>
      <c r="AO175" s="609"/>
      <c r="AP175" s="816"/>
      <c r="AQ175" s="816"/>
      <c r="AR175" s="816"/>
      <c r="AS175" s="816"/>
      <c r="AT175" s="816"/>
      <c r="AU175" s="816"/>
      <c r="AV175" s="609"/>
      <c r="AW175" s="609"/>
      <c r="AX175" s="816"/>
      <c r="AY175" s="816"/>
      <c r="AZ175" s="817"/>
      <c r="BA175" s="609"/>
      <c r="BB175" s="609"/>
      <c r="BC175" s="816"/>
      <c r="BD175" s="816"/>
      <c r="BE175" s="816"/>
      <c r="BF175" s="816"/>
      <c r="BG175" s="816"/>
      <c r="BH175" s="816"/>
      <c r="BI175" s="816"/>
      <c r="BJ175" s="816"/>
      <c r="BK175" s="816"/>
      <c r="BL175" s="816"/>
      <c r="BM175" s="816"/>
      <c r="BN175" s="816"/>
      <c r="BO175" s="816"/>
      <c r="BP175" s="816"/>
      <c r="BQ175" s="816"/>
      <c r="BR175" s="816"/>
      <c r="BS175" s="816"/>
      <c r="BT175" s="816"/>
      <c r="BU175" s="816"/>
      <c r="BV175" s="816"/>
      <c r="BW175" s="816"/>
      <c r="BX175" s="609"/>
      <c r="BY175" s="609"/>
      <c r="BZ175" s="609"/>
      <c r="CA175" s="818"/>
      <c r="CB175" s="816"/>
      <c r="CC175" s="816"/>
      <c r="CD175" s="816"/>
      <c r="CE175" s="816"/>
      <c r="CF175" s="816"/>
      <c r="CG175" s="816"/>
      <c r="CH175" s="816"/>
      <c r="CI175" s="816"/>
      <c r="CJ175" s="819"/>
      <c r="CK175" s="819"/>
      <c r="CL175" s="820"/>
      <c r="CM175" s="820"/>
      <c r="CN175" s="820"/>
      <c r="CO175" s="820"/>
      <c r="CP175" s="820"/>
      <c r="CQ175" s="820"/>
      <c r="CR175" s="609"/>
      <c r="CS175" s="609"/>
      <c r="CT175" s="816"/>
      <c r="CU175" s="816"/>
      <c r="CV175" s="609"/>
      <c r="CW175" s="609"/>
      <c r="CX175" s="816"/>
      <c r="CY175" s="816"/>
      <c r="CZ175" s="609"/>
      <c r="DA175" s="609"/>
      <c r="DB175" s="816"/>
      <c r="DC175" s="816"/>
      <c r="DD175" s="609"/>
      <c r="DE175" s="609"/>
      <c r="DF175" s="816"/>
      <c r="DG175" s="816"/>
      <c r="DH175" s="816"/>
      <c r="DI175" s="816"/>
      <c r="DJ175" s="816"/>
      <c r="DK175" s="816"/>
      <c r="DL175" s="609"/>
      <c r="DM175" s="609"/>
      <c r="DN175" s="816"/>
      <c r="DO175" s="816"/>
      <c r="DP175" s="609"/>
      <c r="DQ175" s="609"/>
      <c r="DR175" s="816"/>
      <c r="DS175" s="816"/>
      <c r="DT175" s="816"/>
      <c r="DU175" s="816"/>
      <c r="DV175" s="816"/>
      <c r="DW175" s="816"/>
      <c r="DX175" s="816"/>
      <c r="DY175" s="816"/>
      <c r="DZ175" s="816"/>
      <c r="EA175" s="816"/>
      <c r="EB175" s="816"/>
      <c r="EC175" s="816"/>
      <c r="ED175" s="816"/>
      <c r="EE175" s="816"/>
      <c r="EF175" s="609"/>
      <c r="EG175" s="609"/>
      <c r="EH175" s="816"/>
      <c r="EI175" s="816"/>
      <c r="EJ175" s="816"/>
      <c r="EK175" s="816"/>
      <c r="EL175" s="816"/>
      <c r="EM175" s="816"/>
      <c r="EN175" s="816"/>
      <c r="EO175" s="816"/>
      <c r="EP175" s="816"/>
      <c r="EQ175" s="816"/>
      <c r="ER175" s="816"/>
      <c r="ES175" s="816"/>
      <c r="ET175" s="816"/>
      <c r="EU175" s="816"/>
      <c r="EV175" s="609"/>
      <c r="EW175" s="609"/>
      <c r="EX175" s="816"/>
      <c r="EY175" s="816"/>
      <c r="EZ175" s="816"/>
      <c r="FA175" s="816"/>
      <c r="FB175" s="816"/>
      <c r="FC175" s="816"/>
      <c r="FD175" s="816"/>
      <c r="FE175" s="816"/>
      <c r="FF175" s="816"/>
      <c r="FG175" s="816"/>
      <c r="FH175" s="816"/>
      <c r="FI175" s="816"/>
      <c r="FJ175" s="816"/>
      <c r="FK175" s="816"/>
      <c r="FL175" s="816"/>
      <c r="FM175" s="816"/>
      <c r="FN175" s="816"/>
      <c r="FO175" s="816"/>
      <c r="FP175" s="816"/>
      <c r="FQ175" s="816"/>
      <c r="FR175" s="816"/>
      <c r="FS175" s="816"/>
      <c r="FT175" s="816"/>
      <c r="FU175" s="816"/>
      <c r="FV175" s="816"/>
      <c r="FW175" s="816"/>
      <c r="FX175" s="816"/>
      <c r="FY175" s="816"/>
      <c r="FZ175" s="819"/>
      <c r="GA175" s="816"/>
      <c r="GB175" s="820"/>
      <c r="GC175" s="820"/>
      <c r="GD175" s="820"/>
      <c r="GE175" s="820"/>
      <c r="GF175" s="609"/>
      <c r="GG175" s="609"/>
      <c r="GH175" s="816"/>
      <c r="GI175" s="816"/>
      <c r="GJ175" s="816"/>
      <c r="GK175" s="816"/>
      <c r="GL175" s="816"/>
      <c r="GM175" s="816"/>
      <c r="GN175" s="816"/>
      <c r="GO175" s="816"/>
      <c r="GP175" s="816"/>
      <c r="GQ175" s="816"/>
      <c r="GR175" s="816"/>
      <c r="GS175" s="816"/>
      <c r="GT175" s="818"/>
      <c r="GU175" s="816"/>
      <c r="GV175" s="816"/>
      <c r="GW175" s="816"/>
      <c r="GX175" s="816"/>
      <c r="GY175" s="816"/>
      <c r="GZ175" s="816"/>
      <c r="HA175" s="816"/>
      <c r="HB175" s="609"/>
      <c r="HC175" s="609"/>
      <c r="HD175" s="816"/>
      <c r="HE175" s="816"/>
      <c r="HF175" s="816"/>
      <c r="HG175" s="816"/>
      <c r="HH175" s="816"/>
      <c r="HI175" s="816"/>
      <c r="HJ175" s="609"/>
      <c r="HK175" s="609"/>
      <c r="HL175" s="609"/>
      <c r="HM175" s="816"/>
      <c r="HN175" s="816"/>
      <c r="HO175" s="609"/>
      <c r="HP175" s="609"/>
      <c r="HQ175" s="816"/>
      <c r="HR175" s="816"/>
      <c r="HS175" s="816"/>
      <c r="HT175" s="816"/>
      <c r="HU175" s="816"/>
      <c r="HV175" s="816"/>
      <c r="HW175" s="609"/>
      <c r="HX175" s="609"/>
      <c r="HY175" s="816"/>
      <c r="HZ175" s="816"/>
      <c r="IA175" s="816"/>
      <c r="IB175" s="816"/>
      <c r="IC175" s="816"/>
      <c r="ID175" s="816"/>
      <c r="IE175" s="609"/>
      <c r="IF175" s="609"/>
      <c r="IG175" s="816"/>
      <c r="IH175" s="816"/>
      <c r="II175" s="609"/>
      <c r="IJ175" s="609"/>
      <c r="IK175" s="816"/>
      <c r="IL175" s="816"/>
      <c r="IM175" s="609"/>
      <c r="IN175" s="609"/>
      <c r="IO175" s="816"/>
      <c r="IP175" s="816"/>
      <c r="IQ175" s="816"/>
      <c r="IR175" s="816"/>
      <c r="IS175" s="816"/>
      <c r="IT175" s="816"/>
      <c r="IU175" s="821"/>
      <c r="IV175" s="609"/>
      <c r="IW175" s="816"/>
      <c r="IX175" s="816"/>
      <c r="IY175" s="822"/>
      <c r="IZ175" s="609"/>
      <c r="JA175" s="816"/>
      <c r="JB175" s="816"/>
      <c r="JC175" s="609"/>
      <c r="JD175" s="816"/>
      <c r="JE175" s="816"/>
      <c r="JF175" s="816"/>
      <c r="JG175" s="816"/>
      <c r="JH175" s="816"/>
      <c r="JI175" s="816"/>
      <c r="JJ175" s="816"/>
      <c r="JK175" s="816"/>
      <c r="JL175" s="816"/>
      <c r="JM175" s="816"/>
      <c r="JN175" s="816"/>
      <c r="JO175" s="823"/>
      <c r="JP175" s="824"/>
      <c r="JQ175" s="825"/>
      <c r="JR175" s="825"/>
      <c r="JS175" s="816"/>
      <c r="JU175" s="833"/>
      <c r="JV175" s="833"/>
      <c r="JW175" s="833"/>
      <c r="JX175" s="833"/>
    </row>
    <row r="176" spans="2:284" s="780" customFormat="1">
      <c r="B176" s="609"/>
      <c r="C176" s="609"/>
      <c r="D176" s="609"/>
      <c r="E176" s="609"/>
      <c r="F176" s="609"/>
      <c r="G176" s="609"/>
      <c r="H176" s="609"/>
      <c r="I176" s="609"/>
      <c r="J176" s="609"/>
      <c r="K176" s="609"/>
      <c r="L176" s="609"/>
      <c r="M176" s="609"/>
      <c r="N176" s="609"/>
      <c r="O176" s="609"/>
      <c r="P176" s="609"/>
      <c r="Q176" s="609"/>
      <c r="R176" s="609"/>
      <c r="S176" s="609"/>
      <c r="T176" s="609"/>
      <c r="U176" s="609"/>
      <c r="V176" s="609"/>
      <c r="W176" s="609"/>
      <c r="X176" s="609"/>
      <c r="Y176" s="609"/>
      <c r="Z176" s="609"/>
      <c r="AA176" s="609"/>
      <c r="AB176" s="609"/>
      <c r="AC176" s="609"/>
      <c r="AD176" s="816"/>
      <c r="AE176" s="816"/>
      <c r="AF176" s="816"/>
      <c r="AG176" s="816"/>
      <c r="AH176" s="816"/>
      <c r="AI176" s="816"/>
      <c r="AJ176" s="609"/>
      <c r="AK176" s="609"/>
      <c r="AL176" s="816"/>
      <c r="AM176" s="816"/>
      <c r="AN176" s="609"/>
      <c r="AO176" s="609"/>
      <c r="AP176" s="816"/>
      <c r="AQ176" s="816"/>
      <c r="AR176" s="816"/>
      <c r="AS176" s="816"/>
      <c r="AT176" s="816"/>
      <c r="AU176" s="816"/>
      <c r="AV176" s="609"/>
      <c r="AW176" s="609"/>
      <c r="AX176" s="816"/>
      <c r="AY176" s="816"/>
      <c r="AZ176" s="817"/>
      <c r="BA176" s="609"/>
      <c r="BB176" s="609"/>
      <c r="BC176" s="816"/>
      <c r="BD176" s="816"/>
      <c r="BE176" s="816"/>
      <c r="BF176" s="816"/>
      <c r="BG176" s="816"/>
      <c r="BH176" s="816"/>
      <c r="BI176" s="816"/>
      <c r="BJ176" s="816"/>
      <c r="BK176" s="816"/>
      <c r="BL176" s="816"/>
      <c r="BM176" s="816"/>
      <c r="BN176" s="816"/>
      <c r="BO176" s="816"/>
      <c r="BP176" s="816"/>
      <c r="BQ176" s="816"/>
      <c r="BR176" s="816"/>
      <c r="BS176" s="816"/>
      <c r="BT176" s="816"/>
      <c r="BU176" s="816"/>
      <c r="BV176" s="816"/>
      <c r="BW176" s="816"/>
      <c r="BX176" s="609"/>
      <c r="BY176" s="609"/>
      <c r="BZ176" s="609"/>
      <c r="CA176" s="818"/>
      <c r="CB176" s="816"/>
      <c r="CC176" s="816"/>
      <c r="CD176" s="816"/>
      <c r="CE176" s="816"/>
      <c r="CF176" s="816"/>
      <c r="CG176" s="816"/>
      <c r="CH176" s="816"/>
      <c r="CI176" s="816"/>
      <c r="CJ176" s="819"/>
      <c r="CK176" s="819"/>
      <c r="CL176" s="820"/>
      <c r="CM176" s="820"/>
      <c r="CN176" s="820"/>
      <c r="CO176" s="820"/>
      <c r="CP176" s="820"/>
      <c r="CQ176" s="820"/>
      <c r="CR176" s="609"/>
      <c r="CS176" s="609"/>
      <c r="CT176" s="816"/>
      <c r="CU176" s="816"/>
      <c r="CV176" s="609"/>
      <c r="CW176" s="609"/>
      <c r="CX176" s="816"/>
      <c r="CY176" s="816"/>
      <c r="CZ176" s="609"/>
      <c r="DA176" s="609"/>
      <c r="DB176" s="816"/>
      <c r="DC176" s="816"/>
      <c r="DD176" s="609"/>
      <c r="DE176" s="609"/>
      <c r="DF176" s="816"/>
      <c r="DG176" s="816"/>
      <c r="DH176" s="816"/>
      <c r="DI176" s="816"/>
      <c r="DJ176" s="816"/>
      <c r="DK176" s="816"/>
      <c r="DL176" s="609"/>
      <c r="DM176" s="609"/>
      <c r="DN176" s="816"/>
      <c r="DO176" s="816"/>
      <c r="DP176" s="609"/>
      <c r="DQ176" s="609"/>
      <c r="DR176" s="816"/>
      <c r="DS176" s="816"/>
      <c r="DT176" s="816"/>
      <c r="DU176" s="816"/>
      <c r="DV176" s="816"/>
      <c r="DW176" s="816"/>
      <c r="DX176" s="816"/>
      <c r="DY176" s="816"/>
      <c r="DZ176" s="816"/>
      <c r="EA176" s="816"/>
      <c r="EB176" s="816"/>
      <c r="EC176" s="816"/>
      <c r="ED176" s="816"/>
      <c r="EE176" s="816"/>
      <c r="EF176" s="609"/>
      <c r="EG176" s="609"/>
      <c r="EH176" s="816"/>
      <c r="EI176" s="816"/>
      <c r="EJ176" s="816"/>
      <c r="EK176" s="816"/>
      <c r="EL176" s="816"/>
      <c r="EM176" s="816"/>
      <c r="EN176" s="816"/>
      <c r="EO176" s="816"/>
      <c r="EP176" s="816"/>
      <c r="EQ176" s="816"/>
      <c r="ER176" s="816"/>
      <c r="ES176" s="816"/>
      <c r="ET176" s="816"/>
      <c r="EU176" s="816"/>
      <c r="EV176" s="609"/>
      <c r="EW176" s="609"/>
      <c r="EX176" s="816"/>
      <c r="EY176" s="816"/>
      <c r="EZ176" s="816"/>
      <c r="FA176" s="816"/>
      <c r="FB176" s="816"/>
      <c r="FC176" s="816"/>
      <c r="FD176" s="816"/>
      <c r="FE176" s="816"/>
      <c r="FF176" s="816"/>
      <c r="FG176" s="816"/>
      <c r="FH176" s="816"/>
      <c r="FI176" s="816"/>
      <c r="FJ176" s="816"/>
      <c r="FK176" s="816"/>
      <c r="FL176" s="816"/>
      <c r="FM176" s="816"/>
      <c r="FN176" s="816"/>
      <c r="FO176" s="816"/>
      <c r="FP176" s="816"/>
      <c r="FQ176" s="816"/>
      <c r="FR176" s="816"/>
      <c r="FS176" s="816"/>
      <c r="FT176" s="816"/>
      <c r="FU176" s="816"/>
      <c r="FV176" s="816"/>
      <c r="FW176" s="816"/>
      <c r="FX176" s="816"/>
      <c r="FY176" s="816"/>
      <c r="FZ176" s="819"/>
      <c r="GA176" s="816"/>
      <c r="GB176" s="820"/>
      <c r="GC176" s="820"/>
      <c r="GD176" s="820"/>
      <c r="GE176" s="820"/>
      <c r="GF176" s="609"/>
      <c r="GG176" s="609"/>
      <c r="GH176" s="816"/>
      <c r="GI176" s="816"/>
      <c r="GJ176" s="816"/>
      <c r="GK176" s="816"/>
      <c r="GL176" s="816"/>
      <c r="GM176" s="816"/>
      <c r="GN176" s="816"/>
      <c r="GO176" s="816"/>
      <c r="GP176" s="816"/>
      <c r="GQ176" s="816"/>
      <c r="GR176" s="816"/>
      <c r="GS176" s="816"/>
      <c r="GT176" s="818"/>
      <c r="GU176" s="816"/>
      <c r="GV176" s="816"/>
      <c r="GW176" s="816"/>
      <c r="GX176" s="816"/>
      <c r="GY176" s="816"/>
      <c r="GZ176" s="816"/>
      <c r="HA176" s="816"/>
      <c r="HB176" s="609"/>
      <c r="HC176" s="609"/>
      <c r="HD176" s="816"/>
      <c r="HE176" s="816"/>
      <c r="HF176" s="816"/>
      <c r="HG176" s="816"/>
      <c r="HH176" s="816"/>
      <c r="HI176" s="816"/>
      <c r="HJ176" s="609"/>
      <c r="HK176" s="609"/>
      <c r="HL176" s="609"/>
      <c r="HM176" s="816"/>
      <c r="HN176" s="816"/>
      <c r="HO176" s="609"/>
      <c r="HP176" s="609"/>
      <c r="HQ176" s="816"/>
      <c r="HR176" s="816"/>
      <c r="HS176" s="816"/>
      <c r="HT176" s="816"/>
      <c r="HU176" s="816"/>
      <c r="HV176" s="816"/>
      <c r="HW176" s="609"/>
      <c r="HX176" s="609"/>
      <c r="HY176" s="816"/>
      <c r="HZ176" s="816"/>
      <c r="IA176" s="816"/>
      <c r="IB176" s="816"/>
      <c r="IC176" s="816"/>
      <c r="ID176" s="816"/>
      <c r="IE176" s="609"/>
      <c r="IF176" s="609"/>
      <c r="IG176" s="816"/>
      <c r="IH176" s="816"/>
      <c r="II176" s="609"/>
      <c r="IJ176" s="609"/>
      <c r="IK176" s="816"/>
      <c r="IL176" s="816"/>
      <c r="IM176" s="609"/>
      <c r="IN176" s="609"/>
      <c r="IO176" s="816"/>
      <c r="IP176" s="816"/>
      <c r="IQ176" s="816"/>
      <c r="IR176" s="816"/>
      <c r="IS176" s="816"/>
      <c r="IT176" s="816"/>
      <c r="IU176" s="821"/>
      <c r="IV176" s="609"/>
      <c r="IW176" s="816"/>
      <c r="IX176" s="816"/>
      <c r="IY176" s="822"/>
      <c r="IZ176" s="609"/>
      <c r="JA176" s="816"/>
      <c r="JB176" s="816"/>
      <c r="JC176" s="609"/>
      <c r="JD176" s="816"/>
      <c r="JE176" s="816"/>
      <c r="JF176" s="816"/>
      <c r="JG176" s="816"/>
      <c r="JH176" s="816"/>
      <c r="JI176" s="816"/>
      <c r="JJ176" s="816"/>
      <c r="JK176" s="816"/>
      <c r="JL176" s="816"/>
      <c r="JM176" s="816"/>
      <c r="JN176" s="816"/>
      <c r="JO176" s="823"/>
      <c r="JP176" s="824"/>
      <c r="JQ176" s="825"/>
      <c r="JR176" s="825"/>
      <c r="JS176" s="816"/>
      <c r="JU176" s="826"/>
      <c r="JV176" s="826"/>
      <c r="JW176" s="826"/>
      <c r="JX176" s="826"/>
    </row>
    <row r="177" spans="2:284" s="780" customFormat="1">
      <c r="B177" s="609"/>
      <c r="C177" s="609"/>
      <c r="D177" s="609"/>
      <c r="E177" s="609"/>
      <c r="F177" s="609"/>
      <c r="G177" s="609"/>
      <c r="H177" s="609"/>
      <c r="I177" s="609"/>
      <c r="J177" s="609"/>
      <c r="K177" s="609"/>
      <c r="L177" s="609"/>
      <c r="M177" s="609"/>
      <c r="N177" s="609"/>
      <c r="O177" s="609"/>
      <c r="P177" s="609"/>
      <c r="Q177" s="609"/>
      <c r="R177" s="609"/>
      <c r="S177" s="609"/>
      <c r="T177" s="609"/>
      <c r="U177" s="609"/>
      <c r="V177" s="609"/>
      <c r="W177" s="609"/>
      <c r="X177" s="609"/>
      <c r="Y177" s="609"/>
      <c r="Z177" s="609"/>
      <c r="AA177" s="609"/>
      <c r="AB177" s="609"/>
      <c r="AC177" s="609"/>
      <c r="AD177" s="816"/>
      <c r="AE177" s="816"/>
      <c r="AF177" s="816"/>
      <c r="AG177" s="816"/>
      <c r="AH177" s="816"/>
      <c r="AI177" s="816"/>
      <c r="AJ177" s="609"/>
      <c r="AK177" s="609"/>
      <c r="AL177" s="816"/>
      <c r="AM177" s="816"/>
      <c r="AN177" s="609"/>
      <c r="AO177" s="609"/>
      <c r="AP177" s="816"/>
      <c r="AQ177" s="816"/>
      <c r="AR177" s="816"/>
      <c r="AS177" s="816"/>
      <c r="AT177" s="816"/>
      <c r="AU177" s="816"/>
      <c r="AV177" s="609"/>
      <c r="AW177" s="609"/>
      <c r="AX177" s="816"/>
      <c r="AY177" s="816"/>
      <c r="AZ177" s="817"/>
      <c r="BA177" s="609"/>
      <c r="BB177" s="609"/>
      <c r="BC177" s="816"/>
      <c r="BD177" s="816"/>
      <c r="BE177" s="816"/>
      <c r="BF177" s="816"/>
      <c r="BG177" s="816"/>
      <c r="BH177" s="816"/>
      <c r="BI177" s="816"/>
      <c r="BJ177" s="816"/>
      <c r="BK177" s="816"/>
      <c r="BL177" s="816"/>
      <c r="BM177" s="816"/>
      <c r="BN177" s="816"/>
      <c r="BO177" s="816"/>
      <c r="BP177" s="816"/>
      <c r="BQ177" s="816"/>
      <c r="BR177" s="816"/>
      <c r="BS177" s="816"/>
      <c r="BT177" s="816"/>
      <c r="BU177" s="816"/>
      <c r="BV177" s="816"/>
      <c r="BW177" s="816"/>
      <c r="BX177" s="609"/>
      <c r="BY177" s="609"/>
      <c r="BZ177" s="609"/>
      <c r="CA177" s="818"/>
      <c r="CB177" s="816"/>
      <c r="CC177" s="816"/>
      <c r="CD177" s="816"/>
      <c r="CE177" s="816"/>
      <c r="CF177" s="816"/>
      <c r="CG177" s="816"/>
      <c r="CH177" s="816"/>
      <c r="CI177" s="816"/>
      <c r="CJ177" s="819"/>
      <c r="CK177" s="819"/>
      <c r="CL177" s="820"/>
      <c r="CM177" s="820"/>
      <c r="CN177" s="820"/>
      <c r="CO177" s="820"/>
      <c r="CP177" s="820"/>
      <c r="CQ177" s="820"/>
      <c r="CR177" s="609"/>
      <c r="CS177" s="609"/>
      <c r="CT177" s="816"/>
      <c r="CU177" s="816"/>
      <c r="CV177" s="609"/>
      <c r="CW177" s="609"/>
      <c r="CX177" s="816"/>
      <c r="CY177" s="816"/>
      <c r="CZ177" s="609"/>
      <c r="DA177" s="609"/>
      <c r="DB177" s="816"/>
      <c r="DC177" s="816"/>
      <c r="DD177" s="609"/>
      <c r="DE177" s="609"/>
      <c r="DF177" s="816"/>
      <c r="DG177" s="816"/>
      <c r="DH177" s="816"/>
      <c r="DI177" s="816"/>
      <c r="DJ177" s="816"/>
      <c r="DK177" s="816"/>
      <c r="DL177" s="609"/>
      <c r="DM177" s="609"/>
      <c r="DN177" s="816"/>
      <c r="DO177" s="816"/>
      <c r="DP177" s="609"/>
      <c r="DQ177" s="609"/>
      <c r="DR177" s="816"/>
      <c r="DS177" s="816"/>
      <c r="DT177" s="816"/>
      <c r="DU177" s="816"/>
      <c r="DV177" s="816"/>
      <c r="DW177" s="816"/>
      <c r="DX177" s="816"/>
      <c r="DY177" s="816"/>
      <c r="DZ177" s="816"/>
      <c r="EA177" s="816"/>
      <c r="EB177" s="816"/>
      <c r="EC177" s="816"/>
      <c r="ED177" s="816"/>
      <c r="EE177" s="816"/>
      <c r="EF177" s="609"/>
      <c r="EG177" s="609"/>
      <c r="EH177" s="816"/>
      <c r="EI177" s="816"/>
      <c r="EJ177" s="816"/>
      <c r="EK177" s="816"/>
      <c r="EL177" s="816"/>
      <c r="EM177" s="816"/>
      <c r="EN177" s="816"/>
      <c r="EO177" s="816"/>
      <c r="EP177" s="816"/>
      <c r="EQ177" s="816"/>
      <c r="ER177" s="816"/>
      <c r="ES177" s="816"/>
      <c r="ET177" s="816"/>
      <c r="EU177" s="816"/>
      <c r="EV177" s="609"/>
      <c r="EW177" s="609"/>
      <c r="EX177" s="816"/>
      <c r="EY177" s="816"/>
      <c r="EZ177" s="816"/>
      <c r="FA177" s="816"/>
      <c r="FB177" s="816"/>
      <c r="FC177" s="816"/>
      <c r="FD177" s="816"/>
      <c r="FE177" s="816"/>
      <c r="FF177" s="816"/>
      <c r="FG177" s="816"/>
      <c r="FH177" s="816"/>
      <c r="FI177" s="816"/>
      <c r="FJ177" s="816"/>
      <c r="FK177" s="816"/>
      <c r="FL177" s="816"/>
      <c r="FM177" s="816"/>
      <c r="FN177" s="816"/>
      <c r="FO177" s="816"/>
      <c r="FP177" s="816"/>
      <c r="FQ177" s="816"/>
      <c r="FR177" s="816"/>
      <c r="FS177" s="816"/>
      <c r="FT177" s="816"/>
      <c r="FU177" s="816"/>
      <c r="FV177" s="816"/>
      <c r="FW177" s="816"/>
      <c r="FX177" s="816"/>
      <c r="FY177" s="816"/>
      <c r="FZ177" s="819"/>
      <c r="GA177" s="816"/>
      <c r="GB177" s="820"/>
      <c r="GC177" s="820"/>
      <c r="GD177" s="820"/>
      <c r="GE177" s="820"/>
      <c r="GF177" s="609"/>
      <c r="GG177" s="609"/>
      <c r="GH177" s="816"/>
      <c r="GI177" s="816"/>
      <c r="GJ177" s="816"/>
      <c r="GK177" s="816"/>
      <c r="GL177" s="816"/>
      <c r="GM177" s="816"/>
      <c r="GN177" s="816"/>
      <c r="GO177" s="816"/>
      <c r="GP177" s="816"/>
      <c r="GQ177" s="816"/>
      <c r="GR177" s="816"/>
      <c r="GS177" s="816"/>
      <c r="GT177" s="818"/>
      <c r="GU177" s="816"/>
      <c r="GV177" s="816"/>
      <c r="GW177" s="816"/>
      <c r="GX177" s="816"/>
      <c r="GY177" s="816"/>
      <c r="GZ177" s="816"/>
      <c r="HA177" s="816"/>
      <c r="HB177" s="609"/>
      <c r="HC177" s="609"/>
      <c r="HD177" s="816"/>
      <c r="HE177" s="816"/>
      <c r="HF177" s="816"/>
      <c r="HG177" s="816"/>
      <c r="HH177" s="816"/>
      <c r="HI177" s="816"/>
      <c r="HJ177" s="609"/>
      <c r="HK177" s="609"/>
      <c r="HL177" s="609"/>
      <c r="HM177" s="816"/>
      <c r="HN177" s="816"/>
      <c r="HO177" s="609"/>
      <c r="HP177" s="609"/>
      <c r="HQ177" s="816"/>
      <c r="HR177" s="816"/>
      <c r="HS177" s="816"/>
      <c r="HT177" s="816"/>
      <c r="HU177" s="816"/>
      <c r="HV177" s="816"/>
      <c r="HW177" s="609"/>
      <c r="HX177" s="609"/>
      <c r="HY177" s="816"/>
      <c r="HZ177" s="816"/>
      <c r="IA177" s="816"/>
      <c r="IB177" s="816"/>
      <c r="IC177" s="816"/>
      <c r="ID177" s="816"/>
      <c r="IE177" s="609"/>
      <c r="IF177" s="609"/>
      <c r="IG177" s="816"/>
      <c r="IH177" s="816"/>
      <c r="II177" s="609"/>
      <c r="IJ177" s="609"/>
      <c r="IK177" s="816"/>
      <c r="IL177" s="816"/>
      <c r="IM177" s="609"/>
      <c r="IN177" s="609"/>
      <c r="IO177" s="816"/>
      <c r="IP177" s="816"/>
      <c r="IQ177" s="816"/>
      <c r="IR177" s="816"/>
      <c r="IS177" s="816"/>
      <c r="IT177" s="816"/>
      <c r="IU177" s="821"/>
      <c r="IV177" s="609"/>
      <c r="IW177" s="816"/>
      <c r="IX177" s="816"/>
      <c r="IY177" s="822"/>
      <c r="IZ177" s="609"/>
      <c r="JA177" s="816"/>
      <c r="JB177" s="816"/>
      <c r="JC177" s="609"/>
      <c r="JD177" s="816"/>
      <c r="JE177" s="816"/>
      <c r="JF177" s="816"/>
      <c r="JG177" s="816"/>
      <c r="JH177" s="816"/>
      <c r="JI177" s="816"/>
      <c r="JJ177" s="816"/>
      <c r="JK177" s="816"/>
      <c r="JL177" s="816"/>
      <c r="JM177" s="816"/>
      <c r="JN177" s="816"/>
      <c r="JO177" s="823"/>
      <c r="JP177" s="824"/>
      <c r="JQ177" s="825"/>
      <c r="JR177" s="825"/>
      <c r="JS177" s="816"/>
      <c r="JU177" s="826"/>
      <c r="JV177" s="826"/>
      <c r="JW177" s="826"/>
      <c r="JX177" s="826"/>
    </row>
    <row r="178" spans="2:284" s="780" customFormat="1">
      <c r="B178" s="609"/>
      <c r="C178" s="609"/>
      <c r="D178" s="609"/>
      <c r="E178" s="609"/>
      <c r="F178" s="609"/>
      <c r="G178" s="609"/>
      <c r="H178" s="609"/>
      <c r="I178" s="609"/>
      <c r="J178" s="609"/>
      <c r="K178" s="609"/>
      <c r="L178" s="609"/>
      <c r="M178" s="609"/>
      <c r="N178" s="609"/>
      <c r="O178" s="609"/>
      <c r="P178" s="609"/>
      <c r="Q178" s="609"/>
      <c r="R178" s="609"/>
      <c r="S178" s="609"/>
      <c r="T178" s="609"/>
      <c r="U178" s="609"/>
      <c r="V178" s="609"/>
      <c r="W178" s="609"/>
      <c r="X178" s="609"/>
      <c r="Y178" s="609"/>
      <c r="Z178" s="609"/>
      <c r="AA178" s="609"/>
      <c r="AB178" s="609"/>
      <c r="AC178" s="609"/>
      <c r="AD178" s="816"/>
      <c r="AE178" s="816"/>
      <c r="AF178" s="816"/>
      <c r="AG178" s="816"/>
      <c r="AH178" s="816"/>
      <c r="AI178" s="816"/>
      <c r="AJ178" s="609"/>
      <c r="AK178" s="609"/>
      <c r="AL178" s="816"/>
      <c r="AM178" s="816"/>
      <c r="AN178" s="609"/>
      <c r="AO178" s="609"/>
      <c r="AP178" s="816"/>
      <c r="AQ178" s="816"/>
      <c r="AR178" s="816"/>
      <c r="AS178" s="816"/>
      <c r="AT178" s="816"/>
      <c r="AU178" s="816"/>
      <c r="AV178" s="609"/>
      <c r="AW178" s="609"/>
      <c r="AX178" s="816"/>
      <c r="AY178" s="816"/>
      <c r="AZ178" s="817"/>
      <c r="BA178" s="609"/>
      <c r="BB178" s="609"/>
      <c r="BC178" s="816"/>
      <c r="BD178" s="816"/>
      <c r="BE178" s="816"/>
      <c r="BF178" s="816"/>
      <c r="BG178" s="816"/>
      <c r="BH178" s="816"/>
      <c r="BI178" s="816"/>
      <c r="BJ178" s="816"/>
      <c r="BK178" s="816"/>
      <c r="BL178" s="816"/>
      <c r="BM178" s="816"/>
      <c r="BN178" s="816"/>
      <c r="BO178" s="816"/>
      <c r="BP178" s="816"/>
      <c r="BQ178" s="816"/>
      <c r="BR178" s="816"/>
      <c r="BS178" s="816"/>
      <c r="BT178" s="816"/>
      <c r="BU178" s="816"/>
      <c r="BV178" s="816"/>
      <c r="BW178" s="816"/>
      <c r="BX178" s="609"/>
      <c r="BY178" s="609"/>
      <c r="BZ178" s="609"/>
      <c r="CA178" s="818"/>
      <c r="CB178" s="816"/>
      <c r="CC178" s="816"/>
      <c r="CD178" s="816"/>
      <c r="CE178" s="816"/>
      <c r="CF178" s="816"/>
      <c r="CG178" s="816"/>
      <c r="CH178" s="816"/>
      <c r="CI178" s="816"/>
      <c r="CJ178" s="819"/>
      <c r="CK178" s="819"/>
      <c r="CL178" s="820"/>
      <c r="CM178" s="820"/>
      <c r="CN178" s="820"/>
      <c r="CO178" s="820"/>
      <c r="CP178" s="820"/>
      <c r="CQ178" s="820"/>
      <c r="CR178" s="609"/>
      <c r="CS178" s="609"/>
      <c r="CT178" s="816"/>
      <c r="CU178" s="816"/>
      <c r="CV178" s="609"/>
      <c r="CW178" s="609"/>
      <c r="CX178" s="816"/>
      <c r="CY178" s="816"/>
      <c r="CZ178" s="609"/>
      <c r="DA178" s="609"/>
      <c r="DB178" s="816"/>
      <c r="DC178" s="816"/>
      <c r="DD178" s="609"/>
      <c r="DE178" s="609"/>
      <c r="DF178" s="816"/>
      <c r="DG178" s="816"/>
      <c r="DH178" s="816"/>
      <c r="DI178" s="816"/>
      <c r="DJ178" s="816"/>
      <c r="DK178" s="816"/>
      <c r="DL178" s="609"/>
      <c r="DM178" s="609"/>
      <c r="DN178" s="816"/>
      <c r="DO178" s="816"/>
      <c r="DP178" s="609"/>
      <c r="DQ178" s="609"/>
      <c r="DR178" s="816"/>
      <c r="DS178" s="816"/>
      <c r="DT178" s="816"/>
      <c r="DU178" s="816"/>
      <c r="DV178" s="816"/>
      <c r="DW178" s="816"/>
      <c r="DX178" s="816"/>
      <c r="DY178" s="816"/>
      <c r="DZ178" s="816"/>
      <c r="EA178" s="816"/>
      <c r="EB178" s="816"/>
      <c r="EC178" s="816"/>
      <c r="ED178" s="816"/>
      <c r="EE178" s="816"/>
      <c r="EF178" s="609"/>
      <c r="EG178" s="609"/>
      <c r="EH178" s="816"/>
      <c r="EI178" s="816"/>
      <c r="EJ178" s="816"/>
      <c r="EK178" s="816"/>
      <c r="EL178" s="816"/>
      <c r="EM178" s="816"/>
      <c r="EN178" s="816"/>
      <c r="EO178" s="816"/>
      <c r="EP178" s="816"/>
      <c r="EQ178" s="816"/>
      <c r="ER178" s="816"/>
      <c r="ES178" s="816"/>
      <c r="ET178" s="816"/>
      <c r="EU178" s="816"/>
      <c r="EV178" s="609"/>
      <c r="EW178" s="609"/>
      <c r="EX178" s="816"/>
      <c r="EY178" s="816"/>
      <c r="EZ178" s="816"/>
      <c r="FA178" s="816"/>
      <c r="FB178" s="816"/>
      <c r="FC178" s="816"/>
      <c r="FD178" s="816"/>
      <c r="FE178" s="816"/>
      <c r="FF178" s="816"/>
      <c r="FG178" s="816"/>
      <c r="FH178" s="816"/>
      <c r="FI178" s="816"/>
      <c r="FJ178" s="816"/>
      <c r="FK178" s="816"/>
      <c r="FL178" s="816"/>
      <c r="FM178" s="816"/>
      <c r="FN178" s="816"/>
      <c r="FO178" s="816"/>
      <c r="FP178" s="816"/>
      <c r="FQ178" s="816"/>
      <c r="FR178" s="816"/>
      <c r="FS178" s="816"/>
      <c r="FT178" s="816"/>
      <c r="FU178" s="816"/>
      <c r="FV178" s="816"/>
      <c r="FW178" s="816"/>
      <c r="FX178" s="816"/>
      <c r="FY178" s="816"/>
      <c r="FZ178" s="819"/>
      <c r="GA178" s="816"/>
      <c r="GB178" s="820"/>
      <c r="GC178" s="820"/>
      <c r="GD178" s="820"/>
      <c r="GE178" s="820"/>
      <c r="GF178" s="609"/>
      <c r="GG178" s="609"/>
      <c r="GH178" s="816"/>
      <c r="GI178" s="816"/>
      <c r="GJ178" s="816"/>
      <c r="GK178" s="816"/>
      <c r="GL178" s="816"/>
      <c r="GM178" s="816"/>
      <c r="GN178" s="816"/>
      <c r="GO178" s="816"/>
      <c r="GP178" s="816"/>
      <c r="GQ178" s="816"/>
      <c r="GR178" s="816"/>
      <c r="GS178" s="816"/>
      <c r="GT178" s="818"/>
      <c r="GU178" s="816"/>
      <c r="GV178" s="816"/>
      <c r="GW178" s="816"/>
      <c r="GX178" s="816"/>
      <c r="GY178" s="816"/>
      <c r="GZ178" s="816"/>
      <c r="HA178" s="816"/>
      <c r="HB178" s="609"/>
      <c r="HC178" s="609"/>
      <c r="HD178" s="816"/>
      <c r="HE178" s="816"/>
      <c r="HF178" s="816"/>
      <c r="HG178" s="816"/>
      <c r="HH178" s="816"/>
      <c r="HI178" s="816"/>
      <c r="HJ178" s="609"/>
      <c r="HK178" s="609"/>
      <c r="HL178" s="609"/>
      <c r="HM178" s="816"/>
      <c r="HN178" s="816"/>
      <c r="HO178" s="609"/>
      <c r="HP178" s="609"/>
      <c r="HQ178" s="816"/>
      <c r="HR178" s="816"/>
      <c r="HS178" s="816"/>
      <c r="HT178" s="816"/>
      <c r="HU178" s="816"/>
      <c r="HV178" s="816"/>
      <c r="HW178" s="609"/>
      <c r="HX178" s="609"/>
      <c r="HY178" s="816"/>
      <c r="HZ178" s="816"/>
      <c r="IA178" s="816"/>
      <c r="IB178" s="816"/>
      <c r="IC178" s="816"/>
      <c r="ID178" s="816"/>
      <c r="IE178" s="609"/>
      <c r="IF178" s="609"/>
      <c r="IG178" s="816"/>
      <c r="IH178" s="816"/>
      <c r="II178" s="609"/>
      <c r="IJ178" s="609"/>
      <c r="IK178" s="816"/>
      <c r="IL178" s="816"/>
      <c r="IM178" s="609"/>
      <c r="IN178" s="609"/>
      <c r="IO178" s="816"/>
      <c r="IP178" s="816"/>
      <c r="IQ178" s="816"/>
      <c r="IR178" s="816"/>
      <c r="IS178" s="816"/>
      <c r="IT178" s="816"/>
      <c r="IU178" s="821"/>
      <c r="IV178" s="609"/>
      <c r="IW178" s="816"/>
      <c r="IX178" s="816"/>
      <c r="IY178" s="822"/>
      <c r="IZ178" s="609"/>
      <c r="JA178" s="816"/>
      <c r="JB178" s="816"/>
      <c r="JC178" s="609"/>
      <c r="JD178" s="816"/>
      <c r="JE178" s="816"/>
      <c r="JF178" s="816"/>
      <c r="JG178" s="816"/>
      <c r="JH178" s="816"/>
      <c r="JI178" s="816"/>
      <c r="JJ178" s="816"/>
      <c r="JK178" s="816"/>
      <c r="JL178" s="816"/>
      <c r="JM178" s="816"/>
      <c r="JN178" s="816"/>
      <c r="JO178" s="823"/>
      <c r="JP178" s="824"/>
      <c r="JQ178" s="825"/>
      <c r="JR178" s="825"/>
      <c r="JS178" s="816"/>
      <c r="JU178" s="826"/>
      <c r="JV178" s="826"/>
      <c r="JW178" s="826"/>
      <c r="JX178" s="826"/>
    </row>
    <row r="179" spans="2:284" s="780" customFormat="1">
      <c r="B179" s="609"/>
      <c r="C179" s="609"/>
      <c r="D179" s="609"/>
      <c r="E179" s="609"/>
      <c r="F179" s="609"/>
      <c r="G179" s="609"/>
      <c r="H179" s="609"/>
      <c r="I179" s="609"/>
      <c r="J179" s="609"/>
      <c r="K179" s="609"/>
      <c r="L179" s="609"/>
      <c r="M179" s="609"/>
      <c r="N179" s="609"/>
      <c r="O179" s="609"/>
      <c r="P179" s="609"/>
      <c r="Q179" s="609"/>
      <c r="R179" s="609"/>
      <c r="S179" s="609"/>
      <c r="T179" s="609"/>
      <c r="U179" s="609"/>
      <c r="V179" s="609"/>
      <c r="W179" s="609"/>
      <c r="X179" s="609"/>
      <c r="Y179" s="609"/>
      <c r="Z179" s="609"/>
      <c r="AA179" s="609"/>
      <c r="AB179" s="609"/>
      <c r="AC179" s="609"/>
      <c r="AD179" s="816"/>
      <c r="AE179" s="816"/>
      <c r="AF179" s="816"/>
      <c r="AG179" s="816"/>
      <c r="AH179" s="816"/>
      <c r="AI179" s="816"/>
      <c r="AJ179" s="609"/>
      <c r="AK179" s="609"/>
      <c r="AL179" s="816"/>
      <c r="AM179" s="816"/>
      <c r="AN179" s="609"/>
      <c r="AO179" s="609"/>
      <c r="AP179" s="816"/>
      <c r="AQ179" s="816"/>
      <c r="AR179" s="816"/>
      <c r="AS179" s="816"/>
      <c r="AT179" s="816"/>
      <c r="AU179" s="816"/>
      <c r="AV179" s="609"/>
      <c r="AW179" s="609"/>
      <c r="AX179" s="816"/>
      <c r="AY179" s="816"/>
      <c r="AZ179" s="817"/>
      <c r="BA179" s="609"/>
      <c r="BB179" s="609"/>
      <c r="BC179" s="816"/>
      <c r="BD179" s="816"/>
      <c r="BE179" s="816"/>
      <c r="BF179" s="816"/>
      <c r="BG179" s="816"/>
      <c r="BH179" s="816"/>
      <c r="BI179" s="816"/>
      <c r="BJ179" s="816"/>
      <c r="BK179" s="816"/>
      <c r="BL179" s="816"/>
      <c r="BM179" s="816"/>
      <c r="BN179" s="816"/>
      <c r="BO179" s="816"/>
      <c r="BP179" s="816"/>
      <c r="BQ179" s="816"/>
      <c r="BR179" s="816"/>
      <c r="BS179" s="816"/>
      <c r="BT179" s="816"/>
      <c r="BU179" s="816"/>
      <c r="BV179" s="816"/>
      <c r="BW179" s="816"/>
      <c r="BX179" s="609"/>
      <c r="BY179" s="609"/>
      <c r="BZ179" s="609"/>
      <c r="CA179" s="818"/>
      <c r="CB179" s="816"/>
      <c r="CC179" s="816"/>
      <c r="CD179" s="816"/>
      <c r="CE179" s="816"/>
      <c r="CF179" s="816"/>
      <c r="CG179" s="816"/>
      <c r="CH179" s="816"/>
      <c r="CI179" s="816"/>
      <c r="CJ179" s="819"/>
      <c r="CK179" s="819"/>
      <c r="CL179" s="820"/>
      <c r="CM179" s="820"/>
      <c r="CN179" s="820"/>
      <c r="CO179" s="820"/>
      <c r="CP179" s="820"/>
      <c r="CQ179" s="820"/>
      <c r="CR179" s="609"/>
      <c r="CS179" s="609"/>
      <c r="CT179" s="816"/>
      <c r="CU179" s="816"/>
      <c r="CV179" s="609"/>
      <c r="CW179" s="609"/>
      <c r="CX179" s="816"/>
      <c r="CY179" s="816"/>
      <c r="CZ179" s="609"/>
      <c r="DA179" s="609"/>
      <c r="DB179" s="816"/>
      <c r="DC179" s="816"/>
      <c r="DD179" s="609"/>
      <c r="DE179" s="609"/>
      <c r="DF179" s="816"/>
      <c r="DG179" s="816"/>
      <c r="DH179" s="816"/>
      <c r="DI179" s="816"/>
      <c r="DJ179" s="816"/>
      <c r="DK179" s="816"/>
      <c r="DL179" s="609"/>
      <c r="DM179" s="609"/>
      <c r="DN179" s="816"/>
      <c r="DO179" s="816"/>
      <c r="DP179" s="609"/>
      <c r="DQ179" s="609"/>
      <c r="DR179" s="816"/>
      <c r="DS179" s="816"/>
      <c r="DT179" s="816"/>
      <c r="DU179" s="816"/>
      <c r="DV179" s="816"/>
      <c r="DW179" s="816"/>
      <c r="DX179" s="816"/>
      <c r="DY179" s="816"/>
      <c r="DZ179" s="816"/>
      <c r="EA179" s="816"/>
      <c r="EB179" s="816"/>
      <c r="EC179" s="816"/>
      <c r="ED179" s="816"/>
      <c r="EE179" s="816"/>
      <c r="EF179" s="609"/>
      <c r="EG179" s="609"/>
      <c r="EH179" s="816"/>
      <c r="EI179" s="816"/>
      <c r="EJ179" s="816"/>
      <c r="EK179" s="816"/>
      <c r="EL179" s="816"/>
      <c r="EM179" s="816"/>
      <c r="EN179" s="816"/>
      <c r="EO179" s="816"/>
      <c r="EP179" s="816"/>
      <c r="EQ179" s="816"/>
      <c r="ER179" s="816"/>
      <c r="ES179" s="816"/>
      <c r="ET179" s="816"/>
      <c r="EU179" s="816"/>
      <c r="EV179" s="609"/>
      <c r="EW179" s="609"/>
      <c r="EX179" s="816"/>
      <c r="EY179" s="816"/>
      <c r="EZ179" s="816"/>
      <c r="FA179" s="816"/>
      <c r="FB179" s="816"/>
      <c r="FC179" s="816"/>
      <c r="FD179" s="816"/>
      <c r="FE179" s="816"/>
      <c r="FF179" s="816"/>
      <c r="FG179" s="816"/>
      <c r="FH179" s="816"/>
      <c r="FI179" s="816"/>
      <c r="FJ179" s="816"/>
      <c r="FK179" s="816"/>
      <c r="FL179" s="816"/>
      <c r="FM179" s="816"/>
      <c r="FN179" s="816"/>
      <c r="FO179" s="816"/>
      <c r="FP179" s="816"/>
      <c r="FQ179" s="816"/>
      <c r="FR179" s="816"/>
      <c r="FS179" s="816"/>
      <c r="FT179" s="816"/>
      <c r="FU179" s="816"/>
      <c r="FV179" s="816"/>
      <c r="FW179" s="816"/>
      <c r="FX179" s="816"/>
      <c r="FY179" s="816"/>
      <c r="FZ179" s="819"/>
      <c r="GA179" s="816"/>
      <c r="GB179" s="820"/>
      <c r="GC179" s="820"/>
      <c r="GD179" s="820"/>
      <c r="GE179" s="820"/>
      <c r="GF179" s="609"/>
      <c r="GG179" s="609"/>
      <c r="GH179" s="816"/>
      <c r="GI179" s="816"/>
      <c r="GJ179" s="816"/>
      <c r="GK179" s="816"/>
      <c r="GL179" s="816"/>
      <c r="GM179" s="816"/>
      <c r="GN179" s="816"/>
      <c r="GO179" s="816"/>
      <c r="GP179" s="816"/>
      <c r="GQ179" s="816"/>
      <c r="GR179" s="816"/>
      <c r="GS179" s="816"/>
      <c r="GT179" s="818"/>
      <c r="GU179" s="816"/>
      <c r="GV179" s="816"/>
      <c r="GW179" s="816"/>
      <c r="GX179" s="816"/>
      <c r="GY179" s="816"/>
      <c r="GZ179" s="816"/>
      <c r="HA179" s="816"/>
      <c r="HB179" s="609"/>
      <c r="HC179" s="609"/>
      <c r="HD179" s="816"/>
      <c r="HE179" s="816"/>
      <c r="HF179" s="816"/>
      <c r="HG179" s="816"/>
      <c r="HH179" s="816"/>
      <c r="HI179" s="816"/>
      <c r="HJ179" s="609"/>
      <c r="HK179" s="609"/>
      <c r="HL179" s="609"/>
      <c r="HM179" s="816"/>
      <c r="HN179" s="816"/>
      <c r="HO179" s="609"/>
      <c r="HP179" s="609"/>
      <c r="HQ179" s="816"/>
      <c r="HR179" s="816"/>
      <c r="HS179" s="816"/>
      <c r="HT179" s="816"/>
      <c r="HU179" s="816"/>
      <c r="HV179" s="816"/>
      <c r="HW179" s="609"/>
      <c r="HX179" s="609"/>
      <c r="HY179" s="816"/>
      <c r="HZ179" s="816"/>
      <c r="IA179" s="816"/>
      <c r="IB179" s="816"/>
      <c r="IC179" s="816"/>
      <c r="ID179" s="816"/>
      <c r="IE179" s="609"/>
      <c r="IF179" s="609"/>
      <c r="IG179" s="816"/>
      <c r="IH179" s="816"/>
      <c r="II179" s="609"/>
      <c r="IJ179" s="609"/>
      <c r="IK179" s="816"/>
      <c r="IL179" s="816"/>
      <c r="IM179" s="609"/>
      <c r="IN179" s="609"/>
      <c r="IO179" s="816"/>
      <c r="IP179" s="816"/>
      <c r="IQ179" s="816"/>
      <c r="IR179" s="816"/>
      <c r="IS179" s="816"/>
      <c r="IT179" s="816"/>
      <c r="IU179" s="821"/>
      <c r="IV179" s="609"/>
      <c r="IW179" s="816"/>
      <c r="IX179" s="816"/>
      <c r="IY179" s="822"/>
      <c r="IZ179" s="609"/>
      <c r="JA179" s="816"/>
      <c r="JB179" s="816"/>
      <c r="JC179" s="609"/>
      <c r="JD179" s="816"/>
      <c r="JE179" s="816"/>
      <c r="JF179" s="816"/>
      <c r="JG179" s="816"/>
      <c r="JH179" s="816"/>
      <c r="JI179" s="816"/>
      <c r="JJ179" s="816"/>
      <c r="JK179" s="816"/>
      <c r="JL179" s="816"/>
      <c r="JM179" s="816"/>
      <c r="JN179" s="816"/>
      <c r="JO179" s="823"/>
      <c r="JP179" s="824"/>
      <c r="JQ179" s="825"/>
      <c r="JR179" s="825"/>
      <c r="JS179" s="816"/>
      <c r="JU179" s="826"/>
      <c r="JV179" s="826"/>
      <c r="JW179" s="826"/>
      <c r="JX179" s="826"/>
    </row>
    <row r="180" spans="2:284" s="780" customFormat="1">
      <c r="B180" s="609"/>
      <c r="C180" s="609"/>
      <c r="D180" s="609"/>
      <c r="E180" s="609"/>
      <c r="F180" s="609"/>
      <c r="G180" s="609"/>
      <c r="H180" s="609"/>
      <c r="I180" s="609"/>
      <c r="J180" s="609"/>
      <c r="K180" s="609"/>
      <c r="L180" s="609"/>
      <c r="M180" s="609"/>
      <c r="N180" s="609"/>
      <c r="O180" s="609"/>
      <c r="P180" s="609"/>
      <c r="Q180" s="609"/>
      <c r="R180" s="609"/>
      <c r="S180" s="609"/>
      <c r="T180" s="609"/>
      <c r="U180" s="609"/>
      <c r="V180" s="609"/>
      <c r="W180" s="609"/>
      <c r="X180" s="609"/>
      <c r="Y180" s="609"/>
      <c r="Z180" s="609"/>
      <c r="AA180" s="609"/>
      <c r="AB180" s="609"/>
      <c r="AC180" s="609"/>
      <c r="AD180" s="816"/>
      <c r="AE180" s="816"/>
      <c r="AF180" s="816"/>
      <c r="AG180" s="816"/>
      <c r="AH180" s="816"/>
      <c r="AI180" s="816"/>
      <c r="AJ180" s="609"/>
      <c r="AK180" s="609"/>
      <c r="AL180" s="816"/>
      <c r="AM180" s="816"/>
      <c r="AN180" s="609"/>
      <c r="AO180" s="609"/>
      <c r="AP180" s="816"/>
      <c r="AQ180" s="816"/>
      <c r="AR180" s="816"/>
      <c r="AS180" s="816"/>
      <c r="AT180" s="816"/>
      <c r="AU180" s="816"/>
      <c r="AV180" s="609"/>
      <c r="AW180" s="609"/>
      <c r="AX180" s="816"/>
      <c r="AY180" s="816"/>
      <c r="AZ180" s="817"/>
      <c r="BA180" s="609"/>
      <c r="BB180" s="609"/>
      <c r="BC180" s="816"/>
      <c r="BD180" s="816"/>
      <c r="BE180" s="816"/>
      <c r="BF180" s="816"/>
      <c r="BG180" s="816"/>
      <c r="BH180" s="816"/>
      <c r="BI180" s="816"/>
      <c r="BJ180" s="816"/>
      <c r="BK180" s="816"/>
      <c r="BL180" s="816"/>
      <c r="BM180" s="816"/>
      <c r="BN180" s="816"/>
      <c r="BO180" s="816"/>
      <c r="BP180" s="816"/>
      <c r="BQ180" s="816"/>
      <c r="BR180" s="816"/>
      <c r="BS180" s="816"/>
      <c r="BT180" s="816"/>
      <c r="BU180" s="816"/>
      <c r="BV180" s="816"/>
      <c r="BW180" s="816"/>
      <c r="BX180" s="609"/>
      <c r="BY180" s="609"/>
      <c r="BZ180" s="609"/>
      <c r="CA180" s="818"/>
      <c r="CB180" s="816"/>
      <c r="CC180" s="816"/>
      <c r="CD180" s="816"/>
      <c r="CE180" s="816"/>
      <c r="CF180" s="816"/>
      <c r="CG180" s="816"/>
      <c r="CH180" s="816"/>
      <c r="CI180" s="816"/>
      <c r="CJ180" s="819"/>
      <c r="CK180" s="819"/>
      <c r="CL180" s="820"/>
      <c r="CM180" s="820"/>
      <c r="CN180" s="820"/>
      <c r="CO180" s="820"/>
      <c r="CP180" s="820"/>
      <c r="CQ180" s="820"/>
      <c r="CR180" s="609"/>
      <c r="CS180" s="609"/>
      <c r="CT180" s="816"/>
      <c r="CU180" s="816"/>
      <c r="CV180" s="609"/>
      <c r="CW180" s="609"/>
      <c r="CX180" s="816"/>
      <c r="CY180" s="816"/>
      <c r="CZ180" s="609"/>
      <c r="DA180" s="609"/>
      <c r="DB180" s="816"/>
      <c r="DC180" s="816"/>
      <c r="DD180" s="609"/>
      <c r="DE180" s="609"/>
      <c r="DF180" s="816"/>
      <c r="DG180" s="816"/>
      <c r="DH180" s="816"/>
      <c r="DI180" s="816"/>
      <c r="DJ180" s="816"/>
      <c r="DK180" s="816"/>
      <c r="DL180" s="609"/>
      <c r="DM180" s="609"/>
      <c r="DN180" s="816"/>
      <c r="DO180" s="816"/>
      <c r="DP180" s="609"/>
      <c r="DQ180" s="609"/>
      <c r="DR180" s="816"/>
      <c r="DS180" s="816"/>
      <c r="DT180" s="816"/>
      <c r="DU180" s="816"/>
      <c r="DV180" s="816"/>
      <c r="DW180" s="816"/>
      <c r="DX180" s="816"/>
      <c r="DY180" s="816"/>
      <c r="DZ180" s="816"/>
      <c r="EA180" s="816"/>
      <c r="EB180" s="816"/>
      <c r="EC180" s="816"/>
      <c r="ED180" s="816"/>
      <c r="EE180" s="816"/>
      <c r="EF180" s="609"/>
      <c r="EG180" s="609"/>
      <c r="EH180" s="816"/>
      <c r="EI180" s="816"/>
      <c r="EJ180" s="816"/>
      <c r="EK180" s="816"/>
      <c r="EL180" s="816"/>
      <c r="EM180" s="816"/>
      <c r="EN180" s="816"/>
      <c r="EO180" s="816"/>
      <c r="EP180" s="816"/>
      <c r="EQ180" s="816"/>
      <c r="ER180" s="816"/>
      <c r="ES180" s="816"/>
      <c r="ET180" s="816"/>
      <c r="EU180" s="816"/>
      <c r="EV180" s="609"/>
      <c r="EW180" s="609"/>
      <c r="EX180" s="816"/>
      <c r="EY180" s="816"/>
      <c r="EZ180" s="816"/>
      <c r="FA180" s="816"/>
      <c r="FB180" s="816"/>
      <c r="FC180" s="816"/>
      <c r="FD180" s="816"/>
      <c r="FE180" s="816"/>
      <c r="FF180" s="816"/>
      <c r="FG180" s="816"/>
      <c r="FH180" s="816"/>
      <c r="FI180" s="816"/>
      <c r="FJ180" s="816"/>
      <c r="FK180" s="816"/>
      <c r="FL180" s="816"/>
      <c r="FM180" s="816"/>
      <c r="FN180" s="816"/>
      <c r="FO180" s="816"/>
      <c r="FP180" s="816"/>
      <c r="FQ180" s="816"/>
      <c r="FR180" s="816"/>
      <c r="FS180" s="816"/>
      <c r="FT180" s="816"/>
      <c r="FU180" s="816"/>
      <c r="FV180" s="816"/>
      <c r="FW180" s="816"/>
      <c r="FX180" s="816"/>
      <c r="FY180" s="816"/>
      <c r="FZ180" s="819"/>
      <c r="GA180" s="816"/>
      <c r="GB180" s="820"/>
      <c r="GC180" s="820"/>
      <c r="GD180" s="820"/>
      <c r="GE180" s="820"/>
      <c r="GF180" s="609"/>
      <c r="GG180" s="609"/>
      <c r="GH180" s="816"/>
      <c r="GI180" s="816"/>
      <c r="GJ180" s="816"/>
      <c r="GK180" s="816"/>
      <c r="GL180" s="816"/>
      <c r="GM180" s="816"/>
      <c r="GN180" s="816"/>
      <c r="GO180" s="816"/>
      <c r="GP180" s="816"/>
      <c r="GQ180" s="816"/>
      <c r="GR180" s="816"/>
      <c r="GS180" s="816"/>
      <c r="GT180" s="818"/>
      <c r="GU180" s="816"/>
      <c r="GV180" s="816"/>
      <c r="GW180" s="816"/>
      <c r="GX180" s="816"/>
      <c r="GY180" s="816"/>
      <c r="GZ180" s="816"/>
      <c r="HA180" s="816"/>
      <c r="HB180" s="609"/>
      <c r="HC180" s="609"/>
      <c r="HD180" s="816"/>
      <c r="HE180" s="816"/>
      <c r="HF180" s="816"/>
      <c r="HG180" s="816"/>
      <c r="HH180" s="816"/>
      <c r="HI180" s="816"/>
      <c r="HJ180" s="609"/>
      <c r="HK180" s="609"/>
      <c r="HL180" s="609"/>
      <c r="HM180" s="816"/>
      <c r="HN180" s="816"/>
      <c r="HO180" s="609"/>
      <c r="HP180" s="609"/>
      <c r="HQ180" s="816"/>
      <c r="HR180" s="816"/>
      <c r="HS180" s="816"/>
      <c r="HT180" s="816"/>
      <c r="HU180" s="816"/>
      <c r="HV180" s="816"/>
      <c r="HW180" s="609"/>
      <c r="HX180" s="609"/>
      <c r="HY180" s="816"/>
      <c r="HZ180" s="816"/>
      <c r="IA180" s="816"/>
      <c r="IB180" s="816"/>
      <c r="IC180" s="816"/>
      <c r="ID180" s="816"/>
      <c r="IE180" s="609"/>
      <c r="IF180" s="609"/>
      <c r="IG180" s="816"/>
      <c r="IH180" s="816"/>
      <c r="II180" s="609"/>
      <c r="IJ180" s="609"/>
      <c r="IK180" s="816"/>
      <c r="IL180" s="816"/>
      <c r="IM180" s="609"/>
      <c r="IN180" s="609"/>
      <c r="IO180" s="816"/>
      <c r="IP180" s="816"/>
      <c r="IQ180" s="816"/>
      <c r="IR180" s="816"/>
      <c r="IS180" s="816"/>
      <c r="IT180" s="816"/>
      <c r="IU180" s="821"/>
      <c r="IV180" s="609"/>
      <c r="IW180" s="816"/>
      <c r="IX180" s="816"/>
      <c r="IY180" s="822"/>
      <c r="IZ180" s="609"/>
      <c r="JA180" s="816"/>
      <c r="JB180" s="816"/>
      <c r="JC180" s="609"/>
      <c r="JD180" s="816"/>
      <c r="JE180" s="816"/>
      <c r="JF180" s="816"/>
      <c r="JG180" s="816"/>
      <c r="JH180" s="816"/>
      <c r="JI180" s="816"/>
      <c r="JJ180" s="816"/>
      <c r="JK180" s="816"/>
      <c r="JL180" s="816"/>
      <c r="JM180" s="816"/>
      <c r="JN180" s="816"/>
      <c r="JO180" s="823"/>
      <c r="JP180" s="824"/>
      <c r="JQ180" s="825"/>
      <c r="JR180" s="825"/>
      <c r="JS180" s="816"/>
      <c r="JU180" s="826"/>
      <c r="JV180" s="826"/>
      <c r="JW180" s="826"/>
      <c r="JX180" s="826"/>
    </row>
    <row r="181" spans="2:284" s="780" customFormat="1">
      <c r="B181" s="609"/>
      <c r="C181" s="609"/>
      <c r="D181" s="609"/>
      <c r="E181" s="609"/>
      <c r="F181" s="609"/>
      <c r="G181" s="609"/>
      <c r="H181" s="609"/>
      <c r="I181" s="609"/>
      <c r="J181" s="609"/>
      <c r="K181" s="609"/>
      <c r="L181" s="609"/>
      <c r="M181" s="609"/>
      <c r="N181" s="609"/>
      <c r="O181" s="609"/>
      <c r="P181" s="609"/>
      <c r="Q181" s="609"/>
      <c r="R181" s="609"/>
      <c r="S181" s="609"/>
      <c r="T181" s="609"/>
      <c r="U181" s="609"/>
      <c r="V181" s="609"/>
      <c r="W181" s="609"/>
      <c r="X181" s="609"/>
      <c r="Y181" s="609"/>
      <c r="Z181" s="609"/>
      <c r="AA181" s="609"/>
      <c r="AB181" s="609"/>
      <c r="AC181" s="609"/>
      <c r="AD181" s="816"/>
      <c r="AE181" s="816"/>
      <c r="AF181" s="816"/>
      <c r="AG181" s="816"/>
      <c r="AH181" s="816"/>
      <c r="AI181" s="816"/>
      <c r="AJ181" s="609"/>
      <c r="AK181" s="609"/>
      <c r="AL181" s="816"/>
      <c r="AM181" s="816"/>
      <c r="AN181" s="609"/>
      <c r="AO181" s="609"/>
      <c r="AP181" s="816"/>
      <c r="AQ181" s="816"/>
      <c r="AR181" s="816"/>
      <c r="AS181" s="816"/>
      <c r="AT181" s="816"/>
      <c r="AU181" s="816"/>
      <c r="AV181" s="609"/>
      <c r="AW181" s="609"/>
      <c r="AX181" s="816"/>
      <c r="AY181" s="816"/>
      <c r="AZ181" s="817"/>
      <c r="BA181" s="609"/>
      <c r="BB181" s="609"/>
      <c r="BC181" s="816"/>
      <c r="BD181" s="816"/>
      <c r="BE181" s="816"/>
      <c r="BF181" s="816"/>
      <c r="BG181" s="816"/>
      <c r="BH181" s="816"/>
      <c r="BI181" s="816"/>
      <c r="BJ181" s="816"/>
      <c r="BK181" s="816"/>
      <c r="BL181" s="816"/>
      <c r="BM181" s="816"/>
      <c r="BN181" s="816"/>
      <c r="BO181" s="816"/>
      <c r="BP181" s="816"/>
      <c r="BQ181" s="816"/>
      <c r="BR181" s="816"/>
      <c r="BS181" s="816"/>
      <c r="BT181" s="816"/>
      <c r="BU181" s="816"/>
      <c r="BV181" s="816"/>
      <c r="BW181" s="816"/>
      <c r="BX181" s="609"/>
      <c r="BY181" s="609"/>
      <c r="BZ181" s="609"/>
      <c r="CA181" s="818"/>
      <c r="CB181" s="816"/>
      <c r="CC181" s="816"/>
      <c r="CD181" s="816"/>
      <c r="CE181" s="816"/>
      <c r="CF181" s="816"/>
      <c r="CG181" s="816"/>
      <c r="CH181" s="816"/>
      <c r="CI181" s="816"/>
      <c r="CJ181" s="819"/>
      <c r="CK181" s="819"/>
      <c r="CL181" s="820"/>
      <c r="CM181" s="820"/>
      <c r="CN181" s="820"/>
      <c r="CO181" s="820"/>
      <c r="CP181" s="820"/>
      <c r="CQ181" s="820"/>
      <c r="CR181" s="609"/>
      <c r="CS181" s="609"/>
      <c r="CT181" s="816"/>
      <c r="CU181" s="816"/>
      <c r="CV181" s="609"/>
      <c r="CW181" s="609"/>
      <c r="CX181" s="816"/>
      <c r="CY181" s="816"/>
      <c r="CZ181" s="609"/>
      <c r="DA181" s="609"/>
      <c r="DB181" s="816"/>
      <c r="DC181" s="816"/>
      <c r="DD181" s="609"/>
      <c r="DE181" s="609"/>
      <c r="DF181" s="816"/>
      <c r="DG181" s="816"/>
      <c r="DH181" s="816"/>
      <c r="DI181" s="816"/>
      <c r="DJ181" s="816"/>
      <c r="DK181" s="816"/>
      <c r="DL181" s="609"/>
      <c r="DM181" s="609"/>
      <c r="DN181" s="816"/>
      <c r="DO181" s="816"/>
      <c r="DP181" s="609"/>
      <c r="DQ181" s="609"/>
      <c r="DR181" s="816"/>
      <c r="DS181" s="816"/>
      <c r="DT181" s="816"/>
      <c r="DU181" s="816"/>
      <c r="DV181" s="816"/>
      <c r="DW181" s="816"/>
      <c r="DX181" s="816"/>
      <c r="DY181" s="816"/>
      <c r="DZ181" s="816"/>
      <c r="EA181" s="816"/>
      <c r="EB181" s="816"/>
      <c r="EC181" s="816"/>
      <c r="ED181" s="816"/>
      <c r="EE181" s="816"/>
      <c r="EF181" s="609"/>
      <c r="EG181" s="609"/>
      <c r="EH181" s="816"/>
      <c r="EI181" s="816"/>
      <c r="EJ181" s="816"/>
      <c r="EK181" s="816"/>
      <c r="EL181" s="816"/>
      <c r="EM181" s="816"/>
      <c r="EN181" s="816"/>
      <c r="EO181" s="816"/>
      <c r="EP181" s="816"/>
      <c r="EQ181" s="816"/>
      <c r="ER181" s="816"/>
      <c r="ES181" s="816"/>
      <c r="ET181" s="816"/>
      <c r="EU181" s="816"/>
      <c r="EV181" s="609"/>
      <c r="EW181" s="609"/>
      <c r="EX181" s="816"/>
      <c r="EY181" s="816"/>
      <c r="EZ181" s="816"/>
      <c r="FA181" s="816"/>
      <c r="FB181" s="816"/>
      <c r="FC181" s="816"/>
      <c r="FD181" s="816"/>
      <c r="FE181" s="816"/>
      <c r="FF181" s="816"/>
      <c r="FG181" s="816"/>
      <c r="FH181" s="816"/>
      <c r="FI181" s="816"/>
      <c r="FJ181" s="816"/>
      <c r="FK181" s="816"/>
      <c r="FL181" s="816"/>
      <c r="FM181" s="816"/>
      <c r="FN181" s="816"/>
      <c r="FO181" s="816"/>
      <c r="FP181" s="816"/>
      <c r="FQ181" s="816"/>
      <c r="FR181" s="816"/>
      <c r="FS181" s="816"/>
      <c r="FT181" s="816"/>
      <c r="FU181" s="816"/>
      <c r="FV181" s="816"/>
      <c r="FW181" s="816"/>
      <c r="FX181" s="816"/>
      <c r="FY181" s="816"/>
      <c r="FZ181" s="819"/>
      <c r="GA181" s="816"/>
      <c r="GB181" s="820"/>
      <c r="GC181" s="820"/>
      <c r="GD181" s="820"/>
      <c r="GE181" s="820"/>
      <c r="GF181" s="609"/>
      <c r="GG181" s="609"/>
      <c r="GH181" s="816"/>
      <c r="GI181" s="816"/>
      <c r="GJ181" s="816"/>
      <c r="GK181" s="816"/>
      <c r="GL181" s="816"/>
      <c r="GM181" s="816"/>
      <c r="GN181" s="816"/>
      <c r="GO181" s="816"/>
      <c r="GP181" s="816"/>
      <c r="GQ181" s="816"/>
      <c r="GR181" s="816"/>
      <c r="GS181" s="816"/>
      <c r="GT181" s="818"/>
      <c r="GU181" s="816"/>
      <c r="GV181" s="816"/>
      <c r="GW181" s="816"/>
      <c r="GX181" s="816"/>
      <c r="GY181" s="816"/>
      <c r="GZ181" s="816"/>
      <c r="HA181" s="816"/>
      <c r="HB181" s="609"/>
      <c r="HC181" s="609"/>
      <c r="HD181" s="816"/>
      <c r="HE181" s="816"/>
      <c r="HF181" s="816"/>
      <c r="HG181" s="816"/>
      <c r="HH181" s="816"/>
      <c r="HI181" s="816"/>
      <c r="HJ181" s="609"/>
      <c r="HK181" s="609"/>
      <c r="HL181" s="609"/>
      <c r="HM181" s="816"/>
      <c r="HN181" s="816"/>
      <c r="HO181" s="609"/>
      <c r="HP181" s="609"/>
      <c r="HQ181" s="816"/>
      <c r="HR181" s="816"/>
      <c r="HS181" s="816"/>
      <c r="HT181" s="816"/>
      <c r="HU181" s="816"/>
      <c r="HV181" s="816"/>
      <c r="HW181" s="609"/>
      <c r="HX181" s="609"/>
      <c r="HY181" s="816"/>
      <c r="HZ181" s="816"/>
      <c r="IA181" s="816"/>
      <c r="IB181" s="816"/>
      <c r="IC181" s="816"/>
      <c r="ID181" s="816"/>
      <c r="IE181" s="609"/>
      <c r="IF181" s="609"/>
      <c r="IG181" s="816"/>
      <c r="IH181" s="816"/>
      <c r="II181" s="609"/>
      <c r="IJ181" s="609"/>
      <c r="IK181" s="816"/>
      <c r="IL181" s="816"/>
      <c r="IM181" s="609"/>
      <c r="IN181" s="609"/>
      <c r="IO181" s="816"/>
      <c r="IP181" s="816"/>
      <c r="IQ181" s="816"/>
      <c r="IR181" s="816"/>
      <c r="IS181" s="816"/>
      <c r="IT181" s="816"/>
      <c r="IU181" s="821"/>
      <c r="IV181" s="609"/>
      <c r="IW181" s="816"/>
      <c r="IX181" s="816"/>
      <c r="IY181" s="822"/>
      <c r="IZ181" s="609"/>
      <c r="JA181" s="816"/>
      <c r="JB181" s="816"/>
      <c r="JC181" s="609"/>
      <c r="JD181" s="816"/>
      <c r="JE181" s="816"/>
      <c r="JF181" s="816"/>
      <c r="JG181" s="816"/>
      <c r="JH181" s="816"/>
      <c r="JI181" s="816"/>
      <c r="JJ181" s="816"/>
      <c r="JK181" s="816"/>
      <c r="JL181" s="816"/>
      <c r="JM181" s="816"/>
      <c r="JN181" s="816"/>
      <c r="JO181" s="823"/>
      <c r="JP181" s="824"/>
      <c r="JQ181" s="825"/>
      <c r="JR181" s="825"/>
      <c r="JS181" s="816"/>
      <c r="JU181" s="826"/>
      <c r="JV181" s="826"/>
      <c r="JW181" s="826"/>
      <c r="JX181" s="826"/>
    </row>
    <row r="182" spans="2:284" s="780" customFormat="1">
      <c r="B182" s="609"/>
      <c r="C182" s="609"/>
      <c r="D182" s="609"/>
      <c r="E182" s="609"/>
      <c r="F182" s="609"/>
      <c r="G182" s="609"/>
      <c r="H182" s="609"/>
      <c r="I182" s="609"/>
      <c r="J182" s="609"/>
      <c r="K182" s="609"/>
      <c r="L182" s="609"/>
      <c r="M182" s="609"/>
      <c r="N182" s="609"/>
      <c r="O182" s="609"/>
      <c r="P182" s="609"/>
      <c r="Q182" s="609"/>
      <c r="R182" s="609"/>
      <c r="S182" s="609"/>
      <c r="T182" s="609"/>
      <c r="U182" s="609"/>
      <c r="V182" s="609"/>
      <c r="W182" s="609"/>
      <c r="X182" s="609"/>
      <c r="Y182" s="609"/>
      <c r="Z182" s="609"/>
      <c r="AA182" s="609"/>
      <c r="AB182" s="609"/>
      <c r="AC182" s="609"/>
      <c r="AD182" s="816"/>
      <c r="AE182" s="816"/>
      <c r="AF182" s="816"/>
      <c r="AG182" s="816"/>
      <c r="AH182" s="816"/>
      <c r="AI182" s="816"/>
      <c r="AJ182" s="609"/>
      <c r="AK182" s="609"/>
      <c r="AL182" s="816"/>
      <c r="AM182" s="816"/>
      <c r="AN182" s="609"/>
      <c r="AO182" s="609"/>
      <c r="AP182" s="816"/>
      <c r="AQ182" s="816"/>
      <c r="AR182" s="816"/>
      <c r="AS182" s="816"/>
      <c r="AT182" s="816"/>
      <c r="AU182" s="816"/>
      <c r="AV182" s="609"/>
      <c r="AW182" s="609"/>
      <c r="AX182" s="816"/>
      <c r="AY182" s="816"/>
      <c r="AZ182" s="817"/>
      <c r="BA182" s="609"/>
      <c r="BB182" s="609"/>
      <c r="BC182" s="816"/>
      <c r="BD182" s="816"/>
      <c r="BE182" s="816"/>
      <c r="BF182" s="816"/>
      <c r="BG182" s="816"/>
      <c r="BH182" s="816"/>
      <c r="BI182" s="816"/>
      <c r="BJ182" s="816"/>
      <c r="BK182" s="816"/>
      <c r="BL182" s="816"/>
      <c r="BM182" s="816"/>
      <c r="BN182" s="816"/>
      <c r="BO182" s="816"/>
      <c r="BP182" s="816"/>
      <c r="BQ182" s="816"/>
      <c r="BR182" s="816"/>
      <c r="BS182" s="816"/>
      <c r="BT182" s="816"/>
      <c r="BU182" s="816"/>
      <c r="BV182" s="816"/>
      <c r="BW182" s="816"/>
      <c r="BX182" s="609"/>
      <c r="BY182" s="609"/>
      <c r="BZ182" s="609"/>
      <c r="CA182" s="818"/>
      <c r="CB182" s="816"/>
      <c r="CC182" s="816"/>
      <c r="CD182" s="816"/>
      <c r="CE182" s="816"/>
      <c r="CF182" s="816"/>
      <c r="CG182" s="816"/>
      <c r="CH182" s="816"/>
      <c r="CI182" s="816"/>
      <c r="CJ182" s="819"/>
      <c r="CK182" s="819"/>
      <c r="CL182" s="820"/>
      <c r="CM182" s="820"/>
      <c r="CN182" s="820"/>
      <c r="CO182" s="820"/>
      <c r="CP182" s="820"/>
      <c r="CQ182" s="820"/>
      <c r="CR182" s="609"/>
      <c r="CS182" s="609"/>
      <c r="CT182" s="816"/>
      <c r="CU182" s="816"/>
      <c r="CV182" s="609"/>
      <c r="CW182" s="609"/>
      <c r="CX182" s="816"/>
      <c r="CY182" s="816"/>
      <c r="CZ182" s="609"/>
      <c r="DA182" s="609"/>
      <c r="DB182" s="816"/>
      <c r="DC182" s="816"/>
      <c r="DD182" s="609"/>
      <c r="DE182" s="609"/>
      <c r="DF182" s="816"/>
      <c r="DG182" s="816"/>
      <c r="DH182" s="816"/>
      <c r="DI182" s="816"/>
      <c r="DJ182" s="816"/>
      <c r="DK182" s="816"/>
      <c r="DL182" s="609"/>
      <c r="DM182" s="609"/>
      <c r="DN182" s="816"/>
      <c r="DO182" s="816"/>
      <c r="DP182" s="609"/>
      <c r="DQ182" s="609"/>
      <c r="DR182" s="816"/>
      <c r="DS182" s="816"/>
      <c r="DT182" s="816"/>
      <c r="DU182" s="816"/>
      <c r="DV182" s="816"/>
      <c r="DW182" s="816"/>
      <c r="DX182" s="816"/>
      <c r="DY182" s="816"/>
      <c r="DZ182" s="816"/>
      <c r="EA182" s="816"/>
      <c r="EB182" s="816"/>
      <c r="EC182" s="816"/>
      <c r="ED182" s="816"/>
      <c r="EE182" s="816"/>
      <c r="EF182" s="609"/>
      <c r="EG182" s="609"/>
      <c r="EH182" s="816"/>
      <c r="EI182" s="816"/>
      <c r="EJ182" s="816"/>
      <c r="EK182" s="816"/>
      <c r="EL182" s="816"/>
      <c r="EM182" s="816"/>
      <c r="EN182" s="816"/>
      <c r="EO182" s="816"/>
      <c r="EP182" s="816"/>
      <c r="EQ182" s="816"/>
      <c r="ER182" s="816"/>
      <c r="ES182" s="816"/>
      <c r="ET182" s="816"/>
      <c r="EU182" s="816"/>
      <c r="EV182" s="609"/>
      <c r="EW182" s="609"/>
      <c r="EX182" s="816"/>
      <c r="EY182" s="816"/>
      <c r="EZ182" s="816"/>
      <c r="FA182" s="816"/>
      <c r="FB182" s="816"/>
      <c r="FC182" s="816"/>
      <c r="FD182" s="816"/>
      <c r="FE182" s="816"/>
      <c r="FF182" s="816"/>
      <c r="FG182" s="816"/>
      <c r="FH182" s="816"/>
      <c r="FI182" s="816"/>
      <c r="FJ182" s="816"/>
      <c r="FK182" s="816"/>
      <c r="FL182" s="816"/>
      <c r="FM182" s="816"/>
      <c r="FN182" s="816"/>
      <c r="FO182" s="816"/>
      <c r="FP182" s="816"/>
      <c r="FQ182" s="816"/>
      <c r="FR182" s="816"/>
      <c r="FS182" s="816"/>
      <c r="FT182" s="816"/>
      <c r="FU182" s="816"/>
      <c r="FV182" s="816"/>
      <c r="FW182" s="816"/>
      <c r="FX182" s="816"/>
      <c r="FY182" s="816"/>
      <c r="FZ182" s="819"/>
      <c r="GA182" s="816"/>
      <c r="GB182" s="820"/>
      <c r="GC182" s="820"/>
      <c r="GD182" s="820"/>
      <c r="GE182" s="820"/>
      <c r="GF182" s="609"/>
      <c r="GG182" s="609"/>
      <c r="GH182" s="816"/>
      <c r="GI182" s="816"/>
      <c r="GJ182" s="816"/>
      <c r="GK182" s="816"/>
      <c r="GL182" s="816"/>
      <c r="GM182" s="816"/>
      <c r="GN182" s="816"/>
      <c r="GO182" s="816"/>
      <c r="GP182" s="816"/>
      <c r="GQ182" s="816"/>
      <c r="GR182" s="816"/>
      <c r="GS182" s="816"/>
      <c r="GT182" s="818"/>
      <c r="GU182" s="816"/>
      <c r="GV182" s="816"/>
      <c r="GW182" s="816"/>
      <c r="GX182" s="816"/>
      <c r="GY182" s="816"/>
      <c r="GZ182" s="816"/>
      <c r="HA182" s="816"/>
      <c r="HB182" s="609"/>
      <c r="HC182" s="609"/>
      <c r="HD182" s="816"/>
      <c r="HE182" s="816"/>
      <c r="HF182" s="816"/>
      <c r="HG182" s="816"/>
      <c r="HH182" s="816"/>
      <c r="HI182" s="816"/>
      <c r="HJ182" s="609"/>
      <c r="HK182" s="609"/>
      <c r="HL182" s="609"/>
      <c r="HM182" s="816"/>
      <c r="HN182" s="816"/>
      <c r="HO182" s="609"/>
      <c r="HP182" s="609"/>
      <c r="HQ182" s="816"/>
      <c r="HR182" s="816"/>
      <c r="HS182" s="816"/>
      <c r="HT182" s="816"/>
      <c r="HU182" s="816"/>
      <c r="HV182" s="816"/>
      <c r="HW182" s="609"/>
      <c r="HX182" s="609"/>
      <c r="HY182" s="816"/>
      <c r="HZ182" s="816"/>
      <c r="IA182" s="816"/>
      <c r="IB182" s="816"/>
      <c r="IC182" s="816"/>
      <c r="ID182" s="816"/>
      <c r="IE182" s="609"/>
      <c r="IF182" s="609"/>
      <c r="IG182" s="816"/>
      <c r="IH182" s="816"/>
      <c r="II182" s="609"/>
      <c r="IJ182" s="609"/>
      <c r="IK182" s="816"/>
      <c r="IL182" s="816"/>
      <c r="IM182" s="609"/>
      <c r="IN182" s="609"/>
      <c r="IO182" s="816"/>
      <c r="IP182" s="816"/>
      <c r="IQ182" s="816"/>
      <c r="IR182" s="816"/>
      <c r="IS182" s="816"/>
      <c r="IT182" s="816"/>
      <c r="IU182" s="821"/>
      <c r="IV182" s="609"/>
      <c r="IW182" s="816"/>
      <c r="IX182" s="816"/>
      <c r="IY182" s="822"/>
      <c r="IZ182" s="609"/>
      <c r="JA182" s="816"/>
      <c r="JB182" s="816"/>
      <c r="JC182" s="609"/>
      <c r="JD182" s="816"/>
      <c r="JE182" s="816"/>
      <c r="JF182" s="816"/>
      <c r="JG182" s="816"/>
      <c r="JH182" s="816"/>
      <c r="JI182" s="816"/>
      <c r="JJ182" s="816"/>
      <c r="JK182" s="816"/>
      <c r="JL182" s="816"/>
      <c r="JM182" s="816"/>
      <c r="JN182" s="816"/>
      <c r="JO182" s="823"/>
      <c r="JP182" s="824"/>
      <c r="JQ182" s="825"/>
      <c r="JR182" s="825"/>
      <c r="JS182" s="816"/>
      <c r="JU182" s="826"/>
      <c r="JV182" s="826"/>
      <c r="JW182" s="826"/>
      <c r="JX182" s="826"/>
    </row>
    <row r="183" spans="2:284" s="780" customFormat="1">
      <c r="B183" s="609"/>
      <c r="C183" s="609"/>
      <c r="D183" s="609"/>
      <c r="E183" s="609"/>
      <c r="F183" s="609"/>
      <c r="G183" s="609"/>
      <c r="H183" s="609"/>
      <c r="I183" s="609"/>
      <c r="J183" s="609"/>
      <c r="K183" s="609"/>
      <c r="L183" s="609"/>
      <c r="M183" s="609"/>
      <c r="N183" s="609"/>
      <c r="O183" s="609"/>
      <c r="P183" s="609"/>
      <c r="Q183" s="609"/>
      <c r="R183" s="609"/>
      <c r="S183" s="609"/>
      <c r="T183" s="609"/>
      <c r="U183" s="609"/>
      <c r="V183" s="609"/>
      <c r="W183" s="609"/>
      <c r="X183" s="609"/>
      <c r="Y183" s="609"/>
      <c r="Z183" s="609"/>
      <c r="AA183" s="609"/>
      <c r="AB183" s="609"/>
      <c r="AC183" s="609"/>
      <c r="AD183" s="816"/>
      <c r="AE183" s="816"/>
      <c r="AF183" s="816"/>
      <c r="AG183" s="816"/>
      <c r="AH183" s="816"/>
      <c r="AI183" s="816"/>
      <c r="AJ183" s="609"/>
      <c r="AK183" s="609"/>
      <c r="AL183" s="816"/>
      <c r="AM183" s="816"/>
      <c r="AN183" s="609"/>
      <c r="AO183" s="609"/>
      <c r="AP183" s="816"/>
      <c r="AQ183" s="816"/>
      <c r="AR183" s="816"/>
      <c r="AS183" s="816"/>
      <c r="AT183" s="816"/>
      <c r="AU183" s="816"/>
      <c r="AV183" s="609"/>
      <c r="AW183" s="609"/>
      <c r="AX183" s="816"/>
      <c r="AY183" s="816"/>
      <c r="AZ183" s="817"/>
      <c r="BA183" s="609"/>
      <c r="BB183" s="609"/>
      <c r="BC183" s="816"/>
      <c r="BD183" s="816"/>
      <c r="BE183" s="816"/>
      <c r="BF183" s="816"/>
      <c r="BG183" s="816"/>
      <c r="BH183" s="816"/>
      <c r="BI183" s="816"/>
      <c r="BJ183" s="816"/>
      <c r="BK183" s="816"/>
      <c r="BL183" s="816"/>
      <c r="BM183" s="816"/>
      <c r="BN183" s="816"/>
      <c r="BO183" s="816"/>
      <c r="BP183" s="816"/>
      <c r="BQ183" s="816"/>
      <c r="BR183" s="816"/>
      <c r="BS183" s="816"/>
      <c r="BT183" s="816"/>
      <c r="BU183" s="816"/>
      <c r="BV183" s="816"/>
      <c r="BW183" s="816"/>
      <c r="BX183" s="609"/>
      <c r="BY183" s="609"/>
      <c r="BZ183" s="609"/>
      <c r="CA183" s="818"/>
      <c r="CB183" s="816"/>
      <c r="CC183" s="816"/>
      <c r="CD183" s="816"/>
      <c r="CE183" s="816"/>
      <c r="CF183" s="816"/>
      <c r="CG183" s="816"/>
      <c r="CH183" s="816"/>
      <c r="CI183" s="816"/>
      <c r="CJ183" s="819"/>
      <c r="CK183" s="819"/>
      <c r="CL183" s="820"/>
      <c r="CM183" s="820"/>
      <c r="CN183" s="820"/>
      <c r="CO183" s="820"/>
      <c r="CP183" s="820"/>
      <c r="CQ183" s="820"/>
      <c r="CR183" s="609"/>
      <c r="CS183" s="609"/>
      <c r="CT183" s="816"/>
      <c r="CU183" s="816"/>
      <c r="CV183" s="609"/>
      <c r="CW183" s="609"/>
      <c r="CX183" s="816"/>
      <c r="CY183" s="816"/>
      <c r="CZ183" s="609"/>
      <c r="DA183" s="609"/>
      <c r="DB183" s="816"/>
      <c r="DC183" s="816"/>
      <c r="DD183" s="609"/>
      <c r="DE183" s="609"/>
      <c r="DF183" s="816"/>
      <c r="DG183" s="816"/>
      <c r="DH183" s="816"/>
      <c r="DI183" s="816"/>
      <c r="DJ183" s="816"/>
      <c r="DK183" s="816"/>
      <c r="DL183" s="609"/>
      <c r="DM183" s="609"/>
      <c r="DN183" s="816"/>
      <c r="DO183" s="816"/>
      <c r="DP183" s="609"/>
      <c r="DQ183" s="609"/>
      <c r="DR183" s="816"/>
      <c r="DS183" s="816"/>
      <c r="DT183" s="816"/>
      <c r="DU183" s="816"/>
      <c r="DV183" s="816"/>
      <c r="DW183" s="816"/>
      <c r="DX183" s="816"/>
      <c r="DY183" s="816"/>
      <c r="DZ183" s="816"/>
      <c r="EA183" s="816"/>
      <c r="EB183" s="816"/>
      <c r="EC183" s="816"/>
      <c r="ED183" s="816"/>
      <c r="EE183" s="816"/>
      <c r="EF183" s="609"/>
      <c r="EG183" s="609"/>
      <c r="EH183" s="816"/>
      <c r="EI183" s="816"/>
      <c r="EJ183" s="816"/>
      <c r="EK183" s="816"/>
      <c r="EL183" s="816"/>
      <c r="EM183" s="816"/>
      <c r="EN183" s="816"/>
      <c r="EO183" s="816"/>
      <c r="EP183" s="816"/>
      <c r="EQ183" s="816"/>
      <c r="ER183" s="816"/>
      <c r="ES183" s="816"/>
      <c r="ET183" s="816"/>
      <c r="EU183" s="816"/>
      <c r="EV183" s="609"/>
      <c r="EW183" s="609"/>
      <c r="EX183" s="816"/>
      <c r="EY183" s="816"/>
      <c r="EZ183" s="816"/>
      <c r="FA183" s="816"/>
      <c r="FB183" s="816"/>
      <c r="FC183" s="816"/>
      <c r="FD183" s="816"/>
      <c r="FE183" s="816"/>
      <c r="FF183" s="816"/>
      <c r="FG183" s="816"/>
      <c r="FH183" s="816"/>
      <c r="FI183" s="816"/>
      <c r="FJ183" s="816"/>
      <c r="FK183" s="816"/>
      <c r="FL183" s="816"/>
      <c r="FM183" s="816"/>
      <c r="FN183" s="816"/>
      <c r="FO183" s="816"/>
      <c r="FP183" s="816"/>
      <c r="FQ183" s="816"/>
      <c r="FR183" s="816"/>
      <c r="FS183" s="816"/>
      <c r="FT183" s="816"/>
      <c r="FU183" s="816"/>
      <c r="FV183" s="816"/>
      <c r="FW183" s="816"/>
      <c r="FX183" s="816"/>
      <c r="FY183" s="816"/>
      <c r="FZ183" s="819"/>
      <c r="GA183" s="816"/>
      <c r="GB183" s="820"/>
      <c r="GC183" s="820"/>
      <c r="GD183" s="820"/>
      <c r="GE183" s="820"/>
      <c r="GF183" s="609"/>
      <c r="GG183" s="609"/>
      <c r="GH183" s="816"/>
      <c r="GI183" s="816"/>
      <c r="GJ183" s="816"/>
      <c r="GK183" s="816"/>
      <c r="GL183" s="816"/>
      <c r="GM183" s="816"/>
      <c r="GN183" s="816"/>
      <c r="GO183" s="816"/>
      <c r="GP183" s="816"/>
      <c r="GQ183" s="816"/>
      <c r="GR183" s="816"/>
      <c r="GS183" s="816"/>
      <c r="GT183" s="818"/>
      <c r="GU183" s="816"/>
      <c r="GV183" s="816"/>
      <c r="GW183" s="816"/>
      <c r="GX183" s="816"/>
      <c r="GY183" s="816"/>
      <c r="GZ183" s="816"/>
      <c r="HA183" s="816"/>
      <c r="HB183" s="609"/>
      <c r="HC183" s="609"/>
      <c r="HD183" s="816"/>
      <c r="HE183" s="816"/>
      <c r="HF183" s="816"/>
      <c r="HG183" s="816"/>
      <c r="HH183" s="816"/>
      <c r="HI183" s="816"/>
      <c r="HJ183" s="609"/>
      <c r="HK183" s="609"/>
      <c r="HL183" s="609"/>
      <c r="HM183" s="816"/>
      <c r="HN183" s="816"/>
      <c r="HO183" s="609"/>
      <c r="HP183" s="609"/>
      <c r="HQ183" s="816"/>
      <c r="HR183" s="816"/>
      <c r="HS183" s="816"/>
      <c r="HT183" s="816"/>
      <c r="HU183" s="816"/>
      <c r="HV183" s="816"/>
      <c r="HW183" s="609"/>
      <c r="HX183" s="609"/>
      <c r="HY183" s="816"/>
      <c r="HZ183" s="816"/>
      <c r="IA183" s="816"/>
      <c r="IB183" s="816"/>
      <c r="IC183" s="816"/>
      <c r="ID183" s="816"/>
      <c r="IE183" s="609"/>
      <c r="IF183" s="609"/>
      <c r="IG183" s="816"/>
      <c r="IH183" s="816"/>
      <c r="II183" s="609"/>
      <c r="IJ183" s="609"/>
      <c r="IK183" s="816"/>
      <c r="IL183" s="816"/>
      <c r="IM183" s="609"/>
      <c r="IN183" s="609"/>
      <c r="IO183" s="816"/>
      <c r="IP183" s="816"/>
      <c r="IQ183" s="816"/>
      <c r="IR183" s="816"/>
      <c r="IS183" s="816"/>
      <c r="IT183" s="816"/>
      <c r="IU183" s="821"/>
      <c r="IV183" s="609"/>
      <c r="IW183" s="816"/>
      <c r="IX183" s="816"/>
      <c r="IY183" s="822"/>
      <c r="IZ183" s="609"/>
      <c r="JA183" s="816"/>
      <c r="JB183" s="816"/>
      <c r="JC183" s="609"/>
      <c r="JD183" s="816"/>
      <c r="JE183" s="816"/>
      <c r="JF183" s="816"/>
      <c r="JG183" s="816"/>
      <c r="JH183" s="816"/>
      <c r="JI183" s="816"/>
      <c r="JJ183" s="816"/>
      <c r="JK183" s="816"/>
      <c r="JL183" s="816"/>
      <c r="JM183" s="816"/>
      <c r="JN183" s="816"/>
      <c r="JO183" s="823"/>
      <c r="JP183" s="824"/>
      <c r="JQ183" s="825"/>
      <c r="JR183" s="825"/>
      <c r="JS183" s="816"/>
      <c r="JU183" s="826"/>
      <c r="JV183" s="826"/>
      <c r="JW183" s="826"/>
      <c r="JX183" s="826"/>
    </row>
    <row r="184" spans="2:284" s="780" customFormat="1">
      <c r="B184" s="609"/>
      <c r="C184" s="609"/>
      <c r="D184" s="609"/>
      <c r="E184" s="609"/>
      <c r="F184" s="609"/>
      <c r="G184" s="609"/>
      <c r="H184" s="609"/>
      <c r="I184" s="609"/>
      <c r="J184" s="609"/>
      <c r="K184" s="609"/>
      <c r="L184" s="609"/>
      <c r="M184" s="609"/>
      <c r="N184" s="609"/>
      <c r="O184" s="609"/>
      <c r="P184" s="609"/>
      <c r="Q184" s="609"/>
      <c r="R184" s="609"/>
      <c r="S184" s="609"/>
      <c r="T184" s="609"/>
      <c r="U184" s="609"/>
      <c r="V184" s="609"/>
      <c r="W184" s="609"/>
      <c r="X184" s="609"/>
      <c r="Y184" s="609"/>
      <c r="Z184" s="609"/>
      <c r="AA184" s="609"/>
      <c r="AB184" s="609"/>
      <c r="AC184" s="609"/>
      <c r="AD184" s="816"/>
      <c r="AE184" s="816"/>
      <c r="AF184" s="816"/>
      <c r="AG184" s="816"/>
      <c r="AH184" s="816"/>
      <c r="AI184" s="816"/>
      <c r="AJ184" s="609"/>
      <c r="AK184" s="609"/>
      <c r="AL184" s="816"/>
      <c r="AM184" s="816"/>
      <c r="AN184" s="609"/>
      <c r="AO184" s="609"/>
      <c r="AP184" s="816"/>
      <c r="AQ184" s="816"/>
      <c r="AR184" s="816"/>
      <c r="AS184" s="816"/>
      <c r="AT184" s="816"/>
      <c r="AU184" s="816"/>
      <c r="AV184" s="609"/>
      <c r="AW184" s="609"/>
      <c r="AX184" s="816"/>
      <c r="AY184" s="816"/>
      <c r="AZ184" s="817"/>
      <c r="BA184" s="609"/>
      <c r="BB184" s="609"/>
      <c r="BC184" s="816"/>
      <c r="BD184" s="816"/>
      <c r="BE184" s="816"/>
      <c r="BF184" s="816"/>
      <c r="BG184" s="816"/>
      <c r="BH184" s="816"/>
      <c r="BI184" s="816"/>
      <c r="BJ184" s="816"/>
      <c r="BK184" s="816"/>
      <c r="BL184" s="816"/>
      <c r="BM184" s="816"/>
      <c r="BN184" s="816"/>
      <c r="BO184" s="816"/>
      <c r="BP184" s="816"/>
      <c r="BQ184" s="816"/>
      <c r="BR184" s="816"/>
      <c r="BS184" s="816"/>
      <c r="BT184" s="816"/>
      <c r="BU184" s="816"/>
      <c r="BV184" s="816"/>
      <c r="BW184" s="816"/>
      <c r="BX184" s="609"/>
      <c r="BY184" s="609"/>
      <c r="BZ184" s="609"/>
      <c r="CA184" s="818"/>
      <c r="CB184" s="816"/>
      <c r="CC184" s="816"/>
      <c r="CD184" s="816"/>
      <c r="CE184" s="816"/>
      <c r="CF184" s="816"/>
      <c r="CG184" s="816"/>
      <c r="CH184" s="816"/>
      <c r="CI184" s="816"/>
      <c r="CJ184" s="819"/>
      <c r="CK184" s="819"/>
      <c r="CL184" s="820"/>
      <c r="CM184" s="820"/>
      <c r="CN184" s="820"/>
      <c r="CO184" s="820"/>
      <c r="CP184" s="820"/>
      <c r="CQ184" s="820"/>
      <c r="CR184" s="609"/>
      <c r="CS184" s="609"/>
      <c r="CT184" s="816"/>
      <c r="CU184" s="816"/>
      <c r="CV184" s="609"/>
      <c r="CW184" s="609"/>
      <c r="CX184" s="816"/>
      <c r="CY184" s="816"/>
      <c r="CZ184" s="609"/>
      <c r="DA184" s="609"/>
      <c r="DB184" s="816"/>
      <c r="DC184" s="816"/>
      <c r="DD184" s="609"/>
      <c r="DE184" s="609"/>
      <c r="DF184" s="816"/>
      <c r="DG184" s="816"/>
      <c r="DH184" s="816"/>
      <c r="DI184" s="816"/>
      <c r="DJ184" s="816"/>
      <c r="DK184" s="816"/>
      <c r="DL184" s="609"/>
      <c r="DM184" s="609"/>
      <c r="DN184" s="816"/>
      <c r="DO184" s="816"/>
      <c r="DP184" s="609"/>
      <c r="DQ184" s="609"/>
      <c r="DR184" s="816"/>
      <c r="DS184" s="816"/>
      <c r="DT184" s="816"/>
      <c r="DU184" s="816"/>
      <c r="DV184" s="816"/>
      <c r="DW184" s="816"/>
      <c r="DX184" s="816"/>
      <c r="DY184" s="816"/>
      <c r="DZ184" s="816"/>
      <c r="EA184" s="816"/>
      <c r="EB184" s="816"/>
      <c r="EC184" s="816"/>
      <c r="ED184" s="816"/>
      <c r="EE184" s="816"/>
      <c r="EF184" s="609"/>
      <c r="EG184" s="609"/>
      <c r="EH184" s="816"/>
      <c r="EI184" s="816"/>
      <c r="EJ184" s="816"/>
      <c r="EK184" s="816"/>
      <c r="EL184" s="816"/>
      <c r="EM184" s="816"/>
      <c r="EN184" s="816"/>
      <c r="EO184" s="816"/>
      <c r="EP184" s="816"/>
      <c r="EQ184" s="816"/>
      <c r="ER184" s="816"/>
      <c r="ES184" s="816"/>
      <c r="ET184" s="816"/>
      <c r="EU184" s="816"/>
      <c r="EV184" s="609"/>
      <c r="EW184" s="609"/>
      <c r="EX184" s="816"/>
      <c r="EY184" s="816"/>
      <c r="EZ184" s="816"/>
      <c r="FA184" s="816"/>
      <c r="FB184" s="816"/>
      <c r="FC184" s="816"/>
      <c r="FD184" s="816"/>
      <c r="FE184" s="816"/>
      <c r="FF184" s="816"/>
      <c r="FG184" s="816"/>
      <c r="FH184" s="816"/>
      <c r="FI184" s="816"/>
      <c r="FJ184" s="816"/>
      <c r="FK184" s="816"/>
      <c r="FL184" s="816"/>
      <c r="FM184" s="816"/>
      <c r="FN184" s="816"/>
      <c r="FO184" s="816"/>
      <c r="FP184" s="816"/>
      <c r="FQ184" s="816"/>
      <c r="FR184" s="816"/>
      <c r="FS184" s="816"/>
      <c r="FT184" s="816"/>
      <c r="FU184" s="816"/>
      <c r="FV184" s="816"/>
      <c r="FW184" s="816"/>
      <c r="FX184" s="816"/>
      <c r="FY184" s="816"/>
      <c r="FZ184" s="819"/>
      <c r="GA184" s="816"/>
      <c r="GB184" s="820"/>
      <c r="GC184" s="820"/>
      <c r="GD184" s="820"/>
      <c r="GE184" s="820"/>
      <c r="GF184" s="609"/>
      <c r="GG184" s="609"/>
      <c r="GH184" s="816"/>
      <c r="GI184" s="816"/>
      <c r="GJ184" s="816"/>
      <c r="GK184" s="816"/>
      <c r="GL184" s="816"/>
      <c r="GM184" s="816"/>
      <c r="GN184" s="816"/>
      <c r="GO184" s="816"/>
      <c r="GP184" s="816"/>
      <c r="GQ184" s="816"/>
      <c r="GR184" s="816"/>
      <c r="GS184" s="816"/>
      <c r="GT184" s="818"/>
      <c r="GU184" s="816"/>
      <c r="GV184" s="816"/>
      <c r="GW184" s="816"/>
      <c r="GX184" s="816"/>
      <c r="GY184" s="816"/>
      <c r="GZ184" s="816"/>
      <c r="HA184" s="816"/>
      <c r="HB184" s="609"/>
      <c r="HC184" s="609"/>
      <c r="HD184" s="816"/>
      <c r="HE184" s="816"/>
      <c r="HF184" s="816"/>
      <c r="HG184" s="816"/>
      <c r="HH184" s="816"/>
      <c r="HI184" s="816"/>
      <c r="HJ184" s="609"/>
      <c r="HK184" s="609"/>
      <c r="HL184" s="609"/>
      <c r="HM184" s="816"/>
      <c r="HN184" s="816"/>
      <c r="HO184" s="609"/>
      <c r="HP184" s="609"/>
      <c r="HQ184" s="816"/>
      <c r="HR184" s="816"/>
      <c r="HS184" s="816"/>
      <c r="HT184" s="816"/>
      <c r="HU184" s="816"/>
      <c r="HV184" s="816"/>
      <c r="HW184" s="609"/>
      <c r="HX184" s="609"/>
      <c r="HY184" s="816"/>
      <c r="HZ184" s="816"/>
      <c r="IA184" s="816"/>
      <c r="IB184" s="816"/>
      <c r="IC184" s="816"/>
      <c r="ID184" s="816"/>
      <c r="IE184" s="609"/>
      <c r="IF184" s="609"/>
      <c r="IG184" s="816"/>
      <c r="IH184" s="816"/>
      <c r="II184" s="609"/>
      <c r="IJ184" s="609"/>
      <c r="IK184" s="816"/>
      <c r="IL184" s="816"/>
      <c r="IM184" s="609"/>
      <c r="IN184" s="609"/>
      <c r="IO184" s="816"/>
      <c r="IP184" s="816"/>
      <c r="IQ184" s="816"/>
      <c r="IR184" s="816"/>
      <c r="IS184" s="816"/>
      <c r="IT184" s="816"/>
      <c r="IU184" s="821"/>
      <c r="IV184" s="609"/>
      <c r="IW184" s="816"/>
      <c r="IX184" s="816"/>
      <c r="IY184" s="822"/>
      <c r="IZ184" s="609"/>
      <c r="JA184" s="816"/>
      <c r="JB184" s="816"/>
      <c r="JC184" s="609"/>
      <c r="JD184" s="816"/>
      <c r="JE184" s="816"/>
      <c r="JF184" s="816"/>
      <c r="JG184" s="816"/>
      <c r="JH184" s="816"/>
      <c r="JI184" s="816"/>
      <c r="JJ184" s="816"/>
      <c r="JK184" s="816"/>
      <c r="JL184" s="816"/>
      <c r="JM184" s="816"/>
      <c r="JN184" s="816"/>
      <c r="JO184" s="823"/>
      <c r="JP184" s="824"/>
      <c r="JQ184" s="825"/>
      <c r="JR184" s="825"/>
      <c r="JS184" s="816"/>
      <c r="JU184" s="826"/>
      <c r="JV184" s="826"/>
      <c r="JW184" s="826"/>
      <c r="JX184" s="826"/>
    </row>
    <row r="185" spans="2:284" s="780" customFormat="1">
      <c r="B185" s="609"/>
      <c r="C185" s="609"/>
      <c r="D185" s="609"/>
      <c r="E185" s="609"/>
      <c r="F185" s="609"/>
      <c r="G185" s="609"/>
      <c r="H185" s="609"/>
      <c r="I185" s="609"/>
      <c r="J185" s="609"/>
      <c r="K185" s="609"/>
      <c r="L185" s="609"/>
      <c r="M185" s="609"/>
      <c r="N185" s="609"/>
      <c r="O185" s="609"/>
      <c r="P185" s="609"/>
      <c r="Q185" s="609"/>
      <c r="R185" s="609"/>
      <c r="S185" s="609"/>
      <c r="T185" s="609"/>
      <c r="U185" s="609"/>
      <c r="V185" s="609"/>
      <c r="W185" s="609"/>
      <c r="X185" s="609"/>
      <c r="Y185" s="609"/>
      <c r="Z185" s="609"/>
      <c r="AA185" s="609"/>
      <c r="AB185" s="609"/>
      <c r="AC185" s="609"/>
      <c r="AD185" s="816"/>
      <c r="AE185" s="816"/>
      <c r="AF185" s="816"/>
      <c r="AG185" s="816"/>
      <c r="AH185" s="816"/>
      <c r="AI185" s="816"/>
      <c r="AJ185" s="609"/>
      <c r="AK185" s="609"/>
      <c r="AL185" s="816"/>
      <c r="AM185" s="816"/>
      <c r="AN185" s="609"/>
      <c r="AO185" s="609"/>
      <c r="AP185" s="816"/>
      <c r="AQ185" s="816"/>
      <c r="AR185" s="816"/>
      <c r="AS185" s="816"/>
      <c r="AT185" s="816"/>
      <c r="AU185" s="816"/>
      <c r="AV185" s="609"/>
      <c r="AW185" s="609"/>
      <c r="AX185" s="816"/>
      <c r="AY185" s="816"/>
      <c r="AZ185" s="817"/>
      <c r="BA185" s="609"/>
      <c r="BB185" s="609"/>
      <c r="BC185" s="816"/>
      <c r="BD185" s="816"/>
      <c r="BE185" s="816"/>
      <c r="BF185" s="816"/>
      <c r="BG185" s="816"/>
      <c r="BH185" s="816"/>
      <c r="BI185" s="816"/>
      <c r="BJ185" s="816"/>
      <c r="BK185" s="816"/>
      <c r="BL185" s="816"/>
      <c r="BM185" s="816"/>
      <c r="BN185" s="816"/>
      <c r="BO185" s="816"/>
      <c r="BP185" s="816"/>
      <c r="BQ185" s="816"/>
      <c r="BR185" s="816"/>
      <c r="BS185" s="816"/>
      <c r="BT185" s="816"/>
      <c r="BU185" s="816"/>
      <c r="BV185" s="816"/>
      <c r="BW185" s="816"/>
      <c r="BX185" s="609"/>
      <c r="BY185" s="609"/>
      <c r="BZ185" s="609"/>
      <c r="CA185" s="818"/>
      <c r="CB185" s="816"/>
      <c r="CC185" s="816"/>
      <c r="CD185" s="816"/>
      <c r="CE185" s="816"/>
      <c r="CF185" s="816"/>
      <c r="CG185" s="816"/>
      <c r="CH185" s="816"/>
      <c r="CI185" s="816"/>
      <c r="CJ185" s="819"/>
      <c r="CK185" s="819"/>
      <c r="CL185" s="820"/>
      <c r="CM185" s="820"/>
      <c r="CN185" s="820"/>
      <c r="CO185" s="820"/>
      <c r="CP185" s="820"/>
      <c r="CQ185" s="820"/>
      <c r="CR185" s="609"/>
      <c r="CS185" s="609"/>
      <c r="CT185" s="816"/>
      <c r="CU185" s="816"/>
      <c r="CV185" s="609"/>
      <c r="CW185" s="609"/>
      <c r="CX185" s="816"/>
      <c r="CY185" s="816"/>
      <c r="CZ185" s="609"/>
      <c r="DA185" s="609"/>
      <c r="DB185" s="816"/>
      <c r="DC185" s="816"/>
      <c r="DD185" s="609"/>
      <c r="DE185" s="609"/>
      <c r="DF185" s="816"/>
      <c r="DG185" s="816"/>
      <c r="DH185" s="816"/>
      <c r="DI185" s="816"/>
      <c r="DJ185" s="816"/>
      <c r="DK185" s="816"/>
      <c r="DL185" s="609"/>
      <c r="DM185" s="609"/>
      <c r="DN185" s="816"/>
      <c r="DO185" s="816"/>
      <c r="DP185" s="609"/>
      <c r="DQ185" s="609"/>
      <c r="DR185" s="816"/>
      <c r="DS185" s="816"/>
      <c r="DT185" s="816"/>
      <c r="DU185" s="816"/>
      <c r="DV185" s="816"/>
      <c r="DW185" s="816"/>
      <c r="DX185" s="816"/>
      <c r="DY185" s="816"/>
      <c r="DZ185" s="816"/>
      <c r="EA185" s="816"/>
      <c r="EB185" s="816"/>
      <c r="EC185" s="816"/>
      <c r="ED185" s="816"/>
      <c r="EE185" s="816"/>
      <c r="EF185" s="609"/>
      <c r="EG185" s="609"/>
      <c r="EH185" s="816"/>
      <c r="EI185" s="816"/>
      <c r="EJ185" s="816"/>
      <c r="EK185" s="816"/>
      <c r="EL185" s="816"/>
      <c r="EM185" s="816"/>
      <c r="EN185" s="816"/>
      <c r="EO185" s="816"/>
      <c r="EP185" s="816"/>
      <c r="EQ185" s="816"/>
      <c r="ER185" s="816"/>
      <c r="ES185" s="816"/>
      <c r="ET185" s="816"/>
      <c r="EU185" s="816"/>
      <c r="EV185" s="609"/>
      <c r="EW185" s="609"/>
      <c r="EX185" s="816"/>
      <c r="EY185" s="816"/>
      <c r="EZ185" s="816"/>
      <c r="FA185" s="816"/>
      <c r="FB185" s="816"/>
      <c r="FC185" s="816"/>
      <c r="FD185" s="816"/>
      <c r="FE185" s="816"/>
      <c r="FF185" s="816"/>
      <c r="FG185" s="816"/>
      <c r="FH185" s="816"/>
      <c r="FI185" s="816"/>
      <c r="FJ185" s="816"/>
      <c r="FK185" s="816"/>
      <c r="FL185" s="816"/>
      <c r="FM185" s="816"/>
      <c r="FN185" s="816"/>
      <c r="FO185" s="816"/>
      <c r="FP185" s="816"/>
      <c r="FQ185" s="816"/>
      <c r="FR185" s="816"/>
      <c r="FS185" s="816"/>
      <c r="FT185" s="816"/>
      <c r="FU185" s="816"/>
      <c r="FV185" s="816"/>
      <c r="FW185" s="816"/>
      <c r="FX185" s="816"/>
      <c r="FY185" s="816"/>
      <c r="FZ185" s="819"/>
      <c r="GA185" s="816"/>
      <c r="GB185" s="820"/>
      <c r="GC185" s="820"/>
      <c r="GD185" s="820"/>
      <c r="GE185" s="820"/>
      <c r="GF185" s="609"/>
      <c r="GG185" s="609"/>
      <c r="GH185" s="816"/>
      <c r="GI185" s="816"/>
      <c r="GJ185" s="816"/>
      <c r="GK185" s="816"/>
      <c r="GL185" s="816"/>
      <c r="GM185" s="816"/>
      <c r="GN185" s="816"/>
      <c r="GO185" s="816"/>
      <c r="GP185" s="816"/>
      <c r="GQ185" s="816"/>
      <c r="GR185" s="816"/>
      <c r="GS185" s="816"/>
      <c r="GT185" s="818"/>
      <c r="GU185" s="816"/>
      <c r="GV185" s="816"/>
      <c r="GW185" s="816"/>
      <c r="GX185" s="816"/>
      <c r="GY185" s="816"/>
      <c r="GZ185" s="816"/>
      <c r="HA185" s="816"/>
      <c r="HB185" s="609"/>
      <c r="HC185" s="609"/>
      <c r="HD185" s="816"/>
      <c r="HE185" s="816"/>
      <c r="HF185" s="816"/>
      <c r="HG185" s="816"/>
      <c r="HH185" s="816"/>
      <c r="HI185" s="816"/>
      <c r="HJ185" s="609"/>
      <c r="HK185" s="609"/>
      <c r="HL185" s="609"/>
      <c r="HM185" s="816"/>
      <c r="HN185" s="816"/>
      <c r="HO185" s="609"/>
      <c r="HP185" s="609"/>
      <c r="HQ185" s="816"/>
      <c r="HR185" s="816"/>
      <c r="HS185" s="816"/>
      <c r="HT185" s="816"/>
      <c r="HU185" s="816"/>
      <c r="HV185" s="816"/>
      <c r="HW185" s="609"/>
      <c r="HX185" s="609"/>
      <c r="HY185" s="816"/>
      <c r="HZ185" s="816"/>
      <c r="IA185" s="816"/>
      <c r="IB185" s="816"/>
      <c r="IC185" s="816"/>
      <c r="ID185" s="816"/>
      <c r="IE185" s="609"/>
      <c r="IF185" s="609"/>
      <c r="IG185" s="816"/>
      <c r="IH185" s="816"/>
      <c r="II185" s="609"/>
      <c r="IJ185" s="609"/>
      <c r="IK185" s="816"/>
      <c r="IL185" s="816"/>
      <c r="IM185" s="609"/>
      <c r="IN185" s="609"/>
      <c r="IO185" s="816"/>
      <c r="IP185" s="816"/>
      <c r="IQ185" s="816"/>
      <c r="IR185" s="816"/>
      <c r="IS185" s="816"/>
      <c r="IT185" s="816"/>
      <c r="IU185" s="821"/>
      <c r="IV185" s="609"/>
      <c r="IW185" s="816"/>
      <c r="IX185" s="816"/>
      <c r="IY185" s="822"/>
      <c r="IZ185" s="609"/>
      <c r="JA185" s="816"/>
      <c r="JB185" s="816"/>
      <c r="JC185" s="609"/>
      <c r="JD185" s="816"/>
      <c r="JE185" s="816"/>
      <c r="JF185" s="816"/>
      <c r="JG185" s="816"/>
      <c r="JH185" s="816"/>
      <c r="JI185" s="816"/>
      <c r="JJ185" s="816"/>
      <c r="JK185" s="816"/>
      <c r="JL185" s="816"/>
      <c r="JM185" s="816"/>
      <c r="JN185" s="816"/>
      <c r="JO185" s="823"/>
      <c r="JP185" s="824"/>
      <c r="JQ185" s="825"/>
      <c r="JR185" s="825"/>
      <c r="JS185" s="816"/>
      <c r="JU185" s="826"/>
      <c r="JV185" s="826"/>
      <c r="JW185" s="826"/>
      <c r="JX185" s="826"/>
    </row>
    <row r="186" spans="2:284" s="780" customFormat="1">
      <c r="B186" s="609"/>
      <c r="C186" s="609"/>
      <c r="D186" s="609"/>
      <c r="E186" s="609"/>
      <c r="F186" s="609"/>
      <c r="G186" s="609"/>
      <c r="H186" s="609"/>
      <c r="I186" s="609"/>
      <c r="J186" s="609"/>
      <c r="K186" s="609"/>
      <c r="L186" s="609"/>
      <c r="M186" s="609"/>
      <c r="N186" s="609"/>
      <c r="O186" s="609"/>
      <c r="P186" s="609"/>
      <c r="Q186" s="609"/>
      <c r="R186" s="609"/>
      <c r="S186" s="609"/>
      <c r="T186" s="609"/>
      <c r="U186" s="609"/>
      <c r="V186" s="609"/>
      <c r="W186" s="609"/>
      <c r="X186" s="609"/>
      <c r="Y186" s="609"/>
      <c r="Z186" s="609"/>
      <c r="AA186" s="609"/>
      <c r="AB186" s="609"/>
      <c r="AC186" s="609"/>
      <c r="AD186" s="816"/>
      <c r="AE186" s="816"/>
      <c r="AF186" s="816"/>
      <c r="AG186" s="816"/>
      <c r="AH186" s="816"/>
      <c r="AI186" s="816"/>
      <c r="AJ186" s="609"/>
      <c r="AK186" s="609"/>
      <c r="AL186" s="816"/>
      <c r="AM186" s="816"/>
      <c r="AN186" s="609"/>
      <c r="AO186" s="609"/>
      <c r="AP186" s="816"/>
      <c r="AQ186" s="816"/>
      <c r="AR186" s="816"/>
      <c r="AS186" s="816"/>
      <c r="AT186" s="816"/>
      <c r="AU186" s="816"/>
      <c r="AV186" s="609"/>
      <c r="AW186" s="609"/>
      <c r="AX186" s="816"/>
      <c r="AY186" s="816"/>
      <c r="AZ186" s="817"/>
      <c r="BA186" s="609"/>
      <c r="BB186" s="609"/>
      <c r="BC186" s="816"/>
      <c r="BD186" s="816"/>
      <c r="BE186" s="816"/>
      <c r="BF186" s="816"/>
      <c r="BG186" s="816"/>
      <c r="BH186" s="816"/>
      <c r="BI186" s="816"/>
      <c r="BJ186" s="816"/>
      <c r="BK186" s="816"/>
      <c r="BL186" s="816"/>
      <c r="BM186" s="816"/>
      <c r="BN186" s="816"/>
      <c r="BO186" s="816"/>
      <c r="BP186" s="816"/>
      <c r="BQ186" s="816"/>
      <c r="BR186" s="816"/>
      <c r="BS186" s="816"/>
      <c r="BT186" s="816"/>
      <c r="BU186" s="816"/>
      <c r="BV186" s="816"/>
      <c r="BW186" s="816"/>
      <c r="BX186" s="609"/>
      <c r="BY186" s="609"/>
      <c r="BZ186" s="609"/>
      <c r="CA186" s="818"/>
      <c r="CB186" s="816"/>
      <c r="CC186" s="816"/>
      <c r="CD186" s="816"/>
      <c r="CE186" s="816"/>
      <c r="CF186" s="816"/>
      <c r="CG186" s="816"/>
      <c r="CH186" s="816"/>
      <c r="CI186" s="816"/>
      <c r="CJ186" s="819"/>
      <c r="CK186" s="819"/>
      <c r="CL186" s="820"/>
      <c r="CM186" s="820"/>
      <c r="CN186" s="820"/>
      <c r="CO186" s="820"/>
      <c r="CP186" s="820"/>
      <c r="CQ186" s="820"/>
      <c r="CR186" s="609"/>
      <c r="CS186" s="609"/>
      <c r="CT186" s="816"/>
      <c r="CU186" s="816"/>
      <c r="CV186" s="609"/>
      <c r="CW186" s="609"/>
      <c r="CX186" s="816"/>
      <c r="CY186" s="816"/>
      <c r="CZ186" s="609"/>
      <c r="DA186" s="609"/>
      <c r="DB186" s="816"/>
      <c r="DC186" s="816"/>
      <c r="DD186" s="609"/>
      <c r="DE186" s="609"/>
      <c r="DF186" s="816"/>
      <c r="DG186" s="816"/>
      <c r="DH186" s="816"/>
      <c r="DI186" s="816"/>
      <c r="DJ186" s="816"/>
      <c r="DK186" s="816"/>
      <c r="DL186" s="609"/>
      <c r="DM186" s="609"/>
      <c r="DN186" s="816"/>
      <c r="DO186" s="816"/>
      <c r="DP186" s="609"/>
      <c r="DQ186" s="609"/>
      <c r="DR186" s="816"/>
      <c r="DS186" s="816"/>
      <c r="DT186" s="816"/>
      <c r="DU186" s="816"/>
      <c r="DV186" s="816"/>
      <c r="DW186" s="816"/>
      <c r="DX186" s="816"/>
      <c r="DY186" s="816"/>
      <c r="DZ186" s="816"/>
      <c r="EA186" s="816"/>
      <c r="EB186" s="816"/>
      <c r="EC186" s="816"/>
      <c r="ED186" s="816"/>
      <c r="EE186" s="816"/>
      <c r="EF186" s="609"/>
      <c r="EG186" s="609"/>
      <c r="EH186" s="816"/>
      <c r="EI186" s="816"/>
      <c r="EJ186" s="816"/>
      <c r="EK186" s="816"/>
      <c r="EL186" s="816"/>
      <c r="EM186" s="816"/>
      <c r="EN186" s="816"/>
      <c r="EO186" s="816"/>
      <c r="EP186" s="816"/>
      <c r="EQ186" s="816"/>
      <c r="ER186" s="816"/>
      <c r="ES186" s="816"/>
      <c r="ET186" s="816"/>
      <c r="EU186" s="816"/>
      <c r="EV186" s="609"/>
      <c r="EW186" s="609"/>
      <c r="EX186" s="816"/>
      <c r="EY186" s="816"/>
      <c r="EZ186" s="816"/>
      <c r="FA186" s="816"/>
      <c r="FB186" s="816"/>
      <c r="FC186" s="816"/>
      <c r="FD186" s="816"/>
      <c r="FE186" s="816"/>
      <c r="FF186" s="816"/>
      <c r="FG186" s="816"/>
      <c r="FH186" s="816"/>
      <c r="FI186" s="816"/>
      <c r="FJ186" s="816"/>
      <c r="FK186" s="816"/>
      <c r="FL186" s="816"/>
      <c r="FM186" s="816"/>
      <c r="FN186" s="816"/>
      <c r="FO186" s="816"/>
      <c r="FP186" s="816"/>
      <c r="FQ186" s="816"/>
      <c r="FR186" s="816"/>
      <c r="FS186" s="816"/>
      <c r="FT186" s="816"/>
      <c r="FU186" s="816"/>
      <c r="FV186" s="816"/>
      <c r="FW186" s="816"/>
      <c r="FX186" s="816"/>
      <c r="FY186" s="816"/>
      <c r="FZ186" s="819"/>
      <c r="GA186" s="816"/>
      <c r="GB186" s="820"/>
      <c r="GC186" s="820"/>
      <c r="GD186" s="820"/>
      <c r="GE186" s="820"/>
      <c r="GF186" s="609"/>
      <c r="GG186" s="609"/>
      <c r="GH186" s="816"/>
      <c r="GI186" s="816"/>
      <c r="GJ186" s="816"/>
      <c r="GK186" s="816"/>
      <c r="GL186" s="816"/>
      <c r="GM186" s="816"/>
      <c r="GN186" s="816"/>
      <c r="GO186" s="816"/>
      <c r="GP186" s="816"/>
      <c r="GQ186" s="816"/>
      <c r="GR186" s="816"/>
      <c r="GS186" s="816"/>
      <c r="GT186" s="818"/>
      <c r="GU186" s="816"/>
      <c r="GV186" s="816"/>
      <c r="GW186" s="816"/>
      <c r="GX186" s="816"/>
      <c r="GY186" s="816"/>
      <c r="GZ186" s="816"/>
      <c r="HA186" s="816"/>
      <c r="HB186" s="609"/>
      <c r="HC186" s="609"/>
      <c r="HD186" s="816"/>
      <c r="HE186" s="816"/>
      <c r="HF186" s="816"/>
      <c r="HG186" s="816"/>
      <c r="HH186" s="816"/>
      <c r="HI186" s="816"/>
      <c r="HJ186" s="609"/>
      <c r="HK186" s="609"/>
      <c r="HL186" s="609"/>
      <c r="HM186" s="816"/>
      <c r="HN186" s="816"/>
      <c r="HO186" s="609"/>
      <c r="HP186" s="609"/>
      <c r="HQ186" s="816"/>
      <c r="HR186" s="816"/>
      <c r="HS186" s="816"/>
      <c r="HT186" s="816"/>
      <c r="HU186" s="816"/>
      <c r="HV186" s="816"/>
      <c r="HW186" s="609"/>
      <c r="HX186" s="609"/>
      <c r="HY186" s="816"/>
      <c r="HZ186" s="816"/>
      <c r="IA186" s="816"/>
      <c r="IB186" s="816"/>
      <c r="IC186" s="816"/>
      <c r="ID186" s="816"/>
      <c r="IE186" s="609"/>
      <c r="IF186" s="609"/>
      <c r="IG186" s="816"/>
      <c r="IH186" s="816"/>
      <c r="II186" s="609"/>
      <c r="IJ186" s="609"/>
      <c r="IK186" s="816"/>
      <c r="IL186" s="816"/>
      <c r="IM186" s="609"/>
      <c r="IN186" s="609"/>
      <c r="IO186" s="816"/>
      <c r="IP186" s="816"/>
      <c r="IQ186" s="816"/>
      <c r="IR186" s="816"/>
      <c r="IS186" s="816"/>
      <c r="IT186" s="816"/>
      <c r="IU186" s="821"/>
      <c r="IV186" s="609"/>
      <c r="IW186" s="816"/>
      <c r="IX186" s="816"/>
      <c r="IY186" s="822"/>
      <c r="IZ186" s="609"/>
      <c r="JA186" s="816"/>
      <c r="JB186" s="816"/>
      <c r="JC186" s="609"/>
      <c r="JD186" s="816"/>
      <c r="JE186" s="816"/>
      <c r="JF186" s="816"/>
      <c r="JG186" s="816"/>
      <c r="JH186" s="816"/>
      <c r="JI186" s="816"/>
      <c r="JJ186" s="816"/>
      <c r="JK186" s="816"/>
      <c r="JL186" s="816"/>
      <c r="JM186" s="816"/>
      <c r="JN186" s="816"/>
      <c r="JO186" s="823"/>
      <c r="JP186" s="824"/>
      <c r="JQ186" s="825"/>
      <c r="JR186" s="825"/>
      <c r="JS186" s="816"/>
      <c r="JU186" s="826"/>
      <c r="JV186" s="826"/>
      <c r="JW186" s="826"/>
      <c r="JX186" s="826"/>
    </row>
    <row r="187" spans="2:284" s="780" customFormat="1">
      <c r="B187" s="609"/>
      <c r="C187" s="609"/>
      <c r="D187" s="609"/>
      <c r="E187" s="609"/>
      <c r="F187" s="609"/>
      <c r="G187" s="609"/>
      <c r="H187" s="609"/>
      <c r="I187" s="609"/>
      <c r="J187" s="609"/>
      <c r="K187" s="609"/>
      <c r="L187" s="609"/>
      <c r="M187" s="609"/>
      <c r="N187" s="609"/>
      <c r="O187" s="609"/>
      <c r="P187" s="609"/>
      <c r="Q187" s="609"/>
      <c r="R187" s="609"/>
      <c r="S187" s="609"/>
      <c r="T187" s="609"/>
      <c r="U187" s="609"/>
      <c r="V187" s="609"/>
      <c r="W187" s="609"/>
      <c r="X187" s="609"/>
      <c r="Y187" s="609"/>
      <c r="Z187" s="609"/>
      <c r="AA187" s="609"/>
      <c r="AB187" s="609"/>
      <c r="AC187" s="609"/>
      <c r="AD187" s="816"/>
      <c r="AE187" s="816"/>
      <c r="AF187" s="816"/>
      <c r="AG187" s="816"/>
      <c r="AH187" s="816"/>
      <c r="AI187" s="816"/>
      <c r="AJ187" s="609"/>
      <c r="AK187" s="609"/>
      <c r="AL187" s="816"/>
      <c r="AM187" s="816"/>
      <c r="AN187" s="609"/>
      <c r="AO187" s="609"/>
      <c r="AP187" s="816"/>
      <c r="AQ187" s="816"/>
      <c r="AR187" s="816"/>
      <c r="AS187" s="816"/>
      <c r="AT187" s="816"/>
      <c r="AU187" s="816"/>
      <c r="AV187" s="609"/>
      <c r="AW187" s="609"/>
      <c r="AX187" s="816"/>
      <c r="AY187" s="816"/>
      <c r="AZ187" s="817"/>
      <c r="BA187" s="609"/>
      <c r="BB187" s="609"/>
      <c r="BC187" s="816"/>
      <c r="BD187" s="816"/>
      <c r="BE187" s="816"/>
      <c r="BF187" s="816"/>
      <c r="BG187" s="816"/>
      <c r="BH187" s="816"/>
      <c r="BI187" s="816"/>
      <c r="BJ187" s="816"/>
      <c r="BK187" s="816"/>
      <c r="BL187" s="816"/>
      <c r="BM187" s="816"/>
      <c r="BN187" s="816"/>
      <c r="BO187" s="816"/>
      <c r="BP187" s="816"/>
      <c r="BQ187" s="816"/>
      <c r="BR187" s="816"/>
      <c r="BS187" s="816"/>
      <c r="BT187" s="816"/>
      <c r="BU187" s="816"/>
      <c r="BV187" s="816"/>
      <c r="BW187" s="816"/>
      <c r="BX187" s="609"/>
      <c r="BY187" s="609"/>
      <c r="BZ187" s="609"/>
      <c r="CA187" s="818"/>
      <c r="CB187" s="816"/>
      <c r="CC187" s="816"/>
      <c r="CD187" s="816"/>
      <c r="CE187" s="816"/>
      <c r="CF187" s="816"/>
      <c r="CG187" s="816"/>
      <c r="CH187" s="816"/>
      <c r="CI187" s="816"/>
      <c r="CJ187" s="819"/>
      <c r="CK187" s="819"/>
      <c r="CL187" s="820"/>
      <c r="CM187" s="820"/>
      <c r="CN187" s="820"/>
      <c r="CO187" s="820"/>
      <c r="CP187" s="820"/>
      <c r="CQ187" s="820"/>
      <c r="CR187" s="609"/>
      <c r="CS187" s="609"/>
      <c r="CT187" s="816"/>
      <c r="CU187" s="816"/>
      <c r="CV187" s="609"/>
      <c r="CW187" s="609"/>
      <c r="CX187" s="816"/>
      <c r="CY187" s="816"/>
      <c r="CZ187" s="609"/>
      <c r="DA187" s="609"/>
      <c r="DB187" s="816"/>
      <c r="DC187" s="816"/>
      <c r="DD187" s="609"/>
      <c r="DE187" s="609"/>
      <c r="DF187" s="816"/>
      <c r="DG187" s="816"/>
      <c r="DH187" s="816"/>
      <c r="DI187" s="816"/>
      <c r="DJ187" s="816"/>
      <c r="DK187" s="816"/>
      <c r="DL187" s="609"/>
      <c r="DM187" s="609"/>
      <c r="DN187" s="816"/>
      <c r="DO187" s="816"/>
      <c r="DP187" s="609"/>
      <c r="DQ187" s="609"/>
      <c r="DR187" s="816"/>
      <c r="DS187" s="816"/>
      <c r="DT187" s="816"/>
      <c r="DU187" s="816"/>
      <c r="DV187" s="816"/>
      <c r="DW187" s="816"/>
      <c r="DX187" s="816"/>
      <c r="DY187" s="816"/>
      <c r="DZ187" s="816"/>
      <c r="EA187" s="816"/>
      <c r="EB187" s="816"/>
      <c r="EC187" s="816"/>
      <c r="ED187" s="816"/>
      <c r="EE187" s="816"/>
      <c r="EF187" s="609"/>
      <c r="EG187" s="609"/>
      <c r="EH187" s="816"/>
      <c r="EI187" s="816"/>
      <c r="EJ187" s="816"/>
      <c r="EK187" s="816"/>
      <c r="EL187" s="816"/>
      <c r="EM187" s="816"/>
      <c r="EN187" s="816"/>
      <c r="EO187" s="816"/>
      <c r="EP187" s="816"/>
      <c r="EQ187" s="816"/>
      <c r="ER187" s="816"/>
      <c r="ES187" s="816"/>
      <c r="ET187" s="816"/>
      <c r="EU187" s="816"/>
      <c r="EV187" s="609"/>
      <c r="EW187" s="609"/>
      <c r="EX187" s="816"/>
      <c r="EY187" s="816"/>
      <c r="EZ187" s="816"/>
      <c r="FA187" s="816"/>
      <c r="FB187" s="816"/>
      <c r="FC187" s="816"/>
      <c r="FD187" s="816"/>
      <c r="FE187" s="816"/>
      <c r="FF187" s="816"/>
      <c r="FG187" s="816"/>
      <c r="FH187" s="816"/>
      <c r="FI187" s="816"/>
      <c r="FJ187" s="816"/>
      <c r="FK187" s="816"/>
      <c r="FL187" s="816"/>
      <c r="FM187" s="816"/>
      <c r="FN187" s="816"/>
      <c r="FO187" s="816"/>
      <c r="FP187" s="816"/>
      <c r="FQ187" s="816"/>
      <c r="FR187" s="816"/>
      <c r="FS187" s="816"/>
      <c r="FT187" s="816"/>
      <c r="FU187" s="816"/>
      <c r="FV187" s="816"/>
      <c r="FW187" s="816"/>
      <c r="FX187" s="816"/>
      <c r="FY187" s="816"/>
      <c r="FZ187" s="819"/>
      <c r="GA187" s="816"/>
      <c r="GB187" s="820"/>
      <c r="GC187" s="820"/>
      <c r="GD187" s="820"/>
      <c r="GE187" s="820"/>
      <c r="GF187" s="609"/>
      <c r="GG187" s="609"/>
      <c r="GH187" s="816"/>
      <c r="GI187" s="816"/>
      <c r="GJ187" s="816"/>
      <c r="GK187" s="816"/>
      <c r="GL187" s="816"/>
      <c r="GM187" s="816"/>
      <c r="GN187" s="816"/>
      <c r="GO187" s="816"/>
      <c r="GP187" s="816"/>
      <c r="GQ187" s="816"/>
      <c r="GR187" s="816"/>
      <c r="GS187" s="816"/>
      <c r="GT187" s="818"/>
      <c r="GU187" s="816"/>
      <c r="GV187" s="816"/>
      <c r="GW187" s="816"/>
      <c r="GX187" s="816"/>
      <c r="GY187" s="816"/>
      <c r="GZ187" s="816"/>
      <c r="HA187" s="816"/>
      <c r="HB187" s="609"/>
      <c r="HC187" s="609"/>
      <c r="HD187" s="816"/>
      <c r="HE187" s="816"/>
      <c r="HF187" s="816"/>
      <c r="HG187" s="816"/>
      <c r="HH187" s="816"/>
      <c r="HI187" s="816"/>
      <c r="HJ187" s="609"/>
      <c r="HK187" s="609"/>
      <c r="HL187" s="609"/>
      <c r="HM187" s="816"/>
      <c r="HN187" s="816"/>
      <c r="HO187" s="609"/>
      <c r="HP187" s="609"/>
      <c r="HQ187" s="816"/>
      <c r="HR187" s="816"/>
      <c r="HS187" s="816"/>
      <c r="HT187" s="816"/>
      <c r="HU187" s="816"/>
      <c r="HV187" s="816"/>
      <c r="HW187" s="609"/>
      <c r="HX187" s="609"/>
      <c r="HY187" s="816"/>
      <c r="HZ187" s="816"/>
      <c r="IA187" s="816"/>
      <c r="IB187" s="816"/>
      <c r="IC187" s="816"/>
      <c r="ID187" s="816"/>
      <c r="IE187" s="609"/>
      <c r="IF187" s="609"/>
      <c r="IG187" s="816"/>
      <c r="IH187" s="816"/>
      <c r="II187" s="609"/>
      <c r="IJ187" s="609"/>
      <c r="IK187" s="816"/>
      <c r="IL187" s="816"/>
      <c r="IM187" s="609"/>
      <c r="IN187" s="609"/>
      <c r="IO187" s="816"/>
      <c r="IP187" s="816"/>
      <c r="IQ187" s="816"/>
      <c r="IR187" s="816"/>
      <c r="IS187" s="816"/>
      <c r="IT187" s="816"/>
      <c r="IU187" s="821"/>
      <c r="IV187" s="609"/>
      <c r="IW187" s="816"/>
      <c r="IX187" s="816"/>
      <c r="IY187" s="822"/>
      <c r="IZ187" s="609"/>
      <c r="JA187" s="816"/>
      <c r="JB187" s="816"/>
      <c r="JC187" s="609"/>
      <c r="JD187" s="816"/>
      <c r="JE187" s="816"/>
      <c r="JF187" s="816"/>
      <c r="JG187" s="816"/>
      <c r="JH187" s="816"/>
      <c r="JI187" s="816"/>
      <c r="JJ187" s="816"/>
      <c r="JK187" s="816"/>
      <c r="JL187" s="816"/>
      <c r="JM187" s="816"/>
      <c r="JN187" s="816"/>
      <c r="JO187" s="823"/>
      <c r="JP187" s="824"/>
      <c r="JQ187" s="825"/>
      <c r="JR187" s="825"/>
      <c r="JS187" s="816"/>
      <c r="JU187" s="826"/>
      <c r="JV187" s="826"/>
      <c r="JW187" s="826"/>
      <c r="JX187" s="826"/>
    </row>
    <row r="188" spans="2:284" s="780" customFormat="1">
      <c r="B188" s="609"/>
      <c r="C188" s="609"/>
      <c r="D188" s="609"/>
      <c r="E188" s="609"/>
      <c r="F188" s="609"/>
      <c r="G188" s="609"/>
      <c r="H188" s="609"/>
      <c r="I188" s="609"/>
      <c r="J188" s="609"/>
      <c r="K188" s="609"/>
      <c r="L188" s="609"/>
      <c r="M188" s="609"/>
      <c r="N188" s="609"/>
      <c r="O188" s="609"/>
      <c r="P188" s="609"/>
      <c r="Q188" s="609"/>
      <c r="R188" s="609"/>
      <c r="S188" s="609"/>
      <c r="T188" s="609"/>
      <c r="U188" s="609"/>
      <c r="V188" s="609"/>
      <c r="W188" s="609"/>
      <c r="X188" s="609"/>
      <c r="Y188" s="609"/>
      <c r="Z188" s="609"/>
      <c r="AA188" s="609"/>
      <c r="AB188" s="609"/>
      <c r="AC188" s="609"/>
      <c r="AD188" s="816"/>
      <c r="AE188" s="816"/>
      <c r="AF188" s="816"/>
      <c r="AG188" s="816"/>
      <c r="AH188" s="816"/>
      <c r="AI188" s="816"/>
      <c r="AJ188" s="609"/>
      <c r="AK188" s="609"/>
      <c r="AL188" s="816"/>
      <c r="AM188" s="816"/>
      <c r="AN188" s="609"/>
      <c r="AO188" s="609"/>
      <c r="AP188" s="816"/>
      <c r="AQ188" s="816"/>
      <c r="AR188" s="816"/>
      <c r="AS188" s="816"/>
      <c r="AT188" s="816"/>
      <c r="AU188" s="816"/>
      <c r="AV188" s="609"/>
      <c r="AW188" s="609"/>
      <c r="AX188" s="816"/>
      <c r="AY188" s="816"/>
      <c r="AZ188" s="817"/>
      <c r="BA188" s="609"/>
      <c r="BB188" s="609"/>
      <c r="BC188" s="816"/>
      <c r="BD188" s="816"/>
      <c r="BE188" s="816"/>
      <c r="BF188" s="816"/>
      <c r="BG188" s="816"/>
      <c r="BH188" s="816"/>
      <c r="BI188" s="816"/>
      <c r="BJ188" s="816"/>
      <c r="BK188" s="816"/>
      <c r="BL188" s="816"/>
      <c r="BM188" s="816"/>
      <c r="BN188" s="816"/>
      <c r="BO188" s="816"/>
      <c r="BP188" s="816"/>
      <c r="BQ188" s="816"/>
      <c r="BR188" s="816"/>
      <c r="BS188" s="816"/>
      <c r="BT188" s="816"/>
      <c r="BU188" s="816"/>
      <c r="BV188" s="816"/>
      <c r="BW188" s="816"/>
      <c r="BX188" s="609"/>
      <c r="BY188" s="609"/>
      <c r="BZ188" s="609"/>
      <c r="CA188" s="818"/>
      <c r="CB188" s="816"/>
      <c r="CC188" s="816"/>
      <c r="CD188" s="816"/>
      <c r="CE188" s="816"/>
      <c r="CF188" s="816"/>
      <c r="CG188" s="816"/>
      <c r="CH188" s="816"/>
      <c r="CI188" s="816"/>
      <c r="CJ188" s="819"/>
      <c r="CK188" s="819"/>
      <c r="CL188" s="820"/>
      <c r="CM188" s="820"/>
      <c r="CN188" s="820"/>
      <c r="CO188" s="820"/>
      <c r="CP188" s="820"/>
      <c r="CQ188" s="820"/>
      <c r="CR188" s="609"/>
      <c r="CS188" s="609"/>
      <c r="CT188" s="816"/>
      <c r="CU188" s="816"/>
      <c r="CV188" s="609"/>
      <c r="CW188" s="609"/>
      <c r="CX188" s="816"/>
      <c r="CY188" s="816"/>
      <c r="CZ188" s="609"/>
      <c r="DA188" s="609"/>
      <c r="DB188" s="816"/>
      <c r="DC188" s="816"/>
      <c r="DD188" s="609"/>
      <c r="DE188" s="609"/>
      <c r="DF188" s="816"/>
      <c r="DG188" s="816"/>
      <c r="DH188" s="816"/>
      <c r="DI188" s="816"/>
      <c r="DJ188" s="816"/>
      <c r="DK188" s="816"/>
      <c r="DL188" s="609"/>
      <c r="DM188" s="609"/>
      <c r="DN188" s="816"/>
      <c r="DO188" s="816"/>
      <c r="DP188" s="609"/>
      <c r="DQ188" s="609"/>
      <c r="DR188" s="816"/>
      <c r="DS188" s="816"/>
      <c r="DT188" s="816"/>
      <c r="DU188" s="816"/>
      <c r="DV188" s="816"/>
      <c r="DW188" s="816"/>
      <c r="DX188" s="816"/>
      <c r="DY188" s="816"/>
      <c r="DZ188" s="816"/>
      <c r="EA188" s="816"/>
      <c r="EB188" s="816"/>
      <c r="EC188" s="816"/>
      <c r="ED188" s="816"/>
      <c r="EE188" s="816"/>
      <c r="EF188" s="609"/>
      <c r="EG188" s="609"/>
      <c r="EH188" s="816"/>
      <c r="EI188" s="816"/>
      <c r="EJ188" s="816"/>
      <c r="EK188" s="816"/>
      <c r="EL188" s="816"/>
      <c r="EM188" s="816"/>
      <c r="EN188" s="816"/>
      <c r="EO188" s="816"/>
      <c r="EP188" s="816"/>
      <c r="EQ188" s="816"/>
      <c r="ER188" s="816"/>
      <c r="ES188" s="816"/>
      <c r="ET188" s="816"/>
      <c r="EU188" s="816"/>
      <c r="EV188" s="609"/>
      <c r="EW188" s="609"/>
      <c r="EX188" s="816"/>
      <c r="EY188" s="816"/>
      <c r="EZ188" s="816"/>
      <c r="FA188" s="816"/>
      <c r="FB188" s="816"/>
      <c r="FC188" s="816"/>
      <c r="FD188" s="816"/>
      <c r="FE188" s="816"/>
      <c r="FF188" s="816"/>
      <c r="FG188" s="816"/>
      <c r="FH188" s="816"/>
      <c r="FI188" s="816"/>
      <c r="FJ188" s="816"/>
      <c r="FK188" s="816"/>
      <c r="FL188" s="816"/>
      <c r="FM188" s="816"/>
      <c r="FN188" s="816"/>
      <c r="FO188" s="816"/>
      <c r="FP188" s="816"/>
      <c r="FQ188" s="816"/>
      <c r="FR188" s="816"/>
      <c r="FS188" s="816"/>
      <c r="FT188" s="816"/>
      <c r="FU188" s="816"/>
      <c r="FV188" s="816"/>
      <c r="FW188" s="816"/>
      <c r="FX188" s="816"/>
      <c r="FY188" s="816"/>
      <c r="FZ188" s="819"/>
      <c r="GA188" s="816"/>
      <c r="GB188" s="820"/>
      <c r="GC188" s="820"/>
      <c r="GD188" s="820"/>
      <c r="GE188" s="820"/>
      <c r="GF188" s="609"/>
      <c r="GG188" s="609"/>
      <c r="GH188" s="816"/>
      <c r="GI188" s="816"/>
      <c r="GJ188" s="816"/>
      <c r="GK188" s="816"/>
      <c r="GL188" s="816"/>
      <c r="GM188" s="816"/>
      <c r="GN188" s="816"/>
      <c r="GO188" s="816"/>
      <c r="GP188" s="816"/>
      <c r="GQ188" s="816"/>
      <c r="GR188" s="816"/>
      <c r="GS188" s="816"/>
      <c r="GT188" s="818"/>
      <c r="GU188" s="816"/>
      <c r="GV188" s="816"/>
      <c r="GW188" s="816"/>
      <c r="GX188" s="816"/>
      <c r="GY188" s="816"/>
      <c r="GZ188" s="816"/>
      <c r="HA188" s="816"/>
      <c r="HB188" s="609"/>
      <c r="HC188" s="609"/>
      <c r="HD188" s="816"/>
      <c r="HE188" s="816"/>
      <c r="HF188" s="816"/>
      <c r="HG188" s="816"/>
      <c r="HH188" s="816"/>
      <c r="HI188" s="816"/>
      <c r="HJ188" s="609"/>
      <c r="HK188" s="609"/>
      <c r="HL188" s="609"/>
      <c r="HM188" s="816"/>
      <c r="HN188" s="816"/>
      <c r="HO188" s="609"/>
      <c r="HP188" s="609"/>
      <c r="HQ188" s="816"/>
      <c r="HR188" s="816"/>
      <c r="HS188" s="816"/>
      <c r="HT188" s="816"/>
      <c r="HU188" s="816"/>
      <c r="HV188" s="816"/>
      <c r="HW188" s="609"/>
      <c r="HX188" s="609"/>
      <c r="HY188" s="816"/>
      <c r="HZ188" s="816"/>
      <c r="IA188" s="816"/>
      <c r="IB188" s="816"/>
      <c r="IC188" s="816"/>
      <c r="ID188" s="816"/>
      <c r="IE188" s="609"/>
      <c r="IF188" s="609"/>
      <c r="IG188" s="816"/>
      <c r="IH188" s="816"/>
      <c r="II188" s="609"/>
      <c r="IJ188" s="609"/>
      <c r="IK188" s="816"/>
      <c r="IL188" s="816"/>
      <c r="IM188" s="609"/>
      <c r="IN188" s="609"/>
      <c r="IO188" s="816"/>
      <c r="IP188" s="816"/>
      <c r="IQ188" s="816"/>
      <c r="IR188" s="816"/>
      <c r="IS188" s="816"/>
      <c r="IT188" s="816"/>
      <c r="IU188" s="821"/>
      <c r="IV188" s="609"/>
      <c r="IW188" s="816"/>
      <c r="IX188" s="816"/>
      <c r="IY188" s="822"/>
      <c r="IZ188" s="609"/>
      <c r="JA188" s="816"/>
      <c r="JB188" s="816"/>
      <c r="JC188" s="609"/>
      <c r="JD188" s="816"/>
      <c r="JE188" s="816"/>
      <c r="JF188" s="816"/>
      <c r="JG188" s="816"/>
      <c r="JH188" s="816"/>
      <c r="JI188" s="816"/>
      <c r="JJ188" s="816"/>
      <c r="JK188" s="816"/>
      <c r="JL188" s="816"/>
      <c r="JM188" s="816"/>
      <c r="JN188" s="816"/>
      <c r="JO188" s="823"/>
      <c r="JP188" s="824"/>
      <c r="JQ188" s="825"/>
      <c r="JR188" s="825"/>
      <c r="JS188" s="816"/>
      <c r="JU188" s="826"/>
      <c r="JV188" s="826"/>
      <c r="JW188" s="826"/>
      <c r="JX188" s="826"/>
    </row>
    <row r="189" spans="2:284" s="780" customFormat="1">
      <c r="B189" s="609"/>
      <c r="C189" s="609"/>
      <c r="D189" s="609"/>
      <c r="E189" s="609"/>
      <c r="F189" s="609"/>
      <c r="G189" s="609"/>
      <c r="H189" s="609"/>
      <c r="I189" s="609"/>
      <c r="J189" s="609"/>
      <c r="K189" s="609"/>
      <c r="L189" s="609"/>
      <c r="M189" s="609"/>
      <c r="N189" s="609"/>
      <c r="O189" s="609"/>
      <c r="P189" s="609"/>
      <c r="Q189" s="609"/>
      <c r="R189" s="609"/>
      <c r="S189" s="609"/>
      <c r="T189" s="609"/>
      <c r="U189" s="609"/>
      <c r="V189" s="609"/>
      <c r="W189" s="609"/>
      <c r="X189" s="609"/>
      <c r="Y189" s="609"/>
      <c r="Z189" s="609"/>
      <c r="AA189" s="609"/>
      <c r="AB189" s="609"/>
      <c r="AC189" s="609"/>
      <c r="AD189" s="816"/>
      <c r="AE189" s="816"/>
      <c r="AF189" s="816"/>
      <c r="AG189" s="816"/>
      <c r="AH189" s="816"/>
      <c r="AI189" s="816"/>
      <c r="AJ189" s="609"/>
      <c r="AK189" s="609"/>
      <c r="AL189" s="816"/>
      <c r="AM189" s="816"/>
      <c r="AN189" s="609"/>
      <c r="AO189" s="609"/>
      <c r="AP189" s="816"/>
      <c r="AQ189" s="816"/>
      <c r="AR189" s="816"/>
      <c r="AS189" s="816"/>
      <c r="AT189" s="816"/>
      <c r="AU189" s="816"/>
      <c r="AV189" s="609"/>
      <c r="AW189" s="609"/>
      <c r="AX189" s="816"/>
      <c r="AY189" s="816"/>
      <c r="AZ189" s="817"/>
      <c r="BA189" s="609"/>
      <c r="BB189" s="609"/>
      <c r="BC189" s="816"/>
      <c r="BD189" s="816"/>
      <c r="BE189" s="816"/>
      <c r="BF189" s="816"/>
      <c r="BG189" s="816"/>
      <c r="BH189" s="816"/>
      <c r="BI189" s="816"/>
      <c r="BJ189" s="816"/>
      <c r="BK189" s="816"/>
      <c r="BL189" s="816"/>
      <c r="BM189" s="816"/>
      <c r="BN189" s="816"/>
      <c r="BO189" s="816"/>
      <c r="BP189" s="816"/>
      <c r="BQ189" s="816"/>
      <c r="BR189" s="816"/>
      <c r="BS189" s="816"/>
      <c r="BT189" s="816"/>
      <c r="BU189" s="816"/>
      <c r="BV189" s="816"/>
      <c r="BW189" s="816"/>
      <c r="BX189" s="609"/>
      <c r="BY189" s="609"/>
      <c r="BZ189" s="609"/>
      <c r="CA189" s="818"/>
      <c r="CB189" s="816"/>
      <c r="CC189" s="816"/>
      <c r="CD189" s="816"/>
      <c r="CE189" s="816"/>
      <c r="CF189" s="816"/>
      <c r="CG189" s="816"/>
      <c r="CH189" s="816"/>
      <c r="CI189" s="816"/>
      <c r="CJ189" s="819"/>
      <c r="CK189" s="819"/>
      <c r="CL189" s="820"/>
      <c r="CM189" s="820"/>
      <c r="CN189" s="820"/>
      <c r="CO189" s="820"/>
      <c r="CP189" s="820"/>
      <c r="CQ189" s="820"/>
      <c r="CR189" s="609"/>
      <c r="CS189" s="609"/>
      <c r="CT189" s="816"/>
      <c r="CU189" s="816"/>
      <c r="CV189" s="609"/>
      <c r="CW189" s="609"/>
      <c r="CX189" s="816"/>
      <c r="CY189" s="816"/>
      <c r="CZ189" s="609"/>
      <c r="DA189" s="609"/>
      <c r="DB189" s="816"/>
      <c r="DC189" s="816"/>
      <c r="DD189" s="609"/>
      <c r="DE189" s="609"/>
      <c r="DF189" s="816"/>
      <c r="DG189" s="816"/>
      <c r="DH189" s="816"/>
      <c r="DI189" s="816"/>
      <c r="DJ189" s="816"/>
      <c r="DK189" s="816"/>
      <c r="DL189" s="609"/>
      <c r="DM189" s="609"/>
      <c r="DN189" s="816"/>
      <c r="DO189" s="816"/>
      <c r="DP189" s="609"/>
      <c r="DQ189" s="609"/>
      <c r="DR189" s="816"/>
      <c r="DS189" s="816"/>
      <c r="DT189" s="816"/>
      <c r="DU189" s="816"/>
      <c r="DV189" s="816"/>
      <c r="DW189" s="816"/>
      <c r="DX189" s="816"/>
      <c r="DY189" s="816"/>
      <c r="DZ189" s="816"/>
      <c r="EA189" s="816"/>
      <c r="EB189" s="816"/>
      <c r="EC189" s="816"/>
      <c r="ED189" s="816"/>
      <c r="EE189" s="816"/>
      <c r="EF189" s="609"/>
      <c r="EG189" s="609"/>
      <c r="EH189" s="816"/>
      <c r="EI189" s="816"/>
      <c r="EJ189" s="816"/>
      <c r="EK189" s="816"/>
      <c r="EL189" s="816"/>
      <c r="EM189" s="816"/>
      <c r="EN189" s="816"/>
      <c r="EO189" s="816"/>
      <c r="EP189" s="816"/>
      <c r="EQ189" s="816"/>
      <c r="ER189" s="816"/>
      <c r="ES189" s="816"/>
      <c r="ET189" s="816"/>
      <c r="EU189" s="816"/>
      <c r="EV189" s="609"/>
      <c r="EW189" s="609"/>
      <c r="EX189" s="816"/>
      <c r="EY189" s="816"/>
      <c r="EZ189" s="816"/>
      <c r="FA189" s="816"/>
      <c r="FB189" s="816"/>
      <c r="FC189" s="816"/>
      <c r="FD189" s="816"/>
      <c r="FE189" s="816"/>
      <c r="FF189" s="816"/>
      <c r="FG189" s="816"/>
      <c r="FH189" s="816"/>
      <c r="FI189" s="816"/>
      <c r="FJ189" s="816"/>
      <c r="FK189" s="816"/>
      <c r="FL189" s="816"/>
      <c r="FM189" s="816"/>
      <c r="FN189" s="816"/>
      <c r="FO189" s="816"/>
      <c r="FP189" s="816"/>
      <c r="FQ189" s="816"/>
      <c r="FR189" s="816"/>
      <c r="FS189" s="816"/>
      <c r="FT189" s="816"/>
      <c r="FU189" s="816"/>
      <c r="FV189" s="816"/>
      <c r="FW189" s="816"/>
      <c r="FX189" s="816"/>
      <c r="FY189" s="816"/>
      <c r="FZ189" s="819"/>
      <c r="GA189" s="816"/>
      <c r="GB189" s="820"/>
      <c r="GC189" s="820"/>
      <c r="GD189" s="820"/>
      <c r="GE189" s="820"/>
      <c r="GF189" s="609"/>
      <c r="GG189" s="609"/>
      <c r="GH189" s="816"/>
      <c r="GI189" s="816"/>
      <c r="GJ189" s="816"/>
      <c r="GK189" s="816"/>
      <c r="GL189" s="816"/>
      <c r="GM189" s="816"/>
      <c r="GN189" s="816"/>
      <c r="GO189" s="816"/>
      <c r="GP189" s="816"/>
      <c r="GQ189" s="816"/>
      <c r="GR189" s="816"/>
      <c r="GS189" s="816"/>
      <c r="GT189" s="818"/>
      <c r="GU189" s="816"/>
      <c r="GV189" s="816"/>
      <c r="GW189" s="816"/>
      <c r="GX189" s="816"/>
      <c r="GY189" s="816"/>
      <c r="GZ189" s="816"/>
      <c r="HA189" s="816"/>
      <c r="HB189" s="609"/>
      <c r="HC189" s="609"/>
      <c r="HD189" s="816"/>
      <c r="HE189" s="816"/>
      <c r="HF189" s="816"/>
      <c r="HG189" s="816"/>
      <c r="HH189" s="816"/>
      <c r="HI189" s="816"/>
      <c r="HJ189" s="609"/>
      <c r="HK189" s="609"/>
      <c r="HL189" s="609"/>
      <c r="HM189" s="816"/>
      <c r="HN189" s="816"/>
      <c r="HO189" s="609"/>
      <c r="HP189" s="609"/>
      <c r="HQ189" s="816"/>
      <c r="HR189" s="816"/>
      <c r="HS189" s="816"/>
      <c r="HT189" s="816"/>
      <c r="HU189" s="816"/>
      <c r="HV189" s="816"/>
      <c r="HW189" s="609"/>
      <c r="HX189" s="609"/>
      <c r="HY189" s="816"/>
      <c r="HZ189" s="816"/>
      <c r="IA189" s="816"/>
      <c r="IB189" s="816"/>
      <c r="IC189" s="816"/>
      <c r="ID189" s="816"/>
      <c r="IE189" s="609"/>
      <c r="IF189" s="609"/>
      <c r="IG189" s="816"/>
      <c r="IH189" s="816"/>
      <c r="II189" s="609"/>
      <c r="IJ189" s="609"/>
      <c r="IK189" s="816"/>
      <c r="IL189" s="816"/>
      <c r="IM189" s="609"/>
      <c r="IN189" s="609"/>
      <c r="IO189" s="816"/>
      <c r="IP189" s="816"/>
      <c r="IQ189" s="816"/>
      <c r="IR189" s="816"/>
      <c r="IS189" s="816"/>
      <c r="IT189" s="816"/>
      <c r="IU189" s="821"/>
      <c r="IV189" s="609"/>
      <c r="IW189" s="816"/>
      <c r="IX189" s="816"/>
      <c r="IY189" s="822"/>
      <c r="IZ189" s="609"/>
      <c r="JA189" s="816"/>
      <c r="JB189" s="816"/>
      <c r="JC189" s="609"/>
      <c r="JD189" s="816"/>
      <c r="JE189" s="816"/>
      <c r="JF189" s="816"/>
      <c r="JG189" s="816"/>
      <c r="JH189" s="816"/>
      <c r="JI189" s="816"/>
      <c r="JJ189" s="816"/>
      <c r="JK189" s="816"/>
      <c r="JL189" s="816"/>
      <c r="JM189" s="816"/>
      <c r="JN189" s="816"/>
      <c r="JO189" s="823"/>
      <c r="JP189" s="824"/>
      <c r="JQ189" s="825"/>
      <c r="JR189" s="825"/>
      <c r="JS189" s="816"/>
      <c r="JU189" s="826"/>
      <c r="JV189" s="826"/>
      <c r="JW189" s="826"/>
      <c r="JX189" s="826"/>
    </row>
    <row r="190" spans="2:284" s="780" customFormat="1">
      <c r="B190" s="609"/>
      <c r="C190" s="609"/>
      <c r="D190" s="609"/>
      <c r="E190" s="609"/>
      <c r="F190" s="609"/>
      <c r="G190" s="609"/>
      <c r="H190" s="609"/>
      <c r="I190" s="609"/>
      <c r="J190" s="609"/>
      <c r="K190" s="609"/>
      <c r="L190" s="609"/>
      <c r="M190" s="609"/>
      <c r="N190" s="609"/>
      <c r="O190" s="609"/>
      <c r="P190" s="609"/>
      <c r="Q190" s="609"/>
      <c r="R190" s="609"/>
      <c r="S190" s="609"/>
      <c r="T190" s="609"/>
      <c r="U190" s="609"/>
      <c r="V190" s="609"/>
      <c r="W190" s="609"/>
      <c r="X190" s="609"/>
      <c r="Y190" s="609"/>
      <c r="Z190" s="609"/>
      <c r="AA190" s="609"/>
      <c r="AB190" s="609"/>
      <c r="AC190" s="609"/>
      <c r="AD190" s="816"/>
      <c r="AE190" s="816"/>
      <c r="AF190" s="816"/>
      <c r="AG190" s="816"/>
      <c r="AH190" s="816"/>
      <c r="AI190" s="816"/>
      <c r="AJ190" s="609"/>
      <c r="AK190" s="609"/>
      <c r="AL190" s="816"/>
      <c r="AM190" s="816"/>
      <c r="AN190" s="609"/>
      <c r="AO190" s="609"/>
      <c r="AP190" s="816"/>
      <c r="AQ190" s="816"/>
      <c r="AR190" s="816"/>
      <c r="AS190" s="816"/>
      <c r="AT190" s="816"/>
      <c r="AU190" s="816"/>
      <c r="AV190" s="609"/>
      <c r="AW190" s="609"/>
      <c r="AX190" s="816"/>
      <c r="AY190" s="816"/>
      <c r="AZ190" s="817"/>
      <c r="BA190" s="609"/>
      <c r="BB190" s="609"/>
      <c r="BC190" s="816"/>
      <c r="BD190" s="816"/>
      <c r="BE190" s="816"/>
      <c r="BF190" s="816"/>
      <c r="BG190" s="816"/>
      <c r="BH190" s="816"/>
      <c r="BI190" s="816"/>
      <c r="BJ190" s="816"/>
      <c r="BK190" s="816"/>
      <c r="BL190" s="816"/>
      <c r="BM190" s="816"/>
      <c r="BN190" s="816"/>
      <c r="BO190" s="816"/>
      <c r="BP190" s="816"/>
      <c r="BQ190" s="816"/>
      <c r="BR190" s="816"/>
      <c r="BS190" s="816"/>
      <c r="BT190" s="816"/>
      <c r="BU190" s="816"/>
      <c r="BV190" s="816"/>
      <c r="BW190" s="816"/>
      <c r="BX190" s="609"/>
      <c r="BY190" s="609"/>
      <c r="BZ190" s="609"/>
      <c r="CA190" s="818"/>
      <c r="CB190" s="816"/>
      <c r="CC190" s="816"/>
      <c r="CD190" s="816"/>
      <c r="CE190" s="816"/>
      <c r="CF190" s="816"/>
      <c r="CG190" s="816"/>
      <c r="CH190" s="816"/>
      <c r="CI190" s="816"/>
      <c r="CJ190" s="819"/>
      <c r="CK190" s="819"/>
      <c r="CL190" s="820"/>
      <c r="CM190" s="820"/>
      <c r="CN190" s="820"/>
      <c r="CO190" s="820"/>
      <c r="CP190" s="820"/>
      <c r="CQ190" s="820"/>
      <c r="CR190" s="609"/>
      <c r="CS190" s="609"/>
      <c r="CT190" s="816"/>
      <c r="CU190" s="816"/>
      <c r="CV190" s="609"/>
      <c r="CW190" s="609"/>
      <c r="CX190" s="816"/>
      <c r="CY190" s="816"/>
      <c r="CZ190" s="609"/>
      <c r="DA190" s="609"/>
      <c r="DB190" s="816"/>
      <c r="DC190" s="816"/>
      <c r="DD190" s="609"/>
      <c r="DE190" s="609"/>
      <c r="DF190" s="816"/>
      <c r="DG190" s="816"/>
      <c r="DH190" s="816"/>
      <c r="DI190" s="816"/>
      <c r="DJ190" s="816"/>
      <c r="DK190" s="816"/>
      <c r="DL190" s="609"/>
      <c r="DM190" s="609"/>
      <c r="DN190" s="816"/>
      <c r="DO190" s="816"/>
      <c r="DP190" s="609"/>
      <c r="DQ190" s="609"/>
      <c r="DR190" s="816"/>
      <c r="DS190" s="816"/>
      <c r="DT190" s="816"/>
      <c r="DU190" s="816"/>
      <c r="DV190" s="816"/>
      <c r="DW190" s="816"/>
      <c r="DX190" s="816"/>
      <c r="DY190" s="816"/>
      <c r="DZ190" s="816"/>
      <c r="EA190" s="816"/>
      <c r="EB190" s="816"/>
      <c r="EC190" s="816"/>
      <c r="ED190" s="816"/>
      <c r="EE190" s="816"/>
      <c r="EF190" s="609"/>
      <c r="EG190" s="609"/>
      <c r="EH190" s="816"/>
      <c r="EI190" s="816"/>
      <c r="EJ190" s="816"/>
      <c r="EK190" s="816"/>
      <c r="EL190" s="816"/>
      <c r="EM190" s="816"/>
      <c r="EN190" s="816"/>
      <c r="EO190" s="816"/>
      <c r="EP190" s="816"/>
      <c r="EQ190" s="816"/>
      <c r="ER190" s="816"/>
      <c r="ES190" s="816"/>
      <c r="ET190" s="816"/>
      <c r="EU190" s="816"/>
      <c r="EV190" s="609"/>
      <c r="EW190" s="609"/>
      <c r="EX190" s="816"/>
      <c r="EY190" s="816"/>
      <c r="EZ190" s="816"/>
      <c r="FA190" s="816"/>
      <c r="FB190" s="816"/>
      <c r="FC190" s="816"/>
      <c r="FD190" s="816"/>
      <c r="FE190" s="816"/>
      <c r="FF190" s="816"/>
      <c r="FG190" s="816"/>
      <c r="FH190" s="816"/>
      <c r="FI190" s="816"/>
      <c r="FJ190" s="816"/>
      <c r="FK190" s="816"/>
      <c r="FL190" s="816"/>
      <c r="FM190" s="816"/>
      <c r="FN190" s="816"/>
      <c r="FO190" s="816"/>
      <c r="FP190" s="816"/>
      <c r="FQ190" s="816"/>
      <c r="FR190" s="816"/>
      <c r="FS190" s="816"/>
      <c r="FT190" s="816"/>
      <c r="FU190" s="816"/>
      <c r="FV190" s="816"/>
      <c r="FW190" s="816"/>
      <c r="FX190" s="816"/>
      <c r="FY190" s="816"/>
      <c r="FZ190" s="819"/>
      <c r="GA190" s="816"/>
      <c r="GB190" s="820"/>
      <c r="GC190" s="820"/>
      <c r="GD190" s="820"/>
      <c r="GE190" s="820"/>
      <c r="GF190" s="609"/>
      <c r="GG190" s="609"/>
      <c r="GH190" s="816"/>
      <c r="GI190" s="816"/>
      <c r="GJ190" s="816"/>
      <c r="GK190" s="816"/>
      <c r="GL190" s="816"/>
      <c r="GM190" s="816"/>
      <c r="GN190" s="816"/>
      <c r="GO190" s="816"/>
      <c r="GP190" s="816"/>
      <c r="GQ190" s="816"/>
      <c r="GR190" s="816"/>
      <c r="GS190" s="816"/>
      <c r="GT190" s="818"/>
      <c r="GU190" s="816"/>
      <c r="GV190" s="816"/>
      <c r="GW190" s="816"/>
      <c r="GX190" s="816"/>
      <c r="GY190" s="816"/>
      <c r="GZ190" s="816"/>
      <c r="HA190" s="816"/>
      <c r="HB190" s="609"/>
      <c r="HC190" s="609"/>
      <c r="HD190" s="816"/>
      <c r="HE190" s="816"/>
      <c r="HF190" s="816"/>
      <c r="HG190" s="816"/>
      <c r="HH190" s="816"/>
      <c r="HI190" s="816"/>
      <c r="HJ190" s="609"/>
      <c r="HK190" s="609"/>
      <c r="HL190" s="609"/>
      <c r="HM190" s="816"/>
      <c r="HN190" s="816"/>
      <c r="HO190" s="609"/>
      <c r="HP190" s="609"/>
      <c r="HQ190" s="816"/>
      <c r="HR190" s="816"/>
      <c r="HS190" s="816"/>
      <c r="HT190" s="816"/>
      <c r="HU190" s="816"/>
      <c r="HV190" s="816"/>
      <c r="HW190" s="609"/>
      <c r="HX190" s="609"/>
      <c r="HY190" s="816"/>
      <c r="HZ190" s="816"/>
      <c r="IA190" s="816"/>
      <c r="IB190" s="816"/>
      <c r="IC190" s="816"/>
      <c r="ID190" s="816"/>
      <c r="IE190" s="609"/>
      <c r="IF190" s="609"/>
      <c r="IG190" s="816"/>
      <c r="IH190" s="816"/>
      <c r="II190" s="609"/>
      <c r="IJ190" s="609"/>
      <c r="IK190" s="816"/>
      <c r="IL190" s="816"/>
      <c r="IM190" s="609"/>
      <c r="IN190" s="609"/>
      <c r="IO190" s="816"/>
      <c r="IP190" s="816"/>
      <c r="IQ190" s="816"/>
      <c r="IR190" s="816"/>
      <c r="IS190" s="816"/>
      <c r="IT190" s="816"/>
      <c r="IU190" s="821"/>
      <c r="IV190" s="609"/>
      <c r="IW190" s="816"/>
      <c r="IX190" s="816"/>
      <c r="IY190" s="822"/>
      <c r="IZ190" s="609"/>
      <c r="JA190" s="816"/>
      <c r="JB190" s="816"/>
      <c r="JC190" s="609"/>
      <c r="JD190" s="816"/>
      <c r="JE190" s="816"/>
      <c r="JF190" s="816"/>
      <c r="JG190" s="816"/>
      <c r="JH190" s="816"/>
      <c r="JI190" s="816"/>
      <c r="JJ190" s="816"/>
      <c r="JK190" s="816"/>
      <c r="JL190" s="816"/>
      <c r="JM190" s="816"/>
      <c r="JN190" s="816"/>
      <c r="JO190" s="823"/>
      <c r="JP190" s="824"/>
      <c r="JQ190" s="825"/>
      <c r="JR190" s="825"/>
      <c r="JS190" s="816"/>
      <c r="JU190" s="826"/>
      <c r="JV190" s="826"/>
      <c r="JW190" s="826"/>
      <c r="JX190" s="826"/>
    </row>
    <row r="191" spans="2:284" s="780" customFormat="1">
      <c r="B191" s="609"/>
      <c r="C191" s="609"/>
      <c r="D191" s="609"/>
      <c r="E191" s="609"/>
      <c r="F191" s="609"/>
      <c r="G191" s="609"/>
      <c r="H191" s="609"/>
      <c r="I191" s="609"/>
      <c r="J191" s="609"/>
      <c r="K191" s="609"/>
      <c r="L191" s="609"/>
      <c r="M191" s="609"/>
      <c r="N191" s="609"/>
      <c r="O191" s="609"/>
      <c r="P191" s="609"/>
      <c r="Q191" s="609"/>
      <c r="R191" s="609"/>
      <c r="S191" s="609"/>
      <c r="T191" s="609"/>
      <c r="U191" s="609"/>
      <c r="V191" s="609"/>
      <c r="W191" s="609"/>
      <c r="X191" s="609"/>
      <c r="Y191" s="609"/>
      <c r="Z191" s="609"/>
      <c r="AA191" s="609"/>
      <c r="AB191" s="609"/>
      <c r="AC191" s="609"/>
      <c r="AD191" s="816"/>
      <c r="AE191" s="816"/>
      <c r="AF191" s="816"/>
      <c r="AG191" s="816"/>
      <c r="AH191" s="816"/>
      <c r="AI191" s="816"/>
      <c r="AJ191" s="609"/>
      <c r="AK191" s="609"/>
      <c r="AL191" s="816"/>
      <c r="AM191" s="816"/>
      <c r="AN191" s="609"/>
      <c r="AO191" s="609"/>
      <c r="AP191" s="816"/>
      <c r="AQ191" s="816"/>
      <c r="AR191" s="816"/>
      <c r="AS191" s="816"/>
      <c r="AT191" s="816"/>
      <c r="AU191" s="816"/>
      <c r="AV191" s="609"/>
      <c r="AW191" s="609"/>
      <c r="AX191" s="816"/>
      <c r="AY191" s="816"/>
      <c r="AZ191" s="817"/>
      <c r="BA191" s="609"/>
      <c r="BB191" s="609"/>
      <c r="BC191" s="816"/>
      <c r="BD191" s="816"/>
      <c r="BE191" s="816"/>
      <c r="BF191" s="816"/>
      <c r="BG191" s="816"/>
      <c r="BH191" s="816"/>
      <c r="BI191" s="816"/>
      <c r="BJ191" s="816"/>
      <c r="BK191" s="816"/>
      <c r="BL191" s="816"/>
      <c r="BM191" s="816"/>
      <c r="BN191" s="816"/>
      <c r="BO191" s="816"/>
      <c r="BP191" s="816"/>
      <c r="BQ191" s="816"/>
      <c r="BR191" s="816"/>
      <c r="BS191" s="816"/>
      <c r="BT191" s="816"/>
      <c r="BU191" s="816"/>
      <c r="BV191" s="816"/>
      <c r="BW191" s="816"/>
      <c r="BX191" s="609"/>
      <c r="BY191" s="609"/>
      <c r="BZ191" s="609"/>
      <c r="CA191" s="818"/>
      <c r="CB191" s="816"/>
      <c r="CC191" s="816"/>
      <c r="CD191" s="816"/>
      <c r="CE191" s="816"/>
      <c r="CF191" s="816"/>
      <c r="CG191" s="816"/>
      <c r="CH191" s="816"/>
      <c r="CI191" s="816"/>
      <c r="CJ191" s="819"/>
      <c r="CK191" s="819"/>
      <c r="CL191" s="820"/>
      <c r="CM191" s="820"/>
      <c r="CN191" s="820"/>
      <c r="CO191" s="820"/>
      <c r="CP191" s="820"/>
      <c r="CQ191" s="820"/>
      <c r="CR191" s="609"/>
      <c r="CS191" s="609"/>
      <c r="CT191" s="816"/>
      <c r="CU191" s="816"/>
      <c r="CV191" s="609"/>
      <c r="CW191" s="609"/>
      <c r="CX191" s="816"/>
      <c r="CY191" s="816"/>
      <c r="CZ191" s="609"/>
      <c r="DA191" s="609"/>
      <c r="DB191" s="816"/>
      <c r="DC191" s="816"/>
      <c r="DD191" s="609"/>
      <c r="DE191" s="609"/>
      <c r="DF191" s="816"/>
      <c r="DG191" s="816"/>
      <c r="DH191" s="816"/>
      <c r="DI191" s="816"/>
      <c r="DJ191" s="816"/>
      <c r="DK191" s="816"/>
      <c r="DL191" s="609"/>
      <c r="DM191" s="609"/>
      <c r="DN191" s="816"/>
      <c r="DO191" s="816"/>
      <c r="DP191" s="609"/>
      <c r="DQ191" s="609"/>
      <c r="DR191" s="816"/>
      <c r="DS191" s="816"/>
      <c r="DT191" s="816"/>
      <c r="DU191" s="816"/>
      <c r="DV191" s="816"/>
      <c r="DW191" s="816"/>
      <c r="DX191" s="816"/>
      <c r="DY191" s="816"/>
      <c r="DZ191" s="816"/>
      <c r="EA191" s="816"/>
      <c r="EB191" s="816"/>
      <c r="EC191" s="816"/>
      <c r="ED191" s="816"/>
      <c r="EE191" s="816"/>
      <c r="EF191" s="609"/>
      <c r="EG191" s="609"/>
      <c r="EH191" s="816"/>
      <c r="EI191" s="816"/>
      <c r="EJ191" s="816"/>
      <c r="EK191" s="816"/>
      <c r="EL191" s="816"/>
      <c r="EM191" s="816"/>
      <c r="EN191" s="816"/>
      <c r="EO191" s="816"/>
      <c r="EP191" s="816"/>
      <c r="EQ191" s="816"/>
      <c r="ER191" s="816"/>
      <c r="ES191" s="816"/>
      <c r="ET191" s="816"/>
      <c r="EU191" s="816"/>
      <c r="EV191" s="609"/>
      <c r="EW191" s="609"/>
      <c r="EX191" s="816"/>
      <c r="EY191" s="816"/>
      <c r="EZ191" s="816"/>
      <c r="FA191" s="816"/>
      <c r="FB191" s="816"/>
      <c r="FC191" s="816"/>
      <c r="FD191" s="816"/>
      <c r="FE191" s="816"/>
      <c r="FF191" s="816"/>
      <c r="FG191" s="816"/>
      <c r="FH191" s="816"/>
      <c r="FI191" s="816"/>
      <c r="FJ191" s="816"/>
      <c r="FK191" s="816"/>
      <c r="FL191" s="816"/>
      <c r="FM191" s="816"/>
      <c r="FN191" s="816"/>
      <c r="FO191" s="816"/>
      <c r="FP191" s="816"/>
      <c r="FQ191" s="816"/>
      <c r="FR191" s="816"/>
      <c r="FS191" s="816"/>
      <c r="FT191" s="816"/>
      <c r="FU191" s="816"/>
      <c r="FV191" s="816"/>
      <c r="FW191" s="816"/>
      <c r="FX191" s="816"/>
      <c r="FY191" s="816"/>
      <c r="FZ191" s="819"/>
      <c r="GA191" s="816"/>
      <c r="GB191" s="820"/>
      <c r="GC191" s="820"/>
      <c r="GD191" s="820"/>
      <c r="GE191" s="820"/>
      <c r="GF191" s="609"/>
      <c r="GG191" s="609"/>
      <c r="GH191" s="816"/>
      <c r="GI191" s="816"/>
      <c r="GJ191" s="816"/>
      <c r="GK191" s="816"/>
      <c r="GL191" s="816"/>
      <c r="GM191" s="816"/>
      <c r="GN191" s="816"/>
      <c r="GO191" s="816"/>
      <c r="GP191" s="816"/>
      <c r="GQ191" s="816"/>
      <c r="GR191" s="816"/>
      <c r="GS191" s="816"/>
      <c r="GT191" s="818"/>
      <c r="GU191" s="816"/>
      <c r="GV191" s="816"/>
      <c r="GW191" s="816"/>
      <c r="GX191" s="816"/>
      <c r="GY191" s="816"/>
      <c r="GZ191" s="816"/>
      <c r="HA191" s="816"/>
      <c r="HB191" s="609"/>
      <c r="HC191" s="609"/>
      <c r="HD191" s="816"/>
      <c r="HE191" s="816"/>
      <c r="HF191" s="816"/>
      <c r="HG191" s="816"/>
      <c r="HH191" s="816"/>
      <c r="HI191" s="816"/>
      <c r="HJ191" s="609"/>
      <c r="HK191" s="609"/>
      <c r="HL191" s="609"/>
      <c r="HM191" s="816"/>
      <c r="HN191" s="816"/>
      <c r="HO191" s="609"/>
      <c r="HP191" s="609"/>
      <c r="HQ191" s="816"/>
      <c r="HR191" s="816"/>
      <c r="HS191" s="816"/>
      <c r="HT191" s="816"/>
      <c r="HU191" s="816"/>
      <c r="HV191" s="816"/>
      <c r="HW191" s="609"/>
      <c r="HX191" s="609"/>
      <c r="HY191" s="816"/>
      <c r="HZ191" s="816"/>
      <c r="IA191" s="816"/>
      <c r="IB191" s="816"/>
      <c r="IC191" s="816"/>
      <c r="ID191" s="816"/>
      <c r="IE191" s="609"/>
      <c r="IF191" s="609"/>
      <c r="IG191" s="816"/>
      <c r="IH191" s="816"/>
      <c r="II191" s="609"/>
      <c r="IJ191" s="609"/>
      <c r="IK191" s="816"/>
      <c r="IL191" s="816"/>
      <c r="IM191" s="609"/>
      <c r="IN191" s="609"/>
      <c r="IO191" s="816"/>
      <c r="IP191" s="816"/>
      <c r="IQ191" s="816"/>
      <c r="IR191" s="816"/>
      <c r="IS191" s="816"/>
      <c r="IT191" s="816"/>
      <c r="IU191" s="821"/>
      <c r="IV191" s="609"/>
      <c r="IW191" s="816"/>
      <c r="IX191" s="816"/>
      <c r="IY191" s="822"/>
      <c r="IZ191" s="609"/>
      <c r="JA191" s="816"/>
      <c r="JB191" s="816"/>
      <c r="JC191" s="609"/>
      <c r="JD191" s="816"/>
      <c r="JE191" s="816"/>
      <c r="JF191" s="816"/>
      <c r="JG191" s="816"/>
      <c r="JH191" s="816"/>
      <c r="JI191" s="816"/>
      <c r="JJ191" s="816"/>
      <c r="JK191" s="816"/>
      <c r="JL191" s="816"/>
      <c r="JM191" s="816"/>
      <c r="JN191" s="816"/>
      <c r="JO191" s="823"/>
      <c r="JP191" s="824"/>
      <c r="JQ191" s="825"/>
      <c r="JR191" s="825"/>
      <c r="JS191" s="816"/>
      <c r="JU191" s="826"/>
      <c r="JV191" s="826"/>
      <c r="JW191" s="826"/>
      <c r="JX191" s="826"/>
    </row>
    <row r="192" spans="2:284" s="780" customFormat="1">
      <c r="B192" s="609"/>
      <c r="C192" s="609"/>
      <c r="D192" s="609"/>
      <c r="E192" s="609"/>
      <c r="F192" s="609"/>
      <c r="G192" s="609"/>
      <c r="H192" s="609"/>
      <c r="I192" s="609"/>
      <c r="J192" s="609"/>
      <c r="K192" s="609"/>
      <c r="L192" s="609"/>
      <c r="M192" s="609"/>
      <c r="N192" s="609"/>
      <c r="O192" s="609"/>
      <c r="P192" s="609"/>
      <c r="Q192" s="609"/>
      <c r="R192" s="609"/>
      <c r="S192" s="609"/>
      <c r="T192" s="609"/>
      <c r="U192" s="609"/>
      <c r="V192" s="609"/>
      <c r="W192" s="609"/>
      <c r="X192" s="609"/>
      <c r="Y192" s="609"/>
      <c r="Z192" s="609"/>
      <c r="AA192" s="609"/>
      <c r="AB192" s="609"/>
      <c r="AC192" s="609"/>
      <c r="AD192" s="816"/>
      <c r="AE192" s="816"/>
      <c r="AF192" s="816"/>
      <c r="AG192" s="816"/>
      <c r="AH192" s="816"/>
      <c r="AI192" s="816"/>
      <c r="AJ192" s="609"/>
      <c r="AK192" s="609"/>
      <c r="AL192" s="816"/>
      <c r="AM192" s="816"/>
      <c r="AN192" s="609"/>
      <c r="AO192" s="609"/>
      <c r="AP192" s="816"/>
      <c r="AQ192" s="816"/>
      <c r="AR192" s="816"/>
      <c r="AS192" s="816"/>
      <c r="AT192" s="816"/>
      <c r="AU192" s="816"/>
      <c r="AV192" s="609"/>
      <c r="AW192" s="609"/>
      <c r="AX192" s="816"/>
      <c r="AY192" s="816"/>
      <c r="AZ192" s="817"/>
      <c r="BA192" s="609"/>
      <c r="BB192" s="609"/>
      <c r="BC192" s="816"/>
      <c r="BD192" s="816"/>
      <c r="BE192" s="816"/>
      <c r="BF192" s="816"/>
      <c r="BG192" s="816"/>
      <c r="BH192" s="816"/>
      <c r="BI192" s="816"/>
      <c r="BJ192" s="816"/>
      <c r="BK192" s="816"/>
      <c r="BL192" s="816"/>
      <c r="BM192" s="816"/>
      <c r="BN192" s="816"/>
      <c r="BO192" s="816"/>
      <c r="BP192" s="816"/>
      <c r="BQ192" s="816"/>
      <c r="BR192" s="816"/>
      <c r="BS192" s="816"/>
      <c r="BT192" s="816"/>
      <c r="BU192" s="816"/>
      <c r="BV192" s="816"/>
      <c r="BW192" s="816"/>
      <c r="BX192" s="609"/>
      <c r="BY192" s="609"/>
      <c r="BZ192" s="609"/>
      <c r="CA192" s="818"/>
      <c r="CB192" s="816"/>
      <c r="CC192" s="816"/>
      <c r="CD192" s="816"/>
      <c r="CE192" s="816"/>
      <c r="CF192" s="816"/>
      <c r="CG192" s="816"/>
      <c r="CH192" s="816"/>
      <c r="CI192" s="816"/>
      <c r="CJ192" s="819"/>
      <c r="CK192" s="819"/>
      <c r="CL192" s="820"/>
      <c r="CM192" s="820"/>
      <c r="CN192" s="820"/>
      <c r="CO192" s="820"/>
      <c r="CP192" s="820"/>
      <c r="CQ192" s="820"/>
      <c r="CR192" s="609"/>
      <c r="CS192" s="609"/>
      <c r="CT192" s="816"/>
      <c r="CU192" s="816"/>
      <c r="CV192" s="609"/>
      <c r="CW192" s="609"/>
      <c r="CX192" s="816"/>
      <c r="CY192" s="816"/>
      <c r="CZ192" s="609"/>
      <c r="DA192" s="609"/>
      <c r="DB192" s="816"/>
      <c r="DC192" s="816"/>
      <c r="DD192" s="609"/>
      <c r="DE192" s="609"/>
      <c r="DF192" s="816"/>
      <c r="DG192" s="816"/>
      <c r="DH192" s="816"/>
      <c r="DI192" s="816"/>
      <c r="DJ192" s="816"/>
      <c r="DK192" s="816"/>
      <c r="DL192" s="609"/>
      <c r="DM192" s="609"/>
      <c r="DN192" s="816"/>
      <c r="DO192" s="816"/>
      <c r="DP192" s="609"/>
      <c r="DQ192" s="609"/>
      <c r="DR192" s="816"/>
      <c r="DS192" s="816"/>
      <c r="DT192" s="816"/>
      <c r="DU192" s="816"/>
      <c r="DV192" s="816"/>
      <c r="DW192" s="816"/>
      <c r="DX192" s="816"/>
      <c r="DY192" s="816"/>
      <c r="DZ192" s="816"/>
      <c r="EA192" s="816"/>
      <c r="EB192" s="816"/>
      <c r="EC192" s="816"/>
      <c r="ED192" s="816"/>
      <c r="EE192" s="816"/>
      <c r="EF192" s="609"/>
      <c r="EG192" s="609"/>
      <c r="EH192" s="816"/>
      <c r="EI192" s="816"/>
      <c r="EJ192" s="816"/>
      <c r="EK192" s="816"/>
      <c r="EL192" s="816"/>
      <c r="EM192" s="816"/>
      <c r="EN192" s="816"/>
      <c r="EO192" s="816"/>
      <c r="EP192" s="816"/>
      <c r="EQ192" s="816"/>
      <c r="ER192" s="816"/>
      <c r="ES192" s="816"/>
      <c r="ET192" s="816"/>
      <c r="EU192" s="816"/>
      <c r="EV192" s="609"/>
      <c r="EW192" s="609"/>
      <c r="EX192" s="816"/>
      <c r="EY192" s="816"/>
      <c r="EZ192" s="816"/>
      <c r="FA192" s="816"/>
      <c r="FB192" s="816"/>
      <c r="FC192" s="816"/>
      <c r="FD192" s="816"/>
      <c r="FE192" s="816"/>
      <c r="FF192" s="816"/>
      <c r="FG192" s="816"/>
      <c r="FH192" s="816"/>
      <c r="FI192" s="816"/>
      <c r="FJ192" s="816"/>
      <c r="FK192" s="816"/>
      <c r="FL192" s="816"/>
      <c r="FM192" s="816"/>
      <c r="FN192" s="816"/>
      <c r="FO192" s="816"/>
      <c r="FP192" s="816"/>
      <c r="FQ192" s="816"/>
      <c r="FR192" s="816"/>
      <c r="FS192" s="816"/>
      <c r="FT192" s="816"/>
      <c r="FU192" s="816"/>
      <c r="FV192" s="816"/>
      <c r="FW192" s="816"/>
      <c r="FX192" s="816"/>
      <c r="FY192" s="816"/>
      <c r="FZ192" s="819"/>
      <c r="GA192" s="816"/>
      <c r="GB192" s="820"/>
      <c r="GC192" s="820"/>
      <c r="GD192" s="820"/>
      <c r="GE192" s="820"/>
      <c r="GF192" s="609"/>
      <c r="GG192" s="609"/>
      <c r="GH192" s="816"/>
      <c r="GI192" s="816"/>
      <c r="GJ192" s="816"/>
      <c r="GK192" s="816"/>
      <c r="GL192" s="816"/>
      <c r="GM192" s="816"/>
      <c r="GN192" s="816"/>
      <c r="GO192" s="816"/>
      <c r="GP192" s="816"/>
      <c r="GQ192" s="816"/>
      <c r="GR192" s="816"/>
      <c r="GS192" s="816"/>
      <c r="GT192" s="818"/>
      <c r="GU192" s="816"/>
      <c r="GV192" s="816"/>
      <c r="GW192" s="816"/>
      <c r="GX192" s="816"/>
      <c r="GY192" s="816"/>
      <c r="GZ192" s="816"/>
      <c r="HA192" s="816"/>
      <c r="HB192" s="609"/>
      <c r="HC192" s="609"/>
      <c r="HD192" s="816"/>
      <c r="HE192" s="816"/>
      <c r="HF192" s="816"/>
      <c r="HG192" s="816"/>
      <c r="HH192" s="816"/>
      <c r="HI192" s="816"/>
      <c r="HJ192" s="609"/>
      <c r="HK192" s="609"/>
      <c r="HL192" s="609"/>
      <c r="HM192" s="816"/>
      <c r="HN192" s="816"/>
      <c r="HO192" s="609"/>
      <c r="HP192" s="609"/>
      <c r="HQ192" s="816"/>
      <c r="HR192" s="816"/>
      <c r="HS192" s="816"/>
      <c r="HT192" s="816"/>
      <c r="HU192" s="816"/>
      <c r="HV192" s="816"/>
      <c r="HW192" s="609"/>
      <c r="HX192" s="609"/>
      <c r="HY192" s="816"/>
      <c r="HZ192" s="816"/>
      <c r="IA192" s="816"/>
      <c r="IB192" s="816"/>
      <c r="IC192" s="816"/>
      <c r="ID192" s="816"/>
      <c r="IE192" s="609"/>
      <c r="IF192" s="609"/>
      <c r="IG192" s="816"/>
      <c r="IH192" s="816"/>
      <c r="II192" s="609"/>
      <c r="IJ192" s="609"/>
      <c r="IK192" s="816"/>
      <c r="IL192" s="816"/>
      <c r="IM192" s="609"/>
      <c r="IN192" s="609"/>
      <c r="IO192" s="816"/>
      <c r="IP192" s="816"/>
      <c r="IQ192" s="816"/>
      <c r="IR192" s="816"/>
      <c r="IS192" s="816"/>
      <c r="IT192" s="816"/>
      <c r="IU192" s="821"/>
      <c r="IV192" s="609"/>
      <c r="IW192" s="816"/>
      <c r="IX192" s="816"/>
      <c r="IY192" s="822"/>
      <c r="IZ192" s="609"/>
      <c r="JA192" s="816"/>
      <c r="JB192" s="816"/>
      <c r="JC192" s="609"/>
      <c r="JD192" s="816"/>
      <c r="JE192" s="816"/>
      <c r="JF192" s="816"/>
      <c r="JG192" s="816"/>
      <c r="JH192" s="816"/>
      <c r="JI192" s="816"/>
      <c r="JJ192" s="816"/>
      <c r="JK192" s="816"/>
      <c r="JL192" s="816"/>
      <c r="JM192" s="816"/>
      <c r="JN192" s="816"/>
      <c r="JO192" s="823"/>
      <c r="JP192" s="824"/>
      <c r="JQ192" s="825"/>
      <c r="JR192" s="825"/>
      <c r="JS192" s="816"/>
      <c r="JU192" s="826"/>
      <c r="JV192" s="826"/>
      <c r="JW192" s="826"/>
      <c r="JX192" s="826"/>
    </row>
    <row r="193" spans="2:284" s="780" customFormat="1">
      <c r="B193" s="609"/>
      <c r="C193" s="609"/>
      <c r="D193" s="609"/>
      <c r="E193" s="609"/>
      <c r="F193" s="609"/>
      <c r="G193" s="609"/>
      <c r="H193" s="609"/>
      <c r="I193" s="609"/>
      <c r="J193" s="609"/>
      <c r="K193" s="609"/>
      <c r="L193" s="609"/>
      <c r="M193" s="609"/>
      <c r="N193" s="609"/>
      <c r="O193" s="609"/>
      <c r="P193" s="609"/>
      <c r="Q193" s="609"/>
      <c r="R193" s="609"/>
      <c r="S193" s="609"/>
      <c r="T193" s="609"/>
      <c r="U193" s="609"/>
      <c r="V193" s="609"/>
      <c r="W193" s="609"/>
      <c r="X193" s="609"/>
      <c r="Y193" s="609"/>
      <c r="Z193" s="609"/>
      <c r="AA193" s="609"/>
      <c r="AB193" s="609"/>
      <c r="AC193" s="609"/>
      <c r="AD193" s="816"/>
      <c r="AE193" s="816"/>
      <c r="AF193" s="816"/>
      <c r="AG193" s="816"/>
      <c r="AH193" s="816"/>
      <c r="AI193" s="816"/>
      <c r="AJ193" s="609"/>
      <c r="AK193" s="609"/>
      <c r="AL193" s="816"/>
      <c r="AM193" s="816"/>
      <c r="AN193" s="609"/>
      <c r="AO193" s="609"/>
      <c r="AP193" s="816"/>
      <c r="AQ193" s="816"/>
      <c r="AR193" s="816"/>
      <c r="AS193" s="816"/>
      <c r="AT193" s="816"/>
      <c r="AU193" s="816"/>
      <c r="AV193" s="609"/>
      <c r="AW193" s="609"/>
      <c r="AX193" s="816"/>
      <c r="AY193" s="816"/>
      <c r="AZ193" s="817"/>
      <c r="BA193" s="609"/>
      <c r="BB193" s="609"/>
      <c r="BC193" s="816"/>
      <c r="BD193" s="816"/>
      <c r="BE193" s="816"/>
      <c r="BF193" s="816"/>
      <c r="BG193" s="816"/>
      <c r="BH193" s="816"/>
      <c r="BI193" s="816"/>
      <c r="BJ193" s="816"/>
      <c r="BK193" s="816"/>
      <c r="BL193" s="816"/>
      <c r="BM193" s="816"/>
      <c r="BN193" s="816"/>
      <c r="BO193" s="816"/>
      <c r="BP193" s="816"/>
      <c r="BQ193" s="816"/>
      <c r="BR193" s="816"/>
      <c r="BS193" s="816"/>
      <c r="BT193" s="816"/>
      <c r="BU193" s="816"/>
      <c r="BV193" s="816"/>
      <c r="BW193" s="816"/>
      <c r="BX193" s="609"/>
      <c r="BY193" s="609"/>
      <c r="BZ193" s="609"/>
      <c r="CA193" s="818"/>
      <c r="CB193" s="816"/>
      <c r="CC193" s="816"/>
      <c r="CD193" s="816"/>
      <c r="CE193" s="816"/>
      <c r="CF193" s="816"/>
      <c r="CG193" s="816"/>
      <c r="CH193" s="816"/>
      <c r="CI193" s="816"/>
      <c r="CJ193" s="819"/>
      <c r="CK193" s="819"/>
      <c r="CL193" s="820"/>
      <c r="CM193" s="820"/>
      <c r="CN193" s="820"/>
      <c r="CO193" s="820"/>
      <c r="CP193" s="820"/>
      <c r="CQ193" s="820"/>
      <c r="CR193" s="609"/>
      <c r="CS193" s="609"/>
      <c r="CT193" s="816"/>
      <c r="CU193" s="816"/>
      <c r="CV193" s="609"/>
      <c r="CW193" s="609"/>
      <c r="CX193" s="816"/>
      <c r="CY193" s="816"/>
      <c r="CZ193" s="609"/>
      <c r="DA193" s="609"/>
      <c r="DB193" s="816"/>
      <c r="DC193" s="816"/>
      <c r="DD193" s="609"/>
      <c r="DE193" s="609"/>
      <c r="DF193" s="816"/>
      <c r="DG193" s="816"/>
      <c r="DH193" s="816"/>
      <c r="DI193" s="816"/>
      <c r="DJ193" s="816"/>
      <c r="DK193" s="816"/>
      <c r="DL193" s="609"/>
      <c r="DM193" s="609"/>
      <c r="DN193" s="816"/>
      <c r="DO193" s="816"/>
      <c r="DP193" s="609"/>
      <c r="DQ193" s="609"/>
      <c r="DR193" s="816"/>
      <c r="DS193" s="816"/>
      <c r="DT193" s="816"/>
      <c r="DU193" s="816"/>
      <c r="DV193" s="816"/>
      <c r="DW193" s="816"/>
      <c r="DX193" s="816"/>
      <c r="DY193" s="816"/>
      <c r="DZ193" s="816"/>
      <c r="EA193" s="816"/>
      <c r="EB193" s="816"/>
      <c r="EC193" s="816"/>
      <c r="ED193" s="816"/>
      <c r="EE193" s="816"/>
      <c r="EF193" s="609"/>
      <c r="EG193" s="609"/>
      <c r="EH193" s="816"/>
      <c r="EI193" s="816"/>
      <c r="EJ193" s="816"/>
      <c r="EK193" s="816"/>
      <c r="EL193" s="816"/>
      <c r="EM193" s="816"/>
      <c r="EN193" s="816"/>
      <c r="EO193" s="816"/>
      <c r="EP193" s="816"/>
      <c r="EQ193" s="816"/>
      <c r="ER193" s="816"/>
      <c r="ES193" s="816"/>
      <c r="ET193" s="816"/>
      <c r="EU193" s="816"/>
      <c r="EV193" s="609"/>
      <c r="EW193" s="609"/>
      <c r="EX193" s="816"/>
      <c r="EY193" s="816"/>
      <c r="EZ193" s="816"/>
      <c r="FA193" s="816"/>
      <c r="FB193" s="816"/>
      <c r="FC193" s="816"/>
      <c r="FD193" s="816"/>
      <c r="FE193" s="816"/>
      <c r="FF193" s="816"/>
      <c r="FG193" s="816"/>
      <c r="FH193" s="816"/>
      <c r="FI193" s="816"/>
      <c r="FJ193" s="816"/>
      <c r="FK193" s="816"/>
      <c r="FL193" s="816"/>
      <c r="FM193" s="816"/>
      <c r="FN193" s="816"/>
      <c r="FO193" s="816"/>
      <c r="FP193" s="816"/>
      <c r="FQ193" s="816"/>
      <c r="FR193" s="816"/>
      <c r="FS193" s="816"/>
      <c r="FT193" s="816"/>
      <c r="FU193" s="816"/>
      <c r="FV193" s="816"/>
      <c r="FW193" s="816"/>
      <c r="FX193" s="816"/>
      <c r="FY193" s="816"/>
      <c r="FZ193" s="819"/>
      <c r="GA193" s="816"/>
      <c r="GB193" s="820"/>
      <c r="GC193" s="820"/>
      <c r="GD193" s="820"/>
      <c r="GE193" s="820"/>
      <c r="GF193" s="609"/>
      <c r="GG193" s="609"/>
      <c r="GH193" s="816"/>
      <c r="GI193" s="816"/>
      <c r="GJ193" s="816"/>
      <c r="GK193" s="816"/>
      <c r="GL193" s="816"/>
      <c r="GM193" s="816"/>
      <c r="GN193" s="816"/>
      <c r="GO193" s="816"/>
      <c r="GP193" s="816"/>
      <c r="GQ193" s="816"/>
      <c r="GR193" s="816"/>
      <c r="GS193" s="816"/>
      <c r="GT193" s="818"/>
      <c r="GU193" s="816"/>
      <c r="GV193" s="816"/>
      <c r="GW193" s="816"/>
      <c r="GX193" s="816"/>
      <c r="GY193" s="816"/>
      <c r="GZ193" s="816"/>
      <c r="HA193" s="816"/>
      <c r="HB193" s="609"/>
      <c r="HC193" s="609"/>
      <c r="HD193" s="816"/>
      <c r="HE193" s="816"/>
      <c r="HF193" s="816"/>
      <c r="HG193" s="816"/>
      <c r="HH193" s="816"/>
      <c r="HI193" s="816"/>
      <c r="HJ193" s="609"/>
      <c r="HK193" s="609"/>
      <c r="HL193" s="609"/>
      <c r="HM193" s="816"/>
      <c r="HN193" s="816"/>
      <c r="HO193" s="609"/>
      <c r="HP193" s="609"/>
      <c r="HQ193" s="816"/>
      <c r="HR193" s="816"/>
      <c r="HS193" s="816"/>
      <c r="HT193" s="816"/>
      <c r="HU193" s="816"/>
      <c r="HV193" s="816"/>
      <c r="HW193" s="609"/>
      <c r="HX193" s="609"/>
      <c r="HY193" s="816"/>
      <c r="HZ193" s="816"/>
      <c r="IA193" s="816"/>
      <c r="IB193" s="816"/>
      <c r="IC193" s="816"/>
      <c r="ID193" s="816"/>
      <c r="IE193" s="609"/>
      <c r="IF193" s="609"/>
      <c r="IG193" s="816"/>
      <c r="IH193" s="816"/>
      <c r="II193" s="609"/>
      <c r="IJ193" s="609"/>
      <c r="IK193" s="816"/>
      <c r="IL193" s="816"/>
      <c r="IM193" s="609"/>
      <c r="IN193" s="609"/>
      <c r="IO193" s="816"/>
      <c r="IP193" s="816"/>
      <c r="IQ193" s="816"/>
      <c r="IR193" s="816"/>
      <c r="IS193" s="816"/>
      <c r="IT193" s="816"/>
      <c r="IU193" s="821"/>
      <c r="IV193" s="609"/>
      <c r="IW193" s="816"/>
      <c r="IX193" s="816"/>
      <c r="IY193" s="822"/>
      <c r="IZ193" s="609"/>
      <c r="JA193" s="816"/>
      <c r="JB193" s="816"/>
      <c r="JC193" s="609"/>
      <c r="JD193" s="816"/>
      <c r="JE193" s="816"/>
      <c r="JF193" s="816"/>
      <c r="JG193" s="816"/>
      <c r="JH193" s="816"/>
      <c r="JI193" s="816"/>
      <c r="JJ193" s="816"/>
      <c r="JK193" s="816"/>
      <c r="JL193" s="816"/>
      <c r="JM193" s="816"/>
      <c r="JN193" s="816"/>
      <c r="JO193" s="823"/>
      <c r="JP193" s="824"/>
      <c r="JQ193" s="825"/>
      <c r="JR193" s="825"/>
      <c r="JS193" s="816"/>
      <c r="JU193" s="834"/>
      <c r="JV193" s="834"/>
      <c r="JW193" s="826"/>
      <c r="JX193" s="834"/>
    </row>
    <row r="194" spans="2:284" s="780" customFormat="1">
      <c r="B194" s="609"/>
      <c r="C194" s="609"/>
      <c r="D194" s="609"/>
      <c r="E194" s="609"/>
      <c r="F194" s="609"/>
      <c r="G194" s="609"/>
      <c r="H194" s="609"/>
      <c r="I194" s="609"/>
      <c r="J194" s="609"/>
      <c r="K194" s="609"/>
      <c r="L194" s="609"/>
      <c r="M194" s="609"/>
      <c r="N194" s="609"/>
      <c r="O194" s="609"/>
      <c r="P194" s="609"/>
      <c r="Q194" s="609"/>
      <c r="R194" s="609"/>
      <c r="S194" s="609"/>
      <c r="T194" s="609"/>
      <c r="U194" s="609"/>
      <c r="V194" s="609"/>
      <c r="W194" s="609"/>
      <c r="X194" s="609"/>
      <c r="Y194" s="609"/>
      <c r="Z194" s="609"/>
      <c r="AA194" s="609"/>
      <c r="AB194" s="609"/>
      <c r="AC194" s="609"/>
      <c r="AD194" s="816"/>
      <c r="AE194" s="816"/>
      <c r="AF194" s="816"/>
      <c r="AG194" s="816"/>
      <c r="AH194" s="816"/>
      <c r="AI194" s="816"/>
      <c r="AJ194" s="609"/>
      <c r="AK194" s="609"/>
      <c r="AL194" s="816"/>
      <c r="AM194" s="816"/>
      <c r="AN194" s="609"/>
      <c r="AO194" s="609"/>
      <c r="AP194" s="816"/>
      <c r="AQ194" s="816"/>
      <c r="AR194" s="816"/>
      <c r="AS194" s="816"/>
      <c r="AT194" s="816"/>
      <c r="AU194" s="816"/>
      <c r="AV194" s="609"/>
      <c r="AW194" s="609"/>
      <c r="AX194" s="816"/>
      <c r="AY194" s="816"/>
      <c r="AZ194" s="817"/>
      <c r="BA194" s="609"/>
      <c r="BB194" s="609"/>
      <c r="BC194" s="816"/>
      <c r="BD194" s="816"/>
      <c r="BE194" s="816"/>
      <c r="BF194" s="816"/>
      <c r="BG194" s="816"/>
      <c r="BH194" s="816"/>
      <c r="BI194" s="816"/>
      <c r="BJ194" s="816"/>
      <c r="BK194" s="816"/>
      <c r="BL194" s="816"/>
      <c r="BM194" s="816"/>
      <c r="BN194" s="816"/>
      <c r="BO194" s="816"/>
      <c r="BP194" s="816"/>
      <c r="BQ194" s="816"/>
      <c r="BR194" s="816"/>
      <c r="BS194" s="816"/>
      <c r="BT194" s="816"/>
      <c r="BU194" s="816"/>
      <c r="BV194" s="816"/>
      <c r="BW194" s="816"/>
      <c r="BX194" s="609"/>
      <c r="BY194" s="609"/>
      <c r="BZ194" s="609"/>
      <c r="CA194" s="818"/>
      <c r="CB194" s="816"/>
      <c r="CC194" s="816"/>
      <c r="CD194" s="816"/>
      <c r="CE194" s="816"/>
      <c r="CF194" s="816"/>
      <c r="CG194" s="816"/>
      <c r="CH194" s="816"/>
      <c r="CI194" s="816"/>
      <c r="CJ194" s="819"/>
      <c r="CK194" s="819"/>
      <c r="CL194" s="820"/>
      <c r="CM194" s="820"/>
      <c r="CN194" s="820"/>
      <c r="CO194" s="820"/>
      <c r="CP194" s="820"/>
      <c r="CQ194" s="820"/>
      <c r="CR194" s="609"/>
      <c r="CS194" s="609"/>
      <c r="CT194" s="816"/>
      <c r="CU194" s="816"/>
      <c r="CV194" s="609"/>
      <c r="CW194" s="609"/>
      <c r="CX194" s="816"/>
      <c r="CY194" s="816"/>
      <c r="CZ194" s="609"/>
      <c r="DA194" s="609"/>
      <c r="DB194" s="816"/>
      <c r="DC194" s="816"/>
      <c r="DD194" s="609"/>
      <c r="DE194" s="609"/>
      <c r="DF194" s="816"/>
      <c r="DG194" s="816"/>
      <c r="DH194" s="816"/>
      <c r="DI194" s="816"/>
      <c r="DJ194" s="816"/>
      <c r="DK194" s="816"/>
      <c r="DL194" s="609"/>
      <c r="DM194" s="609"/>
      <c r="DN194" s="816"/>
      <c r="DO194" s="816"/>
      <c r="DP194" s="609"/>
      <c r="DQ194" s="609"/>
      <c r="DR194" s="816"/>
      <c r="DS194" s="816"/>
      <c r="DT194" s="816"/>
      <c r="DU194" s="816"/>
      <c r="DV194" s="816"/>
      <c r="DW194" s="816"/>
      <c r="DX194" s="816"/>
      <c r="DY194" s="816"/>
      <c r="DZ194" s="816"/>
      <c r="EA194" s="816"/>
      <c r="EB194" s="816"/>
      <c r="EC194" s="816"/>
      <c r="ED194" s="816"/>
      <c r="EE194" s="816"/>
      <c r="EF194" s="609"/>
      <c r="EG194" s="609"/>
      <c r="EH194" s="816"/>
      <c r="EI194" s="816"/>
      <c r="EJ194" s="816"/>
      <c r="EK194" s="816"/>
      <c r="EL194" s="816"/>
      <c r="EM194" s="816"/>
      <c r="EN194" s="816"/>
      <c r="EO194" s="816"/>
      <c r="EP194" s="816"/>
      <c r="EQ194" s="816"/>
      <c r="ER194" s="816"/>
      <c r="ES194" s="816"/>
      <c r="ET194" s="816"/>
      <c r="EU194" s="816"/>
      <c r="EV194" s="609"/>
      <c r="EW194" s="609"/>
      <c r="EX194" s="816"/>
      <c r="EY194" s="816"/>
      <c r="EZ194" s="816"/>
      <c r="FA194" s="816"/>
      <c r="FB194" s="816"/>
      <c r="FC194" s="816"/>
      <c r="FD194" s="816"/>
      <c r="FE194" s="816"/>
      <c r="FF194" s="816"/>
      <c r="FG194" s="816"/>
      <c r="FH194" s="816"/>
      <c r="FI194" s="816"/>
      <c r="FJ194" s="816"/>
      <c r="FK194" s="816"/>
      <c r="FL194" s="816"/>
      <c r="FM194" s="816"/>
      <c r="FN194" s="816"/>
      <c r="FO194" s="816"/>
      <c r="FP194" s="816"/>
      <c r="FQ194" s="816"/>
      <c r="FR194" s="816"/>
      <c r="FS194" s="816"/>
      <c r="FT194" s="816"/>
      <c r="FU194" s="816"/>
      <c r="FV194" s="816"/>
      <c r="FW194" s="816"/>
      <c r="FX194" s="816"/>
      <c r="FY194" s="816"/>
      <c r="FZ194" s="819"/>
      <c r="GA194" s="816"/>
      <c r="GB194" s="820"/>
      <c r="GC194" s="820"/>
      <c r="GD194" s="820"/>
      <c r="GE194" s="820"/>
      <c r="GF194" s="609"/>
      <c r="GG194" s="609"/>
      <c r="GH194" s="816"/>
      <c r="GI194" s="816"/>
      <c r="GJ194" s="816"/>
      <c r="GK194" s="816"/>
      <c r="GL194" s="816"/>
      <c r="GM194" s="816"/>
      <c r="GN194" s="816"/>
      <c r="GO194" s="816"/>
      <c r="GP194" s="816"/>
      <c r="GQ194" s="816"/>
      <c r="GR194" s="816"/>
      <c r="GS194" s="816"/>
      <c r="GT194" s="818"/>
      <c r="GU194" s="816"/>
      <c r="GV194" s="816"/>
      <c r="GW194" s="816"/>
      <c r="GX194" s="816"/>
      <c r="GY194" s="816"/>
      <c r="GZ194" s="816"/>
      <c r="HA194" s="816"/>
      <c r="HB194" s="609"/>
      <c r="HC194" s="609"/>
      <c r="HD194" s="816"/>
      <c r="HE194" s="816"/>
      <c r="HF194" s="816"/>
      <c r="HG194" s="816"/>
      <c r="HH194" s="816"/>
      <c r="HI194" s="816"/>
      <c r="HJ194" s="609"/>
      <c r="HK194" s="609"/>
      <c r="HL194" s="609"/>
      <c r="HM194" s="816"/>
      <c r="HN194" s="816"/>
      <c r="HO194" s="609"/>
      <c r="HP194" s="609"/>
      <c r="HQ194" s="816"/>
      <c r="HR194" s="816"/>
      <c r="HS194" s="816"/>
      <c r="HT194" s="816"/>
      <c r="HU194" s="816"/>
      <c r="HV194" s="816"/>
      <c r="HW194" s="609"/>
      <c r="HX194" s="609"/>
      <c r="HY194" s="816"/>
      <c r="HZ194" s="816"/>
      <c r="IA194" s="816"/>
      <c r="IB194" s="816"/>
      <c r="IC194" s="816"/>
      <c r="ID194" s="816"/>
      <c r="IE194" s="609"/>
      <c r="IF194" s="609"/>
      <c r="IG194" s="816"/>
      <c r="IH194" s="816"/>
      <c r="II194" s="609"/>
      <c r="IJ194" s="609"/>
      <c r="IK194" s="816"/>
      <c r="IL194" s="816"/>
      <c r="IM194" s="609"/>
      <c r="IN194" s="609"/>
      <c r="IO194" s="816"/>
      <c r="IP194" s="816"/>
      <c r="IQ194" s="816"/>
      <c r="IR194" s="816"/>
      <c r="IS194" s="816"/>
      <c r="IT194" s="816"/>
      <c r="IU194" s="821"/>
      <c r="IV194" s="609"/>
      <c r="IW194" s="816"/>
      <c r="IX194" s="816"/>
      <c r="IY194" s="822"/>
      <c r="IZ194" s="609"/>
      <c r="JA194" s="816"/>
      <c r="JB194" s="816"/>
      <c r="JC194" s="609"/>
      <c r="JD194" s="816"/>
      <c r="JE194" s="816"/>
      <c r="JF194" s="816"/>
      <c r="JG194" s="816"/>
      <c r="JH194" s="816"/>
      <c r="JI194" s="816"/>
      <c r="JJ194" s="816"/>
      <c r="JK194" s="816"/>
      <c r="JL194" s="816"/>
      <c r="JM194" s="816"/>
      <c r="JN194" s="816"/>
      <c r="JO194" s="823"/>
      <c r="JP194" s="824"/>
      <c r="JQ194" s="825"/>
      <c r="JR194" s="825"/>
      <c r="JS194" s="816"/>
      <c r="JU194" s="834"/>
      <c r="JV194" s="834"/>
      <c r="JW194" s="826"/>
      <c r="JX194" s="834"/>
    </row>
    <row r="195" spans="2:284" s="780" customFormat="1">
      <c r="B195" s="609"/>
      <c r="C195" s="609"/>
      <c r="D195" s="609"/>
      <c r="E195" s="609"/>
      <c r="F195" s="609"/>
      <c r="G195" s="609"/>
      <c r="H195" s="609"/>
      <c r="I195" s="609"/>
      <c r="J195" s="609"/>
      <c r="K195" s="609"/>
      <c r="L195" s="609"/>
      <c r="M195" s="609"/>
      <c r="N195" s="609"/>
      <c r="O195" s="609"/>
      <c r="P195" s="609"/>
      <c r="Q195" s="609"/>
      <c r="R195" s="609"/>
      <c r="S195" s="609"/>
      <c r="T195" s="609"/>
      <c r="U195" s="609"/>
      <c r="V195" s="609"/>
      <c r="W195" s="609"/>
      <c r="X195" s="609"/>
      <c r="Y195" s="609"/>
      <c r="Z195" s="609"/>
      <c r="AA195" s="609"/>
      <c r="AB195" s="609"/>
      <c r="AC195" s="609"/>
      <c r="AD195" s="816"/>
      <c r="AE195" s="816"/>
      <c r="AF195" s="816"/>
      <c r="AG195" s="816"/>
      <c r="AH195" s="816"/>
      <c r="AI195" s="816"/>
      <c r="AJ195" s="609"/>
      <c r="AK195" s="609"/>
      <c r="AL195" s="816"/>
      <c r="AM195" s="816"/>
      <c r="AN195" s="609"/>
      <c r="AO195" s="609"/>
      <c r="AP195" s="816"/>
      <c r="AQ195" s="816"/>
      <c r="AR195" s="816"/>
      <c r="AS195" s="816"/>
      <c r="AT195" s="816"/>
      <c r="AU195" s="816"/>
      <c r="AV195" s="609"/>
      <c r="AW195" s="609"/>
      <c r="AX195" s="816"/>
      <c r="AY195" s="816"/>
      <c r="AZ195" s="817"/>
      <c r="BA195" s="609"/>
      <c r="BB195" s="609"/>
      <c r="BC195" s="816"/>
      <c r="BD195" s="816"/>
      <c r="BE195" s="816"/>
      <c r="BF195" s="816"/>
      <c r="BG195" s="816"/>
      <c r="BH195" s="816"/>
      <c r="BI195" s="816"/>
      <c r="BJ195" s="816"/>
      <c r="BK195" s="816"/>
      <c r="BL195" s="816"/>
      <c r="BM195" s="816"/>
      <c r="BN195" s="816"/>
      <c r="BO195" s="816"/>
      <c r="BP195" s="816"/>
      <c r="BQ195" s="816"/>
      <c r="BR195" s="816"/>
      <c r="BS195" s="816"/>
      <c r="BT195" s="816"/>
      <c r="BU195" s="816"/>
      <c r="BV195" s="816"/>
      <c r="BW195" s="816"/>
      <c r="BX195" s="609"/>
      <c r="BY195" s="609"/>
      <c r="BZ195" s="609"/>
      <c r="CA195" s="818"/>
      <c r="CB195" s="816"/>
      <c r="CC195" s="816"/>
      <c r="CD195" s="816"/>
      <c r="CE195" s="816"/>
      <c r="CF195" s="816"/>
      <c r="CG195" s="816"/>
      <c r="CH195" s="816"/>
      <c r="CI195" s="816"/>
      <c r="CJ195" s="819"/>
      <c r="CK195" s="819"/>
      <c r="CL195" s="820"/>
      <c r="CM195" s="820"/>
      <c r="CN195" s="820"/>
      <c r="CO195" s="820"/>
      <c r="CP195" s="820"/>
      <c r="CQ195" s="820"/>
      <c r="CR195" s="609"/>
      <c r="CS195" s="609"/>
      <c r="CT195" s="816"/>
      <c r="CU195" s="816"/>
      <c r="CV195" s="609"/>
      <c r="CW195" s="609"/>
      <c r="CX195" s="816"/>
      <c r="CY195" s="816"/>
      <c r="CZ195" s="609"/>
      <c r="DA195" s="609"/>
      <c r="DB195" s="816"/>
      <c r="DC195" s="816"/>
      <c r="DD195" s="609"/>
      <c r="DE195" s="609"/>
      <c r="DF195" s="816"/>
      <c r="DG195" s="816"/>
      <c r="DH195" s="816"/>
      <c r="DI195" s="816"/>
      <c r="DJ195" s="816"/>
      <c r="DK195" s="816"/>
      <c r="DL195" s="609"/>
      <c r="DM195" s="609"/>
      <c r="DN195" s="816"/>
      <c r="DO195" s="816"/>
      <c r="DP195" s="609"/>
      <c r="DQ195" s="609"/>
      <c r="DR195" s="816"/>
      <c r="DS195" s="816"/>
      <c r="DT195" s="816"/>
      <c r="DU195" s="816"/>
      <c r="DV195" s="816"/>
      <c r="DW195" s="816"/>
      <c r="DX195" s="816"/>
      <c r="DY195" s="816"/>
      <c r="DZ195" s="816"/>
      <c r="EA195" s="816"/>
      <c r="EB195" s="816"/>
      <c r="EC195" s="816"/>
      <c r="ED195" s="816"/>
      <c r="EE195" s="816"/>
      <c r="EF195" s="609"/>
      <c r="EG195" s="609"/>
      <c r="EH195" s="816"/>
      <c r="EI195" s="816"/>
      <c r="EJ195" s="816"/>
      <c r="EK195" s="816"/>
      <c r="EL195" s="816"/>
      <c r="EM195" s="816"/>
      <c r="EN195" s="816"/>
      <c r="EO195" s="816"/>
      <c r="EP195" s="816"/>
      <c r="EQ195" s="816"/>
      <c r="ER195" s="816"/>
      <c r="ES195" s="816"/>
      <c r="ET195" s="816"/>
      <c r="EU195" s="816"/>
      <c r="EV195" s="609"/>
      <c r="EW195" s="609"/>
      <c r="EX195" s="816"/>
      <c r="EY195" s="816"/>
      <c r="EZ195" s="816"/>
      <c r="FA195" s="816"/>
      <c r="FB195" s="816"/>
      <c r="FC195" s="816"/>
      <c r="FD195" s="816"/>
      <c r="FE195" s="816"/>
      <c r="FF195" s="816"/>
      <c r="FG195" s="816"/>
      <c r="FH195" s="816"/>
      <c r="FI195" s="816"/>
      <c r="FJ195" s="816"/>
      <c r="FK195" s="816"/>
      <c r="FL195" s="816"/>
      <c r="FM195" s="816"/>
      <c r="FN195" s="816"/>
      <c r="FO195" s="816"/>
      <c r="FP195" s="816"/>
      <c r="FQ195" s="816"/>
      <c r="FR195" s="816"/>
      <c r="FS195" s="816"/>
      <c r="FT195" s="816"/>
      <c r="FU195" s="816"/>
      <c r="FV195" s="816"/>
      <c r="FW195" s="816"/>
      <c r="FX195" s="816"/>
      <c r="FY195" s="816"/>
      <c r="FZ195" s="819"/>
      <c r="GA195" s="816"/>
      <c r="GB195" s="820"/>
      <c r="GC195" s="820"/>
      <c r="GD195" s="820"/>
      <c r="GE195" s="820"/>
      <c r="GF195" s="609"/>
      <c r="GG195" s="609"/>
      <c r="GH195" s="816"/>
      <c r="GI195" s="816"/>
      <c r="GJ195" s="816"/>
      <c r="GK195" s="816"/>
      <c r="GL195" s="816"/>
      <c r="GM195" s="816"/>
      <c r="GN195" s="816"/>
      <c r="GO195" s="816"/>
      <c r="GP195" s="816"/>
      <c r="GQ195" s="816"/>
      <c r="GR195" s="816"/>
      <c r="GS195" s="816"/>
      <c r="GT195" s="818"/>
      <c r="GU195" s="816"/>
      <c r="GV195" s="816"/>
      <c r="GW195" s="816"/>
      <c r="GX195" s="816"/>
      <c r="GY195" s="816"/>
      <c r="GZ195" s="816"/>
      <c r="HA195" s="816"/>
      <c r="HB195" s="609"/>
      <c r="HC195" s="609"/>
      <c r="HD195" s="816"/>
      <c r="HE195" s="816"/>
      <c r="HF195" s="816"/>
      <c r="HG195" s="816"/>
      <c r="HH195" s="816"/>
      <c r="HI195" s="816"/>
      <c r="HJ195" s="609"/>
      <c r="HK195" s="609"/>
      <c r="HL195" s="609"/>
      <c r="HM195" s="816"/>
      <c r="HN195" s="816"/>
      <c r="HO195" s="609"/>
      <c r="HP195" s="609"/>
      <c r="HQ195" s="816"/>
      <c r="HR195" s="816"/>
      <c r="HS195" s="816"/>
      <c r="HT195" s="816"/>
      <c r="HU195" s="816"/>
      <c r="HV195" s="816"/>
      <c r="HW195" s="609"/>
      <c r="HX195" s="609"/>
      <c r="HY195" s="816"/>
      <c r="HZ195" s="816"/>
      <c r="IA195" s="816"/>
      <c r="IB195" s="816"/>
      <c r="IC195" s="816"/>
      <c r="ID195" s="816"/>
      <c r="IE195" s="609"/>
      <c r="IF195" s="609"/>
      <c r="IG195" s="816"/>
      <c r="IH195" s="816"/>
      <c r="II195" s="609"/>
      <c r="IJ195" s="609"/>
      <c r="IK195" s="816"/>
      <c r="IL195" s="816"/>
      <c r="IM195" s="609"/>
      <c r="IN195" s="609"/>
      <c r="IO195" s="816"/>
      <c r="IP195" s="816"/>
      <c r="IQ195" s="816"/>
      <c r="IR195" s="816"/>
      <c r="IS195" s="816"/>
      <c r="IT195" s="816"/>
      <c r="IU195" s="821"/>
      <c r="IV195" s="609"/>
      <c r="IW195" s="816"/>
      <c r="IX195" s="816"/>
      <c r="IY195" s="822"/>
      <c r="IZ195" s="609"/>
      <c r="JA195" s="816"/>
      <c r="JB195" s="816"/>
      <c r="JC195" s="609"/>
      <c r="JD195" s="816"/>
      <c r="JE195" s="816"/>
      <c r="JF195" s="816"/>
      <c r="JG195" s="816"/>
      <c r="JH195" s="816"/>
      <c r="JI195" s="816"/>
      <c r="JJ195" s="816"/>
      <c r="JK195" s="816"/>
      <c r="JL195" s="816"/>
      <c r="JM195" s="816"/>
      <c r="JN195" s="816"/>
      <c r="JO195" s="823"/>
      <c r="JP195" s="824"/>
      <c r="JQ195" s="825"/>
      <c r="JR195" s="825"/>
      <c r="JS195" s="816"/>
      <c r="JU195" s="834"/>
      <c r="JV195" s="834"/>
      <c r="JW195" s="826"/>
      <c r="JX195" s="834"/>
    </row>
    <row r="196" spans="2:284" s="780" customFormat="1">
      <c r="B196" s="609"/>
      <c r="C196" s="609"/>
      <c r="D196" s="609"/>
      <c r="E196" s="609"/>
      <c r="F196" s="609"/>
      <c r="G196" s="609"/>
      <c r="H196" s="609"/>
      <c r="I196" s="609"/>
      <c r="J196" s="609"/>
      <c r="K196" s="609"/>
      <c r="L196" s="609"/>
      <c r="M196" s="609"/>
      <c r="N196" s="609"/>
      <c r="O196" s="609"/>
      <c r="P196" s="609"/>
      <c r="Q196" s="609"/>
      <c r="R196" s="609"/>
      <c r="S196" s="609"/>
      <c r="T196" s="609"/>
      <c r="U196" s="609"/>
      <c r="V196" s="609"/>
      <c r="W196" s="609"/>
      <c r="X196" s="609"/>
      <c r="Y196" s="609"/>
      <c r="Z196" s="609"/>
      <c r="AA196" s="609"/>
      <c r="AB196" s="609"/>
      <c r="AC196" s="609"/>
      <c r="AD196" s="816"/>
      <c r="AE196" s="816"/>
      <c r="AF196" s="816"/>
      <c r="AG196" s="816"/>
      <c r="AH196" s="816"/>
      <c r="AI196" s="816"/>
      <c r="AJ196" s="609"/>
      <c r="AK196" s="609"/>
      <c r="AL196" s="816"/>
      <c r="AM196" s="816"/>
      <c r="AN196" s="609"/>
      <c r="AO196" s="609"/>
      <c r="AP196" s="816"/>
      <c r="AQ196" s="816"/>
      <c r="AR196" s="816"/>
      <c r="AS196" s="816"/>
      <c r="AT196" s="816"/>
      <c r="AU196" s="816"/>
      <c r="AV196" s="609"/>
      <c r="AW196" s="609"/>
      <c r="AX196" s="816"/>
      <c r="AY196" s="816"/>
      <c r="AZ196" s="817"/>
      <c r="BA196" s="609"/>
      <c r="BB196" s="609"/>
      <c r="BC196" s="816"/>
      <c r="BD196" s="816"/>
      <c r="BE196" s="816"/>
      <c r="BF196" s="816"/>
      <c r="BG196" s="816"/>
      <c r="BH196" s="816"/>
      <c r="BI196" s="816"/>
      <c r="BJ196" s="816"/>
      <c r="BK196" s="816"/>
      <c r="BL196" s="816"/>
      <c r="BM196" s="816"/>
      <c r="BN196" s="816"/>
      <c r="BO196" s="816"/>
      <c r="BP196" s="816"/>
      <c r="BQ196" s="816"/>
      <c r="BR196" s="816"/>
      <c r="BS196" s="816"/>
      <c r="BT196" s="816"/>
      <c r="BU196" s="816"/>
      <c r="BV196" s="816"/>
      <c r="BW196" s="816"/>
      <c r="BX196" s="609"/>
      <c r="BY196" s="609"/>
      <c r="BZ196" s="609"/>
      <c r="CA196" s="818"/>
      <c r="CB196" s="816"/>
      <c r="CC196" s="816"/>
      <c r="CD196" s="816"/>
      <c r="CE196" s="816"/>
      <c r="CF196" s="816"/>
      <c r="CG196" s="816"/>
      <c r="CH196" s="816"/>
      <c r="CI196" s="816"/>
      <c r="CJ196" s="819"/>
      <c r="CK196" s="819"/>
      <c r="CL196" s="820"/>
      <c r="CM196" s="820"/>
      <c r="CN196" s="820"/>
      <c r="CO196" s="820"/>
      <c r="CP196" s="820"/>
      <c r="CQ196" s="820"/>
      <c r="CR196" s="609"/>
      <c r="CS196" s="609"/>
      <c r="CT196" s="816"/>
      <c r="CU196" s="816"/>
      <c r="CV196" s="609"/>
      <c r="CW196" s="609"/>
      <c r="CX196" s="816"/>
      <c r="CY196" s="816"/>
      <c r="CZ196" s="609"/>
      <c r="DA196" s="609"/>
      <c r="DB196" s="816"/>
      <c r="DC196" s="816"/>
      <c r="DD196" s="609"/>
      <c r="DE196" s="609"/>
      <c r="DF196" s="816"/>
      <c r="DG196" s="816"/>
      <c r="DH196" s="816"/>
      <c r="DI196" s="816"/>
      <c r="DJ196" s="816"/>
      <c r="DK196" s="816"/>
      <c r="DL196" s="609"/>
      <c r="DM196" s="609"/>
      <c r="DN196" s="816"/>
      <c r="DO196" s="816"/>
      <c r="DP196" s="609"/>
      <c r="DQ196" s="609"/>
      <c r="DR196" s="816"/>
      <c r="DS196" s="816"/>
      <c r="DT196" s="816"/>
      <c r="DU196" s="816"/>
      <c r="DV196" s="816"/>
      <c r="DW196" s="816"/>
      <c r="DX196" s="816"/>
      <c r="DY196" s="816"/>
      <c r="DZ196" s="816"/>
      <c r="EA196" s="816"/>
      <c r="EB196" s="816"/>
      <c r="EC196" s="816"/>
      <c r="ED196" s="816"/>
      <c r="EE196" s="816"/>
      <c r="EF196" s="609"/>
      <c r="EG196" s="609"/>
      <c r="EH196" s="816"/>
      <c r="EI196" s="816"/>
      <c r="EJ196" s="816"/>
      <c r="EK196" s="816"/>
      <c r="EL196" s="816"/>
      <c r="EM196" s="816"/>
      <c r="EN196" s="816"/>
      <c r="EO196" s="816"/>
      <c r="EP196" s="816"/>
      <c r="EQ196" s="816"/>
      <c r="ER196" s="816"/>
      <c r="ES196" s="816"/>
      <c r="ET196" s="816"/>
      <c r="EU196" s="816"/>
      <c r="EV196" s="609"/>
      <c r="EW196" s="609"/>
      <c r="EX196" s="816"/>
      <c r="EY196" s="816"/>
      <c r="EZ196" s="816"/>
      <c r="FA196" s="816"/>
      <c r="FB196" s="816"/>
      <c r="FC196" s="816"/>
      <c r="FD196" s="816"/>
      <c r="FE196" s="816"/>
      <c r="FF196" s="816"/>
      <c r="FG196" s="816"/>
      <c r="FH196" s="816"/>
      <c r="FI196" s="816"/>
      <c r="FJ196" s="816"/>
      <c r="FK196" s="816"/>
      <c r="FL196" s="816"/>
      <c r="FM196" s="816"/>
      <c r="FN196" s="816"/>
      <c r="FO196" s="816"/>
      <c r="FP196" s="816"/>
      <c r="FQ196" s="816"/>
      <c r="FR196" s="816"/>
      <c r="FS196" s="816"/>
      <c r="FT196" s="816"/>
      <c r="FU196" s="816"/>
      <c r="FV196" s="816"/>
      <c r="FW196" s="816"/>
      <c r="FX196" s="816"/>
      <c r="FY196" s="816"/>
      <c r="FZ196" s="819"/>
      <c r="GA196" s="816"/>
      <c r="GB196" s="820"/>
      <c r="GC196" s="820"/>
      <c r="GD196" s="820"/>
      <c r="GE196" s="820"/>
      <c r="GF196" s="609"/>
      <c r="GG196" s="609"/>
      <c r="GH196" s="816"/>
      <c r="GI196" s="816"/>
      <c r="GJ196" s="816"/>
      <c r="GK196" s="816"/>
      <c r="GL196" s="816"/>
      <c r="GM196" s="816"/>
      <c r="GN196" s="816"/>
      <c r="GO196" s="816"/>
      <c r="GP196" s="816"/>
      <c r="GQ196" s="816"/>
      <c r="GR196" s="816"/>
      <c r="GS196" s="816"/>
      <c r="GT196" s="818"/>
      <c r="GU196" s="816"/>
      <c r="GV196" s="816"/>
      <c r="GW196" s="816"/>
      <c r="GX196" s="816"/>
      <c r="GY196" s="816"/>
      <c r="GZ196" s="816"/>
      <c r="HA196" s="816"/>
      <c r="HB196" s="609"/>
      <c r="HC196" s="609"/>
      <c r="HD196" s="816"/>
      <c r="HE196" s="816"/>
      <c r="HF196" s="816"/>
      <c r="HG196" s="816"/>
      <c r="HH196" s="816"/>
      <c r="HI196" s="816"/>
      <c r="HJ196" s="609"/>
      <c r="HK196" s="609"/>
      <c r="HL196" s="609"/>
      <c r="HM196" s="816"/>
      <c r="HN196" s="816"/>
      <c r="HO196" s="609"/>
      <c r="HP196" s="609"/>
      <c r="HQ196" s="816"/>
      <c r="HR196" s="816"/>
      <c r="HS196" s="816"/>
      <c r="HT196" s="816"/>
      <c r="HU196" s="816"/>
      <c r="HV196" s="816"/>
      <c r="HW196" s="609"/>
      <c r="HX196" s="609"/>
      <c r="HY196" s="816"/>
      <c r="HZ196" s="816"/>
      <c r="IA196" s="816"/>
      <c r="IB196" s="816"/>
      <c r="IC196" s="816"/>
      <c r="ID196" s="816"/>
      <c r="IE196" s="609"/>
      <c r="IF196" s="609"/>
      <c r="IG196" s="816"/>
      <c r="IH196" s="816"/>
      <c r="II196" s="609"/>
      <c r="IJ196" s="609"/>
      <c r="IK196" s="816"/>
      <c r="IL196" s="816"/>
      <c r="IM196" s="609"/>
      <c r="IN196" s="609"/>
      <c r="IO196" s="816"/>
      <c r="IP196" s="816"/>
      <c r="IQ196" s="816"/>
      <c r="IR196" s="816"/>
      <c r="IS196" s="816"/>
      <c r="IT196" s="816"/>
      <c r="IU196" s="821"/>
      <c r="IV196" s="609"/>
      <c r="IW196" s="816"/>
      <c r="IX196" s="816"/>
      <c r="IY196" s="822"/>
      <c r="IZ196" s="609"/>
      <c r="JA196" s="816"/>
      <c r="JB196" s="816"/>
      <c r="JC196" s="609"/>
      <c r="JD196" s="816"/>
      <c r="JE196" s="816"/>
      <c r="JF196" s="816"/>
      <c r="JG196" s="816"/>
      <c r="JH196" s="816"/>
      <c r="JI196" s="816"/>
      <c r="JJ196" s="816"/>
      <c r="JK196" s="816"/>
      <c r="JL196" s="816"/>
      <c r="JM196" s="816"/>
      <c r="JN196" s="816"/>
      <c r="JO196" s="823"/>
      <c r="JP196" s="824"/>
      <c r="JQ196" s="825"/>
      <c r="JR196" s="825"/>
      <c r="JS196" s="816"/>
      <c r="JU196" s="834"/>
      <c r="JV196" s="834"/>
      <c r="JW196" s="826"/>
      <c r="JX196" s="834"/>
    </row>
    <row r="197" spans="2:284" s="780" customFormat="1">
      <c r="B197" s="609"/>
      <c r="C197" s="609"/>
      <c r="D197" s="609"/>
      <c r="E197" s="609"/>
      <c r="F197" s="609"/>
      <c r="G197" s="609"/>
      <c r="H197" s="609"/>
      <c r="I197" s="609"/>
      <c r="J197" s="609"/>
      <c r="K197" s="609"/>
      <c r="L197" s="609"/>
      <c r="M197" s="609"/>
      <c r="N197" s="609"/>
      <c r="O197" s="609"/>
      <c r="P197" s="609"/>
      <c r="Q197" s="609"/>
      <c r="R197" s="609"/>
      <c r="S197" s="609"/>
      <c r="T197" s="609"/>
      <c r="U197" s="609"/>
      <c r="V197" s="609"/>
      <c r="W197" s="609"/>
      <c r="X197" s="609"/>
      <c r="Y197" s="609"/>
      <c r="Z197" s="609"/>
      <c r="AA197" s="609"/>
      <c r="AB197" s="609"/>
      <c r="AC197" s="609"/>
      <c r="AD197" s="816"/>
      <c r="AE197" s="816"/>
      <c r="AF197" s="816"/>
      <c r="AG197" s="816"/>
      <c r="AH197" s="816"/>
      <c r="AI197" s="816"/>
      <c r="AJ197" s="609"/>
      <c r="AK197" s="609"/>
      <c r="AL197" s="816"/>
      <c r="AM197" s="816"/>
      <c r="AN197" s="609"/>
      <c r="AO197" s="609"/>
      <c r="AP197" s="816"/>
      <c r="AQ197" s="816"/>
      <c r="AR197" s="816"/>
      <c r="AS197" s="816"/>
      <c r="AT197" s="816"/>
      <c r="AU197" s="816"/>
      <c r="AV197" s="609"/>
      <c r="AW197" s="609"/>
      <c r="AX197" s="816"/>
      <c r="AY197" s="816"/>
      <c r="AZ197" s="817"/>
      <c r="BA197" s="609"/>
      <c r="BB197" s="609"/>
      <c r="BC197" s="816"/>
      <c r="BD197" s="816"/>
      <c r="BE197" s="816"/>
      <c r="BF197" s="816"/>
      <c r="BG197" s="816"/>
      <c r="BH197" s="816"/>
      <c r="BI197" s="816"/>
      <c r="BJ197" s="816"/>
      <c r="BK197" s="816"/>
      <c r="BL197" s="816"/>
      <c r="BM197" s="816"/>
      <c r="BN197" s="816"/>
      <c r="BO197" s="816"/>
      <c r="BP197" s="816"/>
      <c r="BQ197" s="816"/>
      <c r="BR197" s="816"/>
      <c r="BS197" s="816"/>
      <c r="BT197" s="816"/>
      <c r="BU197" s="816"/>
      <c r="BV197" s="816"/>
      <c r="BW197" s="816"/>
      <c r="BX197" s="609"/>
      <c r="BY197" s="609"/>
      <c r="BZ197" s="609"/>
      <c r="CA197" s="818"/>
      <c r="CB197" s="816"/>
      <c r="CC197" s="816"/>
      <c r="CD197" s="816"/>
      <c r="CE197" s="816"/>
      <c r="CF197" s="816"/>
      <c r="CG197" s="816"/>
      <c r="CH197" s="816"/>
      <c r="CI197" s="816"/>
      <c r="CJ197" s="819"/>
      <c r="CK197" s="819"/>
      <c r="CL197" s="820"/>
      <c r="CM197" s="820"/>
      <c r="CN197" s="820"/>
      <c r="CO197" s="820"/>
      <c r="CP197" s="820"/>
      <c r="CQ197" s="820"/>
      <c r="CR197" s="609"/>
      <c r="CS197" s="609"/>
      <c r="CT197" s="816"/>
      <c r="CU197" s="816"/>
      <c r="CV197" s="609"/>
      <c r="CW197" s="609"/>
      <c r="CX197" s="816"/>
      <c r="CY197" s="816"/>
      <c r="CZ197" s="609"/>
      <c r="DA197" s="609"/>
      <c r="DB197" s="816"/>
      <c r="DC197" s="816"/>
      <c r="DD197" s="609"/>
      <c r="DE197" s="609"/>
      <c r="DF197" s="816"/>
      <c r="DG197" s="816"/>
      <c r="DH197" s="816"/>
      <c r="DI197" s="816"/>
      <c r="DJ197" s="816"/>
      <c r="DK197" s="816"/>
      <c r="DL197" s="609"/>
      <c r="DM197" s="609"/>
      <c r="DN197" s="816"/>
      <c r="DO197" s="816"/>
      <c r="DP197" s="609"/>
      <c r="DQ197" s="609"/>
      <c r="DR197" s="816"/>
      <c r="DS197" s="816"/>
      <c r="DT197" s="816"/>
      <c r="DU197" s="816"/>
      <c r="DV197" s="816"/>
      <c r="DW197" s="816"/>
      <c r="DX197" s="816"/>
      <c r="DY197" s="816"/>
      <c r="DZ197" s="816"/>
      <c r="EA197" s="816"/>
      <c r="EB197" s="816"/>
      <c r="EC197" s="816"/>
      <c r="ED197" s="816"/>
      <c r="EE197" s="816"/>
      <c r="EF197" s="609"/>
      <c r="EG197" s="609"/>
      <c r="EH197" s="816"/>
      <c r="EI197" s="816"/>
      <c r="EJ197" s="816"/>
      <c r="EK197" s="816"/>
      <c r="EL197" s="816"/>
      <c r="EM197" s="816"/>
      <c r="EN197" s="816"/>
      <c r="EO197" s="816"/>
      <c r="EP197" s="816"/>
      <c r="EQ197" s="816"/>
      <c r="ER197" s="816"/>
      <c r="ES197" s="816"/>
      <c r="ET197" s="816"/>
      <c r="EU197" s="816"/>
      <c r="EV197" s="609"/>
      <c r="EW197" s="609"/>
      <c r="EX197" s="816"/>
      <c r="EY197" s="816"/>
      <c r="EZ197" s="816"/>
      <c r="FA197" s="816"/>
      <c r="FB197" s="816"/>
      <c r="FC197" s="816"/>
      <c r="FD197" s="816"/>
      <c r="FE197" s="816"/>
      <c r="FF197" s="816"/>
      <c r="FG197" s="816"/>
      <c r="FH197" s="816"/>
      <c r="FI197" s="816"/>
      <c r="FJ197" s="816"/>
      <c r="FK197" s="816"/>
      <c r="FL197" s="816"/>
      <c r="FM197" s="816"/>
      <c r="FN197" s="816"/>
      <c r="FO197" s="816"/>
      <c r="FP197" s="816"/>
      <c r="FQ197" s="816"/>
      <c r="FR197" s="816"/>
      <c r="FS197" s="816"/>
      <c r="FT197" s="816"/>
      <c r="FU197" s="816"/>
      <c r="FV197" s="816"/>
      <c r="FW197" s="816"/>
      <c r="FX197" s="816"/>
      <c r="FY197" s="816"/>
      <c r="FZ197" s="819"/>
      <c r="GA197" s="816"/>
      <c r="GB197" s="820"/>
      <c r="GC197" s="820"/>
      <c r="GD197" s="820"/>
      <c r="GE197" s="820"/>
      <c r="GF197" s="609"/>
      <c r="GG197" s="609"/>
      <c r="GH197" s="816"/>
      <c r="GI197" s="816"/>
      <c r="GJ197" s="816"/>
      <c r="GK197" s="816"/>
      <c r="GL197" s="816"/>
      <c r="GM197" s="816"/>
      <c r="GN197" s="816"/>
      <c r="GO197" s="816"/>
      <c r="GP197" s="816"/>
      <c r="GQ197" s="816"/>
      <c r="GR197" s="816"/>
      <c r="GS197" s="816"/>
      <c r="GT197" s="818"/>
      <c r="GU197" s="816"/>
      <c r="GV197" s="816"/>
      <c r="GW197" s="816"/>
      <c r="GX197" s="816"/>
      <c r="GY197" s="816"/>
      <c r="GZ197" s="816"/>
      <c r="HA197" s="816"/>
      <c r="HB197" s="609"/>
      <c r="HC197" s="609"/>
      <c r="HD197" s="816"/>
      <c r="HE197" s="816"/>
      <c r="HF197" s="816"/>
      <c r="HG197" s="816"/>
      <c r="HH197" s="816"/>
      <c r="HI197" s="816"/>
      <c r="HJ197" s="609"/>
      <c r="HK197" s="609"/>
      <c r="HL197" s="609"/>
      <c r="HM197" s="816"/>
      <c r="HN197" s="816"/>
      <c r="HO197" s="609"/>
      <c r="HP197" s="609"/>
      <c r="HQ197" s="816"/>
      <c r="HR197" s="816"/>
      <c r="HS197" s="816"/>
      <c r="HT197" s="816"/>
      <c r="HU197" s="816"/>
      <c r="HV197" s="816"/>
      <c r="HW197" s="609"/>
      <c r="HX197" s="609"/>
      <c r="HY197" s="816"/>
      <c r="HZ197" s="816"/>
      <c r="IA197" s="816"/>
      <c r="IB197" s="816"/>
      <c r="IC197" s="816"/>
      <c r="ID197" s="816"/>
      <c r="IE197" s="609"/>
      <c r="IF197" s="609"/>
      <c r="IG197" s="816"/>
      <c r="IH197" s="816"/>
      <c r="II197" s="609"/>
      <c r="IJ197" s="609"/>
      <c r="IK197" s="816"/>
      <c r="IL197" s="816"/>
      <c r="IM197" s="609"/>
      <c r="IN197" s="609"/>
      <c r="IO197" s="816"/>
      <c r="IP197" s="816"/>
      <c r="IQ197" s="816"/>
      <c r="IR197" s="816"/>
      <c r="IS197" s="816"/>
      <c r="IT197" s="816"/>
      <c r="IU197" s="821"/>
      <c r="IV197" s="609"/>
      <c r="IW197" s="816"/>
      <c r="IX197" s="816"/>
      <c r="IY197" s="822"/>
      <c r="IZ197" s="609"/>
      <c r="JA197" s="816"/>
      <c r="JB197" s="816"/>
      <c r="JC197" s="609"/>
      <c r="JD197" s="816"/>
      <c r="JE197" s="816"/>
      <c r="JF197" s="816"/>
      <c r="JG197" s="816"/>
      <c r="JH197" s="816"/>
      <c r="JI197" s="816"/>
      <c r="JJ197" s="816"/>
      <c r="JK197" s="816"/>
      <c r="JL197" s="816"/>
      <c r="JM197" s="816"/>
      <c r="JN197" s="816"/>
      <c r="JO197" s="823"/>
      <c r="JP197" s="824"/>
      <c r="JQ197" s="825"/>
      <c r="JR197" s="825"/>
      <c r="JS197" s="816"/>
      <c r="JU197" s="834"/>
      <c r="JV197" s="834"/>
      <c r="JW197" s="826"/>
      <c r="JX197" s="834"/>
    </row>
    <row r="198" spans="2:284" s="780" customFormat="1">
      <c r="B198" s="609"/>
      <c r="C198" s="609"/>
      <c r="D198" s="609"/>
      <c r="E198" s="609"/>
      <c r="F198" s="609"/>
      <c r="G198" s="609"/>
      <c r="H198" s="609"/>
      <c r="I198" s="609"/>
      <c r="J198" s="609"/>
      <c r="K198" s="609"/>
      <c r="L198" s="609"/>
      <c r="M198" s="609"/>
      <c r="N198" s="609"/>
      <c r="O198" s="609"/>
      <c r="P198" s="609"/>
      <c r="Q198" s="609"/>
      <c r="R198" s="609"/>
      <c r="S198" s="609"/>
      <c r="T198" s="609"/>
      <c r="U198" s="609"/>
      <c r="V198" s="609"/>
      <c r="W198" s="609"/>
      <c r="X198" s="609"/>
      <c r="Y198" s="609"/>
      <c r="Z198" s="609"/>
      <c r="AA198" s="609"/>
      <c r="AB198" s="609"/>
      <c r="AC198" s="609"/>
      <c r="AD198" s="816"/>
      <c r="AE198" s="816"/>
      <c r="AF198" s="816"/>
      <c r="AG198" s="816"/>
      <c r="AH198" s="816"/>
      <c r="AI198" s="816"/>
      <c r="AJ198" s="609"/>
      <c r="AK198" s="609"/>
      <c r="AL198" s="816"/>
      <c r="AM198" s="816"/>
      <c r="AN198" s="609"/>
      <c r="AO198" s="609"/>
      <c r="AP198" s="816"/>
      <c r="AQ198" s="816"/>
      <c r="AR198" s="816"/>
      <c r="AS198" s="816"/>
      <c r="AT198" s="816"/>
      <c r="AU198" s="816"/>
      <c r="AV198" s="609"/>
      <c r="AW198" s="609"/>
      <c r="AX198" s="816"/>
      <c r="AY198" s="816"/>
      <c r="AZ198" s="817"/>
      <c r="BA198" s="609"/>
      <c r="BB198" s="609"/>
      <c r="BC198" s="816"/>
      <c r="BD198" s="816"/>
      <c r="BE198" s="816"/>
      <c r="BF198" s="816"/>
      <c r="BG198" s="816"/>
      <c r="BH198" s="816"/>
      <c r="BI198" s="816"/>
      <c r="BJ198" s="816"/>
      <c r="BK198" s="816"/>
      <c r="BL198" s="816"/>
      <c r="BM198" s="816"/>
      <c r="BN198" s="816"/>
      <c r="BO198" s="816"/>
      <c r="BP198" s="816"/>
      <c r="BQ198" s="816"/>
      <c r="BR198" s="816"/>
      <c r="BS198" s="816"/>
      <c r="BT198" s="816"/>
      <c r="BU198" s="816"/>
      <c r="BV198" s="816"/>
      <c r="BW198" s="816"/>
      <c r="BX198" s="609"/>
      <c r="BY198" s="609"/>
      <c r="BZ198" s="609"/>
      <c r="CA198" s="818"/>
      <c r="CB198" s="816"/>
      <c r="CC198" s="816"/>
      <c r="CD198" s="816"/>
      <c r="CE198" s="816"/>
      <c r="CF198" s="816"/>
      <c r="CG198" s="816"/>
      <c r="CH198" s="816"/>
      <c r="CI198" s="816"/>
      <c r="CJ198" s="819"/>
      <c r="CK198" s="819"/>
      <c r="CL198" s="820"/>
      <c r="CM198" s="820"/>
      <c r="CN198" s="820"/>
      <c r="CO198" s="820"/>
      <c r="CP198" s="820"/>
      <c r="CQ198" s="820"/>
      <c r="CR198" s="609"/>
      <c r="CS198" s="609"/>
      <c r="CT198" s="816"/>
      <c r="CU198" s="816"/>
      <c r="CV198" s="609"/>
      <c r="CW198" s="609"/>
      <c r="CX198" s="816"/>
      <c r="CY198" s="816"/>
      <c r="CZ198" s="609"/>
      <c r="DA198" s="609"/>
      <c r="DB198" s="816"/>
      <c r="DC198" s="816"/>
      <c r="DD198" s="609"/>
      <c r="DE198" s="609"/>
      <c r="DF198" s="816"/>
      <c r="DG198" s="816"/>
      <c r="DH198" s="816"/>
      <c r="DI198" s="816"/>
      <c r="DJ198" s="816"/>
      <c r="DK198" s="816"/>
      <c r="DL198" s="609"/>
      <c r="DM198" s="609"/>
      <c r="DN198" s="816"/>
      <c r="DO198" s="816"/>
      <c r="DP198" s="609"/>
      <c r="DQ198" s="609"/>
      <c r="DR198" s="816"/>
      <c r="DS198" s="816"/>
      <c r="DT198" s="816"/>
      <c r="DU198" s="816"/>
      <c r="DV198" s="816"/>
      <c r="DW198" s="816"/>
      <c r="DX198" s="816"/>
      <c r="DY198" s="816"/>
      <c r="DZ198" s="816"/>
      <c r="EA198" s="816"/>
      <c r="EB198" s="816"/>
      <c r="EC198" s="816"/>
      <c r="ED198" s="816"/>
      <c r="EE198" s="816"/>
      <c r="EF198" s="609"/>
      <c r="EG198" s="609"/>
      <c r="EH198" s="816"/>
      <c r="EI198" s="816"/>
      <c r="EJ198" s="816"/>
      <c r="EK198" s="816"/>
      <c r="EL198" s="816"/>
      <c r="EM198" s="816"/>
      <c r="EN198" s="816"/>
      <c r="EO198" s="816"/>
      <c r="EP198" s="816"/>
      <c r="EQ198" s="816"/>
      <c r="ER198" s="816"/>
      <c r="ES198" s="816"/>
      <c r="ET198" s="816"/>
      <c r="EU198" s="816"/>
      <c r="EV198" s="609"/>
      <c r="EW198" s="609"/>
      <c r="EX198" s="816"/>
      <c r="EY198" s="816"/>
      <c r="EZ198" s="816"/>
      <c r="FA198" s="816"/>
      <c r="FB198" s="816"/>
      <c r="FC198" s="816"/>
      <c r="FD198" s="816"/>
      <c r="FE198" s="816"/>
      <c r="FF198" s="816"/>
      <c r="FG198" s="816"/>
      <c r="FH198" s="816"/>
      <c r="FI198" s="816"/>
      <c r="FJ198" s="816"/>
      <c r="FK198" s="816"/>
      <c r="FL198" s="816"/>
      <c r="FM198" s="816"/>
      <c r="FN198" s="816"/>
      <c r="FO198" s="816"/>
      <c r="FP198" s="816"/>
      <c r="FQ198" s="816"/>
      <c r="FR198" s="816"/>
      <c r="FS198" s="816"/>
      <c r="FT198" s="816"/>
      <c r="FU198" s="816"/>
      <c r="FV198" s="816"/>
      <c r="FW198" s="816"/>
      <c r="FX198" s="816"/>
      <c r="FY198" s="816"/>
      <c r="FZ198" s="819"/>
      <c r="GA198" s="816"/>
      <c r="GB198" s="820"/>
      <c r="GC198" s="820"/>
      <c r="GD198" s="820"/>
      <c r="GE198" s="820"/>
      <c r="GF198" s="609"/>
      <c r="GG198" s="609"/>
      <c r="GH198" s="816"/>
      <c r="GI198" s="816"/>
      <c r="GJ198" s="816"/>
      <c r="GK198" s="816"/>
      <c r="GL198" s="816"/>
      <c r="GM198" s="816"/>
      <c r="GN198" s="816"/>
      <c r="GO198" s="816"/>
      <c r="GP198" s="816"/>
      <c r="GQ198" s="816"/>
      <c r="GR198" s="816"/>
      <c r="GS198" s="816"/>
      <c r="GT198" s="818"/>
      <c r="GU198" s="816"/>
      <c r="GV198" s="816"/>
      <c r="GW198" s="816"/>
      <c r="GX198" s="816"/>
      <c r="GY198" s="816"/>
      <c r="GZ198" s="816"/>
      <c r="HA198" s="816"/>
      <c r="HB198" s="609"/>
      <c r="HC198" s="609"/>
      <c r="HD198" s="816"/>
      <c r="HE198" s="816"/>
      <c r="HF198" s="816"/>
      <c r="HG198" s="816"/>
      <c r="HH198" s="816"/>
      <c r="HI198" s="816"/>
      <c r="HJ198" s="609"/>
      <c r="HK198" s="609"/>
      <c r="HL198" s="609"/>
      <c r="HM198" s="816"/>
      <c r="HN198" s="816"/>
      <c r="HO198" s="609"/>
      <c r="HP198" s="609"/>
      <c r="HQ198" s="816"/>
      <c r="HR198" s="816"/>
      <c r="HS198" s="816"/>
      <c r="HT198" s="816"/>
      <c r="HU198" s="816"/>
      <c r="HV198" s="816"/>
      <c r="HW198" s="609"/>
      <c r="HX198" s="609"/>
      <c r="HY198" s="816"/>
      <c r="HZ198" s="816"/>
      <c r="IA198" s="816"/>
      <c r="IB198" s="816"/>
      <c r="IC198" s="816"/>
      <c r="ID198" s="816"/>
      <c r="IE198" s="609"/>
      <c r="IF198" s="609"/>
      <c r="IG198" s="816"/>
      <c r="IH198" s="816"/>
      <c r="II198" s="609"/>
      <c r="IJ198" s="609"/>
      <c r="IK198" s="816"/>
      <c r="IL198" s="816"/>
      <c r="IM198" s="609"/>
      <c r="IN198" s="609"/>
      <c r="IO198" s="816"/>
      <c r="IP198" s="816"/>
      <c r="IQ198" s="816"/>
      <c r="IR198" s="816"/>
      <c r="IS198" s="816"/>
      <c r="IT198" s="816"/>
      <c r="IU198" s="821"/>
      <c r="IV198" s="609"/>
      <c r="IW198" s="816"/>
      <c r="IX198" s="816"/>
      <c r="IY198" s="822"/>
      <c r="IZ198" s="609"/>
      <c r="JA198" s="816"/>
      <c r="JB198" s="816"/>
      <c r="JC198" s="609"/>
      <c r="JD198" s="816"/>
      <c r="JE198" s="816"/>
      <c r="JF198" s="816"/>
      <c r="JG198" s="816"/>
      <c r="JH198" s="816"/>
      <c r="JI198" s="816"/>
      <c r="JJ198" s="816"/>
      <c r="JK198" s="816"/>
      <c r="JL198" s="816"/>
      <c r="JM198" s="816"/>
      <c r="JN198" s="816"/>
      <c r="JO198" s="823"/>
      <c r="JP198" s="824"/>
      <c r="JQ198" s="825"/>
      <c r="JR198" s="825"/>
      <c r="JS198" s="816"/>
      <c r="JU198" s="834"/>
      <c r="JV198" s="834"/>
      <c r="JW198" s="826"/>
      <c r="JX198" s="834"/>
    </row>
    <row r="199" spans="2:284" s="780" customFormat="1">
      <c r="B199" s="609"/>
      <c r="C199" s="609"/>
      <c r="D199" s="609"/>
      <c r="E199" s="609"/>
      <c r="F199" s="609"/>
      <c r="G199" s="609"/>
      <c r="H199" s="609"/>
      <c r="I199" s="609"/>
      <c r="J199" s="609"/>
      <c r="K199" s="609"/>
      <c r="L199" s="609"/>
      <c r="M199" s="609"/>
      <c r="N199" s="609"/>
      <c r="O199" s="609"/>
      <c r="P199" s="609"/>
      <c r="Q199" s="609"/>
      <c r="R199" s="609"/>
      <c r="S199" s="609"/>
      <c r="T199" s="609"/>
      <c r="U199" s="609"/>
      <c r="V199" s="609"/>
      <c r="W199" s="609"/>
      <c r="X199" s="609"/>
      <c r="Y199" s="609"/>
      <c r="Z199" s="609"/>
      <c r="AA199" s="609"/>
      <c r="AB199" s="609"/>
      <c r="AC199" s="609"/>
      <c r="AD199" s="816"/>
      <c r="AE199" s="816"/>
      <c r="AF199" s="816"/>
      <c r="AG199" s="816"/>
      <c r="AH199" s="816"/>
      <c r="AI199" s="816"/>
      <c r="AJ199" s="609"/>
      <c r="AK199" s="609"/>
      <c r="AL199" s="816"/>
      <c r="AM199" s="816"/>
      <c r="AN199" s="609"/>
      <c r="AO199" s="609"/>
      <c r="AP199" s="816"/>
      <c r="AQ199" s="816"/>
      <c r="AR199" s="816"/>
      <c r="AS199" s="816"/>
      <c r="AT199" s="816"/>
      <c r="AU199" s="816"/>
      <c r="AV199" s="609"/>
      <c r="AW199" s="609"/>
      <c r="AX199" s="816"/>
      <c r="AY199" s="816"/>
      <c r="AZ199" s="817"/>
      <c r="BA199" s="609"/>
      <c r="BB199" s="609"/>
      <c r="BC199" s="816"/>
      <c r="BD199" s="816"/>
      <c r="BE199" s="816"/>
      <c r="BF199" s="816"/>
      <c r="BG199" s="816"/>
      <c r="BH199" s="816"/>
      <c r="BI199" s="816"/>
      <c r="BJ199" s="816"/>
      <c r="BK199" s="816"/>
      <c r="BL199" s="816"/>
      <c r="BM199" s="816"/>
      <c r="BN199" s="816"/>
      <c r="BO199" s="816"/>
      <c r="BP199" s="816"/>
      <c r="BQ199" s="816"/>
      <c r="BR199" s="816"/>
      <c r="BS199" s="816"/>
      <c r="BT199" s="816"/>
      <c r="BU199" s="816"/>
      <c r="BV199" s="816"/>
      <c r="BW199" s="816"/>
      <c r="BX199" s="609"/>
      <c r="BY199" s="609"/>
      <c r="BZ199" s="609"/>
      <c r="CA199" s="818"/>
      <c r="CB199" s="816"/>
      <c r="CC199" s="816"/>
      <c r="CD199" s="816"/>
      <c r="CE199" s="816"/>
      <c r="CF199" s="816"/>
      <c r="CG199" s="816"/>
      <c r="CH199" s="816"/>
      <c r="CI199" s="816"/>
      <c r="CJ199" s="819"/>
      <c r="CK199" s="819"/>
      <c r="CL199" s="820"/>
      <c r="CM199" s="820"/>
      <c r="CN199" s="820"/>
      <c r="CO199" s="820"/>
      <c r="CP199" s="820"/>
      <c r="CQ199" s="820"/>
      <c r="CR199" s="609"/>
      <c r="CS199" s="609"/>
      <c r="CT199" s="816"/>
      <c r="CU199" s="816"/>
      <c r="CV199" s="609"/>
      <c r="CW199" s="609"/>
      <c r="CX199" s="816"/>
      <c r="CY199" s="816"/>
      <c r="CZ199" s="609"/>
      <c r="DA199" s="609"/>
      <c r="DB199" s="816"/>
      <c r="DC199" s="816"/>
      <c r="DD199" s="609"/>
      <c r="DE199" s="609"/>
      <c r="DF199" s="816"/>
      <c r="DG199" s="816"/>
      <c r="DH199" s="816"/>
      <c r="DI199" s="816"/>
      <c r="DJ199" s="816"/>
      <c r="DK199" s="816"/>
      <c r="DL199" s="609"/>
      <c r="DM199" s="609"/>
      <c r="DN199" s="816"/>
      <c r="DO199" s="816"/>
      <c r="DP199" s="609"/>
      <c r="DQ199" s="609"/>
      <c r="DR199" s="816"/>
      <c r="DS199" s="816"/>
      <c r="DT199" s="816"/>
      <c r="DU199" s="816"/>
      <c r="DV199" s="816"/>
      <c r="DW199" s="816"/>
      <c r="DX199" s="816"/>
      <c r="DY199" s="816"/>
      <c r="DZ199" s="816"/>
      <c r="EA199" s="816"/>
      <c r="EB199" s="816"/>
      <c r="EC199" s="816"/>
      <c r="ED199" s="816"/>
      <c r="EE199" s="816"/>
      <c r="EF199" s="609"/>
      <c r="EG199" s="609"/>
      <c r="EH199" s="816"/>
      <c r="EI199" s="816"/>
      <c r="EJ199" s="816"/>
      <c r="EK199" s="816"/>
      <c r="EL199" s="816"/>
      <c r="EM199" s="816"/>
      <c r="EN199" s="816"/>
      <c r="EO199" s="816"/>
      <c r="EP199" s="816"/>
      <c r="EQ199" s="816"/>
      <c r="ER199" s="816"/>
      <c r="ES199" s="816"/>
      <c r="ET199" s="816"/>
      <c r="EU199" s="816"/>
      <c r="EV199" s="609"/>
      <c r="EW199" s="609"/>
      <c r="EX199" s="816"/>
      <c r="EY199" s="816"/>
      <c r="EZ199" s="816"/>
      <c r="FA199" s="816"/>
      <c r="FB199" s="816"/>
      <c r="FC199" s="816"/>
      <c r="FD199" s="816"/>
      <c r="FE199" s="816"/>
      <c r="FF199" s="816"/>
      <c r="FG199" s="816"/>
      <c r="FH199" s="816"/>
      <c r="FI199" s="816"/>
      <c r="FJ199" s="816"/>
      <c r="FK199" s="816"/>
      <c r="FL199" s="816"/>
      <c r="FM199" s="816"/>
      <c r="FN199" s="816"/>
      <c r="FO199" s="816"/>
      <c r="FP199" s="816"/>
      <c r="FQ199" s="816"/>
      <c r="FR199" s="816"/>
      <c r="FS199" s="816"/>
      <c r="FT199" s="816"/>
      <c r="FU199" s="816"/>
      <c r="FV199" s="816"/>
      <c r="FW199" s="816"/>
      <c r="FX199" s="816"/>
      <c r="FY199" s="816"/>
      <c r="FZ199" s="819"/>
      <c r="GA199" s="816"/>
      <c r="GB199" s="820"/>
      <c r="GC199" s="820"/>
      <c r="GD199" s="820"/>
      <c r="GE199" s="820"/>
      <c r="GF199" s="609"/>
      <c r="GG199" s="609"/>
      <c r="GH199" s="816"/>
      <c r="GI199" s="816"/>
      <c r="GJ199" s="816"/>
      <c r="GK199" s="816"/>
      <c r="GL199" s="816"/>
      <c r="GM199" s="816"/>
      <c r="GN199" s="816"/>
      <c r="GO199" s="816"/>
      <c r="GP199" s="816"/>
      <c r="GQ199" s="816"/>
      <c r="GR199" s="816"/>
      <c r="GS199" s="816"/>
      <c r="GT199" s="818"/>
      <c r="GU199" s="816"/>
      <c r="GV199" s="816"/>
      <c r="GW199" s="816"/>
      <c r="GX199" s="816"/>
      <c r="GY199" s="816"/>
      <c r="GZ199" s="816"/>
      <c r="HA199" s="816"/>
      <c r="HB199" s="609"/>
      <c r="HC199" s="609"/>
      <c r="HD199" s="816"/>
      <c r="HE199" s="816"/>
      <c r="HF199" s="816"/>
      <c r="HG199" s="816"/>
      <c r="HH199" s="816"/>
      <c r="HI199" s="816"/>
      <c r="HJ199" s="609"/>
      <c r="HK199" s="609"/>
      <c r="HL199" s="609"/>
      <c r="HM199" s="816"/>
      <c r="HN199" s="816"/>
      <c r="HO199" s="609"/>
      <c r="HP199" s="609"/>
      <c r="HQ199" s="816"/>
      <c r="HR199" s="816"/>
      <c r="HS199" s="816"/>
      <c r="HT199" s="816"/>
      <c r="HU199" s="816"/>
      <c r="HV199" s="816"/>
      <c r="HW199" s="609"/>
      <c r="HX199" s="609"/>
      <c r="HY199" s="816"/>
      <c r="HZ199" s="816"/>
      <c r="IA199" s="816"/>
      <c r="IB199" s="816"/>
      <c r="IC199" s="816"/>
      <c r="ID199" s="816"/>
      <c r="IE199" s="609"/>
      <c r="IF199" s="609"/>
      <c r="IG199" s="816"/>
      <c r="IH199" s="816"/>
      <c r="II199" s="609"/>
      <c r="IJ199" s="609"/>
      <c r="IK199" s="816"/>
      <c r="IL199" s="816"/>
      <c r="IM199" s="609"/>
      <c r="IN199" s="609"/>
      <c r="IO199" s="816"/>
      <c r="IP199" s="816"/>
      <c r="IQ199" s="816"/>
      <c r="IR199" s="816"/>
      <c r="IS199" s="816"/>
      <c r="IT199" s="816"/>
      <c r="IU199" s="821"/>
      <c r="IV199" s="609"/>
      <c r="IW199" s="816"/>
      <c r="IX199" s="816"/>
      <c r="IY199" s="822"/>
      <c r="IZ199" s="609"/>
      <c r="JA199" s="816"/>
      <c r="JB199" s="816"/>
      <c r="JC199" s="609"/>
      <c r="JD199" s="816"/>
      <c r="JE199" s="816"/>
      <c r="JF199" s="816"/>
      <c r="JG199" s="816"/>
      <c r="JH199" s="816"/>
      <c r="JI199" s="816"/>
      <c r="JJ199" s="816"/>
      <c r="JK199" s="816"/>
      <c r="JL199" s="816"/>
      <c r="JM199" s="816"/>
      <c r="JN199" s="816"/>
      <c r="JO199" s="823"/>
      <c r="JP199" s="824"/>
      <c r="JQ199" s="825"/>
      <c r="JR199" s="825"/>
      <c r="JS199" s="816"/>
      <c r="JU199" s="834"/>
      <c r="JV199" s="834"/>
      <c r="JW199" s="826"/>
      <c r="JX199" s="834"/>
    </row>
    <row r="200" spans="2:284" s="780" customFormat="1">
      <c r="B200" s="609"/>
      <c r="C200" s="609"/>
      <c r="D200" s="609"/>
      <c r="E200" s="609"/>
      <c r="F200" s="609"/>
      <c r="G200" s="609"/>
      <c r="H200" s="609"/>
      <c r="I200" s="609"/>
      <c r="J200" s="609"/>
      <c r="K200" s="609"/>
      <c r="L200" s="609"/>
      <c r="M200" s="609"/>
      <c r="N200" s="609"/>
      <c r="O200" s="609"/>
      <c r="P200" s="609"/>
      <c r="Q200" s="609"/>
      <c r="R200" s="609"/>
      <c r="S200" s="609"/>
      <c r="T200" s="609"/>
      <c r="U200" s="609"/>
      <c r="V200" s="609"/>
      <c r="W200" s="609"/>
      <c r="X200" s="609"/>
      <c r="Y200" s="609"/>
      <c r="Z200" s="609"/>
      <c r="AA200" s="609"/>
      <c r="AB200" s="609"/>
      <c r="AC200" s="609"/>
      <c r="AD200" s="816"/>
      <c r="AE200" s="816"/>
      <c r="AF200" s="816"/>
      <c r="AG200" s="816"/>
      <c r="AH200" s="816"/>
      <c r="AI200" s="816"/>
      <c r="AJ200" s="609"/>
      <c r="AK200" s="609"/>
      <c r="AL200" s="816"/>
      <c r="AM200" s="816"/>
      <c r="AN200" s="609"/>
      <c r="AO200" s="609"/>
      <c r="AP200" s="816"/>
      <c r="AQ200" s="816"/>
      <c r="AR200" s="816"/>
      <c r="AS200" s="816"/>
      <c r="AT200" s="816"/>
      <c r="AU200" s="816"/>
      <c r="AV200" s="609"/>
      <c r="AW200" s="609"/>
      <c r="AX200" s="816"/>
      <c r="AY200" s="816"/>
      <c r="AZ200" s="817"/>
      <c r="BA200" s="609"/>
      <c r="BB200" s="609"/>
      <c r="BC200" s="816"/>
      <c r="BD200" s="816"/>
      <c r="BE200" s="816"/>
      <c r="BF200" s="816"/>
      <c r="BG200" s="816"/>
      <c r="BH200" s="816"/>
      <c r="BI200" s="816"/>
      <c r="BJ200" s="816"/>
      <c r="BK200" s="816"/>
      <c r="BL200" s="816"/>
      <c r="BM200" s="816"/>
      <c r="BN200" s="816"/>
      <c r="BO200" s="816"/>
      <c r="BP200" s="816"/>
      <c r="BQ200" s="816"/>
      <c r="BR200" s="816"/>
      <c r="BS200" s="816"/>
      <c r="BT200" s="816"/>
      <c r="BU200" s="816"/>
      <c r="BV200" s="816"/>
      <c r="BW200" s="816"/>
      <c r="BX200" s="609"/>
      <c r="BY200" s="609"/>
      <c r="BZ200" s="609"/>
      <c r="CA200" s="818"/>
      <c r="CB200" s="816"/>
      <c r="CC200" s="816"/>
      <c r="CD200" s="816"/>
      <c r="CE200" s="816"/>
      <c r="CF200" s="816"/>
      <c r="CG200" s="816"/>
      <c r="CH200" s="816"/>
      <c r="CI200" s="816"/>
      <c r="CJ200" s="819"/>
      <c r="CK200" s="819"/>
      <c r="CL200" s="820"/>
      <c r="CM200" s="820"/>
      <c r="CN200" s="820"/>
      <c r="CO200" s="820"/>
      <c r="CP200" s="820"/>
      <c r="CQ200" s="820"/>
      <c r="CR200" s="609"/>
      <c r="CS200" s="609"/>
      <c r="CT200" s="816"/>
      <c r="CU200" s="816"/>
      <c r="CV200" s="609"/>
      <c r="CW200" s="609"/>
      <c r="CX200" s="816"/>
      <c r="CY200" s="816"/>
      <c r="CZ200" s="609"/>
      <c r="DA200" s="609"/>
      <c r="DB200" s="816"/>
      <c r="DC200" s="816"/>
      <c r="DD200" s="609"/>
      <c r="DE200" s="609"/>
      <c r="DF200" s="816"/>
      <c r="DG200" s="816"/>
      <c r="DH200" s="816"/>
      <c r="DI200" s="816"/>
      <c r="DJ200" s="816"/>
      <c r="DK200" s="816"/>
      <c r="DL200" s="609"/>
      <c r="DM200" s="609"/>
      <c r="DN200" s="816"/>
      <c r="DO200" s="816"/>
      <c r="DP200" s="609"/>
      <c r="DQ200" s="609"/>
      <c r="DR200" s="816"/>
      <c r="DS200" s="816"/>
      <c r="DT200" s="816"/>
      <c r="DU200" s="816"/>
      <c r="DV200" s="816"/>
      <c r="DW200" s="816"/>
      <c r="DX200" s="816"/>
      <c r="DY200" s="816"/>
      <c r="DZ200" s="816"/>
      <c r="EA200" s="816"/>
      <c r="EB200" s="816"/>
      <c r="EC200" s="816"/>
      <c r="ED200" s="816"/>
      <c r="EE200" s="816"/>
      <c r="EF200" s="609"/>
      <c r="EG200" s="609"/>
      <c r="EH200" s="816"/>
      <c r="EI200" s="816"/>
      <c r="EJ200" s="816"/>
      <c r="EK200" s="816"/>
      <c r="EL200" s="816"/>
      <c r="EM200" s="816"/>
      <c r="EN200" s="816"/>
      <c r="EO200" s="816"/>
      <c r="EP200" s="816"/>
      <c r="EQ200" s="816"/>
      <c r="ER200" s="816"/>
      <c r="ES200" s="816"/>
      <c r="ET200" s="816"/>
      <c r="EU200" s="816"/>
      <c r="EV200" s="609"/>
      <c r="EW200" s="609"/>
      <c r="EX200" s="816"/>
      <c r="EY200" s="816"/>
      <c r="EZ200" s="816"/>
      <c r="FA200" s="816"/>
      <c r="FB200" s="816"/>
      <c r="FC200" s="816"/>
      <c r="FD200" s="816"/>
      <c r="FE200" s="816"/>
      <c r="FF200" s="816"/>
      <c r="FG200" s="816"/>
      <c r="FH200" s="816"/>
      <c r="FI200" s="816"/>
      <c r="FJ200" s="816"/>
      <c r="FK200" s="816"/>
      <c r="FL200" s="816"/>
      <c r="FM200" s="816"/>
      <c r="FN200" s="816"/>
      <c r="FO200" s="816"/>
      <c r="FP200" s="816"/>
      <c r="FQ200" s="816"/>
      <c r="FR200" s="816"/>
      <c r="FS200" s="816"/>
      <c r="FT200" s="816"/>
      <c r="FU200" s="816"/>
      <c r="FV200" s="816"/>
      <c r="FW200" s="816"/>
      <c r="FX200" s="816"/>
      <c r="FY200" s="816"/>
      <c r="FZ200" s="819"/>
      <c r="GA200" s="816"/>
      <c r="GB200" s="820"/>
      <c r="GC200" s="820"/>
      <c r="GD200" s="820"/>
      <c r="GE200" s="820"/>
      <c r="GF200" s="609"/>
      <c r="GG200" s="609"/>
      <c r="GH200" s="816"/>
      <c r="GI200" s="816"/>
      <c r="GJ200" s="816"/>
      <c r="GK200" s="816"/>
      <c r="GL200" s="816"/>
      <c r="GM200" s="816"/>
      <c r="GN200" s="816"/>
      <c r="GO200" s="816"/>
      <c r="GP200" s="816"/>
      <c r="GQ200" s="816"/>
      <c r="GR200" s="816"/>
      <c r="GS200" s="816"/>
      <c r="GT200" s="818"/>
      <c r="GU200" s="816"/>
      <c r="GV200" s="816"/>
      <c r="GW200" s="816"/>
      <c r="GX200" s="816"/>
      <c r="GY200" s="816"/>
      <c r="GZ200" s="816"/>
      <c r="HA200" s="816"/>
      <c r="HB200" s="609"/>
      <c r="HC200" s="609"/>
      <c r="HD200" s="816"/>
      <c r="HE200" s="816"/>
      <c r="HF200" s="816"/>
      <c r="HG200" s="816"/>
      <c r="HH200" s="816"/>
      <c r="HI200" s="816"/>
      <c r="HJ200" s="609"/>
      <c r="HK200" s="609"/>
      <c r="HL200" s="609"/>
      <c r="HM200" s="816"/>
      <c r="HN200" s="816"/>
      <c r="HO200" s="609"/>
      <c r="HP200" s="609"/>
      <c r="HQ200" s="816"/>
      <c r="HR200" s="816"/>
      <c r="HS200" s="816"/>
      <c r="HT200" s="816"/>
      <c r="HU200" s="816"/>
      <c r="HV200" s="816"/>
      <c r="HW200" s="609"/>
      <c r="HX200" s="609"/>
      <c r="HY200" s="816"/>
      <c r="HZ200" s="816"/>
      <c r="IA200" s="816"/>
      <c r="IB200" s="816"/>
      <c r="IC200" s="816"/>
      <c r="ID200" s="816"/>
      <c r="IE200" s="609"/>
      <c r="IF200" s="609"/>
      <c r="IG200" s="816"/>
      <c r="IH200" s="816"/>
      <c r="II200" s="609"/>
      <c r="IJ200" s="609"/>
      <c r="IK200" s="816"/>
      <c r="IL200" s="816"/>
      <c r="IM200" s="609"/>
      <c r="IN200" s="609"/>
      <c r="IO200" s="816"/>
      <c r="IP200" s="816"/>
      <c r="IQ200" s="816"/>
      <c r="IR200" s="816"/>
      <c r="IS200" s="816"/>
      <c r="IT200" s="816"/>
      <c r="IU200" s="821"/>
      <c r="IV200" s="609"/>
      <c r="IW200" s="816"/>
      <c r="IX200" s="816"/>
      <c r="IY200" s="822"/>
      <c r="IZ200" s="609"/>
      <c r="JA200" s="816"/>
      <c r="JB200" s="816"/>
      <c r="JC200" s="609"/>
      <c r="JD200" s="816"/>
      <c r="JE200" s="816"/>
      <c r="JF200" s="816"/>
      <c r="JG200" s="816"/>
      <c r="JH200" s="816"/>
      <c r="JI200" s="816"/>
      <c r="JJ200" s="816"/>
      <c r="JK200" s="816"/>
      <c r="JL200" s="816"/>
      <c r="JM200" s="816"/>
      <c r="JN200" s="816"/>
      <c r="JO200" s="823"/>
      <c r="JP200" s="824"/>
      <c r="JQ200" s="825"/>
      <c r="JR200" s="825"/>
      <c r="JS200" s="816"/>
      <c r="JU200" s="834"/>
      <c r="JV200" s="834"/>
      <c r="JW200" s="826"/>
      <c r="JX200" s="834"/>
    </row>
    <row r="201" spans="2:284" s="780" customFormat="1">
      <c r="B201" s="609"/>
      <c r="C201" s="609"/>
      <c r="D201" s="609"/>
      <c r="E201" s="609"/>
      <c r="F201" s="609"/>
      <c r="G201" s="609"/>
      <c r="H201" s="609"/>
      <c r="I201" s="609"/>
      <c r="J201" s="609"/>
      <c r="K201" s="609"/>
      <c r="L201" s="609"/>
      <c r="M201" s="609"/>
      <c r="N201" s="609"/>
      <c r="O201" s="609"/>
      <c r="P201" s="609"/>
      <c r="Q201" s="609"/>
      <c r="R201" s="609"/>
      <c r="S201" s="609"/>
      <c r="T201" s="609"/>
      <c r="U201" s="609"/>
      <c r="V201" s="609"/>
      <c r="W201" s="609"/>
      <c r="X201" s="609"/>
      <c r="Y201" s="609"/>
      <c r="Z201" s="609"/>
      <c r="AA201" s="609"/>
      <c r="AB201" s="609"/>
      <c r="AC201" s="609"/>
      <c r="AD201" s="816"/>
      <c r="AE201" s="816"/>
      <c r="AF201" s="816"/>
      <c r="AG201" s="816"/>
      <c r="AH201" s="816"/>
      <c r="AI201" s="816"/>
      <c r="AJ201" s="609"/>
      <c r="AK201" s="609"/>
      <c r="AL201" s="816"/>
      <c r="AM201" s="816"/>
      <c r="AN201" s="609"/>
      <c r="AO201" s="609"/>
      <c r="AP201" s="816"/>
      <c r="AQ201" s="816"/>
      <c r="AR201" s="816"/>
      <c r="AS201" s="816"/>
      <c r="AT201" s="816"/>
      <c r="AU201" s="816"/>
      <c r="AV201" s="609"/>
      <c r="AW201" s="609"/>
      <c r="AX201" s="816"/>
      <c r="AY201" s="816"/>
      <c r="AZ201" s="817"/>
      <c r="BA201" s="609"/>
      <c r="BB201" s="609"/>
      <c r="BC201" s="816"/>
      <c r="BD201" s="816"/>
      <c r="BE201" s="816"/>
      <c r="BF201" s="816"/>
      <c r="BG201" s="816"/>
      <c r="BH201" s="816"/>
      <c r="BI201" s="816"/>
      <c r="BJ201" s="816"/>
      <c r="BK201" s="816"/>
      <c r="BL201" s="816"/>
      <c r="BM201" s="816"/>
      <c r="BN201" s="816"/>
      <c r="BO201" s="816"/>
      <c r="BP201" s="816"/>
      <c r="BQ201" s="816"/>
      <c r="BR201" s="816"/>
      <c r="BS201" s="816"/>
      <c r="BT201" s="816"/>
      <c r="BU201" s="816"/>
      <c r="BV201" s="816"/>
      <c r="BW201" s="816"/>
      <c r="BX201" s="609"/>
      <c r="BY201" s="609"/>
      <c r="BZ201" s="609"/>
      <c r="CA201" s="818"/>
      <c r="CB201" s="816"/>
      <c r="CC201" s="816"/>
      <c r="CD201" s="816"/>
      <c r="CE201" s="816"/>
      <c r="CF201" s="816"/>
      <c r="CG201" s="816"/>
      <c r="CH201" s="816"/>
      <c r="CI201" s="816"/>
      <c r="CJ201" s="819"/>
      <c r="CK201" s="819"/>
      <c r="CL201" s="820"/>
      <c r="CM201" s="820"/>
      <c r="CN201" s="820"/>
      <c r="CO201" s="820"/>
      <c r="CP201" s="820"/>
      <c r="CQ201" s="820"/>
      <c r="CR201" s="609"/>
      <c r="CS201" s="609"/>
      <c r="CT201" s="816"/>
      <c r="CU201" s="816"/>
      <c r="CV201" s="609"/>
      <c r="CW201" s="609"/>
      <c r="CX201" s="816"/>
      <c r="CY201" s="816"/>
      <c r="CZ201" s="609"/>
      <c r="DA201" s="609"/>
      <c r="DB201" s="816"/>
      <c r="DC201" s="816"/>
      <c r="DD201" s="609"/>
      <c r="DE201" s="609"/>
      <c r="DF201" s="816"/>
      <c r="DG201" s="816"/>
      <c r="DH201" s="816"/>
      <c r="DI201" s="816"/>
      <c r="DJ201" s="816"/>
      <c r="DK201" s="816"/>
      <c r="DL201" s="609"/>
      <c r="DM201" s="609"/>
      <c r="DN201" s="816"/>
      <c r="DO201" s="816"/>
      <c r="DP201" s="609"/>
      <c r="DQ201" s="609"/>
      <c r="DR201" s="816"/>
      <c r="DS201" s="816"/>
      <c r="DT201" s="816"/>
      <c r="DU201" s="816"/>
      <c r="DV201" s="816"/>
      <c r="DW201" s="816"/>
      <c r="DX201" s="816"/>
      <c r="DY201" s="816"/>
      <c r="DZ201" s="816"/>
      <c r="EA201" s="816"/>
      <c r="EB201" s="816"/>
      <c r="EC201" s="816"/>
      <c r="ED201" s="816"/>
      <c r="EE201" s="816"/>
      <c r="EF201" s="609"/>
      <c r="EG201" s="609"/>
      <c r="EH201" s="816"/>
      <c r="EI201" s="816"/>
      <c r="EJ201" s="816"/>
      <c r="EK201" s="816"/>
      <c r="EL201" s="816"/>
      <c r="EM201" s="816"/>
      <c r="EN201" s="816"/>
      <c r="EO201" s="816"/>
      <c r="EP201" s="816"/>
      <c r="EQ201" s="816"/>
      <c r="ER201" s="816"/>
      <c r="ES201" s="816"/>
      <c r="ET201" s="816"/>
      <c r="EU201" s="816"/>
      <c r="EV201" s="609"/>
      <c r="EW201" s="609"/>
      <c r="EX201" s="816"/>
      <c r="EY201" s="816"/>
      <c r="EZ201" s="816"/>
      <c r="FA201" s="816"/>
      <c r="FB201" s="816"/>
      <c r="FC201" s="816"/>
      <c r="FD201" s="816"/>
      <c r="FE201" s="816"/>
      <c r="FF201" s="816"/>
      <c r="FG201" s="816"/>
      <c r="FH201" s="816"/>
      <c r="FI201" s="816"/>
      <c r="FJ201" s="816"/>
      <c r="FK201" s="816"/>
      <c r="FL201" s="816"/>
      <c r="FM201" s="816"/>
      <c r="FN201" s="816"/>
      <c r="FO201" s="816"/>
      <c r="FP201" s="816"/>
      <c r="FQ201" s="816"/>
      <c r="FR201" s="816"/>
      <c r="FS201" s="816"/>
      <c r="FT201" s="816"/>
      <c r="FU201" s="816"/>
      <c r="FV201" s="816"/>
      <c r="FW201" s="816"/>
      <c r="FX201" s="816"/>
      <c r="FY201" s="816"/>
      <c r="FZ201" s="819"/>
      <c r="GA201" s="816"/>
      <c r="GB201" s="820"/>
      <c r="GC201" s="820"/>
      <c r="GD201" s="820"/>
      <c r="GE201" s="820"/>
      <c r="GF201" s="609"/>
      <c r="GG201" s="609"/>
      <c r="GH201" s="816"/>
      <c r="GI201" s="816"/>
      <c r="GJ201" s="816"/>
      <c r="GK201" s="816"/>
      <c r="GL201" s="816"/>
      <c r="GM201" s="816"/>
      <c r="GN201" s="816"/>
      <c r="GO201" s="816"/>
      <c r="GP201" s="816"/>
      <c r="GQ201" s="816"/>
      <c r="GR201" s="816"/>
      <c r="GS201" s="816"/>
      <c r="GT201" s="818"/>
      <c r="GU201" s="816"/>
      <c r="GV201" s="816"/>
      <c r="GW201" s="816"/>
      <c r="GX201" s="816"/>
      <c r="GY201" s="816"/>
      <c r="GZ201" s="816"/>
      <c r="HA201" s="816"/>
      <c r="HB201" s="609"/>
      <c r="HC201" s="609"/>
      <c r="HD201" s="816"/>
      <c r="HE201" s="816"/>
      <c r="HF201" s="816"/>
      <c r="HG201" s="816"/>
      <c r="HH201" s="816"/>
      <c r="HI201" s="816"/>
      <c r="HJ201" s="609"/>
      <c r="HK201" s="609"/>
      <c r="HL201" s="609"/>
      <c r="HM201" s="816"/>
      <c r="HN201" s="816"/>
      <c r="HO201" s="609"/>
      <c r="HP201" s="609"/>
      <c r="HQ201" s="816"/>
      <c r="HR201" s="816"/>
      <c r="HS201" s="816"/>
      <c r="HT201" s="816"/>
      <c r="HU201" s="816"/>
      <c r="HV201" s="816"/>
      <c r="HW201" s="609"/>
      <c r="HX201" s="609"/>
      <c r="HY201" s="816"/>
      <c r="HZ201" s="816"/>
      <c r="IA201" s="816"/>
      <c r="IB201" s="816"/>
      <c r="IC201" s="816"/>
      <c r="ID201" s="816"/>
      <c r="IE201" s="609"/>
      <c r="IF201" s="609"/>
      <c r="IG201" s="816"/>
      <c r="IH201" s="816"/>
      <c r="II201" s="609"/>
      <c r="IJ201" s="609"/>
      <c r="IK201" s="816"/>
      <c r="IL201" s="816"/>
      <c r="IM201" s="609"/>
      <c r="IN201" s="609"/>
      <c r="IO201" s="816"/>
      <c r="IP201" s="816"/>
      <c r="IQ201" s="816"/>
      <c r="IR201" s="816"/>
      <c r="IS201" s="816"/>
      <c r="IT201" s="816"/>
      <c r="IU201" s="821"/>
      <c r="IV201" s="609"/>
      <c r="IW201" s="816"/>
      <c r="IX201" s="816"/>
      <c r="IY201" s="822"/>
      <c r="IZ201" s="609"/>
      <c r="JA201" s="816"/>
      <c r="JB201" s="816"/>
      <c r="JC201" s="609"/>
      <c r="JD201" s="816"/>
      <c r="JE201" s="816"/>
      <c r="JF201" s="816"/>
      <c r="JG201" s="816"/>
      <c r="JH201" s="816"/>
      <c r="JI201" s="816"/>
      <c r="JJ201" s="816"/>
      <c r="JK201" s="816"/>
      <c r="JL201" s="816"/>
      <c r="JM201" s="816"/>
      <c r="JN201" s="816"/>
      <c r="JO201" s="823"/>
      <c r="JP201" s="824"/>
      <c r="JQ201" s="825"/>
      <c r="JR201" s="825"/>
      <c r="JS201" s="816"/>
      <c r="JU201" s="834"/>
      <c r="JV201" s="834"/>
      <c r="JW201" s="826"/>
      <c r="JX201" s="834"/>
    </row>
    <row r="202" spans="2:284" s="780" customFormat="1">
      <c r="B202" s="609"/>
      <c r="C202" s="609"/>
      <c r="D202" s="609"/>
      <c r="E202" s="609"/>
      <c r="F202" s="609"/>
      <c r="G202" s="609"/>
      <c r="H202" s="609"/>
      <c r="I202" s="609"/>
      <c r="J202" s="609"/>
      <c r="K202" s="609"/>
      <c r="L202" s="609"/>
      <c r="M202" s="609"/>
      <c r="N202" s="609"/>
      <c r="O202" s="609"/>
      <c r="P202" s="609"/>
      <c r="Q202" s="609"/>
      <c r="R202" s="609"/>
      <c r="S202" s="609"/>
      <c r="T202" s="609"/>
      <c r="U202" s="609"/>
      <c r="V202" s="609"/>
      <c r="W202" s="609"/>
      <c r="X202" s="609"/>
      <c r="Y202" s="609"/>
      <c r="Z202" s="609"/>
      <c r="AA202" s="609"/>
      <c r="AB202" s="609"/>
      <c r="AC202" s="609"/>
      <c r="AD202" s="816"/>
      <c r="AE202" s="816"/>
      <c r="AF202" s="816"/>
      <c r="AG202" s="816"/>
      <c r="AH202" s="816"/>
      <c r="AI202" s="816"/>
      <c r="AJ202" s="609"/>
      <c r="AK202" s="609"/>
      <c r="AL202" s="816"/>
      <c r="AM202" s="816"/>
      <c r="AN202" s="609"/>
      <c r="AO202" s="609"/>
      <c r="AP202" s="816"/>
      <c r="AQ202" s="816"/>
      <c r="AR202" s="816"/>
      <c r="AS202" s="816"/>
      <c r="AT202" s="816"/>
      <c r="AU202" s="816"/>
      <c r="AV202" s="609"/>
      <c r="AW202" s="609"/>
      <c r="AX202" s="816"/>
      <c r="AY202" s="816"/>
      <c r="AZ202" s="817"/>
      <c r="BA202" s="609"/>
      <c r="BB202" s="609"/>
      <c r="BC202" s="816"/>
      <c r="BD202" s="816"/>
      <c r="BE202" s="816"/>
      <c r="BF202" s="816"/>
      <c r="BG202" s="816"/>
      <c r="BH202" s="816"/>
      <c r="BI202" s="816"/>
      <c r="BJ202" s="816"/>
      <c r="BK202" s="816"/>
      <c r="BL202" s="816"/>
      <c r="BM202" s="816"/>
      <c r="BN202" s="816"/>
      <c r="BO202" s="816"/>
      <c r="BP202" s="816"/>
      <c r="BQ202" s="816"/>
      <c r="BR202" s="816"/>
      <c r="BS202" s="816"/>
      <c r="BT202" s="816"/>
      <c r="BU202" s="816"/>
      <c r="BV202" s="816"/>
      <c r="BW202" s="816"/>
      <c r="BX202" s="609"/>
      <c r="BY202" s="609"/>
      <c r="BZ202" s="609"/>
      <c r="CA202" s="818"/>
      <c r="CB202" s="816"/>
      <c r="CC202" s="816"/>
      <c r="CD202" s="816"/>
      <c r="CE202" s="816"/>
      <c r="CF202" s="816"/>
      <c r="CG202" s="816"/>
      <c r="CH202" s="816"/>
      <c r="CI202" s="816"/>
      <c r="CJ202" s="819"/>
      <c r="CK202" s="819"/>
      <c r="CL202" s="820"/>
      <c r="CM202" s="820"/>
      <c r="CN202" s="820"/>
      <c r="CO202" s="820"/>
      <c r="CP202" s="820"/>
      <c r="CQ202" s="820"/>
      <c r="CR202" s="609"/>
      <c r="CS202" s="609"/>
      <c r="CT202" s="816"/>
      <c r="CU202" s="816"/>
      <c r="CV202" s="609"/>
      <c r="CW202" s="609"/>
      <c r="CX202" s="816"/>
      <c r="CY202" s="816"/>
      <c r="CZ202" s="609"/>
      <c r="DA202" s="609"/>
      <c r="DB202" s="816"/>
      <c r="DC202" s="816"/>
      <c r="DD202" s="609"/>
      <c r="DE202" s="609"/>
      <c r="DF202" s="816"/>
      <c r="DG202" s="816"/>
      <c r="DH202" s="816"/>
      <c r="DI202" s="816"/>
      <c r="DJ202" s="816"/>
      <c r="DK202" s="816"/>
      <c r="DL202" s="609"/>
      <c r="DM202" s="609"/>
      <c r="DN202" s="816"/>
      <c r="DO202" s="816"/>
      <c r="DP202" s="609"/>
      <c r="DQ202" s="609"/>
      <c r="DR202" s="816"/>
      <c r="DS202" s="816"/>
      <c r="DT202" s="816"/>
      <c r="DU202" s="816"/>
      <c r="DV202" s="816"/>
      <c r="DW202" s="816"/>
      <c r="DX202" s="816"/>
      <c r="DY202" s="816"/>
      <c r="DZ202" s="816"/>
      <c r="EA202" s="816"/>
      <c r="EB202" s="816"/>
      <c r="EC202" s="816"/>
      <c r="ED202" s="816"/>
      <c r="EE202" s="816"/>
      <c r="EF202" s="609"/>
      <c r="EG202" s="609"/>
      <c r="EH202" s="816"/>
      <c r="EI202" s="816"/>
      <c r="EJ202" s="816"/>
      <c r="EK202" s="816"/>
      <c r="EL202" s="816"/>
      <c r="EM202" s="816"/>
      <c r="EN202" s="816"/>
      <c r="EO202" s="816"/>
      <c r="EP202" s="816"/>
      <c r="EQ202" s="816"/>
      <c r="ER202" s="816"/>
      <c r="ES202" s="816"/>
      <c r="ET202" s="816"/>
      <c r="EU202" s="816"/>
      <c r="EV202" s="609"/>
      <c r="EW202" s="609"/>
      <c r="EX202" s="816"/>
      <c r="EY202" s="816"/>
      <c r="EZ202" s="816"/>
      <c r="FA202" s="816"/>
      <c r="FB202" s="816"/>
      <c r="FC202" s="816"/>
      <c r="FD202" s="816"/>
      <c r="FE202" s="816"/>
      <c r="FF202" s="816"/>
      <c r="FG202" s="816"/>
      <c r="FH202" s="816"/>
      <c r="FI202" s="816"/>
      <c r="FJ202" s="816"/>
      <c r="FK202" s="816"/>
      <c r="FL202" s="816"/>
      <c r="FM202" s="816"/>
      <c r="FN202" s="816"/>
      <c r="FO202" s="816"/>
      <c r="FP202" s="816"/>
      <c r="FQ202" s="816"/>
      <c r="FR202" s="816"/>
      <c r="FS202" s="816"/>
      <c r="FT202" s="816"/>
      <c r="FU202" s="816"/>
      <c r="FV202" s="816"/>
      <c r="FW202" s="816"/>
      <c r="FX202" s="816"/>
      <c r="FY202" s="816"/>
      <c r="FZ202" s="819"/>
      <c r="GA202" s="816"/>
      <c r="GB202" s="820"/>
      <c r="GC202" s="820"/>
      <c r="GD202" s="820"/>
      <c r="GE202" s="820"/>
      <c r="GF202" s="609"/>
      <c r="GG202" s="609"/>
      <c r="GH202" s="816"/>
      <c r="GI202" s="816"/>
      <c r="GJ202" s="816"/>
      <c r="GK202" s="816"/>
      <c r="GL202" s="816"/>
      <c r="GM202" s="816"/>
      <c r="GN202" s="816"/>
      <c r="GO202" s="816"/>
      <c r="GP202" s="816"/>
      <c r="GQ202" s="816"/>
      <c r="GR202" s="816"/>
      <c r="GS202" s="816"/>
      <c r="GT202" s="818"/>
      <c r="GU202" s="816"/>
      <c r="GV202" s="816"/>
      <c r="GW202" s="816"/>
      <c r="GX202" s="816"/>
      <c r="GY202" s="816"/>
      <c r="GZ202" s="816"/>
      <c r="HA202" s="816"/>
      <c r="HB202" s="609"/>
      <c r="HC202" s="609"/>
      <c r="HD202" s="816"/>
      <c r="HE202" s="816"/>
      <c r="HF202" s="816"/>
      <c r="HG202" s="816"/>
      <c r="HH202" s="816"/>
      <c r="HI202" s="816"/>
      <c r="HJ202" s="609"/>
      <c r="HK202" s="609"/>
      <c r="HL202" s="609"/>
      <c r="HM202" s="816"/>
      <c r="HN202" s="816"/>
      <c r="HO202" s="609"/>
      <c r="HP202" s="609"/>
      <c r="HQ202" s="816"/>
      <c r="HR202" s="816"/>
      <c r="HS202" s="816"/>
      <c r="HT202" s="816"/>
      <c r="HU202" s="816"/>
      <c r="HV202" s="816"/>
      <c r="HW202" s="609"/>
      <c r="HX202" s="609"/>
      <c r="HY202" s="816"/>
      <c r="HZ202" s="816"/>
      <c r="IA202" s="816"/>
      <c r="IB202" s="816"/>
      <c r="IC202" s="816"/>
      <c r="ID202" s="816"/>
      <c r="IE202" s="609"/>
      <c r="IF202" s="609"/>
      <c r="IG202" s="816"/>
      <c r="IH202" s="816"/>
      <c r="II202" s="609"/>
      <c r="IJ202" s="609"/>
      <c r="IK202" s="816"/>
      <c r="IL202" s="816"/>
      <c r="IM202" s="609"/>
      <c r="IN202" s="609"/>
      <c r="IO202" s="816"/>
      <c r="IP202" s="816"/>
      <c r="IQ202" s="816"/>
      <c r="IR202" s="816"/>
      <c r="IS202" s="816"/>
      <c r="IT202" s="816"/>
      <c r="IU202" s="821"/>
      <c r="IV202" s="609"/>
      <c r="IW202" s="816"/>
      <c r="IX202" s="816"/>
      <c r="IY202" s="822"/>
      <c r="IZ202" s="609"/>
      <c r="JA202" s="816"/>
      <c r="JB202" s="816"/>
      <c r="JC202" s="609"/>
      <c r="JD202" s="816"/>
      <c r="JE202" s="816"/>
      <c r="JF202" s="816"/>
      <c r="JG202" s="816"/>
      <c r="JH202" s="816"/>
      <c r="JI202" s="816"/>
      <c r="JJ202" s="816"/>
      <c r="JK202" s="816"/>
      <c r="JL202" s="816"/>
      <c r="JM202" s="816"/>
      <c r="JN202" s="816"/>
      <c r="JO202" s="823"/>
      <c r="JP202" s="824"/>
      <c r="JQ202" s="825"/>
      <c r="JR202" s="825"/>
      <c r="JS202" s="816"/>
      <c r="JU202" s="834"/>
      <c r="JV202" s="834"/>
      <c r="JW202" s="826"/>
      <c r="JX202" s="834"/>
    </row>
    <row r="203" spans="2:284" s="780" customFormat="1">
      <c r="B203" s="609"/>
      <c r="C203" s="609"/>
      <c r="D203" s="609"/>
      <c r="E203" s="609"/>
      <c r="F203" s="609"/>
      <c r="G203" s="609"/>
      <c r="H203" s="609"/>
      <c r="I203" s="609"/>
      <c r="J203" s="609"/>
      <c r="K203" s="609"/>
      <c r="L203" s="609"/>
      <c r="M203" s="609"/>
      <c r="N203" s="609"/>
      <c r="O203" s="609"/>
      <c r="P203" s="609"/>
      <c r="Q203" s="609"/>
      <c r="R203" s="609"/>
      <c r="S203" s="609"/>
      <c r="T203" s="609"/>
      <c r="U203" s="609"/>
      <c r="V203" s="609"/>
      <c r="W203" s="609"/>
      <c r="X203" s="609"/>
      <c r="Y203" s="609"/>
      <c r="Z203" s="609"/>
      <c r="AA203" s="609"/>
      <c r="AB203" s="609"/>
      <c r="AC203" s="609"/>
      <c r="AD203" s="816"/>
      <c r="AE203" s="816"/>
      <c r="AF203" s="816"/>
      <c r="AG203" s="816"/>
      <c r="AH203" s="816"/>
      <c r="AI203" s="816"/>
      <c r="AJ203" s="609"/>
      <c r="AK203" s="609"/>
      <c r="AL203" s="816"/>
      <c r="AM203" s="816"/>
      <c r="AN203" s="609"/>
      <c r="AO203" s="609"/>
      <c r="AP203" s="816"/>
      <c r="AQ203" s="816"/>
      <c r="AR203" s="816"/>
      <c r="AS203" s="816"/>
      <c r="AT203" s="816"/>
      <c r="AU203" s="816"/>
      <c r="AV203" s="609"/>
      <c r="AW203" s="609"/>
      <c r="AX203" s="816"/>
      <c r="AY203" s="816"/>
      <c r="AZ203" s="817"/>
      <c r="BA203" s="609"/>
      <c r="BB203" s="609"/>
      <c r="BC203" s="816"/>
      <c r="BD203" s="816"/>
      <c r="BE203" s="816"/>
      <c r="BF203" s="816"/>
      <c r="BG203" s="816"/>
      <c r="BH203" s="816"/>
      <c r="BI203" s="816"/>
      <c r="BJ203" s="816"/>
      <c r="BK203" s="816"/>
      <c r="BL203" s="816"/>
      <c r="BM203" s="816"/>
      <c r="BN203" s="816"/>
      <c r="BO203" s="816"/>
      <c r="BP203" s="816"/>
      <c r="BQ203" s="816"/>
      <c r="BR203" s="816"/>
      <c r="BS203" s="816"/>
      <c r="BT203" s="816"/>
      <c r="BU203" s="816"/>
      <c r="BV203" s="816"/>
      <c r="BW203" s="816"/>
      <c r="BX203" s="609"/>
      <c r="BY203" s="609"/>
      <c r="BZ203" s="609"/>
      <c r="CA203" s="818"/>
      <c r="CB203" s="816"/>
      <c r="CC203" s="816"/>
      <c r="CD203" s="816"/>
      <c r="CE203" s="816"/>
      <c r="CF203" s="816"/>
      <c r="CG203" s="816"/>
      <c r="CH203" s="816"/>
      <c r="CI203" s="816"/>
      <c r="CJ203" s="819"/>
      <c r="CK203" s="819"/>
      <c r="CL203" s="820"/>
      <c r="CM203" s="820"/>
      <c r="CN203" s="820"/>
      <c r="CO203" s="820"/>
      <c r="CP203" s="820"/>
      <c r="CQ203" s="820"/>
      <c r="CR203" s="609"/>
      <c r="CS203" s="609"/>
      <c r="CT203" s="816"/>
      <c r="CU203" s="816"/>
      <c r="CV203" s="609"/>
      <c r="CW203" s="609"/>
      <c r="CX203" s="816"/>
      <c r="CY203" s="816"/>
      <c r="CZ203" s="609"/>
      <c r="DA203" s="609"/>
      <c r="DB203" s="816"/>
      <c r="DC203" s="816"/>
      <c r="DD203" s="609"/>
      <c r="DE203" s="609"/>
      <c r="DF203" s="816"/>
      <c r="DG203" s="816"/>
      <c r="DH203" s="816"/>
      <c r="DI203" s="816"/>
      <c r="DJ203" s="816"/>
      <c r="DK203" s="816"/>
      <c r="DL203" s="609"/>
      <c r="DM203" s="609"/>
      <c r="DN203" s="816"/>
      <c r="DO203" s="816"/>
      <c r="DP203" s="609"/>
      <c r="DQ203" s="609"/>
      <c r="DR203" s="816"/>
      <c r="DS203" s="816"/>
      <c r="DT203" s="816"/>
      <c r="DU203" s="816"/>
      <c r="DV203" s="816"/>
      <c r="DW203" s="816"/>
      <c r="DX203" s="816"/>
      <c r="DY203" s="816"/>
      <c r="DZ203" s="816"/>
      <c r="EA203" s="816"/>
      <c r="EB203" s="816"/>
      <c r="EC203" s="816"/>
      <c r="ED203" s="816"/>
      <c r="EE203" s="816"/>
      <c r="EF203" s="609"/>
      <c r="EG203" s="609"/>
      <c r="EH203" s="816"/>
      <c r="EI203" s="816"/>
      <c r="EJ203" s="816"/>
      <c r="EK203" s="816"/>
      <c r="EL203" s="816"/>
      <c r="EM203" s="816"/>
      <c r="EN203" s="816"/>
      <c r="EO203" s="816"/>
      <c r="EP203" s="816"/>
      <c r="EQ203" s="816"/>
      <c r="ER203" s="816"/>
      <c r="ES203" s="816"/>
      <c r="ET203" s="816"/>
      <c r="EU203" s="816"/>
      <c r="EV203" s="609"/>
      <c r="EW203" s="609"/>
      <c r="EX203" s="816"/>
      <c r="EY203" s="816"/>
      <c r="EZ203" s="816"/>
      <c r="FA203" s="816"/>
      <c r="FB203" s="816"/>
      <c r="FC203" s="816"/>
      <c r="FD203" s="816"/>
      <c r="FE203" s="816"/>
      <c r="FF203" s="816"/>
      <c r="FG203" s="816"/>
      <c r="FH203" s="816"/>
      <c r="FI203" s="816"/>
      <c r="FJ203" s="816"/>
      <c r="FK203" s="816"/>
      <c r="FL203" s="816"/>
      <c r="FM203" s="816"/>
      <c r="FN203" s="816"/>
      <c r="FO203" s="816"/>
      <c r="FP203" s="816"/>
      <c r="FQ203" s="816"/>
      <c r="FR203" s="816"/>
      <c r="FS203" s="816"/>
      <c r="FT203" s="816"/>
      <c r="FU203" s="816"/>
      <c r="FV203" s="816"/>
      <c r="FW203" s="816"/>
      <c r="FX203" s="816"/>
      <c r="FY203" s="816"/>
      <c r="FZ203" s="819"/>
      <c r="GA203" s="816"/>
      <c r="GB203" s="820"/>
      <c r="GC203" s="820"/>
      <c r="GD203" s="820"/>
      <c r="GE203" s="820"/>
      <c r="GF203" s="609"/>
      <c r="GG203" s="609"/>
      <c r="GH203" s="816"/>
      <c r="GI203" s="816"/>
      <c r="GJ203" s="816"/>
      <c r="GK203" s="816"/>
      <c r="GL203" s="816"/>
      <c r="GM203" s="816"/>
      <c r="GN203" s="816"/>
      <c r="GO203" s="816"/>
      <c r="GP203" s="816"/>
      <c r="GQ203" s="816"/>
      <c r="GR203" s="816"/>
      <c r="GS203" s="816"/>
      <c r="GT203" s="818"/>
      <c r="GU203" s="816"/>
      <c r="GV203" s="816"/>
      <c r="GW203" s="816"/>
      <c r="GX203" s="816"/>
      <c r="GY203" s="816"/>
      <c r="GZ203" s="816"/>
      <c r="HA203" s="816"/>
      <c r="HB203" s="609"/>
      <c r="HC203" s="609"/>
      <c r="HD203" s="816"/>
      <c r="HE203" s="816"/>
      <c r="HF203" s="816"/>
      <c r="HG203" s="816"/>
      <c r="HH203" s="816"/>
      <c r="HI203" s="816"/>
      <c r="HJ203" s="609"/>
      <c r="HK203" s="609"/>
      <c r="HL203" s="609"/>
      <c r="HM203" s="816"/>
      <c r="HN203" s="816"/>
      <c r="HO203" s="609"/>
      <c r="HP203" s="609"/>
      <c r="HQ203" s="816"/>
      <c r="HR203" s="816"/>
      <c r="HS203" s="816"/>
      <c r="HT203" s="816"/>
      <c r="HU203" s="816"/>
      <c r="HV203" s="816"/>
      <c r="HW203" s="609"/>
      <c r="HX203" s="609"/>
      <c r="HY203" s="816"/>
      <c r="HZ203" s="816"/>
      <c r="IA203" s="816"/>
      <c r="IB203" s="816"/>
      <c r="IC203" s="816"/>
      <c r="ID203" s="816"/>
      <c r="IE203" s="609"/>
      <c r="IF203" s="609"/>
      <c r="IG203" s="816"/>
      <c r="IH203" s="816"/>
      <c r="II203" s="609"/>
      <c r="IJ203" s="609"/>
      <c r="IK203" s="816"/>
      <c r="IL203" s="816"/>
      <c r="IM203" s="609"/>
      <c r="IN203" s="609"/>
      <c r="IO203" s="816"/>
      <c r="IP203" s="816"/>
      <c r="IQ203" s="816"/>
      <c r="IR203" s="816"/>
      <c r="IS203" s="816"/>
      <c r="IT203" s="816"/>
      <c r="IU203" s="821"/>
      <c r="IV203" s="609"/>
      <c r="IW203" s="816"/>
      <c r="IX203" s="816"/>
      <c r="IY203" s="822"/>
      <c r="IZ203" s="609"/>
      <c r="JA203" s="816"/>
      <c r="JB203" s="816"/>
      <c r="JC203" s="609"/>
      <c r="JD203" s="816"/>
      <c r="JE203" s="816"/>
      <c r="JF203" s="816"/>
      <c r="JG203" s="816"/>
      <c r="JH203" s="816"/>
      <c r="JI203" s="816"/>
      <c r="JJ203" s="816"/>
      <c r="JK203" s="816"/>
      <c r="JL203" s="816"/>
      <c r="JM203" s="816"/>
      <c r="JN203" s="816"/>
      <c r="JO203" s="823"/>
      <c r="JP203" s="824"/>
      <c r="JQ203" s="825"/>
      <c r="JR203" s="825"/>
      <c r="JS203" s="816"/>
      <c r="JU203" s="834"/>
      <c r="JV203" s="834"/>
      <c r="JW203" s="826"/>
      <c r="JX203" s="834"/>
    </row>
    <row r="204" spans="2:284" s="780" customFormat="1">
      <c r="B204" s="609"/>
      <c r="C204" s="609"/>
      <c r="D204" s="609"/>
      <c r="E204" s="609"/>
      <c r="F204" s="609"/>
      <c r="G204" s="609"/>
      <c r="H204" s="609"/>
      <c r="I204" s="609"/>
      <c r="J204" s="609"/>
      <c r="K204" s="609"/>
      <c r="L204" s="609"/>
      <c r="M204" s="609"/>
      <c r="N204" s="609"/>
      <c r="O204" s="609"/>
      <c r="P204" s="609"/>
      <c r="Q204" s="609"/>
      <c r="R204" s="609"/>
      <c r="S204" s="609"/>
      <c r="T204" s="609"/>
      <c r="U204" s="609"/>
      <c r="V204" s="609"/>
      <c r="W204" s="609"/>
      <c r="X204" s="609"/>
      <c r="Y204" s="609"/>
      <c r="Z204" s="609"/>
      <c r="AA204" s="609"/>
      <c r="AB204" s="609"/>
      <c r="AC204" s="609"/>
      <c r="AD204" s="816"/>
      <c r="AE204" s="816"/>
      <c r="AF204" s="816"/>
      <c r="AG204" s="816"/>
      <c r="AH204" s="816"/>
      <c r="AI204" s="816"/>
      <c r="AJ204" s="609"/>
      <c r="AK204" s="609"/>
      <c r="AL204" s="816"/>
      <c r="AM204" s="816"/>
      <c r="AN204" s="609"/>
      <c r="AO204" s="609"/>
      <c r="AP204" s="816"/>
      <c r="AQ204" s="816"/>
      <c r="AR204" s="816"/>
      <c r="AS204" s="816"/>
      <c r="AT204" s="816"/>
      <c r="AU204" s="816"/>
      <c r="AV204" s="609"/>
      <c r="AW204" s="609"/>
      <c r="AX204" s="816"/>
      <c r="AY204" s="816"/>
      <c r="AZ204" s="817"/>
      <c r="BA204" s="609"/>
      <c r="BB204" s="609"/>
      <c r="BC204" s="816"/>
      <c r="BD204" s="816"/>
      <c r="BE204" s="816"/>
      <c r="BF204" s="816"/>
      <c r="BG204" s="816"/>
      <c r="BH204" s="816"/>
      <c r="BI204" s="816"/>
      <c r="BJ204" s="816"/>
      <c r="BK204" s="816"/>
      <c r="BL204" s="816"/>
      <c r="BM204" s="816"/>
      <c r="BN204" s="816"/>
      <c r="BO204" s="816"/>
      <c r="BP204" s="816"/>
      <c r="BQ204" s="816"/>
      <c r="BR204" s="816"/>
      <c r="BS204" s="816"/>
      <c r="BT204" s="816"/>
      <c r="BU204" s="816"/>
      <c r="BV204" s="816"/>
      <c r="BW204" s="816"/>
      <c r="BX204" s="609"/>
      <c r="BY204" s="609"/>
      <c r="BZ204" s="609"/>
      <c r="CA204" s="818"/>
      <c r="CB204" s="816"/>
      <c r="CC204" s="816"/>
      <c r="CD204" s="816"/>
      <c r="CE204" s="816"/>
      <c r="CF204" s="816"/>
      <c r="CG204" s="816"/>
      <c r="CH204" s="816"/>
      <c r="CI204" s="816"/>
      <c r="CJ204" s="819"/>
      <c r="CK204" s="819"/>
      <c r="CL204" s="820"/>
      <c r="CM204" s="820"/>
      <c r="CN204" s="820"/>
      <c r="CO204" s="820"/>
      <c r="CP204" s="820"/>
      <c r="CQ204" s="820"/>
      <c r="CR204" s="609"/>
      <c r="CS204" s="609"/>
      <c r="CT204" s="816"/>
      <c r="CU204" s="816"/>
      <c r="CV204" s="609"/>
      <c r="CW204" s="609"/>
      <c r="CX204" s="816"/>
      <c r="CY204" s="816"/>
      <c r="CZ204" s="609"/>
      <c r="DA204" s="609"/>
      <c r="DB204" s="816"/>
      <c r="DC204" s="816"/>
      <c r="DD204" s="609"/>
      <c r="DE204" s="609"/>
      <c r="DF204" s="816"/>
      <c r="DG204" s="816"/>
      <c r="DH204" s="816"/>
      <c r="DI204" s="816"/>
      <c r="DJ204" s="816"/>
      <c r="DK204" s="816"/>
      <c r="DL204" s="609"/>
      <c r="DM204" s="609"/>
      <c r="DN204" s="816"/>
      <c r="DO204" s="816"/>
      <c r="DP204" s="609"/>
      <c r="DQ204" s="609"/>
      <c r="DR204" s="816"/>
      <c r="DS204" s="816"/>
      <c r="DT204" s="816"/>
      <c r="DU204" s="816"/>
      <c r="DV204" s="816"/>
      <c r="DW204" s="816"/>
      <c r="DX204" s="816"/>
      <c r="DY204" s="816"/>
      <c r="DZ204" s="816"/>
      <c r="EA204" s="816"/>
      <c r="EB204" s="816"/>
      <c r="EC204" s="816"/>
      <c r="ED204" s="816"/>
      <c r="EE204" s="816"/>
      <c r="EF204" s="609"/>
      <c r="EG204" s="609"/>
      <c r="EH204" s="816"/>
      <c r="EI204" s="816"/>
      <c r="EJ204" s="816"/>
      <c r="EK204" s="816"/>
      <c r="EL204" s="816"/>
      <c r="EM204" s="816"/>
      <c r="EN204" s="816"/>
      <c r="EO204" s="816"/>
      <c r="EP204" s="816"/>
      <c r="EQ204" s="816"/>
      <c r="ER204" s="816"/>
      <c r="ES204" s="816"/>
      <c r="ET204" s="816"/>
      <c r="EU204" s="816"/>
      <c r="EV204" s="609"/>
      <c r="EW204" s="609"/>
      <c r="EX204" s="816"/>
      <c r="EY204" s="816"/>
      <c r="EZ204" s="816"/>
      <c r="FA204" s="816"/>
      <c r="FB204" s="816"/>
      <c r="FC204" s="816"/>
      <c r="FD204" s="816"/>
      <c r="FE204" s="816"/>
      <c r="FF204" s="816"/>
      <c r="FG204" s="816"/>
      <c r="FH204" s="816"/>
      <c r="FI204" s="816"/>
      <c r="FJ204" s="816"/>
      <c r="FK204" s="816"/>
      <c r="FL204" s="816"/>
      <c r="FM204" s="816"/>
      <c r="FN204" s="816"/>
      <c r="FO204" s="816"/>
      <c r="FP204" s="816"/>
      <c r="FQ204" s="816"/>
      <c r="FR204" s="816"/>
      <c r="FS204" s="816"/>
      <c r="FT204" s="816"/>
      <c r="FU204" s="816"/>
      <c r="FV204" s="816"/>
      <c r="FW204" s="816"/>
      <c r="FX204" s="816"/>
      <c r="FY204" s="816"/>
      <c r="FZ204" s="819"/>
      <c r="GA204" s="816"/>
      <c r="GB204" s="820"/>
      <c r="GC204" s="820"/>
      <c r="GD204" s="820"/>
      <c r="GE204" s="820"/>
      <c r="GF204" s="609"/>
      <c r="GG204" s="609"/>
      <c r="GH204" s="816"/>
      <c r="GI204" s="816"/>
      <c r="GJ204" s="816"/>
      <c r="GK204" s="816"/>
      <c r="GL204" s="816"/>
      <c r="GM204" s="816"/>
      <c r="GN204" s="816"/>
      <c r="GO204" s="816"/>
      <c r="GP204" s="816"/>
      <c r="GQ204" s="816"/>
      <c r="GR204" s="816"/>
      <c r="GS204" s="816"/>
      <c r="GT204" s="818"/>
      <c r="GU204" s="816"/>
      <c r="GV204" s="816"/>
      <c r="GW204" s="816"/>
      <c r="GX204" s="816"/>
      <c r="GY204" s="816"/>
      <c r="GZ204" s="816"/>
      <c r="HA204" s="816"/>
      <c r="HB204" s="609"/>
      <c r="HC204" s="609"/>
      <c r="HD204" s="816"/>
      <c r="HE204" s="816"/>
      <c r="HF204" s="816"/>
      <c r="HG204" s="816"/>
      <c r="HH204" s="816"/>
      <c r="HI204" s="816"/>
      <c r="HJ204" s="609"/>
      <c r="HK204" s="609"/>
      <c r="HL204" s="609"/>
      <c r="HM204" s="816"/>
      <c r="HN204" s="816"/>
      <c r="HO204" s="609"/>
      <c r="HP204" s="609"/>
      <c r="HQ204" s="816"/>
      <c r="HR204" s="816"/>
      <c r="HS204" s="816"/>
      <c r="HT204" s="816"/>
      <c r="HU204" s="816"/>
      <c r="HV204" s="816"/>
      <c r="HW204" s="609"/>
      <c r="HX204" s="609"/>
      <c r="HY204" s="816"/>
      <c r="HZ204" s="816"/>
      <c r="IA204" s="816"/>
      <c r="IB204" s="816"/>
      <c r="IC204" s="816"/>
      <c r="ID204" s="816"/>
      <c r="IE204" s="609"/>
      <c r="IF204" s="609"/>
      <c r="IG204" s="816"/>
      <c r="IH204" s="816"/>
      <c r="II204" s="609"/>
      <c r="IJ204" s="609"/>
      <c r="IK204" s="816"/>
      <c r="IL204" s="816"/>
      <c r="IM204" s="609"/>
      <c r="IN204" s="609"/>
      <c r="IO204" s="816"/>
      <c r="IP204" s="816"/>
      <c r="IQ204" s="816"/>
      <c r="IR204" s="816"/>
      <c r="IS204" s="816"/>
      <c r="IT204" s="816"/>
      <c r="IU204" s="821"/>
      <c r="IV204" s="609"/>
      <c r="IW204" s="816"/>
      <c r="IX204" s="816"/>
      <c r="IY204" s="822"/>
      <c r="IZ204" s="609"/>
      <c r="JA204" s="816"/>
      <c r="JB204" s="816"/>
      <c r="JC204" s="609"/>
      <c r="JD204" s="816"/>
      <c r="JE204" s="816"/>
      <c r="JF204" s="816"/>
      <c r="JG204" s="816"/>
      <c r="JH204" s="816"/>
      <c r="JI204" s="816"/>
      <c r="JJ204" s="816"/>
      <c r="JK204" s="816"/>
      <c r="JL204" s="816"/>
      <c r="JM204" s="816"/>
      <c r="JN204" s="816"/>
      <c r="JO204" s="823"/>
      <c r="JP204" s="824"/>
      <c r="JQ204" s="825"/>
      <c r="JR204" s="825"/>
      <c r="JS204" s="816"/>
      <c r="JU204" s="834"/>
      <c r="JV204" s="834"/>
      <c r="JW204" s="826"/>
      <c r="JX204" s="834"/>
    </row>
    <row r="205" spans="2:284" s="780" customFormat="1">
      <c r="B205" s="609"/>
      <c r="C205" s="609"/>
      <c r="D205" s="609"/>
      <c r="E205" s="609"/>
      <c r="F205" s="609"/>
      <c r="G205" s="609"/>
      <c r="H205" s="609"/>
      <c r="I205" s="609"/>
      <c r="J205" s="609"/>
      <c r="K205" s="609"/>
      <c r="L205" s="609"/>
      <c r="M205" s="609"/>
      <c r="N205" s="609"/>
      <c r="O205" s="609"/>
      <c r="P205" s="609"/>
      <c r="Q205" s="609"/>
      <c r="R205" s="609"/>
      <c r="S205" s="609"/>
      <c r="T205" s="609"/>
      <c r="U205" s="609"/>
      <c r="V205" s="609"/>
      <c r="W205" s="609"/>
      <c r="X205" s="609"/>
      <c r="Y205" s="609"/>
      <c r="Z205" s="609"/>
      <c r="AA205" s="609"/>
      <c r="AB205" s="609"/>
      <c r="AC205" s="609"/>
      <c r="AD205" s="816"/>
      <c r="AE205" s="816"/>
      <c r="AF205" s="816"/>
      <c r="AG205" s="816"/>
      <c r="AH205" s="816"/>
      <c r="AI205" s="816"/>
      <c r="AJ205" s="609"/>
      <c r="AK205" s="609"/>
      <c r="AL205" s="816"/>
      <c r="AM205" s="816"/>
      <c r="AN205" s="609"/>
      <c r="AO205" s="609"/>
      <c r="AP205" s="816"/>
      <c r="AQ205" s="816"/>
      <c r="AR205" s="816"/>
      <c r="AS205" s="816"/>
      <c r="AT205" s="816"/>
      <c r="AU205" s="816"/>
      <c r="AV205" s="609"/>
      <c r="AW205" s="609"/>
      <c r="AX205" s="816"/>
      <c r="AY205" s="816"/>
      <c r="AZ205" s="817"/>
      <c r="BA205" s="609"/>
      <c r="BB205" s="609"/>
      <c r="BC205" s="816"/>
      <c r="BD205" s="816"/>
      <c r="BE205" s="816"/>
      <c r="BF205" s="816"/>
      <c r="BG205" s="816"/>
      <c r="BH205" s="816"/>
      <c r="BI205" s="816"/>
      <c r="BJ205" s="816"/>
      <c r="BK205" s="816"/>
      <c r="BL205" s="816"/>
      <c r="BM205" s="816"/>
      <c r="BN205" s="816"/>
      <c r="BO205" s="816"/>
      <c r="BP205" s="816"/>
      <c r="BQ205" s="816"/>
      <c r="BR205" s="816"/>
      <c r="BS205" s="816"/>
      <c r="BT205" s="816"/>
      <c r="BU205" s="816"/>
      <c r="BV205" s="816"/>
      <c r="BW205" s="816"/>
      <c r="BX205" s="609"/>
      <c r="BY205" s="609"/>
      <c r="BZ205" s="609"/>
      <c r="CA205" s="818"/>
      <c r="CB205" s="816"/>
      <c r="CC205" s="816"/>
      <c r="CD205" s="816"/>
      <c r="CE205" s="816"/>
      <c r="CF205" s="816"/>
      <c r="CG205" s="816"/>
      <c r="CH205" s="816"/>
      <c r="CI205" s="816"/>
      <c r="CJ205" s="819"/>
      <c r="CK205" s="819"/>
      <c r="CL205" s="820"/>
      <c r="CM205" s="820"/>
      <c r="CN205" s="820"/>
      <c r="CO205" s="820"/>
      <c r="CP205" s="820"/>
      <c r="CQ205" s="820"/>
      <c r="CR205" s="609"/>
      <c r="CS205" s="609"/>
      <c r="CT205" s="816"/>
      <c r="CU205" s="816"/>
      <c r="CV205" s="609"/>
      <c r="CW205" s="609"/>
      <c r="CX205" s="816"/>
      <c r="CY205" s="816"/>
      <c r="CZ205" s="609"/>
      <c r="DA205" s="609"/>
      <c r="DB205" s="816"/>
      <c r="DC205" s="816"/>
      <c r="DD205" s="609"/>
      <c r="DE205" s="609"/>
      <c r="DF205" s="816"/>
      <c r="DG205" s="816"/>
      <c r="DH205" s="816"/>
      <c r="DI205" s="816"/>
      <c r="DJ205" s="816"/>
      <c r="DK205" s="816"/>
      <c r="DL205" s="609"/>
      <c r="DM205" s="609"/>
      <c r="DN205" s="816"/>
      <c r="DO205" s="816"/>
      <c r="DP205" s="609"/>
      <c r="DQ205" s="609"/>
      <c r="DR205" s="816"/>
      <c r="DS205" s="816"/>
      <c r="DT205" s="816"/>
      <c r="DU205" s="816"/>
      <c r="DV205" s="816"/>
      <c r="DW205" s="816"/>
      <c r="DX205" s="816"/>
      <c r="DY205" s="816"/>
      <c r="DZ205" s="816"/>
      <c r="EA205" s="816"/>
      <c r="EB205" s="816"/>
      <c r="EC205" s="816"/>
      <c r="ED205" s="816"/>
      <c r="EE205" s="816"/>
      <c r="EF205" s="609"/>
      <c r="EG205" s="609"/>
      <c r="EH205" s="816"/>
      <c r="EI205" s="816"/>
      <c r="EJ205" s="816"/>
      <c r="EK205" s="816"/>
      <c r="EL205" s="816"/>
      <c r="EM205" s="816"/>
      <c r="EN205" s="816"/>
      <c r="EO205" s="816"/>
      <c r="EP205" s="816"/>
      <c r="EQ205" s="816"/>
      <c r="ER205" s="816"/>
      <c r="ES205" s="816"/>
      <c r="ET205" s="816"/>
      <c r="EU205" s="816"/>
      <c r="EV205" s="609"/>
      <c r="EW205" s="609"/>
      <c r="EX205" s="816"/>
      <c r="EY205" s="816"/>
      <c r="EZ205" s="816"/>
      <c r="FA205" s="816"/>
      <c r="FB205" s="816"/>
      <c r="FC205" s="816"/>
      <c r="FD205" s="816"/>
      <c r="FE205" s="816"/>
      <c r="FF205" s="816"/>
      <c r="FG205" s="816"/>
      <c r="FH205" s="816"/>
      <c r="FI205" s="816"/>
      <c r="FJ205" s="816"/>
      <c r="FK205" s="816"/>
      <c r="FL205" s="816"/>
      <c r="FM205" s="816"/>
      <c r="FN205" s="816"/>
      <c r="FO205" s="816"/>
      <c r="FP205" s="816"/>
      <c r="FQ205" s="816"/>
      <c r="FR205" s="816"/>
      <c r="FS205" s="816"/>
      <c r="FT205" s="816"/>
      <c r="FU205" s="816"/>
      <c r="FV205" s="816"/>
      <c r="FW205" s="816"/>
      <c r="FX205" s="816"/>
      <c r="FY205" s="816"/>
      <c r="FZ205" s="819"/>
      <c r="GA205" s="816"/>
      <c r="GB205" s="820"/>
      <c r="GC205" s="820"/>
      <c r="GD205" s="820"/>
      <c r="GE205" s="820"/>
      <c r="GF205" s="609"/>
      <c r="GG205" s="609"/>
      <c r="GH205" s="816"/>
      <c r="GI205" s="816"/>
      <c r="GJ205" s="816"/>
      <c r="GK205" s="816"/>
      <c r="GL205" s="816"/>
      <c r="GM205" s="816"/>
      <c r="GN205" s="816"/>
      <c r="GO205" s="816"/>
      <c r="GP205" s="816"/>
      <c r="GQ205" s="816"/>
      <c r="GR205" s="816"/>
      <c r="GS205" s="816"/>
      <c r="GT205" s="818"/>
      <c r="GU205" s="816"/>
      <c r="GV205" s="816"/>
      <c r="GW205" s="816"/>
      <c r="GX205" s="816"/>
      <c r="GY205" s="816"/>
      <c r="GZ205" s="816"/>
      <c r="HA205" s="816"/>
      <c r="HB205" s="609"/>
      <c r="HC205" s="609"/>
      <c r="HD205" s="816"/>
      <c r="HE205" s="816"/>
      <c r="HF205" s="816"/>
      <c r="HG205" s="816"/>
      <c r="HH205" s="816"/>
      <c r="HI205" s="816"/>
      <c r="HJ205" s="609"/>
      <c r="HK205" s="609"/>
      <c r="HL205" s="609"/>
      <c r="HM205" s="816"/>
      <c r="HN205" s="816"/>
      <c r="HO205" s="609"/>
      <c r="HP205" s="609"/>
      <c r="HQ205" s="816"/>
      <c r="HR205" s="816"/>
      <c r="HS205" s="816"/>
      <c r="HT205" s="816"/>
      <c r="HU205" s="816"/>
      <c r="HV205" s="816"/>
      <c r="HW205" s="609"/>
      <c r="HX205" s="609"/>
      <c r="HY205" s="816"/>
      <c r="HZ205" s="816"/>
      <c r="IA205" s="816"/>
      <c r="IB205" s="816"/>
      <c r="IC205" s="816"/>
      <c r="ID205" s="816"/>
      <c r="IE205" s="609"/>
      <c r="IF205" s="609"/>
      <c r="IG205" s="816"/>
      <c r="IH205" s="816"/>
      <c r="II205" s="609"/>
      <c r="IJ205" s="609"/>
      <c r="IK205" s="816"/>
      <c r="IL205" s="816"/>
      <c r="IM205" s="609"/>
      <c r="IN205" s="609"/>
      <c r="IO205" s="816"/>
      <c r="IP205" s="816"/>
      <c r="IQ205" s="816"/>
      <c r="IR205" s="816"/>
      <c r="IS205" s="816"/>
      <c r="IT205" s="816"/>
      <c r="IU205" s="821"/>
      <c r="IV205" s="609"/>
      <c r="IW205" s="816"/>
      <c r="IX205" s="816"/>
      <c r="IY205" s="822"/>
      <c r="IZ205" s="609"/>
      <c r="JA205" s="816"/>
      <c r="JB205" s="816"/>
      <c r="JC205" s="609"/>
      <c r="JD205" s="816"/>
      <c r="JE205" s="816"/>
      <c r="JF205" s="816"/>
      <c r="JG205" s="816"/>
      <c r="JH205" s="816"/>
      <c r="JI205" s="816"/>
      <c r="JJ205" s="816"/>
      <c r="JK205" s="816"/>
      <c r="JL205" s="816"/>
      <c r="JM205" s="816"/>
      <c r="JN205" s="816"/>
      <c r="JO205" s="823"/>
      <c r="JP205" s="824"/>
      <c r="JQ205" s="825"/>
      <c r="JR205" s="825"/>
      <c r="JS205" s="816"/>
      <c r="JU205" s="834"/>
      <c r="JV205" s="834"/>
      <c r="JW205" s="826"/>
      <c r="JX205" s="834"/>
    </row>
    <row r="206" spans="2:284" s="780" customFormat="1">
      <c r="B206" s="609"/>
      <c r="C206" s="609"/>
      <c r="D206" s="609"/>
      <c r="E206" s="609"/>
      <c r="F206" s="609"/>
      <c r="G206" s="609"/>
      <c r="H206" s="609"/>
      <c r="I206" s="609"/>
      <c r="J206" s="609"/>
      <c r="K206" s="609"/>
      <c r="L206" s="609"/>
      <c r="M206" s="609"/>
      <c r="N206" s="609"/>
      <c r="O206" s="609"/>
      <c r="P206" s="609"/>
      <c r="Q206" s="609"/>
      <c r="R206" s="609"/>
      <c r="S206" s="609"/>
      <c r="T206" s="609"/>
      <c r="U206" s="609"/>
      <c r="V206" s="609"/>
      <c r="W206" s="609"/>
      <c r="X206" s="609"/>
      <c r="Y206" s="609"/>
      <c r="Z206" s="609"/>
      <c r="AA206" s="609"/>
      <c r="AB206" s="609"/>
      <c r="AC206" s="609"/>
      <c r="AD206" s="816"/>
      <c r="AE206" s="816"/>
      <c r="AF206" s="816"/>
      <c r="AG206" s="816"/>
      <c r="AH206" s="816"/>
      <c r="AI206" s="816"/>
      <c r="AJ206" s="609"/>
      <c r="AK206" s="609"/>
      <c r="AL206" s="816"/>
      <c r="AM206" s="816"/>
      <c r="AN206" s="609"/>
      <c r="AO206" s="609"/>
      <c r="AP206" s="816"/>
      <c r="AQ206" s="816"/>
      <c r="AR206" s="816"/>
      <c r="AS206" s="816"/>
      <c r="AT206" s="816"/>
      <c r="AU206" s="816"/>
      <c r="AV206" s="609"/>
      <c r="AW206" s="609"/>
      <c r="AX206" s="816"/>
      <c r="AY206" s="816"/>
      <c r="AZ206" s="817"/>
      <c r="BA206" s="609"/>
      <c r="BB206" s="609"/>
      <c r="BC206" s="816"/>
      <c r="BD206" s="816"/>
      <c r="BE206" s="816"/>
      <c r="BF206" s="816"/>
      <c r="BG206" s="816"/>
      <c r="BH206" s="816"/>
      <c r="BI206" s="816"/>
      <c r="BJ206" s="816"/>
      <c r="BK206" s="816"/>
      <c r="BL206" s="816"/>
      <c r="BM206" s="816"/>
      <c r="BN206" s="816"/>
      <c r="BO206" s="816"/>
      <c r="BP206" s="816"/>
      <c r="BQ206" s="816"/>
      <c r="BR206" s="816"/>
      <c r="BS206" s="816"/>
      <c r="BT206" s="816"/>
      <c r="BU206" s="816"/>
      <c r="BV206" s="816"/>
      <c r="BW206" s="816"/>
      <c r="BX206" s="609"/>
      <c r="BY206" s="609"/>
      <c r="BZ206" s="609"/>
      <c r="CA206" s="818"/>
      <c r="CB206" s="816"/>
      <c r="CC206" s="816"/>
      <c r="CD206" s="816"/>
      <c r="CE206" s="816"/>
      <c r="CF206" s="816"/>
      <c r="CG206" s="816"/>
      <c r="CH206" s="816"/>
      <c r="CI206" s="816"/>
      <c r="CJ206" s="819"/>
      <c r="CK206" s="819"/>
      <c r="CL206" s="820"/>
      <c r="CM206" s="820"/>
      <c r="CN206" s="820"/>
      <c r="CO206" s="820"/>
      <c r="CP206" s="820"/>
      <c r="CQ206" s="820"/>
      <c r="CR206" s="609"/>
      <c r="CS206" s="609"/>
      <c r="CT206" s="816"/>
      <c r="CU206" s="816"/>
      <c r="CV206" s="609"/>
      <c r="CW206" s="609"/>
      <c r="CX206" s="816"/>
      <c r="CY206" s="816"/>
      <c r="CZ206" s="609"/>
      <c r="DA206" s="609"/>
      <c r="DB206" s="816"/>
      <c r="DC206" s="816"/>
      <c r="DD206" s="609"/>
      <c r="DE206" s="609"/>
      <c r="DF206" s="816"/>
      <c r="DG206" s="816"/>
      <c r="DH206" s="816"/>
      <c r="DI206" s="816"/>
      <c r="DJ206" s="816"/>
      <c r="DK206" s="816"/>
      <c r="DL206" s="609"/>
      <c r="DM206" s="609"/>
      <c r="DN206" s="816"/>
      <c r="DO206" s="816"/>
      <c r="DP206" s="609"/>
      <c r="DQ206" s="609"/>
      <c r="DR206" s="816"/>
      <c r="DS206" s="816"/>
      <c r="DT206" s="816"/>
      <c r="DU206" s="816"/>
      <c r="DV206" s="816"/>
      <c r="DW206" s="816"/>
      <c r="DX206" s="816"/>
      <c r="DY206" s="816"/>
      <c r="DZ206" s="816"/>
      <c r="EA206" s="816"/>
      <c r="EB206" s="816"/>
      <c r="EC206" s="816"/>
      <c r="ED206" s="816"/>
      <c r="EE206" s="816"/>
      <c r="EF206" s="609"/>
      <c r="EG206" s="609"/>
      <c r="EH206" s="816"/>
      <c r="EI206" s="816"/>
      <c r="EJ206" s="816"/>
      <c r="EK206" s="816"/>
      <c r="EL206" s="816"/>
      <c r="EM206" s="816"/>
      <c r="EN206" s="816"/>
      <c r="EO206" s="816"/>
      <c r="EP206" s="816"/>
      <c r="EQ206" s="816"/>
      <c r="ER206" s="816"/>
      <c r="ES206" s="816"/>
      <c r="ET206" s="816"/>
      <c r="EU206" s="816"/>
      <c r="EV206" s="609"/>
      <c r="EW206" s="609"/>
      <c r="EX206" s="816"/>
      <c r="EY206" s="816"/>
      <c r="EZ206" s="816"/>
      <c r="FA206" s="816"/>
      <c r="FB206" s="816"/>
      <c r="FC206" s="816"/>
      <c r="FD206" s="816"/>
      <c r="FE206" s="816"/>
      <c r="FF206" s="816"/>
      <c r="FG206" s="816"/>
      <c r="FH206" s="816"/>
      <c r="FI206" s="816"/>
      <c r="FJ206" s="816"/>
      <c r="FK206" s="816"/>
      <c r="FL206" s="816"/>
      <c r="FM206" s="816"/>
      <c r="FN206" s="816"/>
      <c r="FO206" s="816"/>
      <c r="FP206" s="816"/>
      <c r="FQ206" s="816"/>
      <c r="FR206" s="816"/>
      <c r="FS206" s="816"/>
      <c r="FT206" s="816"/>
      <c r="FU206" s="816"/>
      <c r="FV206" s="816"/>
      <c r="FW206" s="816"/>
      <c r="FX206" s="816"/>
      <c r="FY206" s="816"/>
      <c r="FZ206" s="819"/>
      <c r="GA206" s="816"/>
      <c r="GB206" s="820"/>
      <c r="GC206" s="820"/>
      <c r="GD206" s="820"/>
      <c r="GE206" s="820"/>
      <c r="GF206" s="609"/>
      <c r="GG206" s="609"/>
      <c r="GH206" s="816"/>
      <c r="GI206" s="816"/>
      <c r="GJ206" s="816"/>
      <c r="GK206" s="816"/>
      <c r="GL206" s="816"/>
      <c r="GM206" s="816"/>
      <c r="GN206" s="816"/>
      <c r="GO206" s="816"/>
      <c r="GP206" s="816"/>
      <c r="GQ206" s="816"/>
      <c r="GR206" s="816"/>
      <c r="GS206" s="816"/>
      <c r="GT206" s="818"/>
      <c r="GU206" s="816"/>
      <c r="GV206" s="816"/>
      <c r="GW206" s="816"/>
      <c r="GX206" s="816"/>
      <c r="GY206" s="816"/>
      <c r="GZ206" s="816"/>
      <c r="HA206" s="816"/>
      <c r="HB206" s="609"/>
      <c r="HC206" s="609"/>
      <c r="HD206" s="816"/>
      <c r="HE206" s="816"/>
      <c r="HF206" s="816"/>
      <c r="HG206" s="816"/>
      <c r="HH206" s="816"/>
      <c r="HI206" s="816"/>
      <c r="HJ206" s="609"/>
      <c r="HK206" s="609"/>
      <c r="HL206" s="609"/>
      <c r="HM206" s="816"/>
      <c r="HN206" s="816"/>
      <c r="HO206" s="609"/>
      <c r="HP206" s="609"/>
      <c r="HQ206" s="816"/>
      <c r="HR206" s="816"/>
      <c r="HS206" s="816"/>
      <c r="HT206" s="816"/>
      <c r="HU206" s="816"/>
      <c r="HV206" s="816"/>
      <c r="HW206" s="609"/>
      <c r="HX206" s="609"/>
      <c r="HY206" s="816"/>
      <c r="HZ206" s="816"/>
      <c r="IA206" s="816"/>
      <c r="IB206" s="816"/>
      <c r="IC206" s="816"/>
      <c r="ID206" s="816"/>
      <c r="IE206" s="609"/>
      <c r="IF206" s="609"/>
      <c r="IG206" s="816"/>
      <c r="IH206" s="816"/>
      <c r="II206" s="609"/>
      <c r="IJ206" s="609"/>
      <c r="IK206" s="816"/>
      <c r="IL206" s="816"/>
      <c r="IM206" s="609"/>
      <c r="IN206" s="609"/>
      <c r="IO206" s="816"/>
      <c r="IP206" s="816"/>
      <c r="IQ206" s="816"/>
      <c r="IR206" s="816"/>
      <c r="IS206" s="816"/>
      <c r="IT206" s="816"/>
      <c r="IU206" s="821"/>
      <c r="IV206" s="609"/>
      <c r="IW206" s="816"/>
      <c r="IX206" s="816"/>
      <c r="IY206" s="822"/>
      <c r="IZ206" s="609"/>
      <c r="JA206" s="816"/>
      <c r="JB206" s="816"/>
      <c r="JC206" s="609"/>
      <c r="JD206" s="816"/>
      <c r="JE206" s="816"/>
      <c r="JF206" s="816"/>
      <c r="JG206" s="816"/>
      <c r="JH206" s="816"/>
      <c r="JI206" s="816"/>
      <c r="JJ206" s="816"/>
      <c r="JK206" s="816"/>
      <c r="JL206" s="816"/>
      <c r="JM206" s="816"/>
      <c r="JN206" s="816"/>
      <c r="JO206" s="823"/>
      <c r="JP206" s="824"/>
      <c r="JQ206" s="825"/>
      <c r="JR206" s="825"/>
      <c r="JS206" s="816"/>
      <c r="JU206" s="834"/>
      <c r="JV206" s="834"/>
      <c r="JW206" s="826"/>
      <c r="JX206" s="834"/>
    </row>
    <row r="207" spans="2:284" s="780" customFormat="1">
      <c r="B207" s="609"/>
      <c r="C207" s="609"/>
      <c r="D207" s="609"/>
      <c r="E207" s="609"/>
      <c r="F207" s="609"/>
      <c r="G207" s="609"/>
      <c r="H207" s="609"/>
      <c r="I207" s="609"/>
      <c r="J207" s="609"/>
      <c r="K207" s="609"/>
      <c r="L207" s="609"/>
      <c r="M207" s="609"/>
      <c r="N207" s="609"/>
      <c r="O207" s="609"/>
      <c r="P207" s="609"/>
      <c r="Q207" s="609"/>
      <c r="R207" s="609"/>
      <c r="S207" s="609"/>
      <c r="T207" s="609"/>
      <c r="U207" s="609"/>
      <c r="V207" s="609"/>
      <c r="W207" s="609"/>
      <c r="X207" s="609"/>
      <c r="Y207" s="609"/>
      <c r="Z207" s="609"/>
      <c r="AA207" s="609"/>
      <c r="AB207" s="609"/>
      <c r="AC207" s="609"/>
      <c r="AD207" s="816"/>
      <c r="AE207" s="816"/>
      <c r="AF207" s="816"/>
      <c r="AG207" s="816"/>
      <c r="AH207" s="816"/>
      <c r="AI207" s="816"/>
      <c r="AJ207" s="609"/>
      <c r="AK207" s="609"/>
      <c r="AL207" s="816"/>
      <c r="AM207" s="816"/>
      <c r="AN207" s="609"/>
      <c r="AO207" s="609"/>
      <c r="AP207" s="816"/>
      <c r="AQ207" s="816"/>
      <c r="AR207" s="816"/>
      <c r="AS207" s="816"/>
      <c r="AT207" s="816"/>
      <c r="AU207" s="816"/>
      <c r="AV207" s="609"/>
      <c r="AW207" s="609"/>
      <c r="AX207" s="816"/>
      <c r="AY207" s="816"/>
      <c r="AZ207" s="817"/>
      <c r="BA207" s="609"/>
      <c r="BB207" s="609"/>
      <c r="BC207" s="816"/>
      <c r="BD207" s="816"/>
      <c r="BE207" s="816"/>
      <c r="BF207" s="816"/>
      <c r="BG207" s="816"/>
      <c r="BH207" s="816"/>
      <c r="BI207" s="816"/>
      <c r="BJ207" s="816"/>
      <c r="BK207" s="816"/>
      <c r="BL207" s="816"/>
      <c r="BM207" s="816"/>
      <c r="BN207" s="816"/>
      <c r="BO207" s="816"/>
      <c r="BP207" s="816"/>
      <c r="BQ207" s="816"/>
      <c r="BR207" s="816"/>
      <c r="BS207" s="816"/>
      <c r="BT207" s="816"/>
      <c r="BU207" s="816"/>
      <c r="BV207" s="816"/>
      <c r="BW207" s="816"/>
      <c r="BX207" s="609"/>
      <c r="BY207" s="609"/>
      <c r="BZ207" s="609"/>
      <c r="CA207" s="818"/>
      <c r="CB207" s="816"/>
      <c r="CC207" s="816"/>
      <c r="CD207" s="816"/>
      <c r="CE207" s="816"/>
      <c r="CF207" s="816"/>
      <c r="CG207" s="816"/>
      <c r="CH207" s="816"/>
      <c r="CI207" s="816"/>
      <c r="CJ207" s="819"/>
      <c r="CK207" s="819"/>
      <c r="CL207" s="820"/>
      <c r="CM207" s="820"/>
      <c r="CN207" s="820"/>
      <c r="CO207" s="820"/>
      <c r="CP207" s="820"/>
      <c r="CQ207" s="820"/>
      <c r="CR207" s="609"/>
      <c r="CS207" s="609"/>
      <c r="CT207" s="816"/>
      <c r="CU207" s="816"/>
      <c r="CV207" s="609"/>
      <c r="CW207" s="609"/>
      <c r="CX207" s="816"/>
      <c r="CY207" s="816"/>
      <c r="CZ207" s="609"/>
      <c r="DA207" s="609"/>
      <c r="DB207" s="816"/>
      <c r="DC207" s="816"/>
      <c r="DD207" s="609"/>
      <c r="DE207" s="609"/>
      <c r="DF207" s="816"/>
      <c r="DG207" s="816"/>
      <c r="DH207" s="816"/>
      <c r="DI207" s="816"/>
      <c r="DJ207" s="816"/>
      <c r="DK207" s="816"/>
      <c r="DL207" s="609"/>
      <c r="DM207" s="609"/>
      <c r="DN207" s="816"/>
      <c r="DO207" s="816"/>
      <c r="DP207" s="609"/>
      <c r="DQ207" s="609"/>
      <c r="DR207" s="816"/>
      <c r="DS207" s="816"/>
      <c r="DT207" s="816"/>
      <c r="DU207" s="816"/>
      <c r="DV207" s="816"/>
      <c r="DW207" s="816"/>
      <c r="DX207" s="816"/>
      <c r="DY207" s="816"/>
      <c r="DZ207" s="816"/>
      <c r="EA207" s="816"/>
      <c r="EB207" s="816"/>
      <c r="EC207" s="816"/>
      <c r="ED207" s="816"/>
      <c r="EE207" s="816"/>
      <c r="EF207" s="609"/>
      <c r="EG207" s="609"/>
      <c r="EH207" s="816"/>
      <c r="EI207" s="816"/>
      <c r="EJ207" s="816"/>
      <c r="EK207" s="816"/>
      <c r="EL207" s="816"/>
      <c r="EM207" s="816"/>
      <c r="EN207" s="816"/>
      <c r="EO207" s="816"/>
      <c r="EP207" s="816"/>
      <c r="EQ207" s="816"/>
      <c r="ER207" s="816"/>
      <c r="ES207" s="816"/>
      <c r="ET207" s="816"/>
      <c r="EU207" s="816"/>
      <c r="EV207" s="609"/>
      <c r="EW207" s="609"/>
      <c r="EX207" s="816"/>
      <c r="EY207" s="816"/>
      <c r="EZ207" s="816"/>
      <c r="FA207" s="816"/>
      <c r="FB207" s="816"/>
      <c r="FC207" s="816"/>
      <c r="FD207" s="816"/>
      <c r="FE207" s="816"/>
      <c r="FF207" s="816"/>
      <c r="FG207" s="816"/>
      <c r="FH207" s="816"/>
      <c r="FI207" s="816"/>
      <c r="FJ207" s="816"/>
      <c r="FK207" s="816"/>
      <c r="FL207" s="816"/>
      <c r="FM207" s="816"/>
      <c r="FN207" s="816"/>
      <c r="FO207" s="816"/>
      <c r="FP207" s="816"/>
      <c r="FQ207" s="816"/>
      <c r="FR207" s="816"/>
      <c r="FS207" s="816"/>
      <c r="FT207" s="816"/>
      <c r="FU207" s="816"/>
      <c r="FV207" s="816"/>
      <c r="FW207" s="816"/>
      <c r="FX207" s="816"/>
      <c r="FY207" s="816"/>
      <c r="FZ207" s="819"/>
      <c r="GA207" s="816"/>
      <c r="GB207" s="820"/>
      <c r="GC207" s="820"/>
      <c r="GD207" s="820"/>
      <c r="GE207" s="820"/>
      <c r="GF207" s="609"/>
      <c r="GG207" s="609"/>
      <c r="GH207" s="816"/>
      <c r="GI207" s="816"/>
      <c r="GJ207" s="816"/>
      <c r="GK207" s="816"/>
      <c r="GL207" s="816"/>
      <c r="GM207" s="816"/>
      <c r="GN207" s="816"/>
      <c r="GO207" s="816"/>
      <c r="GP207" s="816"/>
      <c r="GQ207" s="816"/>
      <c r="GR207" s="816"/>
      <c r="GS207" s="816"/>
      <c r="GT207" s="818"/>
      <c r="GU207" s="816"/>
      <c r="GV207" s="816"/>
      <c r="GW207" s="816"/>
      <c r="GX207" s="816"/>
      <c r="GY207" s="816"/>
      <c r="GZ207" s="816"/>
      <c r="HA207" s="816"/>
      <c r="HB207" s="609"/>
      <c r="HC207" s="609"/>
      <c r="HD207" s="816"/>
      <c r="HE207" s="816"/>
      <c r="HF207" s="816"/>
      <c r="HG207" s="816"/>
      <c r="HH207" s="816"/>
      <c r="HI207" s="816"/>
      <c r="HJ207" s="609"/>
      <c r="HK207" s="609"/>
      <c r="HL207" s="609"/>
      <c r="HM207" s="816"/>
      <c r="HN207" s="816"/>
      <c r="HO207" s="609"/>
      <c r="HP207" s="609"/>
      <c r="HQ207" s="816"/>
      <c r="HR207" s="816"/>
      <c r="HS207" s="816"/>
      <c r="HT207" s="816"/>
      <c r="HU207" s="816"/>
      <c r="HV207" s="816"/>
      <c r="HW207" s="609"/>
      <c r="HX207" s="609"/>
      <c r="HY207" s="816"/>
      <c r="HZ207" s="816"/>
      <c r="IA207" s="816"/>
      <c r="IB207" s="816"/>
      <c r="IC207" s="816"/>
      <c r="ID207" s="816"/>
      <c r="IE207" s="609"/>
      <c r="IF207" s="609"/>
      <c r="IG207" s="816"/>
      <c r="IH207" s="816"/>
      <c r="II207" s="609"/>
      <c r="IJ207" s="609"/>
      <c r="IK207" s="816"/>
      <c r="IL207" s="816"/>
      <c r="IM207" s="609"/>
      <c r="IN207" s="609"/>
      <c r="IO207" s="816"/>
      <c r="IP207" s="816"/>
      <c r="IQ207" s="816"/>
      <c r="IR207" s="816"/>
      <c r="IS207" s="816"/>
      <c r="IT207" s="816"/>
      <c r="IU207" s="821"/>
      <c r="IV207" s="609"/>
      <c r="IW207" s="816"/>
      <c r="IX207" s="816"/>
      <c r="IY207" s="822"/>
      <c r="IZ207" s="609"/>
      <c r="JA207" s="816"/>
      <c r="JB207" s="816"/>
      <c r="JC207" s="609"/>
      <c r="JD207" s="816"/>
      <c r="JE207" s="816"/>
      <c r="JF207" s="816"/>
      <c r="JG207" s="816"/>
      <c r="JH207" s="816"/>
      <c r="JI207" s="816"/>
      <c r="JJ207" s="816"/>
      <c r="JK207" s="816"/>
      <c r="JL207" s="816"/>
      <c r="JM207" s="816"/>
      <c r="JN207" s="816"/>
      <c r="JO207" s="823"/>
      <c r="JP207" s="824"/>
      <c r="JQ207" s="825"/>
      <c r="JR207" s="825"/>
      <c r="JS207" s="816"/>
      <c r="JU207" s="834"/>
      <c r="JV207" s="834"/>
      <c r="JW207" s="826"/>
      <c r="JX207" s="834"/>
    </row>
    <row r="208" spans="2:284" s="780" customFormat="1">
      <c r="B208" s="609"/>
      <c r="C208" s="609"/>
      <c r="D208" s="609"/>
      <c r="E208" s="609"/>
      <c r="F208" s="609"/>
      <c r="G208" s="609"/>
      <c r="H208" s="609"/>
      <c r="I208" s="609"/>
      <c r="J208" s="609"/>
      <c r="K208" s="609"/>
      <c r="L208" s="609"/>
      <c r="M208" s="609"/>
      <c r="N208" s="609"/>
      <c r="O208" s="609"/>
      <c r="P208" s="609"/>
      <c r="Q208" s="609"/>
      <c r="R208" s="609"/>
      <c r="S208" s="609"/>
      <c r="T208" s="609"/>
      <c r="U208" s="609"/>
      <c r="V208" s="609"/>
      <c r="W208" s="609"/>
      <c r="X208" s="609"/>
      <c r="Y208" s="609"/>
      <c r="Z208" s="609"/>
      <c r="AA208" s="609"/>
      <c r="AB208" s="609"/>
      <c r="AC208" s="609"/>
      <c r="AD208" s="816"/>
      <c r="AE208" s="816"/>
      <c r="AF208" s="816"/>
      <c r="AG208" s="816"/>
      <c r="AH208" s="816"/>
      <c r="AI208" s="816"/>
      <c r="AJ208" s="609"/>
      <c r="AK208" s="609"/>
      <c r="AL208" s="816"/>
      <c r="AM208" s="816"/>
      <c r="AN208" s="609"/>
      <c r="AO208" s="609"/>
      <c r="AP208" s="816"/>
      <c r="AQ208" s="816"/>
      <c r="AR208" s="816"/>
      <c r="AS208" s="816"/>
      <c r="AT208" s="816"/>
      <c r="AU208" s="816"/>
      <c r="AV208" s="609"/>
      <c r="AW208" s="609"/>
      <c r="AX208" s="816"/>
      <c r="AY208" s="816"/>
      <c r="AZ208" s="817"/>
      <c r="BA208" s="609"/>
      <c r="BB208" s="609"/>
      <c r="BC208" s="816"/>
      <c r="BD208" s="816"/>
      <c r="BE208" s="816"/>
      <c r="BF208" s="816"/>
      <c r="BG208" s="816"/>
      <c r="BH208" s="816"/>
      <c r="BI208" s="816"/>
      <c r="BJ208" s="816"/>
      <c r="BK208" s="816"/>
      <c r="BL208" s="816"/>
      <c r="BM208" s="816"/>
      <c r="BN208" s="816"/>
      <c r="BO208" s="816"/>
      <c r="BP208" s="816"/>
      <c r="BQ208" s="816"/>
      <c r="BR208" s="816"/>
      <c r="BS208" s="816"/>
      <c r="BT208" s="816"/>
      <c r="BU208" s="816"/>
      <c r="BV208" s="816"/>
      <c r="BW208" s="816"/>
      <c r="BX208" s="609"/>
      <c r="BY208" s="609"/>
      <c r="BZ208" s="609"/>
      <c r="CA208" s="818"/>
      <c r="CB208" s="816"/>
      <c r="CC208" s="816"/>
      <c r="CD208" s="816"/>
      <c r="CE208" s="816"/>
      <c r="CF208" s="816"/>
      <c r="CG208" s="816"/>
      <c r="CH208" s="816"/>
      <c r="CI208" s="816"/>
      <c r="CJ208" s="819"/>
      <c r="CK208" s="819"/>
      <c r="CL208" s="820"/>
      <c r="CM208" s="820"/>
      <c r="CN208" s="820"/>
      <c r="CO208" s="820"/>
      <c r="CP208" s="820"/>
      <c r="CQ208" s="820"/>
      <c r="CR208" s="609"/>
      <c r="CS208" s="609"/>
      <c r="CT208" s="816"/>
      <c r="CU208" s="816"/>
      <c r="CV208" s="609"/>
      <c r="CW208" s="609"/>
      <c r="CX208" s="816"/>
      <c r="CY208" s="816"/>
      <c r="CZ208" s="609"/>
      <c r="DA208" s="609"/>
      <c r="DB208" s="816"/>
      <c r="DC208" s="816"/>
      <c r="DD208" s="609"/>
      <c r="DE208" s="609"/>
      <c r="DF208" s="816"/>
      <c r="DG208" s="816"/>
      <c r="DH208" s="816"/>
      <c r="DI208" s="816"/>
      <c r="DJ208" s="816"/>
      <c r="DK208" s="816"/>
      <c r="DL208" s="609"/>
      <c r="DM208" s="609"/>
      <c r="DN208" s="816"/>
      <c r="DO208" s="816"/>
      <c r="DP208" s="609"/>
      <c r="DQ208" s="609"/>
      <c r="DR208" s="816"/>
      <c r="DS208" s="816"/>
      <c r="DT208" s="816"/>
      <c r="DU208" s="816"/>
      <c r="DV208" s="816"/>
      <c r="DW208" s="816"/>
      <c r="DX208" s="816"/>
      <c r="DY208" s="816"/>
      <c r="DZ208" s="816"/>
      <c r="EA208" s="816"/>
      <c r="EB208" s="816"/>
      <c r="EC208" s="816"/>
      <c r="ED208" s="816"/>
      <c r="EE208" s="816"/>
      <c r="EF208" s="609"/>
      <c r="EG208" s="609"/>
      <c r="EH208" s="816"/>
      <c r="EI208" s="816"/>
      <c r="EJ208" s="816"/>
      <c r="EK208" s="816"/>
      <c r="EL208" s="816"/>
      <c r="EM208" s="816"/>
      <c r="EN208" s="816"/>
      <c r="EO208" s="816"/>
      <c r="EP208" s="816"/>
      <c r="EQ208" s="816"/>
      <c r="ER208" s="816"/>
      <c r="ES208" s="816"/>
      <c r="ET208" s="816"/>
      <c r="EU208" s="816"/>
      <c r="EV208" s="609"/>
      <c r="EW208" s="609"/>
      <c r="EX208" s="816"/>
      <c r="EY208" s="816"/>
      <c r="EZ208" s="816"/>
      <c r="FA208" s="816"/>
      <c r="FB208" s="816"/>
      <c r="FC208" s="816"/>
      <c r="FD208" s="816"/>
      <c r="FE208" s="816"/>
      <c r="FF208" s="816"/>
      <c r="FG208" s="816"/>
      <c r="FH208" s="816"/>
      <c r="FI208" s="816"/>
      <c r="FJ208" s="816"/>
      <c r="FK208" s="816"/>
      <c r="FL208" s="816"/>
      <c r="FM208" s="816"/>
      <c r="FN208" s="816"/>
      <c r="FO208" s="816"/>
      <c r="FP208" s="816"/>
      <c r="FQ208" s="816"/>
      <c r="FR208" s="816"/>
      <c r="FS208" s="816"/>
      <c r="FT208" s="816"/>
      <c r="FU208" s="816"/>
      <c r="FV208" s="816"/>
      <c r="FW208" s="816"/>
      <c r="FX208" s="816"/>
      <c r="FY208" s="816"/>
      <c r="FZ208" s="819"/>
      <c r="GA208" s="816"/>
      <c r="GB208" s="820"/>
      <c r="GC208" s="820"/>
      <c r="GD208" s="820"/>
      <c r="GE208" s="820"/>
      <c r="GF208" s="609"/>
      <c r="GG208" s="609"/>
      <c r="GH208" s="816"/>
      <c r="GI208" s="816"/>
      <c r="GJ208" s="816"/>
      <c r="GK208" s="816"/>
      <c r="GL208" s="816"/>
      <c r="GM208" s="816"/>
      <c r="GN208" s="816"/>
      <c r="GO208" s="816"/>
      <c r="GP208" s="816"/>
      <c r="GQ208" s="816"/>
      <c r="GR208" s="816"/>
      <c r="GS208" s="816"/>
      <c r="GT208" s="818"/>
      <c r="GU208" s="816"/>
      <c r="GV208" s="816"/>
      <c r="GW208" s="816"/>
      <c r="GX208" s="816"/>
      <c r="GY208" s="816"/>
      <c r="GZ208" s="816"/>
      <c r="HA208" s="816"/>
      <c r="HB208" s="609"/>
      <c r="HC208" s="609"/>
      <c r="HD208" s="816"/>
      <c r="HE208" s="816"/>
      <c r="HF208" s="816"/>
      <c r="HG208" s="816"/>
      <c r="HH208" s="816"/>
      <c r="HI208" s="816"/>
      <c r="HJ208" s="609"/>
      <c r="HK208" s="609"/>
      <c r="HL208" s="609"/>
      <c r="HM208" s="816"/>
      <c r="HN208" s="816"/>
      <c r="HO208" s="609"/>
      <c r="HP208" s="609"/>
      <c r="HQ208" s="816"/>
      <c r="HR208" s="816"/>
      <c r="HS208" s="816"/>
      <c r="HT208" s="816"/>
      <c r="HU208" s="816"/>
      <c r="HV208" s="816"/>
      <c r="HW208" s="609"/>
      <c r="HX208" s="609"/>
      <c r="HY208" s="816"/>
      <c r="HZ208" s="816"/>
      <c r="IA208" s="816"/>
      <c r="IB208" s="816"/>
      <c r="IC208" s="816"/>
      <c r="ID208" s="816"/>
      <c r="IE208" s="609"/>
      <c r="IF208" s="609"/>
      <c r="IG208" s="816"/>
      <c r="IH208" s="816"/>
      <c r="II208" s="609"/>
      <c r="IJ208" s="609"/>
      <c r="IK208" s="816"/>
      <c r="IL208" s="816"/>
      <c r="IM208" s="609"/>
      <c r="IN208" s="609"/>
      <c r="IO208" s="816"/>
      <c r="IP208" s="816"/>
      <c r="IQ208" s="816"/>
      <c r="IR208" s="816"/>
      <c r="IS208" s="816"/>
      <c r="IT208" s="816"/>
      <c r="IU208" s="821"/>
      <c r="IV208" s="609"/>
      <c r="IW208" s="816"/>
      <c r="IX208" s="816"/>
      <c r="IY208" s="822"/>
      <c r="IZ208" s="609"/>
      <c r="JA208" s="816"/>
      <c r="JB208" s="816"/>
      <c r="JC208" s="609"/>
      <c r="JD208" s="816"/>
      <c r="JE208" s="816"/>
      <c r="JF208" s="816"/>
      <c r="JG208" s="816"/>
      <c r="JH208" s="816"/>
      <c r="JI208" s="816"/>
      <c r="JJ208" s="816"/>
      <c r="JK208" s="816"/>
      <c r="JL208" s="816"/>
      <c r="JM208" s="816"/>
      <c r="JN208" s="816"/>
      <c r="JO208" s="823"/>
      <c r="JP208" s="824"/>
      <c r="JQ208" s="825"/>
      <c r="JR208" s="825"/>
      <c r="JS208" s="816"/>
      <c r="JU208" s="834"/>
      <c r="JV208" s="834"/>
      <c r="JW208" s="826"/>
      <c r="JX208" s="834"/>
    </row>
    <row r="209" spans="2:284" s="780" customFormat="1">
      <c r="B209" s="609"/>
      <c r="C209" s="609"/>
      <c r="D209" s="609"/>
      <c r="E209" s="609"/>
      <c r="F209" s="609"/>
      <c r="G209" s="609"/>
      <c r="H209" s="609"/>
      <c r="I209" s="609"/>
      <c r="J209" s="609"/>
      <c r="K209" s="609"/>
      <c r="L209" s="609"/>
      <c r="M209" s="609"/>
      <c r="N209" s="609"/>
      <c r="O209" s="609"/>
      <c r="P209" s="609"/>
      <c r="Q209" s="609"/>
      <c r="R209" s="609"/>
      <c r="S209" s="609"/>
      <c r="T209" s="609"/>
      <c r="U209" s="609"/>
      <c r="V209" s="609"/>
      <c r="W209" s="609"/>
      <c r="X209" s="609"/>
      <c r="Y209" s="609"/>
      <c r="Z209" s="609"/>
      <c r="AA209" s="609"/>
      <c r="AB209" s="609"/>
      <c r="AC209" s="609"/>
      <c r="AD209" s="816"/>
      <c r="AE209" s="816"/>
      <c r="AF209" s="816"/>
      <c r="AG209" s="816"/>
      <c r="AH209" s="816"/>
      <c r="AI209" s="816"/>
      <c r="AJ209" s="609"/>
      <c r="AK209" s="609"/>
      <c r="AL209" s="816"/>
      <c r="AM209" s="816"/>
      <c r="AN209" s="609"/>
      <c r="AO209" s="609"/>
      <c r="AP209" s="816"/>
      <c r="AQ209" s="816"/>
      <c r="AR209" s="816"/>
      <c r="AS209" s="816"/>
      <c r="AT209" s="816"/>
      <c r="AU209" s="816"/>
      <c r="AV209" s="609"/>
      <c r="AW209" s="609"/>
      <c r="AX209" s="816"/>
      <c r="AY209" s="816"/>
      <c r="AZ209" s="817"/>
      <c r="BA209" s="609"/>
      <c r="BB209" s="609"/>
      <c r="BC209" s="816"/>
      <c r="BD209" s="816"/>
      <c r="BE209" s="816"/>
      <c r="BF209" s="816"/>
      <c r="BG209" s="816"/>
      <c r="BH209" s="816"/>
      <c r="BI209" s="816"/>
      <c r="BJ209" s="816"/>
      <c r="BK209" s="816"/>
      <c r="BL209" s="816"/>
      <c r="BM209" s="816"/>
      <c r="BN209" s="816"/>
      <c r="BO209" s="816"/>
      <c r="BP209" s="816"/>
      <c r="BQ209" s="816"/>
      <c r="BR209" s="816"/>
      <c r="BS209" s="816"/>
      <c r="BT209" s="816"/>
      <c r="BU209" s="816"/>
      <c r="BV209" s="816"/>
      <c r="BW209" s="816"/>
      <c r="BX209" s="609"/>
      <c r="BY209" s="609"/>
      <c r="BZ209" s="609"/>
      <c r="CA209" s="818"/>
      <c r="CB209" s="816"/>
      <c r="CC209" s="816"/>
      <c r="CD209" s="816"/>
      <c r="CE209" s="816"/>
      <c r="CF209" s="816"/>
      <c r="CG209" s="816"/>
      <c r="CH209" s="816"/>
      <c r="CI209" s="816"/>
      <c r="CJ209" s="819"/>
      <c r="CK209" s="819"/>
      <c r="CL209" s="820"/>
      <c r="CM209" s="820"/>
      <c r="CN209" s="820"/>
      <c r="CO209" s="820"/>
      <c r="CP209" s="820"/>
      <c r="CQ209" s="820"/>
      <c r="CR209" s="609"/>
      <c r="CS209" s="609"/>
      <c r="CT209" s="816"/>
      <c r="CU209" s="816"/>
      <c r="CV209" s="609"/>
      <c r="CW209" s="609"/>
      <c r="CX209" s="816"/>
      <c r="CY209" s="816"/>
      <c r="CZ209" s="609"/>
      <c r="DA209" s="609"/>
      <c r="DB209" s="816"/>
      <c r="DC209" s="816"/>
      <c r="DD209" s="609"/>
      <c r="DE209" s="609"/>
      <c r="DF209" s="816"/>
      <c r="DG209" s="816"/>
      <c r="DH209" s="816"/>
      <c r="DI209" s="816"/>
      <c r="DJ209" s="816"/>
      <c r="DK209" s="816"/>
      <c r="DL209" s="609"/>
      <c r="DM209" s="609"/>
      <c r="DN209" s="816"/>
      <c r="DO209" s="816"/>
      <c r="DP209" s="609"/>
      <c r="DQ209" s="609"/>
      <c r="DR209" s="816"/>
      <c r="DS209" s="816"/>
      <c r="DT209" s="816"/>
      <c r="DU209" s="816"/>
      <c r="DV209" s="816"/>
      <c r="DW209" s="816"/>
      <c r="DX209" s="816"/>
      <c r="DY209" s="816"/>
      <c r="DZ209" s="816"/>
      <c r="EA209" s="816"/>
      <c r="EB209" s="816"/>
      <c r="EC209" s="816"/>
      <c r="ED209" s="816"/>
      <c r="EE209" s="816"/>
      <c r="EF209" s="609"/>
      <c r="EG209" s="609"/>
      <c r="EH209" s="816"/>
      <c r="EI209" s="816"/>
      <c r="EJ209" s="816"/>
      <c r="EK209" s="816"/>
      <c r="EL209" s="816"/>
      <c r="EM209" s="816"/>
      <c r="EN209" s="816"/>
      <c r="EO209" s="816"/>
      <c r="EP209" s="816"/>
      <c r="EQ209" s="816"/>
      <c r="ER209" s="816"/>
      <c r="ES209" s="816"/>
      <c r="ET209" s="816"/>
      <c r="EU209" s="816"/>
      <c r="EV209" s="609"/>
      <c r="EW209" s="609"/>
      <c r="EX209" s="816"/>
      <c r="EY209" s="816"/>
      <c r="EZ209" s="816"/>
      <c r="FA209" s="816"/>
      <c r="FB209" s="816"/>
      <c r="FC209" s="816"/>
      <c r="FD209" s="816"/>
      <c r="FE209" s="816"/>
      <c r="FF209" s="816"/>
      <c r="FG209" s="816"/>
      <c r="FH209" s="816"/>
      <c r="FI209" s="816"/>
      <c r="FJ209" s="816"/>
      <c r="FK209" s="816"/>
      <c r="FL209" s="816"/>
      <c r="FM209" s="816"/>
      <c r="FN209" s="816"/>
      <c r="FO209" s="816"/>
      <c r="FP209" s="816"/>
      <c r="FQ209" s="816"/>
      <c r="FR209" s="816"/>
      <c r="FS209" s="816"/>
      <c r="FT209" s="816"/>
      <c r="FU209" s="816"/>
      <c r="FV209" s="816"/>
      <c r="FW209" s="816"/>
      <c r="FX209" s="816"/>
      <c r="FY209" s="816"/>
      <c r="FZ209" s="819"/>
      <c r="GA209" s="816"/>
      <c r="GB209" s="820"/>
      <c r="GC209" s="820"/>
      <c r="GD209" s="820"/>
      <c r="GE209" s="820"/>
      <c r="GF209" s="609"/>
      <c r="GG209" s="609"/>
      <c r="GH209" s="816"/>
      <c r="GI209" s="816"/>
      <c r="GJ209" s="816"/>
      <c r="GK209" s="816"/>
      <c r="GL209" s="816"/>
      <c r="GM209" s="816"/>
      <c r="GN209" s="816"/>
      <c r="GO209" s="816"/>
      <c r="GP209" s="816"/>
      <c r="GQ209" s="816"/>
      <c r="GR209" s="816"/>
      <c r="GS209" s="816"/>
      <c r="GT209" s="818"/>
      <c r="GU209" s="816"/>
      <c r="GV209" s="816"/>
      <c r="GW209" s="816"/>
      <c r="GX209" s="816"/>
      <c r="GY209" s="816"/>
      <c r="GZ209" s="816"/>
      <c r="HA209" s="816"/>
      <c r="HB209" s="609"/>
      <c r="HC209" s="609"/>
      <c r="HD209" s="816"/>
      <c r="HE209" s="816"/>
      <c r="HF209" s="816"/>
      <c r="HG209" s="816"/>
      <c r="HH209" s="816"/>
      <c r="HI209" s="816"/>
      <c r="HJ209" s="609"/>
      <c r="HK209" s="609"/>
      <c r="HL209" s="609"/>
      <c r="HM209" s="816"/>
      <c r="HN209" s="816"/>
      <c r="HO209" s="609"/>
      <c r="HP209" s="609"/>
      <c r="HQ209" s="816"/>
      <c r="HR209" s="816"/>
      <c r="HS209" s="816"/>
      <c r="HT209" s="816"/>
      <c r="HU209" s="816"/>
      <c r="HV209" s="816"/>
      <c r="HW209" s="609"/>
      <c r="HX209" s="609"/>
      <c r="HY209" s="816"/>
      <c r="HZ209" s="816"/>
      <c r="IA209" s="816"/>
      <c r="IB209" s="816"/>
      <c r="IC209" s="816"/>
      <c r="ID209" s="816"/>
      <c r="IE209" s="609"/>
      <c r="IF209" s="609"/>
      <c r="IG209" s="816"/>
      <c r="IH209" s="816"/>
      <c r="II209" s="609"/>
      <c r="IJ209" s="609"/>
      <c r="IK209" s="816"/>
      <c r="IL209" s="816"/>
      <c r="IM209" s="609"/>
      <c r="IN209" s="609"/>
      <c r="IO209" s="816"/>
      <c r="IP209" s="816"/>
      <c r="IQ209" s="816"/>
      <c r="IR209" s="816"/>
      <c r="IS209" s="816"/>
      <c r="IT209" s="816"/>
      <c r="IU209" s="821"/>
      <c r="IV209" s="609"/>
      <c r="IW209" s="816"/>
      <c r="IX209" s="816"/>
      <c r="IY209" s="822"/>
      <c r="IZ209" s="609"/>
      <c r="JA209" s="816"/>
      <c r="JB209" s="816"/>
      <c r="JC209" s="609"/>
      <c r="JD209" s="816"/>
      <c r="JE209" s="816"/>
      <c r="JF209" s="816"/>
      <c r="JG209" s="816"/>
      <c r="JH209" s="816"/>
      <c r="JI209" s="816"/>
      <c r="JJ209" s="816"/>
      <c r="JK209" s="816"/>
      <c r="JL209" s="816"/>
      <c r="JM209" s="816"/>
      <c r="JN209" s="816"/>
      <c r="JO209" s="823"/>
      <c r="JP209" s="824"/>
      <c r="JQ209" s="825"/>
      <c r="JR209" s="825"/>
      <c r="JS209" s="816"/>
      <c r="JU209" s="834"/>
      <c r="JV209" s="834"/>
      <c r="JW209" s="826"/>
      <c r="JX209" s="834"/>
    </row>
    <row r="210" spans="2:284" s="780" customFormat="1">
      <c r="B210" s="609"/>
      <c r="C210" s="609"/>
      <c r="D210" s="609"/>
      <c r="E210" s="609"/>
      <c r="F210" s="609"/>
      <c r="G210" s="609"/>
      <c r="H210" s="609"/>
      <c r="I210" s="609"/>
      <c r="J210" s="609"/>
      <c r="K210" s="609"/>
      <c r="L210" s="609"/>
      <c r="M210" s="609"/>
      <c r="N210" s="609"/>
      <c r="O210" s="609"/>
      <c r="P210" s="609"/>
      <c r="Q210" s="609"/>
      <c r="R210" s="609"/>
      <c r="S210" s="609"/>
      <c r="T210" s="609"/>
      <c r="U210" s="609"/>
      <c r="V210" s="609"/>
      <c r="W210" s="609"/>
      <c r="X210" s="609"/>
      <c r="Y210" s="609"/>
      <c r="Z210" s="609"/>
      <c r="AA210" s="609"/>
      <c r="AB210" s="609"/>
      <c r="AC210" s="609"/>
      <c r="AD210" s="816"/>
      <c r="AE210" s="816"/>
      <c r="AF210" s="816"/>
      <c r="AG210" s="816"/>
      <c r="AH210" s="816"/>
      <c r="AI210" s="816"/>
      <c r="AJ210" s="609"/>
      <c r="AK210" s="609"/>
      <c r="AL210" s="816"/>
      <c r="AM210" s="816"/>
      <c r="AN210" s="609"/>
      <c r="AO210" s="609"/>
      <c r="AP210" s="816"/>
      <c r="AQ210" s="816"/>
      <c r="AR210" s="816"/>
      <c r="AS210" s="816"/>
      <c r="AT210" s="816"/>
      <c r="AU210" s="816"/>
      <c r="AV210" s="609"/>
      <c r="AW210" s="609"/>
      <c r="AX210" s="816"/>
      <c r="AY210" s="816"/>
      <c r="AZ210" s="817"/>
      <c r="BA210" s="609"/>
      <c r="BB210" s="609"/>
      <c r="BC210" s="816"/>
      <c r="BD210" s="816"/>
      <c r="BE210" s="816"/>
      <c r="BF210" s="816"/>
      <c r="BG210" s="816"/>
      <c r="BH210" s="816"/>
      <c r="BI210" s="816"/>
      <c r="BJ210" s="816"/>
      <c r="BK210" s="816"/>
      <c r="BL210" s="816"/>
      <c r="BM210" s="816"/>
      <c r="BN210" s="816"/>
      <c r="BO210" s="816"/>
      <c r="BP210" s="816"/>
      <c r="BQ210" s="816"/>
      <c r="BR210" s="816"/>
      <c r="BS210" s="816"/>
      <c r="BT210" s="816"/>
      <c r="BU210" s="816"/>
      <c r="BV210" s="816"/>
      <c r="BW210" s="816"/>
      <c r="BX210" s="609"/>
      <c r="BY210" s="609"/>
      <c r="BZ210" s="609"/>
      <c r="CA210" s="818"/>
      <c r="CB210" s="816"/>
      <c r="CC210" s="816"/>
      <c r="CD210" s="816"/>
      <c r="CE210" s="816"/>
      <c r="CF210" s="816"/>
      <c r="CG210" s="816"/>
      <c r="CH210" s="816"/>
      <c r="CI210" s="816"/>
      <c r="CJ210" s="819"/>
      <c r="CK210" s="819"/>
      <c r="CL210" s="820"/>
      <c r="CM210" s="820"/>
      <c r="CN210" s="820"/>
      <c r="CO210" s="820"/>
      <c r="CP210" s="820"/>
      <c r="CQ210" s="820"/>
      <c r="CR210" s="609"/>
      <c r="CS210" s="609"/>
      <c r="CT210" s="816"/>
      <c r="CU210" s="816"/>
      <c r="CV210" s="609"/>
      <c r="CW210" s="609"/>
      <c r="CX210" s="816"/>
      <c r="CY210" s="816"/>
      <c r="CZ210" s="609"/>
      <c r="DA210" s="609"/>
      <c r="DB210" s="816"/>
      <c r="DC210" s="816"/>
      <c r="DD210" s="609"/>
      <c r="DE210" s="609"/>
      <c r="DF210" s="816"/>
      <c r="DG210" s="816"/>
      <c r="DH210" s="816"/>
      <c r="DI210" s="816"/>
      <c r="DJ210" s="816"/>
      <c r="DK210" s="816"/>
      <c r="DL210" s="609"/>
      <c r="DM210" s="609"/>
      <c r="DN210" s="816"/>
      <c r="DO210" s="816"/>
      <c r="DP210" s="609"/>
      <c r="DQ210" s="609"/>
      <c r="DR210" s="816"/>
      <c r="DS210" s="816"/>
      <c r="DT210" s="816"/>
      <c r="DU210" s="816"/>
      <c r="DV210" s="816"/>
      <c r="DW210" s="816"/>
      <c r="DX210" s="816"/>
      <c r="DY210" s="816"/>
      <c r="DZ210" s="816"/>
      <c r="EA210" s="816"/>
      <c r="EB210" s="816"/>
      <c r="EC210" s="816"/>
      <c r="ED210" s="816"/>
      <c r="EE210" s="816"/>
      <c r="EF210" s="609"/>
      <c r="EG210" s="609"/>
      <c r="EH210" s="816"/>
      <c r="EI210" s="816"/>
      <c r="EJ210" s="816"/>
      <c r="EK210" s="816"/>
      <c r="EL210" s="816"/>
      <c r="EM210" s="816"/>
      <c r="EN210" s="816"/>
      <c r="EO210" s="816"/>
      <c r="EP210" s="816"/>
      <c r="EQ210" s="816"/>
      <c r="ER210" s="816"/>
      <c r="ES210" s="816"/>
      <c r="ET210" s="816"/>
      <c r="EU210" s="816"/>
      <c r="EV210" s="609"/>
      <c r="EW210" s="609"/>
      <c r="EX210" s="816"/>
      <c r="EY210" s="816"/>
      <c r="EZ210" s="816"/>
      <c r="FA210" s="816"/>
      <c r="FB210" s="816"/>
      <c r="FC210" s="816"/>
      <c r="FD210" s="816"/>
      <c r="FE210" s="816"/>
      <c r="FF210" s="816"/>
      <c r="FG210" s="816"/>
      <c r="FH210" s="816"/>
      <c r="FI210" s="816"/>
      <c r="FJ210" s="816"/>
      <c r="FK210" s="816"/>
      <c r="FL210" s="816"/>
      <c r="FM210" s="816"/>
      <c r="FN210" s="816"/>
      <c r="FO210" s="816"/>
      <c r="FP210" s="816"/>
      <c r="FQ210" s="816"/>
      <c r="FR210" s="816"/>
      <c r="FS210" s="816"/>
      <c r="FT210" s="816"/>
      <c r="FU210" s="816"/>
      <c r="FV210" s="816"/>
      <c r="FW210" s="816"/>
      <c r="FX210" s="816"/>
      <c r="FY210" s="816"/>
      <c r="FZ210" s="819"/>
      <c r="GA210" s="816"/>
      <c r="GB210" s="820"/>
      <c r="GC210" s="820"/>
      <c r="GD210" s="820"/>
      <c r="GE210" s="820"/>
      <c r="GF210" s="609"/>
      <c r="GG210" s="609"/>
      <c r="GH210" s="816"/>
      <c r="GI210" s="816"/>
      <c r="GJ210" s="816"/>
      <c r="GK210" s="816"/>
      <c r="GL210" s="816"/>
      <c r="GM210" s="816"/>
      <c r="GN210" s="816"/>
      <c r="GO210" s="816"/>
      <c r="GP210" s="816"/>
      <c r="GQ210" s="816"/>
      <c r="GR210" s="816"/>
      <c r="GS210" s="816"/>
      <c r="GT210" s="818"/>
      <c r="GU210" s="816"/>
      <c r="GV210" s="816"/>
      <c r="GW210" s="816"/>
      <c r="GX210" s="816"/>
      <c r="GY210" s="816"/>
      <c r="GZ210" s="816"/>
      <c r="HA210" s="816"/>
      <c r="HB210" s="609"/>
      <c r="HC210" s="609"/>
      <c r="HD210" s="816"/>
      <c r="HE210" s="816"/>
      <c r="HF210" s="816"/>
      <c r="HG210" s="816"/>
      <c r="HH210" s="816"/>
      <c r="HI210" s="816"/>
      <c r="HJ210" s="609"/>
      <c r="HK210" s="609"/>
      <c r="HL210" s="609"/>
      <c r="HM210" s="816"/>
      <c r="HN210" s="816"/>
      <c r="HO210" s="609"/>
      <c r="HP210" s="609"/>
      <c r="HQ210" s="816"/>
      <c r="HR210" s="816"/>
      <c r="HS210" s="816"/>
      <c r="HT210" s="816"/>
      <c r="HU210" s="816"/>
      <c r="HV210" s="816"/>
      <c r="HW210" s="609"/>
      <c r="HX210" s="609"/>
      <c r="HY210" s="816"/>
      <c r="HZ210" s="816"/>
      <c r="IA210" s="816"/>
      <c r="IB210" s="816"/>
      <c r="IC210" s="816"/>
      <c r="ID210" s="816"/>
      <c r="IE210" s="609"/>
      <c r="IF210" s="609"/>
      <c r="IG210" s="816"/>
      <c r="IH210" s="816"/>
      <c r="II210" s="609"/>
      <c r="IJ210" s="609"/>
      <c r="IK210" s="816"/>
      <c r="IL210" s="816"/>
      <c r="IM210" s="609"/>
      <c r="IN210" s="609"/>
      <c r="IO210" s="816"/>
      <c r="IP210" s="816"/>
      <c r="IQ210" s="816"/>
      <c r="IR210" s="816"/>
      <c r="IS210" s="816"/>
      <c r="IT210" s="816"/>
      <c r="IU210" s="821"/>
      <c r="IV210" s="609"/>
      <c r="IW210" s="816"/>
      <c r="IX210" s="816"/>
      <c r="IY210" s="822"/>
      <c r="IZ210" s="609"/>
      <c r="JA210" s="816"/>
      <c r="JB210" s="816"/>
      <c r="JC210" s="609"/>
      <c r="JD210" s="816"/>
      <c r="JE210" s="816"/>
      <c r="JF210" s="816"/>
      <c r="JG210" s="816"/>
      <c r="JH210" s="816"/>
      <c r="JI210" s="816"/>
      <c r="JJ210" s="816"/>
      <c r="JK210" s="816"/>
      <c r="JL210" s="816"/>
      <c r="JM210" s="816"/>
      <c r="JN210" s="816"/>
      <c r="JO210" s="823"/>
      <c r="JP210" s="824"/>
      <c r="JQ210" s="825"/>
      <c r="JR210" s="825"/>
      <c r="JS210" s="816"/>
      <c r="JU210" s="834"/>
      <c r="JV210" s="834"/>
      <c r="JW210" s="826"/>
      <c r="JX210" s="834"/>
    </row>
    <row r="211" spans="2:284" s="780" customFormat="1">
      <c r="B211" s="609"/>
      <c r="C211" s="609"/>
      <c r="D211" s="609"/>
      <c r="E211" s="609"/>
      <c r="F211" s="609"/>
      <c r="G211" s="609"/>
      <c r="H211" s="609"/>
      <c r="I211" s="609"/>
      <c r="J211" s="609"/>
      <c r="K211" s="609"/>
      <c r="L211" s="609"/>
      <c r="M211" s="609"/>
      <c r="N211" s="609"/>
      <c r="O211" s="609"/>
      <c r="P211" s="609"/>
      <c r="Q211" s="609"/>
      <c r="R211" s="609"/>
      <c r="S211" s="609"/>
      <c r="T211" s="609"/>
      <c r="U211" s="609"/>
      <c r="V211" s="609"/>
      <c r="W211" s="609"/>
      <c r="X211" s="609"/>
      <c r="Y211" s="609"/>
      <c r="Z211" s="609"/>
      <c r="AA211" s="609"/>
      <c r="AB211" s="609"/>
      <c r="AC211" s="609"/>
      <c r="AD211" s="816"/>
      <c r="AE211" s="816"/>
      <c r="AF211" s="816"/>
      <c r="AG211" s="816"/>
      <c r="AH211" s="816"/>
      <c r="AI211" s="816"/>
      <c r="AJ211" s="609"/>
      <c r="AK211" s="609"/>
      <c r="AL211" s="816"/>
      <c r="AM211" s="816"/>
      <c r="AN211" s="609"/>
      <c r="AO211" s="609"/>
      <c r="AP211" s="816"/>
      <c r="AQ211" s="816"/>
      <c r="AR211" s="816"/>
      <c r="AS211" s="816"/>
      <c r="AT211" s="816"/>
      <c r="AU211" s="816"/>
      <c r="AV211" s="609"/>
      <c r="AW211" s="609"/>
      <c r="AX211" s="816"/>
      <c r="AY211" s="816"/>
      <c r="AZ211" s="817"/>
      <c r="BA211" s="609"/>
      <c r="BB211" s="609"/>
      <c r="BC211" s="816"/>
      <c r="BD211" s="816"/>
      <c r="BE211" s="816"/>
      <c r="BF211" s="816"/>
      <c r="BG211" s="816"/>
      <c r="BH211" s="816"/>
      <c r="BI211" s="816"/>
      <c r="BJ211" s="816"/>
      <c r="BK211" s="816"/>
      <c r="BL211" s="816"/>
      <c r="BM211" s="816"/>
      <c r="BN211" s="816"/>
      <c r="BO211" s="816"/>
      <c r="BP211" s="816"/>
      <c r="BQ211" s="816"/>
      <c r="BR211" s="816"/>
      <c r="BS211" s="816"/>
      <c r="BT211" s="816"/>
      <c r="BU211" s="816"/>
      <c r="BV211" s="816"/>
      <c r="BW211" s="816"/>
      <c r="BX211" s="609"/>
      <c r="BY211" s="609"/>
      <c r="BZ211" s="609"/>
      <c r="CA211" s="818"/>
      <c r="CB211" s="816"/>
      <c r="CC211" s="816"/>
      <c r="CD211" s="816"/>
      <c r="CE211" s="816"/>
      <c r="CF211" s="816"/>
      <c r="CG211" s="816"/>
      <c r="CH211" s="816"/>
      <c r="CI211" s="816"/>
      <c r="CJ211" s="819"/>
      <c r="CK211" s="819"/>
      <c r="CL211" s="820"/>
      <c r="CM211" s="820"/>
      <c r="CN211" s="820"/>
      <c r="CO211" s="820"/>
      <c r="CP211" s="820"/>
      <c r="CQ211" s="820"/>
      <c r="CR211" s="609"/>
      <c r="CS211" s="609"/>
      <c r="CT211" s="816"/>
      <c r="CU211" s="816"/>
      <c r="CV211" s="609"/>
      <c r="CW211" s="609"/>
      <c r="CX211" s="816"/>
      <c r="CY211" s="816"/>
      <c r="CZ211" s="609"/>
      <c r="DA211" s="609"/>
      <c r="DB211" s="816"/>
      <c r="DC211" s="816"/>
      <c r="DD211" s="609"/>
      <c r="DE211" s="609"/>
      <c r="DF211" s="816"/>
      <c r="DG211" s="816"/>
      <c r="DH211" s="816"/>
      <c r="DI211" s="816"/>
      <c r="DJ211" s="816"/>
      <c r="DK211" s="816"/>
      <c r="DL211" s="609"/>
      <c r="DM211" s="609"/>
      <c r="DN211" s="816"/>
      <c r="DO211" s="816"/>
      <c r="DP211" s="609"/>
      <c r="DQ211" s="609"/>
      <c r="DR211" s="816"/>
      <c r="DS211" s="816"/>
      <c r="DT211" s="816"/>
      <c r="DU211" s="816"/>
      <c r="DV211" s="816"/>
      <c r="DW211" s="816"/>
      <c r="DX211" s="816"/>
      <c r="DY211" s="816"/>
      <c r="DZ211" s="816"/>
      <c r="EA211" s="816"/>
      <c r="EB211" s="816"/>
      <c r="EC211" s="816"/>
      <c r="ED211" s="816"/>
      <c r="EE211" s="816"/>
      <c r="EF211" s="609"/>
      <c r="EG211" s="609"/>
      <c r="EH211" s="816"/>
      <c r="EI211" s="816"/>
      <c r="EJ211" s="816"/>
      <c r="EK211" s="816"/>
      <c r="EL211" s="816"/>
      <c r="EM211" s="816"/>
      <c r="EN211" s="816"/>
      <c r="EO211" s="816"/>
      <c r="EP211" s="816"/>
      <c r="EQ211" s="816"/>
      <c r="ER211" s="816"/>
      <c r="ES211" s="816"/>
      <c r="ET211" s="816"/>
      <c r="EU211" s="816"/>
      <c r="EV211" s="609"/>
      <c r="EW211" s="609"/>
      <c r="EX211" s="816"/>
      <c r="EY211" s="816"/>
      <c r="EZ211" s="816"/>
      <c r="FA211" s="816"/>
      <c r="FB211" s="816"/>
      <c r="FC211" s="816"/>
      <c r="FD211" s="816"/>
      <c r="FE211" s="816"/>
      <c r="FF211" s="816"/>
      <c r="FG211" s="816"/>
      <c r="FH211" s="816"/>
      <c r="FI211" s="816"/>
      <c r="FJ211" s="816"/>
      <c r="FK211" s="816"/>
      <c r="FL211" s="816"/>
      <c r="FM211" s="816"/>
      <c r="FN211" s="816"/>
      <c r="FO211" s="816"/>
      <c r="FP211" s="816"/>
      <c r="FQ211" s="816"/>
      <c r="FR211" s="816"/>
      <c r="FS211" s="816"/>
      <c r="FT211" s="816"/>
      <c r="FU211" s="816"/>
      <c r="FV211" s="816"/>
      <c r="FW211" s="816"/>
      <c r="FX211" s="816"/>
      <c r="FY211" s="816"/>
      <c r="FZ211" s="819"/>
      <c r="GA211" s="816"/>
      <c r="GB211" s="820"/>
      <c r="GC211" s="820"/>
      <c r="GD211" s="820"/>
      <c r="GE211" s="820"/>
      <c r="GF211" s="609"/>
      <c r="GG211" s="609"/>
      <c r="GH211" s="816"/>
      <c r="GI211" s="816"/>
      <c r="GJ211" s="816"/>
      <c r="GK211" s="816"/>
      <c r="GL211" s="816"/>
      <c r="GM211" s="816"/>
      <c r="GN211" s="816"/>
      <c r="GO211" s="816"/>
      <c r="GP211" s="816"/>
      <c r="GQ211" s="816"/>
      <c r="GR211" s="816"/>
      <c r="GS211" s="816"/>
      <c r="GT211" s="818"/>
      <c r="GU211" s="816"/>
      <c r="GV211" s="816"/>
      <c r="GW211" s="816"/>
      <c r="GX211" s="816"/>
      <c r="GY211" s="816"/>
      <c r="GZ211" s="816"/>
      <c r="HA211" s="816"/>
      <c r="HB211" s="609"/>
      <c r="HC211" s="609"/>
      <c r="HD211" s="816"/>
      <c r="HE211" s="816"/>
      <c r="HF211" s="816"/>
      <c r="HG211" s="816"/>
      <c r="HH211" s="816"/>
      <c r="HI211" s="816"/>
      <c r="HJ211" s="609"/>
      <c r="HK211" s="609"/>
      <c r="HL211" s="609"/>
      <c r="HM211" s="816"/>
      <c r="HN211" s="816"/>
      <c r="HO211" s="609"/>
      <c r="HP211" s="609"/>
      <c r="HQ211" s="816"/>
      <c r="HR211" s="816"/>
      <c r="HS211" s="816"/>
      <c r="HT211" s="816"/>
      <c r="HU211" s="816"/>
      <c r="HV211" s="816"/>
      <c r="HW211" s="609"/>
      <c r="HX211" s="609"/>
      <c r="HY211" s="816"/>
      <c r="HZ211" s="816"/>
      <c r="IA211" s="816"/>
      <c r="IB211" s="816"/>
      <c r="IC211" s="816"/>
      <c r="ID211" s="816"/>
      <c r="IE211" s="609"/>
      <c r="IF211" s="609"/>
      <c r="IG211" s="816"/>
      <c r="IH211" s="816"/>
      <c r="II211" s="609"/>
      <c r="IJ211" s="609"/>
      <c r="IK211" s="816"/>
      <c r="IL211" s="816"/>
      <c r="IM211" s="609"/>
      <c r="IN211" s="609"/>
      <c r="IO211" s="816"/>
      <c r="IP211" s="816"/>
      <c r="IQ211" s="816"/>
      <c r="IR211" s="816"/>
      <c r="IS211" s="816"/>
      <c r="IT211" s="816"/>
      <c r="IU211" s="821"/>
      <c r="IV211" s="609"/>
      <c r="IW211" s="816"/>
      <c r="IX211" s="816"/>
      <c r="IY211" s="822"/>
      <c r="IZ211" s="609"/>
      <c r="JA211" s="816"/>
      <c r="JB211" s="816"/>
      <c r="JC211" s="609"/>
      <c r="JD211" s="816"/>
      <c r="JE211" s="816"/>
      <c r="JF211" s="816"/>
      <c r="JG211" s="816"/>
      <c r="JH211" s="816"/>
      <c r="JI211" s="816"/>
      <c r="JJ211" s="816"/>
      <c r="JK211" s="816"/>
      <c r="JL211" s="816"/>
      <c r="JM211" s="816"/>
      <c r="JN211" s="816"/>
      <c r="JO211" s="823"/>
      <c r="JP211" s="824"/>
      <c r="JQ211" s="825"/>
      <c r="JR211" s="825"/>
      <c r="JS211" s="816"/>
      <c r="JU211" s="834"/>
      <c r="JV211" s="834"/>
      <c r="JW211" s="826"/>
      <c r="JX211" s="834"/>
    </row>
    <row r="212" spans="2:284" s="780" customFormat="1">
      <c r="B212" s="609"/>
      <c r="C212" s="609"/>
      <c r="D212" s="609"/>
      <c r="E212" s="609"/>
      <c r="F212" s="609"/>
      <c r="G212" s="609"/>
      <c r="H212" s="609"/>
      <c r="I212" s="609"/>
      <c r="J212" s="609"/>
      <c r="K212" s="609"/>
      <c r="L212" s="609"/>
      <c r="M212" s="609"/>
      <c r="N212" s="609"/>
      <c r="O212" s="609"/>
      <c r="P212" s="609"/>
      <c r="Q212" s="609"/>
      <c r="R212" s="609"/>
      <c r="S212" s="609"/>
      <c r="T212" s="609"/>
      <c r="U212" s="609"/>
      <c r="V212" s="609"/>
      <c r="W212" s="609"/>
      <c r="X212" s="609"/>
      <c r="Y212" s="609"/>
      <c r="Z212" s="609"/>
      <c r="AA212" s="609"/>
      <c r="AB212" s="609"/>
      <c r="AC212" s="609"/>
      <c r="AD212" s="816"/>
      <c r="AE212" s="816"/>
      <c r="AF212" s="816"/>
      <c r="AG212" s="816"/>
      <c r="AH212" s="816"/>
      <c r="AI212" s="816"/>
      <c r="AJ212" s="609"/>
      <c r="AK212" s="609"/>
      <c r="AL212" s="816"/>
      <c r="AM212" s="816"/>
      <c r="AN212" s="609"/>
      <c r="AO212" s="609"/>
      <c r="AP212" s="816"/>
      <c r="AQ212" s="816"/>
      <c r="AR212" s="816"/>
      <c r="AS212" s="816"/>
      <c r="AT212" s="816"/>
      <c r="AU212" s="816"/>
      <c r="AV212" s="609"/>
      <c r="AW212" s="609"/>
      <c r="AX212" s="816"/>
      <c r="AY212" s="816"/>
      <c r="AZ212" s="817"/>
      <c r="BA212" s="609"/>
      <c r="BB212" s="609"/>
      <c r="BC212" s="816"/>
      <c r="BD212" s="816"/>
      <c r="BE212" s="816"/>
      <c r="BF212" s="816"/>
      <c r="BG212" s="816"/>
      <c r="BH212" s="816"/>
      <c r="BI212" s="816"/>
      <c r="BJ212" s="816"/>
      <c r="BK212" s="816"/>
      <c r="BL212" s="816"/>
      <c r="BM212" s="816"/>
      <c r="BN212" s="816"/>
      <c r="BO212" s="816"/>
      <c r="BP212" s="816"/>
      <c r="BQ212" s="816"/>
      <c r="BR212" s="816"/>
      <c r="BS212" s="816"/>
      <c r="BT212" s="816"/>
      <c r="BU212" s="816"/>
      <c r="BV212" s="816"/>
      <c r="BW212" s="816"/>
      <c r="BX212" s="609"/>
      <c r="BY212" s="609"/>
      <c r="BZ212" s="609"/>
      <c r="CA212" s="818"/>
      <c r="CB212" s="816"/>
      <c r="CC212" s="816"/>
      <c r="CD212" s="816"/>
      <c r="CE212" s="816"/>
      <c r="CF212" s="816"/>
      <c r="CG212" s="816"/>
      <c r="CH212" s="816"/>
      <c r="CI212" s="816"/>
      <c r="CJ212" s="819"/>
      <c r="CK212" s="819"/>
      <c r="CL212" s="820"/>
      <c r="CM212" s="820"/>
      <c r="CN212" s="820"/>
      <c r="CO212" s="820"/>
      <c r="CP212" s="820"/>
      <c r="CQ212" s="820"/>
      <c r="CR212" s="609"/>
      <c r="CS212" s="609"/>
      <c r="CT212" s="816"/>
      <c r="CU212" s="816"/>
      <c r="CV212" s="609"/>
      <c r="CW212" s="609"/>
      <c r="CX212" s="816"/>
      <c r="CY212" s="816"/>
      <c r="CZ212" s="609"/>
      <c r="DA212" s="609"/>
      <c r="DB212" s="816"/>
      <c r="DC212" s="816"/>
      <c r="DD212" s="609"/>
      <c r="DE212" s="609"/>
      <c r="DF212" s="816"/>
      <c r="DG212" s="816"/>
      <c r="DH212" s="816"/>
      <c r="DI212" s="816"/>
      <c r="DJ212" s="816"/>
      <c r="DK212" s="816"/>
      <c r="DL212" s="609"/>
      <c r="DM212" s="609"/>
      <c r="DN212" s="816"/>
      <c r="DO212" s="816"/>
      <c r="DP212" s="609"/>
      <c r="DQ212" s="609"/>
      <c r="DR212" s="816"/>
      <c r="DS212" s="816"/>
      <c r="DT212" s="816"/>
      <c r="DU212" s="816"/>
      <c r="DV212" s="816"/>
      <c r="DW212" s="816"/>
      <c r="DX212" s="816"/>
      <c r="DY212" s="816"/>
      <c r="DZ212" s="816"/>
      <c r="EA212" s="816"/>
      <c r="EB212" s="816"/>
      <c r="EC212" s="816"/>
      <c r="ED212" s="816"/>
      <c r="EE212" s="816"/>
      <c r="EF212" s="609"/>
      <c r="EG212" s="609"/>
      <c r="EH212" s="816"/>
      <c r="EI212" s="816"/>
      <c r="EJ212" s="816"/>
      <c r="EK212" s="816"/>
      <c r="EL212" s="816"/>
      <c r="EM212" s="816"/>
      <c r="EN212" s="816"/>
      <c r="EO212" s="816"/>
      <c r="EP212" s="816"/>
      <c r="EQ212" s="816"/>
      <c r="ER212" s="816"/>
      <c r="ES212" s="816"/>
      <c r="ET212" s="816"/>
      <c r="EU212" s="816"/>
      <c r="EV212" s="609"/>
      <c r="EW212" s="609"/>
      <c r="EX212" s="816"/>
      <c r="EY212" s="816"/>
      <c r="EZ212" s="816"/>
      <c r="FA212" s="816"/>
      <c r="FB212" s="816"/>
      <c r="FC212" s="816"/>
      <c r="FD212" s="816"/>
      <c r="FE212" s="816"/>
      <c r="FF212" s="816"/>
      <c r="FG212" s="816"/>
      <c r="FH212" s="816"/>
      <c r="FI212" s="816"/>
      <c r="FJ212" s="816"/>
      <c r="FK212" s="816"/>
      <c r="FL212" s="816"/>
      <c r="FM212" s="816"/>
      <c r="FN212" s="816"/>
      <c r="FO212" s="816"/>
      <c r="FP212" s="816"/>
      <c r="FQ212" s="816"/>
      <c r="FR212" s="816"/>
      <c r="FS212" s="816"/>
      <c r="FT212" s="816"/>
      <c r="FU212" s="816"/>
      <c r="FV212" s="816"/>
      <c r="FW212" s="816"/>
      <c r="FX212" s="816"/>
      <c r="FY212" s="816"/>
      <c r="FZ212" s="819"/>
      <c r="GA212" s="816"/>
      <c r="GB212" s="820"/>
      <c r="GC212" s="820"/>
      <c r="GD212" s="820"/>
      <c r="GE212" s="820"/>
      <c r="GF212" s="609"/>
      <c r="GG212" s="609"/>
      <c r="GH212" s="816"/>
      <c r="GI212" s="816"/>
      <c r="GJ212" s="816"/>
      <c r="GK212" s="816"/>
      <c r="GL212" s="816"/>
      <c r="GM212" s="816"/>
      <c r="GN212" s="816"/>
      <c r="GO212" s="816"/>
      <c r="GP212" s="816"/>
      <c r="GQ212" s="816"/>
      <c r="GR212" s="816"/>
      <c r="GS212" s="816"/>
      <c r="GT212" s="818"/>
      <c r="GU212" s="816"/>
      <c r="GV212" s="816"/>
      <c r="GW212" s="816"/>
      <c r="GX212" s="816"/>
      <c r="GY212" s="816"/>
      <c r="GZ212" s="816"/>
      <c r="HA212" s="816"/>
      <c r="HB212" s="609"/>
      <c r="HC212" s="609"/>
      <c r="HD212" s="816"/>
      <c r="HE212" s="816"/>
      <c r="HF212" s="816"/>
      <c r="HG212" s="816"/>
      <c r="HH212" s="816"/>
      <c r="HI212" s="816"/>
      <c r="HJ212" s="609"/>
      <c r="HK212" s="609"/>
      <c r="HL212" s="609"/>
      <c r="HM212" s="816"/>
      <c r="HN212" s="816"/>
      <c r="HO212" s="609"/>
      <c r="HP212" s="609"/>
      <c r="HQ212" s="816"/>
      <c r="HR212" s="816"/>
      <c r="HS212" s="816"/>
      <c r="HT212" s="816"/>
      <c r="HU212" s="816"/>
      <c r="HV212" s="816"/>
      <c r="HW212" s="609"/>
      <c r="HX212" s="609"/>
      <c r="HY212" s="816"/>
      <c r="HZ212" s="816"/>
      <c r="IA212" s="816"/>
      <c r="IB212" s="816"/>
      <c r="IC212" s="816"/>
      <c r="ID212" s="816"/>
      <c r="IE212" s="609"/>
      <c r="IF212" s="609"/>
      <c r="IG212" s="816"/>
      <c r="IH212" s="816"/>
      <c r="II212" s="609"/>
      <c r="IJ212" s="609"/>
      <c r="IK212" s="816"/>
      <c r="IL212" s="816"/>
      <c r="IM212" s="609"/>
      <c r="IN212" s="609"/>
      <c r="IO212" s="816"/>
      <c r="IP212" s="816"/>
      <c r="IQ212" s="816"/>
      <c r="IR212" s="816"/>
      <c r="IS212" s="816"/>
      <c r="IT212" s="816"/>
      <c r="IU212" s="821"/>
      <c r="IV212" s="609"/>
      <c r="IW212" s="816"/>
      <c r="IX212" s="816"/>
      <c r="IY212" s="822"/>
      <c r="IZ212" s="609"/>
      <c r="JA212" s="816"/>
      <c r="JB212" s="816"/>
      <c r="JC212" s="609"/>
      <c r="JD212" s="816"/>
      <c r="JE212" s="816"/>
      <c r="JF212" s="816"/>
      <c r="JG212" s="816"/>
      <c r="JH212" s="816"/>
      <c r="JI212" s="816"/>
      <c r="JJ212" s="816"/>
      <c r="JK212" s="816"/>
      <c r="JL212" s="816"/>
      <c r="JM212" s="816"/>
      <c r="JN212" s="816"/>
      <c r="JO212" s="823"/>
      <c r="JP212" s="824"/>
      <c r="JQ212" s="825"/>
      <c r="JR212" s="825"/>
      <c r="JS212" s="816"/>
      <c r="JU212" s="834"/>
      <c r="JV212" s="834"/>
      <c r="JW212" s="826"/>
      <c r="JX212" s="834"/>
    </row>
    <row r="213" spans="2:284" s="780" customFormat="1">
      <c r="B213" s="609"/>
      <c r="C213" s="609"/>
      <c r="D213" s="609"/>
      <c r="E213" s="609"/>
      <c r="F213" s="609"/>
      <c r="G213" s="609"/>
      <c r="H213" s="609"/>
      <c r="I213" s="609"/>
      <c r="J213" s="609"/>
      <c r="K213" s="609"/>
      <c r="L213" s="609"/>
      <c r="M213" s="609"/>
      <c r="N213" s="609"/>
      <c r="O213" s="609"/>
      <c r="P213" s="609"/>
      <c r="Q213" s="609"/>
      <c r="R213" s="609"/>
      <c r="S213" s="609"/>
      <c r="T213" s="609"/>
      <c r="U213" s="609"/>
      <c r="V213" s="609"/>
      <c r="W213" s="609"/>
      <c r="X213" s="609"/>
      <c r="Y213" s="609"/>
      <c r="Z213" s="609"/>
      <c r="AA213" s="609"/>
      <c r="AB213" s="609"/>
      <c r="AC213" s="609"/>
      <c r="AD213" s="816"/>
      <c r="AE213" s="816"/>
      <c r="AF213" s="816"/>
      <c r="AG213" s="816"/>
      <c r="AH213" s="816"/>
      <c r="AI213" s="816"/>
      <c r="AJ213" s="609"/>
      <c r="AK213" s="609"/>
      <c r="AL213" s="816"/>
      <c r="AM213" s="816"/>
      <c r="AN213" s="609"/>
      <c r="AO213" s="609"/>
      <c r="AP213" s="816"/>
      <c r="AQ213" s="816"/>
      <c r="AR213" s="816"/>
      <c r="AS213" s="816"/>
      <c r="AT213" s="816"/>
      <c r="AU213" s="816"/>
      <c r="AV213" s="609"/>
      <c r="AW213" s="609"/>
      <c r="AX213" s="816"/>
      <c r="AY213" s="816"/>
      <c r="AZ213" s="817"/>
      <c r="BA213" s="609"/>
      <c r="BB213" s="609"/>
      <c r="BC213" s="816"/>
      <c r="BD213" s="816"/>
      <c r="BE213" s="816"/>
      <c r="BF213" s="816"/>
      <c r="BG213" s="816"/>
      <c r="BH213" s="816"/>
      <c r="BI213" s="816"/>
      <c r="BJ213" s="816"/>
      <c r="BK213" s="816"/>
      <c r="BL213" s="816"/>
      <c r="BM213" s="816"/>
      <c r="BN213" s="816"/>
      <c r="BO213" s="816"/>
      <c r="BP213" s="816"/>
      <c r="BQ213" s="816"/>
      <c r="BR213" s="816"/>
      <c r="BS213" s="816"/>
      <c r="BT213" s="816"/>
      <c r="BU213" s="816"/>
      <c r="BV213" s="816"/>
      <c r="BW213" s="816"/>
      <c r="BX213" s="609"/>
      <c r="BY213" s="609"/>
      <c r="BZ213" s="609"/>
      <c r="CA213" s="818"/>
      <c r="CB213" s="816"/>
      <c r="CC213" s="816"/>
      <c r="CD213" s="816"/>
      <c r="CE213" s="816"/>
      <c r="CF213" s="816"/>
      <c r="CG213" s="816"/>
      <c r="CH213" s="816"/>
      <c r="CI213" s="816"/>
      <c r="CJ213" s="819"/>
      <c r="CK213" s="819"/>
      <c r="CL213" s="820"/>
      <c r="CM213" s="820"/>
      <c r="CN213" s="820"/>
      <c r="CO213" s="820"/>
      <c r="CP213" s="820"/>
      <c r="CQ213" s="820"/>
      <c r="CR213" s="609"/>
      <c r="CS213" s="609"/>
      <c r="CT213" s="816"/>
      <c r="CU213" s="816"/>
      <c r="CV213" s="609"/>
      <c r="CW213" s="609"/>
      <c r="CX213" s="816"/>
      <c r="CY213" s="816"/>
      <c r="CZ213" s="609"/>
      <c r="DA213" s="609"/>
      <c r="DB213" s="816"/>
      <c r="DC213" s="816"/>
      <c r="DD213" s="609"/>
      <c r="DE213" s="609"/>
      <c r="DF213" s="816"/>
      <c r="DG213" s="816"/>
      <c r="DH213" s="816"/>
      <c r="DI213" s="816"/>
      <c r="DJ213" s="816"/>
      <c r="DK213" s="816"/>
      <c r="DL213" s="609"/>
      <c r="DM213" s="609"/>
      <c r="DN213" s="816"/>
      <c r="DO213" s="816"/>
      <c r="DP213" s="609"/>
      <c r="DQ213" s="609"/>
      <c r="DR213" s="816"/>
      <c r="DS213" s="816"/>
      <c r="DT213" s="816"/>
      <c r="DU213" s="816"/>
      <c r="DV213" s="816"/>
      <c r="DW213" s="816"/>
      <c r="DX213" s="816"/>
      <c r="DY213" s="816"/>
      <c r="DZ213" s="816"/>
      <c r="EA213" s="816"/>
      <c r="EB213" s="816"/>
      <c r="EC213" s="816"/>
      <c r="ED213" s="816"/>
      <c r="EE213" s="816"/>
      <c r="EF213" s="609"/>
      <c r="EG213" s="609"/>
      <c r="EH213" s="816"/>
      <c r="EI213" s="816"/>
      <c r="EJ213" s="816"/>
      <c r="EK213" s="816"/>
      <c r="EL213" s="816"/>
      <c r="EM213" s="816"/>
      <c r="EN213" s="816"/>
      <c r="EO213" s="816"/>
      <c r="EP213" s="816"/>
      <c r="EQ213" s="816"/>
      <c r="ER213" s="816"/>
      <c r="ES213" s="816"/>
      <c r="ET213" s="816"/>
      <c r="EU213" s="816"/>
      <c r="EV213" s="609"/>
      <c r="EW213" s="609"/>
      <c r="EX213" s="816"/>
      <c r="EY213" s="816"/>
      <c r="EZ213" s="816"/>
      <c r="FA213" s="816"/>
      <c r="FB213" s="816"/>
      <c r="FC213" s="816"/>
      <c r="FD213" s="816"/>
      <c r="FE213" s="816"/>
      <c r="FF213" s="816"/>
      <c r="FG213" s="816"/>
      <c r="FH213" s="816"/>
      <c r="FI213" s="816"/>
      <c r="FJ213" s="816"/>
      <c r="FK213" s="816"/>
      <c r="FL213" s="816"/>
      <c r="FM213" s="816"/>
      <c r="FN213" s="816"/>
      <c r="FO213" s="816"/>
      <c r="FP213" s="816"/>
      <c r="FQ213" s="816"/>
      <c r="FR213" s="816"/>
      <c r="FS213" s="816"/>
      <c r="FT213" s="816"/>
      <c r="FU213" s="816"/>
      <c r="FV213" s="816"/>
      <c r="FW213" s="816"/>
      <c r="FX213" s="816"/>
      <c r="FY213" s="816"/>
      <c r="FZ213" s="819"/>
      <c r="GA213" s="816"/>
      <c r="GB213" s="820"/>
      <c r="GC213" s="820"/>
      <c r="GD213" s="820"/>
      <c r="GE213" s="820"/>
      <c r="GF213" s="609"/>
      <c r="GG213" s="609"/>
      <c r="GH213" s="816"/>
      <c r="GI213" s="816"/>
      <c r="GJ213" s="816"/>
      <c r="GK213" s="816"/>
      <c r="GL213" s="816"/>
      <c r="GM213" s="816"/>
      <c r="GN213" s="816"/>
      <c r="GO213" s="816"/>
      <c r="GP213" s="816"/>
      <c r="GQ213" s="816"/>
      <c r="GR213" s="816"/>
      <c r="GS213" s="816"/>
      <c r="GT213" s="818"/>
      <c r="GU213" s="816"/>
      <c r="GV213" s="816"/>
      <c r="GW213" s="816"/>
      <c r="GX213" s="816"/>
      <c r="GY213" s="816"/>
      <c r="GZ213" s="816"/>
      <c r="HA213" s="816"/>
      <c r="HB213" s="609"/>
      <c r="HC213" s="609"/>
      <c r="HD213" s="816"/>
      <c r="HE213" s="816"/>
      <c r="HF213" s="816"/>
      <c r="HG213" s="816"/>
      <c r="HH213" s="816"/>
      <c r="HI213" s="816"/>
      <c r="HJ213" s="609"/>
      <c r="HK213" s="609"/>
      <c r="HL213" s="609"/>
      <c r="HM213" s="816"/>
      <c r="HN213" s="816"/>
      <c r="HO213" s="609"/>
      <c r="HP213" s="609"/>
      <c r="HQ213" s="816"/>
      <c r="HR213" s="816"/>
      <c r="HS213" s="816"/>
      <c r="HT213" s="816"/>
      <c r="HU213" s="816"/>
      <c r="HV213" s="816"/>
      <c r="HW213" s="609"/>
      <c r="HX213" s="609"/>
      <c r="HY213" s="816"/>
      <c r="HZ213" s="816"/>
      <c r="IA213" s="816"/>
      <c r="IB213" s="816"/>
      <c r="IC213" s="816"/>
      <c r="ID213" s="816"/>
      <c r="IE213" s="609"/>
      <c r="IF213" s="609"/>
      <c r="IG213" s="816"/>
      <c r="IH213" s="816"/>
      <c r="II213" s="609"/>
      <c r="IJ213" s="609"/>
      <c r="IK213" s="816"/>
      <c r="IL213" s="816"/>
      <c r="IM213" s="609"/>
      <c r="IN213" s="609"/>
      <c r="IO213" s="816"/>
      <c r="IP213" s="816"/>
      <c r="IQ213" s="816"/>
      <c r="IR213" s="816"/>
      <c r="IS213" s="816"/>
      <c r="IT213" s="816"/>
      <c r="IU213" s="821"/>
      <c r="IV213" s="609"/>
      <c r="IW213" s="816"/>
      <c r="IX213" s="816"/>
      <c r="IY213" s="822"/>
      <c r="IZ213" s="609"/>
      <c r="JA213" s="816"/>
      <c r="JB213" s="816"/>
      <c r="JC213" s="609"/>
      <c r="JD213" s="816"/>
      <c r="JE213" s="816"/>
      <c r="JF213" s="816"/>
      <c r="JG213" s="816"/>
      <c r="JH213" s="816"/>
      <c r="JI213" s="816"/>
      <c r="JJ213" s="816"/>
      <c r="JK213" s="816"/>
      <c r="JL213" s="816"/>
      <c r="JM213" s="816"/>
      <c r="JN213" s="816"/>
      <c r="JO213" s="823"/>
      <c r="JP213" s="824"/>
      <c r="JQ213" s="825"/>
      <c r="JR213" s="825"/>
      <c r="JS213" s="816"/>
      <c r="JU213" s="834"/>
      <c r="JV213" s="834"/>
      <c r="JW213" s="826"/>
      <c r="JX213" s="834"/>
    </row>
    <row r="214" spans="2:284" s="780" customFormat="1">
      <c r="B214" s="609"/>
      <c r="C214" s="609"/>
      <c r="D214" s="609"/>
      <c r="E214" s="609"/>
      <c r="F214" s="609"/>
      <c r="G214" s="609"/>
      <c r="H214" s="609"/>
      <c r="I214" s="609"/>
      <c r="J214" s="609"/>
      <c r="K214" s="609"/>
      <c r="L214" s="609"/>
      <c r="M214" s="609"/>
      <c r="N214" s="609"/>
      <c r="O214" s="609"/>
      <c r="P214" s="609"/>
      <c r="Q214" s="609"/>
      <c r="R214" s="609"/>
      <c r="S214" s="609"/>
      <c r="T214" s="609"/>
      <c r="U214" s="609"/>
      <c r="V214" s="609"/>
      <c r="W214" s="609"/>
      <c r="X214" s="609"/>
      <c r="Y214" s="609"/>
      <c r="Z214" s="609"/>
      <c r="AA214" s="609"/>
      <c r="AB214" s="609"/>
      <c r="AC214" s="609"/>
      <c r="AD214" s="816"/>
      <c r="AE214" s="816"/>
      <c r="AF214" s="816"/>
      <c r="AG214" s="816"/>
      <c r="AH214" s="816"/>
      <c r="AI214" s="816"/>
      <c r="AJ214" s="609"/>
      <c r="AK214" s="609"/>
      <c r="AL214" s="816"/>
      <c r="AM214" s="816"/>
      <c r="AN214" s="609"/>
      <c r="AO214" s="609"/>
      <c r="AP214" s="816"/>
      <c r="AQ214" s="816"/>
      <c r="AR214" s="816"/>
      <c r="AS214" s="816"/>
      <c r="AT214" s="816"/>
      <c r="AU214" s="816"/>
      <c r="AV214" s="609"/>
      <c r="AW214" s="609"/>
      <c r="AX214" s="816"/>
      <c r="AY214" s="816"/>
      <c r="AZ214" s="817"/>
      <c r="BA214" s="609"/>
      <c r="BB214" s="609"/>
      <c r="BC214" s="816"/>
      <c r="BD214" s="816"/>
      <c r="BE214" s="816"/>
      <c r="BF214" s="816"/>
      <c r="BG214" s="816"/>
      <c r="BH214" s="816"/>
      <c r="BI214" s="816"/>
      <c r="BJ214" s="816"/>
      <c r="BK214" s="816"/>
      <c r="BL214" s="816"/>
      <c r="BM214" s="816"/>
      <c r="BN214" s="816"/>
      <c r="BO214" s="816"/>
      <c r="BP214" s="816"/>
      <c r="BQ214" s="816"/>
      <c r="BR214" s="816"/>
      <c r="BS214" s="816"/>
      <c r="BT214" s="816"/>
      <c r="BU214" s="816"/>
      <c r="BV214" s="816"/>
      <c r="BW214" s="816"/>
      <c r="BX214" s="609"/>
      <c r="BY214" s="609"/>
      <c r="BZ214" s="609"/>
      <c r="CA214" s="818"/>
      <c r="CB214" s="816"/>
      <c r="CC214" s="816"/>
      <c r="CD214" s="816"/>
      <c r="CE214" s="816"/>
      <c r="CF214" s="816"/>
      <c r="CG214" s="816"/>
      <c r="CH214" s="816"/>
      <c r="CI214" s="816"/>
      <c r="CJ214" s="819"/>
      <c r="CK214" s="819"/>
      <c r="CL214" s="820"/>
      <c r="CM214" s="820"/>
      <c r="CN214" s="820"/>
      <c r="CO214" s="820"/>
      <c r="CP214" s="820"/>
      <c r="CQ214" s="820"/>
      <c r="CR214" s="609"/>
      <c r="CS214" s="609"/>
      <c r="CT214" s="816"/>
      <c r="CU214" s="816"/>
      <c r="CV214" s="609"/>
      <c r="CW214" s="609"/>
      <c r="CX214" s="816"/>
      <c r="CY214" s="816"/>
      <c r="CZ214" s="609"/>
      <c r="DA214" s="609"/>
      <c r="DB214" s="816"/>
      <c r="DC214" s="816"/>
      <c r="DD214" s="609"/>
      <c r="DE214" s="609"/>
      <c r="DF214" s="816"/>
      <c r="DG214" s="816"/>
      <c r="DH214" s="816"/>
      <c r="DI214" s="816"/>
      <c r="DJ214" s="816"/>
      <c r="DK214" s="816"/>
      <c r="DL214" s="609"/>
      <c r="DM214" s="609"/>
      <c r="DN214" s="816"/>
      <c r="DO214" s="816"/>
      <c r="DP214" s="609"/>
      <c r="DQ214" s="609"/>
      <c r="DR214" s="816"/>
      <c r="DS214" s="816"/>
      <c r="DT214" s="816"/>
      <c r="DU214" s="816"/>
      <c r="DV214" s="816"/>
      <c r="DW214" s="816"/>
      <c r="DX214" s="816"/>
      <c r="DY214" s="816"/>
      <c r="DZ214" s="816"/>
      <c r="EA214" s="816"/>
      <c r="EB214" s="816"/>
      <c r="EC214" s="816"/>
      <c r="ED214" s="816"/>
      <c r="EE214" s="816"/>
      <c r="EF214" s="609"/>
      <c r="EG214" s="609"/>
      <c r="EH214" s="816"/>
      <c r="EI214" s="816"/>
      <c r="EJ214" s="816"/>
      <c r="EK214" s="816"/>
      <c r="EL214" s="816"/>
      <c r="EM214" s="816"/>
      <c r="EN214" s="816"/>
      <c r="EO214" s="816"/>
      <c r="EP214" s="816"/>
      <c r="EQ214" s="816"/>
      <c r="ER214" s="816"/>
      <c r="ES214" s="816"/>
      <c r="ET214" s="816"/>
      <c r="EU214" s="816"/>
      <c r="EV214" s="609"/>
      <c r="EW214" s="609"/>
      <c r="EX214" s="816"/>
      <c r="EY214" s="816"/>
      <c r="EZ214" s="816"/>
      <c r="FA214" s="816"/>
      <c r="FB214" s="816"/>
      <c r="FC214" s="816"/>
      <c r="FD214" s="816"/>
      <c r="FE214" s="816"/>
      <c r="FF214" s="816"/>
      <c r="FG214" s="816"/>
      <c r="FH214" s="816"/>
      <c r="FI214" s="816"/>
      <c r="FJ214" s="816"/>
      <c r="FK214" s="816"/>
      <c r="FL214" s="816"/>
      <c r="FM214" s="816"/>
      <c r="FN214" s="816"/>
      <c r="FO214" s="816"/>
      <c r="FP214" s="816"/>
      <c r="FQ214" s="816"/>
      <c r="FR214" s="816"/>
      <c r="FS214" s="816"/>
      <c r="FT214" s="816"/>
      <c r="FU214" s="816"/>
      <c r="FV214" s="816"/>
      <c r="FW214" s="816"/>
      <c r="FX214" s="816"/>
      <c r="FY214" s="816"/>
      <c r="FZ214" s="819"/>
      <c r="GA214" s="816"/>
      <c r="GB214" s="820"/>
      <c r="GC214" s="820"/>
      <c r="GD214" s="820"/>
      <c r="GE214" s="820"/>
      <c r="GF214" s="609"/>
      <c r="GG214" s="609"/>
      <c r="GH214" s="816"/>
      <c r="GI214" s="816"/>
      <c r="GJ214" s="816"/>
      <c r="GK214" s="816"/>
      <c r="GL214" s="816"/>
      <c r="GM214" s="816"/>
      <c r="GN214" s="816"/>
      <c r="GO214" s="816"/>
      <c r="GP214" s="816"/>
      <c r="GQ214" s="816"/>
      <c r="GR214" s="816"/>
      <c r="GS214" s="816"/>
      <c r="GT214" s="818"/>
      <c r="GU214" s="816"/>
      <c r="GV214" s="816"/>
      <c r="GW214" s="816"/>
      <c r="GX214" s="816"/>
      <c r="GY214" s="816"/>
      <c r="GZ214" s="816"/>
      <c r="HA214" s="816"/>
      <c r="HB214" s="609"/>
      <c r="HC214" s="609"/>
      <c r="HD214" s="816"/>
      <c r="HE214" s="816"/>
      <c r="HF214" s="816"/>
      <c r="HG214" s="816"/>
      <c r="HH214" s="816"/>
      <c r="HI214" s="816"/>
      <c r="HJ214" s="609"/>
      <c r="HK214" s="609"/>
      <c r="HL214" s="609"/>
      <c r="HM214" s="816"/>
      <c r="HN214" s="816"/>
      <c r="HO214" s="609"/>
      <c r="HP214" s="609"/>
      <c r="HQ214" s="816"/>
      <c r="HR214" s="816"/>
      <c r="HS214" s="816"/>
      <c r="HT214" s="816"/>
      <c r="HU214" s="816"/>
      <c r="HV214" s="816"/>
      <c r="HW214" s="609"/>
      <c r="HX214" s="609"/>
      <c r="HY214" s="816"/>
      <c r="HZ214" s="816"/>
      <c r="IA214" s="816"/>
      <c r="IB214" s="816"/>
      <c r="IC214" s="816"/>
      <c r="ID214" s="816"/>
      <c r="IE214" s="609"/>
      <c r="IF214" s="609"/>
      <c r="IG214" s="816"/>
      <c r="IH214" s="816"/>
      <c r="II214" s="609"/>
      <c r="IJ214" s="609"/>
      <c r="IK214" s="816"/>
      <c r="IL214" s="816"/>
      <c r="IM214" s="609"/>
      <c r="IN214" s="609"/>
      <c r="IO214" s="816"/>
      <c r="IP214" s="816"/>
      <c r="IQ214" s="816"/>
      <c r="IR214" s="816"/>
      <c r="IS214" s="816"/>
      <c r="IT214" s="816"/>
      <c r="IU214" s="821"/>
      <c r="IV214" s="609"/>
      <c r="IW214" s="816"/>
      <c r="IX214" s="816"/>
      <c r="IY214" s="822"/>
      <c r="IZ214" s="609"/>
      <c r="JA214" s="816"/>
      <c r="JB214" s="816"/>
      <c r="JC214" s="609"/>
      <c r="JD214" s="816"/>
      <c r="JE214" s="816"/>
      <c r="JF214" s="816"/>
      <c r="JG214" s="816"/>
      <c r="JH214" s="816"/>
      <c r="JI214" s="816"/>
      <c r="JJ214" s="816"/>
      <c r="JK214" s="816"/>
      <c r="JL214" s="816"/>
      <c r="JM214" s="816"/>
      <c r="JN214" s="816"/>
      <c r="JO214" s="823"/>
      <c r="JP214" s="824"/>
      <c r="JQ214" s="825"/>
      <c r="JR214" s="825"/>
      <c r="JS214" s="816"/>
      <c r="JU214" s="834"/>
      <c r="JV214" s="834"/>
      <c r="JW214" s="826"/>
      <c r="JX214" s="834"/>
    </row>
    <row r="215" spans="2:284" s="780" customFormat="1">
      <c r="B215" s="609"/>
      <c r="C215" s="609"/>
      <c r="D215" s="609"/>
      <c r="E215" s="609"/>
      <c r="F215" s="609"/>
      <c r="G215" s="609"/>
      <c r="H215" s="609"/>
      <c r="I215" s="609"/>
      <c r="J215" s="609"/>
      <c r="K215" s="609"/>
      <c r="L215" s="609"/>
      <c r="M215" s="609"/>
      <c r="N215" s="609"/>
      <c r="O215" s="609"/>
      <c r="P215" s="609"/>
      <c r="Q215" s="609"/>
      <c r="R215" s="609"/>
      <c r="S215" s="609"/>
      <c r="T215" s="609"/>
      <c r="U215" s="609"/>
      <c r="V215" s="609"/>
      <c r="W215" s="609"/>
      <c r="X215" s="609"/>
      <c r="Y215" s="609"/>
      <c r="Z215" s="609"/>
      <c r="AA215" s="609"/>
      <c r="AB215" s="609"/>
      <c r="AC215" s="609"/>
      <c r="AD215" s="816"/>
      <c r="AE215" s="816"/>
      <c r="AF215" s="816"/>
      <c r="AG215" s="816"/>
      <c r="AH215" s="816"/>
      <c r="AI215" s="816"/>
      <c r="AJ215" s="609"/>
      <c r="AK215" s="609"/>
      <c r="AL215" s="816"/>
      <c r="AM215" s="816"/>
      <c r="AN215" s="609"/>
      <c r="AO215" s="609"/>
      <c r="AP215" s="816"/>
      <c r="AQ215" s="816"/>
      <c r="AR215" s="816"/>
      <c r="AS215" s="816"/>
      <c r="AT215" s="816"/>
      <c r="AU215" s="816"/>
      <c r="AV215" s="609"/>
      <c r="AW215" s="609"/>
      <c r="AX215" s="816"/>
      <c r="AY215" s="816"/>
      <c r="AZ215" s="817"/>
      <c r="BA215" s="609"/>
      <c r="BB215" s="609"/>
      <c r="BC215" s="816"/>
      <c r="BD215" s="816"/>
      <c r="BE215" s="816"/>
      <c r="BF215" s="816"/>
      <c r="BG215" s="816"/>
      <c r="BH215" s="816"/>
      <c r="BI215" s="816"/>
      <c r="BJ215" s="816"/>
      <c r="BK215" s="816"/>
      <c r="BL215" s="816"/>
      <c r="BM215" s="816"/>
      <c r="BN215" s="816"/>
      <c r="BO215" s="816"/>
      <c r="BP215" s="816"/>
      <c r="BQ215" s="816"/>
      <c r="BR215" s="816"/>
      <c r="BS215" s="816"/>
      <c r="BT215" s="816"/>
      <c r="BU215" s="816"/>
      <c r="BV215" s="816"/>
      <c r="BW215" s="816"/>
      <c r="BX215" s="609"/>
      <c r="BY215" s="609"/>
      <c r="BZ215" s="609"/>
      <c r="CA215" s="818"/>
      <c r="CB215" s="816"/>
      <c r="CC215" s="816"/>
      <c r="CD215" s="816"/>
      <c r="CE215" s="816"/>
      <c r="CF215" s="816"/>
      <c r="CG215" s="816"/>
      <c r="CH215" s="816"/>
      <c r="CI215" s="816"/>
      <c r="CJ215" s="819"/>
      <c r="CK215" s="819"/>
      <c r="CL215" s="820"/>
      <c r="CM215" s="820"/>
      <c r="CN215" s="820"/>
      <c r="CO215" s="820"/>
      <c r="CP215" s="820"/>
      <c r="CQ215" s="820"/>
      <c r="CR215" s="609"/>
      <c r="CS215" s="609"/>
      <c r="CT215" s="816"/>
      <c r="CU215" s="816"/>
      <c r="CV215" s="609"/>
      <c r="CW215" s="609"/>
      <c r="CX215" s="816"/>
      <c r="CY215" s="816"/>
      <c r="CZ215" s="609"/>
      <c r="DA215" s="609"/>
      <c r="DB215" s="816"/>
      <c r="DC215" s="816"/>
      <c r="DD215" s="609"/>
      <c r="DE215" s="609"/>
      <c r="DF215" s="816"/>
      <c r="DG215" s="816"/>
      <c r="DH215" s="816"/>
      <c r="DI215" s="816"/>
      <c r="DJ215" s="816"/>
      <c r="DK215" s="816"/>
      <c r="DL215" s="609"/>
      <c r="DM215" s="609"/>
      <c r="DN215" s="816"/>
      <c r="DO215" s="816"/>
      <c r="DP215" s="609"/>
      <c r="DQ215" s="609"/>
      <c r="DR215" s="816"/>
      <c r="DS215" s="816"/>
      <c r="DT215" s="816"/>
      <c r="DU215" s="816"/>
      <c r="DV215" s="816"/>
      <c r="DW215" s="816"/>
      <c r="DX215" s="816"/>
      <c r="DY215" s="816"/>
      <c r="DZ215" s="816"/>
      <c r="EA215" s="816"/>
      <c r="EB215" s="816"/>
      <c r="EC215" s="816"/>
      <c r="ED215" s="816"/>
      <c r="EE215" s="816"/>
      <c r="EF215" s="609"/>
      <c r="EG215" s="609"/>
      <c r="EH215" s="816"/>
      <c r="EI215" s="816"/>
      <c r="EJ215" s="816"/>
      <c r="EK215" s="816"/>
      <c r="EL215" s="816"/>
      <c r="EM215" s="816"/>
      <c r="EN215" s="816"/>
      <c r="EO215" s="816"/>
      <c r="EP215" s="816"/>
      <c r="EQ215" s="816"/>
      <c r="ER215" s="816"/>
      <c r="ES215" s="816"/>
      <c r="ET215" s="816"/>
      <c r="EU215" s="816"/>
      <c r="EV215" s="609"/>
      <c r="EW215" s="609"/>
      <c r="EX215" s="816"/>
      <c r="EY215" s="816"/>
      <c r="EZ215" s="816"/>
      <c r="FA215" s="816"/>
      <c r="FB215" s="816"/>
      <c r="FC215" s="816"/>
      <c r="FD215" s="816"/>
      <c r="FE215" s="816"/>
      <c r="FF215" s="816"/>
      <c r="FG215" s="816"/>
      <c r="FH215" s="816"/>
      <c r="FI215" s="816"/>
      <c r="FJ215" s="816"/>
      <c r="FK215" s="816"/>
      <c r="FL215" s="816"/>
      <c r="FM215" s="816"/>
      <c r="FN215" s="816"/>
      <c r="FO215" s="816"/>
      <c r="FP215" s="816"/>
      <c r="FQ215" s="816"/>
      <c r="FR215" s="816"/>
      <c r="FS215" s="816"/>
      <c r="FT215" s="816"/>
      <c r="FU215" s="816"/>
      <c r="FV215" s="816"/>
      <c r="FW215" s="816"/>
      <c r="FX215" s="816"/>
      <c r="FY215" s="816"/>
      <c r="FZ215" s="819"/>
      <c r="GA215" s="816"/>
      <c r="GB215" s="820"/>
      <c r="GC215" s="820"/>
      <c r="GD215" s="820"/>
      <c r="GE215" s="820"/>
      <c r="GF215" s="609"/>
      <c r="GG215" s="609"/>
      <c r="GH215" s="816"/>
      <c r="GI215" s="816"/>
      <c r="GJ215" s="816"/>
      <c r="GK215" s="816"/>
      <c r="GL215" s="816"/>
      <c r="GM215" s="816"/>
      <c r="GN215" s="816"/>
      <c r="GO215" s="816"/>
      <c r="GP215" s="816"/>
      <c r="GQ215" s="816"/>
      <c r="GR215" s="816"/>
      <c r="GS215" s="816"/>
      <c r="GT215" s="818"/>
      <c r="GU215" s="816"/>
      <c r="GV215" s="816"/>
      <c r="GW215" s="816"/>
      <c r="GX215" s="816"/>
      <c r="GY215" s="816"/>
      <c r="GZ215" s="816"/>
      <c r="HA215" s="816"/>
      <c r="HB215" s="609"/>
      <c r="HC215" s="609"/>
      <c r="HD215" s="816"/>
      <c r="HE215" s="816"/>
      <c r="HF215" s="816"/>
      <c r="HG215" s="816"/>
      <c r="HH215" s="816"/>
      <c r="HI215" s="816"/>
      <c r="HJ215" s="609"/>
      <c r="HK215" s="609"/>
      <c r="HL215" s="609"/>
      <c r="HM215" s="816"/>
      <c r="HN215" s="816"/>
      <c r="HO215" s="609"/>
      <c r="HP215" s="609"/>
      <c r="HQ215" s="816"/>
      <c r="HR215" s="816"/>
      <c r="HS215" s="816"/>
      <c r="HT215" s="816"/>
      <c r="HU215" s="816"/>
      <c r="HV215" s="816"/>
      <c r="HW215" s="609"/>
      <c r="HX215" s="609"/>
      <c r="HY215" s="816"/>
      <c r="HZ215" s="816"/>
      <c r="IA215" s="816"/>
      <c r="IB215" s="816"/>
      <c r="IC215" s="816"/>
      <c r="ID215" s="816"/>
      <c r="IE215" s="609"/>
      <c r="IF215" s="609"/>
      <c r="IG215" s="816"/>
      <c r="IH215" s="816"/>
      <c r="II215" s="609"/>
      <c r="IJ215" s="609"/>
      <c r="IK215" s="816"/>
      <c r="IL215" s="816"/>
      <c r="IM215" s="609"/>
      <c r="IN215" s="609"/>
      <c r="IO215" s="816"/>
      <c r="IP215" s="816"/>
      <c r="IQ215" s="816"/>
      <c r="IR215" s="816"/>
      <c r="IS215" s="816"/>
      <c r="IT215" s="816"/>
      <c r="IU215" s="821"/>
      <c r="IV215" s="609"/>
      <c r="IW215" s="816"/>
      <c r="IX215" s="816"/>
      <c r="IY215" s="822"/>
      <c r="IZ215" s="609"/>
      <c r="JA215" s="816"/>
      <c r="JB215" s="816"/>
      <c r="JC215" s="609"/>
      <c r="JD215" s="816"/>
      <c r="JE215" s="816"/>
      <c r="JF215" s="816"/>
      <c r="JG215" s="816"/>
      <c r="JH215" s="816"/>
      <c r="JI215" s="816"/>
      <c r="JJ215" s="816"/>
      <c r="JK215" s="816"/>
      <c r="JL215" s="816"/>
      <c r="JM215" s="816"/>
      <c r="JN215" s="816"/>
      <c r="JO215" s="823"/>
      <c r="JP215" s="824"/>
      <c r="JQ215" s="825"/>
      <c r="JR215" s="825"/>
      <c r="JS215" s="816"/>
      <c r="JU215" s="834"/>
      <c r="JV215" s="834"/>
      <c r="JW215" s="826"/>
      <c r="JX215" s="834"/>
    </row>
    <row r="216" spans="2:284" s="780" customFormat="1">
      <c r="B216" s="609"/>
      <c r="C216" s="609"/>
      <c r="D216" s="609"/>
      <c r="E216" s="609"/>
      <c r="F216" s="609"/>
      <c r="G216" s="609"/>
      <c r="H216" s="609"/>
      <c r="I216" s="609"/>
      <c r="J216" s="609"/>
      <c r="K216" s="609"/>
      <c r="L216" s="609"/>
      <c r="M216" s="609"/>
      <c r="N216" s="609"/>
      <c r="O216" s="609"/>
      <c r="P216" s="609"/>
      <c r="Q216" s="609"/>
      <c r="R216" s="609"/>
      <c r="S216" s="609"/>
      <c r="T216" s="609"/>
      <c r="U216" s="609"/>
      <c r="V216" s="609"/>
      <c r="W216" s="609"/>
      <c r="X216" s="609"/>
      <c r="Y216" s="609"/>
      <c r="Z216" s="609"/>
      <c r="AA216" s="609"/>
      <c r="AB216" s="609"/>
      <c r="AC216" s="609"/>
      <c r="AD216" s="816"/>
      <c r="AE216" s="816"/>
      <c r="AF216" s="816"/>
      <c r="AG216" s="816"/>
      <c r="AH216" s="816"/>
      <c r="AI216" s="816"/>
      <c r="AJ216" s="609"/>
      <c r="AK216" s="609"/>
      <c r="AL216" s="816"/>
      <c r="AM216" s="816"/>
      <c r="AN216" s="609"/>
      <c r="AO216" s="609"/>
      <c r="AP216" s="816"/>
      <c r="AQ216" s="816"/>
      <c r="AR216" s="816"/>
      <c r="AS216" s="816"/>
      <c r="AT216" s="816"/>
      <c r="AU216" s="816"/>
      <c r="AV216" s="609"/>
      <c r="AW216" s="609"/>
      <c r="AX216" s="816"/>
      <c r="AY216" s="816"/>
      <c r="AZ216" s="817"/>
      <c r="BA216" s="609"/>
      <c r="BB216" s="609"/>
      <c r="BC216" s="816"/>
      <c r="BD216" s="816"/>
      <c r="BE216" s="816"/>
      <c r="BF216" s="816"/>
      <c r="BG216" s="816"/>
      <c r="BH216" s="816"/>
      <c r="BI216" s="816"/>
      <c r="BJ216" s="816"/>
      <c r="BK216" s="816"/>
      <c r="BL216" s="816"/>
      <c r="BM216" s="816"/>
      <c r="BN216" s="816"/>
      <c r="BO216" s="816"/>
      <c r="BP216" s="816"/>
      <c r="BQ216" s="816"/>
      <c r="BR216" s="816"/>
      <c r="BS216" s="816"/>
      <c r="BT216" s="816"/>
      <c r="BU216" s="816"/>
      <c r="BV216" s="816"/>
      <c r="BW216" s="816"/>
      <c r="BX216" s="609"/>
      <c r="BY216" s="609"/>
      <c r="BZ216" s="609"/>
      <c r="CA216" s="818"/>
      <c r="CB216" s="816"/>
      <c r="CC216" s="816"/>
      <c r="CD216" s="816"/>
      <c r="CE216" s="816"/>
      <c r="CF216" s="816"/>
      <c r="CG216" s="816"/>
      <c r="CH216" s="816"/>
      <c r="CI216" s="816"/>
      <c r="CJ216" s="819"/>
      <c r="CK216" s="819"/>
      <c r="CL216" s="820"/>
      <c r="CM216" s="820"/>
      <c r="CN216" s="820"/>
      <c r="CO216" s="820"/>
      <c r="CP216" s="820"/>
      <c r="CQ216" s="820"/>
      <c r="CR216" s="609"/>
      <c r="CS216" s="609"/>
      <c r="CT216" s="816"/>
      <c r="CU216" s="816"/>
      <c r="CV216" s="609"/>
      <c r="CW216" s="609"/>
      <c r="CX216" s="816"/>
      <c r="CY216" s="816"/>
      <c r="CZ216" s="609"/>
      <c r="DA216" s="609"/>
      <c r="DB216" s="816"/>
      <c r="DC216" s="816"/>
      <c r="DD216" s="609"/>
      <c r="DE216" s="609"/>
      <c r="DF216" s="816"/>
      <c r="DG216" s="816"/>
      <c r="DH216" s="816"/>
      <c r="DI216" s="816"/>
      <c r="DJ216" s="816"/>
      <c r="DK216" s="816"/>
      <c r="DL216" s="609"/>
      <c r="DM216" s="609"/>
      <c r="DN216" s="816"/>
      <c r="DO216" s="816"/>
      <c r="DP216" s="609"/>
      <c r="DQ216" s="609"/>
      <c r="DR216" s="816"/>
      <c r="DS216" s="816"/>
      <c r="DT216" s="816"/>
      <c r="DU216" s="816"/>
      <c r="DV216" s="816"/>
      <c r="DW216" s="816"/>
      <c r="DX216" s="816"/>
      <c r="DY216" s="816"/>
      <c r="DZ216" s="816"/>
      <c r="EA216" s="816"/>
      <c r="EB216" s="816"/>
      <c r="EC216" s="816"/>
      <c r="ED216" s="816"/>
      <c r="EE216" s="816"/>
      <c r="EF216" s="609"/>
      <c r="EG216" s="609"/>
      <c r="EH216" s="816"/>
      <c r="EI216" s="816"/>
      <c r="EJ216" s="816"/>
      <c r="EK216" s="816"/>
      <c r="EL216" s="816"/>
      <c r="EM216" s="816"/>
      <c r="EN216" s="816"/>
      <c r="EO216" s="816"/>
      <c r="EP216" s="816"/>
      <c r="EQ216" s="816"/>
      <c r="ER216" s="816"/>
      <c r="ES216" s="816"/>
      <c r="ET216" s="816"/>
      <c r="EU216" s="816"/>
      <c r="EV216" s="609"/>
      <c r="EW216" s="609"/>
      <c r="EX216" s="816"/>
      <c r="EY216" s="816"/>
      <c r="EZ216" s="816"/>
      <c r="FA216" s="816"/>
      <c r="FB216" s="816"/>
      <c r="FC216" s="816"/>
      <c r="FD216" s="816"/>
      <c r="FE216" s="816"/>
      <c r="FF216" s="816"/>
      <c r="FG216" s="816"/>
      <c r="FH216" s="816"/>
      <c r="FI216" s="816"/>
      <c r="FJ216" s="816"/>
      <c r="FK216" s="816"/>
      <c r="FL216" s="816"/>
      <c r="FM216" s="816"/>
      <c r="FN216" s="816"/>
      <c r="FO216" s="816"/>
      <c r="FP216" s="816"/>
      <c r="FQ216" s="816"/>
      <c r="FR216" s="816"/>
      <c r="FS216" s="816"/>
      <c r="FT216" s="816"/>
      <c r="FU216" s="816"/>
      <c r="FV216" s="816"/>
      <c r="FW216" s="816"/>
      <c r="FX216" s="816"/>
      <c r="FY216" s="816"/>
      <c r="FZ216" s="819"/>
      <c r="GA216" s="816"/>
      <c r="GB216" s="820"/>
      <c r="GC216" s="820"/>
      <c r="GD216" s="820"/>
      <c r="GE216" s="820"/>
      <c r="GF216" s="609"/>
      <c r="GG216" s="609"/>
      <c r="GH216" s="816"/>
      <c r="GI216" s="816"/>
      <c r="GJ216" s="816"/>
      <c r="GK216" s="816"/>
      <c r="GL216" s="816"/>
      <c r="GM216" s="816"/>
      <c r="GN216" s="816"/>
      <c r="GO216" s="816"/>
      <c r="GP216" s="816"/>
      <c r="GQ216" s="816"/>
      <c r="GR216" s="816"/>
      <c r="GS216" s="816"/>
      <c r="GT216" s="818"/>
      <c r="GU216" s="816"/>
      <c r="GV216" s="816"/>
      <c r="GW216" s="816"/>
      <c r="GX216" s="816"/>
      <c r="GY216" s="816"/>
      <c r="GZ216" s="816"/>
      <c r="HA216" s="816"/>
      <c r="HB216" s="609"/>
      <c r="HC216" s="609"/>
      <c r="HD216" s="816"/>
      <c r="HE216" s="816"/>
      <c r="HF216" s="816"/>
      <c r="HG216" s="816"/>
      <c r="HH216" s="816"/>
      <c r="HI216" s="816"/>
      <c r="HJ216" s="609"/>
      <c r="HK216" s="609"/>
      <c r="HL216" s="609"/>
      <c r="HM216" s="816"/>
      <c r="HN216" s="816"/>
      <c r="HO216" s="609"/>
      <c r="HP216" s="609"/>
      <c r="HQ216" s="816"/>
      <c r="HR216" s="816"/>
      <c r="HS216" s="816"/>
      <c r="HT216" s="816"/>
      <c r="HU216" s="816"/>
      <c r="HV216" s="816"/>
      <c r="HW216" s="609"/>
      <c r="HX216" s="609"/>
      <c r="HY216" s="816"/>
      <c r="HZ216" s="816"/>
      <c r="IA216" s="816"/>
      <c r="IB216" s="816"/>
      <c r="IC216" s="816"/>
      <c r="ID216" s="816"/>
      <c r="IE216" s="609"/>
      <c r="IF216" s="609"/>
      <c r="IG216" s="816"/>
      <c r="IH216" s="816"/>
      <c r="II216" s="609"/>
      <c r="IJ216" s="609"/>
      <c r="IK216" s="816"/>
      <c r="IL216" s="816"/>
      <c r="IM216" s="609"/>
      <c r="IN216" s="609"/>
      <c r="IO216" s="816"/>
      <c r="IP216" s="816"/>
      <c r="IQ216" s="816"/>
      <c r="IR216" s="816"/>
      <c r="IS216" s="816"/>
      <c r="IT216" s="816"/>
      <c r="IU216" s="821"/>
      <c r="IV216" s="609"/>
      <c r="IW216" s="816"/>
      <c r="IX216" s="816"/>
      <c r="IY216" s="822"/>
      <c r="IZ216" s="609"/>
      <c r="JA216" s="816"/>
      <c r="JB216" s="816"/>
      <c r="JC216" s="609"/>
      <c r="JD216" s="816"/>
      <c r="JE216" s="816"/>
      <c r="JF216" s="816"/>
      <c r="JG216" s="816"/>
      <c r="JH216" s="816"/>
      <c r="JI216" s="816"/>
      <c r="JJ216" s="816"/>
      <c r="JK216" s="816"/>
      <c r="JL216" s="816"/>
      <c r="JM216" s="816"/>
      <c r="JN216" s="816"/>
      <c r="JO216" s="823"/>
      <c r="JP216" s="824"/>
      <c r="JQ216" s="825"/>
      <c r="JR216" s="825"/>
      <c r="JS216" s="816"/>
      <c r="JU216" s="834"/>
      <c r="JV216" s="834"/>
      <c r="JW216" s="826"/>
      <c r="JX216" s="834"/>
    </row>
    <row r="217" spans="2:284" s="780" customFormat="1">
      <c r="B217" s="609"/>
      <c r="C217" s="609"/>
      <c r="D217" s="609"/>
      <c r="E217" s="609"/>
      <c r="F217" s="609"/>
      <c r="G217" s="609"/>
      <c r="H217" s="609"/>
      <c r="I217" s="609"/>
      <c r="J217" s="609"/>
      <c r="K217" s="609"/>
      <c r="L217" s="609"/>
      <c r="M217" s="609"/>
      <c r="N217" s="609"/>
      <c r="O217" s="609"/>
      <c r="P217" s="609"/>
      <c r="Q217" s="609"/>
      <c r="R217" s="609"/>
      <c r="S217" s="609"/>
      <c r="T217" s="609"/>
      <c r="U217" s="609"/>
      <c r="V217" s="609"/>
      <c r="W217" s="609"/>
      <c r="X217" s="609"/>
      <c r="Y217" s="609"/>
      <c r="Z217" s="609"/>
      <c r="AA217" s="609"/>
      <c r="AB217" s="609"/>
      <c r="AC217" s="609"/>
      <c r="AD217" s="816"/>
      <c r="AE217" s="816"/>
      <c r="AF217" s="816"/>
      <c r="AG217" s="816"/>
      <c r="AH217" s="816"/>
      <c r="AI217" s="816"/>
      <c r="AJ217" s="609"/>
      <c r="AK217" s="609"/>
      <c r="AL217" s="816"/>
      <c r="AM217" s="816"/>
      <c r="AN217" s="609"/>
      <c r="AO217" s="609"/>
      <c r="AP217" s="816"/>
      <c r="AQ217" s="816"/>
      <c r="AR217" s="816"/>
      <c r="AS217" s="816"/>
      <c r="AT217" s="816"/>
      <c r="AU217" s="816"/>
      <c r="AV217" s="609"/>
      <c r="AW217" s="609"/>
      <c r="AX217" s="816"/>
      <c r="AY217" s="816"/>
      <c r="AZ217" s="817"/>
      <c r="BA217" s="609"/>
      <c r="BB217" s="609"/>
      <c r="BC217" s="816"/>
      <c r="BD217" s="816"/>
      <c r="BE217" s="816"/>
      <c r="BF217" s="816"/>
      <c r="BG217" s="816"/>
      <c r="BH217" s="816"/>
      <c r="BI217" s="816"/>
      <c r="BJ217" s="816"/>
      <c r="BK217" s="816"/>
      <c r="BL217" s="816"/>
      <c r="BM217" s="816"/>
      <c r="BN217" s="816"/>
      <c r="BO217" s="816"/>
      <c r="BP217" s="816"/>
      <c r="BQ217" s="816"/>
      <c r="BR217" s="816"/>
      <c r="BS217" s="816"/>
      <c r="BT217" s="816"/>
      <c r="BU217" s="816"/>
      <c r="BV217" s="816"/>
      <c r="BW217" s="816"/>
      <c r="BX217" s="609"/>
      <c r="BY217" s="609"/>
      <c r="BZ217" s="609"/>
      <c r="CA217" s="818"/>
      <c r="CB217" s="816"/>
      <c r="CC217" s="816"/>
      <c r="CD217" s="816"/>
      <c r="CE217" s="816"/>
      <c r="CF217" s="816"/>
      <c r="CG217" s="816"/>
      <c r="CH217" s="816"/>
      <c r="CI217" s="816"/>
      <c r="CJ217" s="819"/>
      <c r="CK217" s="819"/>
      <c r="CL217" s="820"/>
      <c r="CM217" s="820"/>
      <c r="CN217" s="820"/>
      <c r="CO217" s="820"/>
      <c r="CP217" s="820"/>
      <c r="CQ217" s="820"/>
      <c r="CR217" s="609"/>
      <c r="CS217" s="609"/>
      <c r="CT217" s="816"/>
      <c r="CU217" s="816"/>
      <c r="CV217" s="609"/>
      <c r="CW217" s="609"/>
      <c r="CX217" s="816"/>
      <c r="CY217" s="816"/>
      <c r="CZ217" s="609"/>
      <c r="DA217" s="609"/>
      <c r="DB217" s="816"/>
      <c r="DC217" s="816"/>
      <c r="DD217" s="609"/>
      <c r="DE217" s="609"/>
      <c r="DF217" s="816"/>
      <c r="DG217" s="816"/>
      <c r="DH217" s="816"/>
      <c r="DI217" s="816"/>
      <c r="DJ217" s="816"/>
      <c r="DK217" s="816"/>
      <c r="DL217" s="609"/>
      <c r="DM217" s="609"/>
      <c r="DN217" s="816"/>
      <c r="DO217" s="816"/>
      <c r="DP217" s="609"/>
      <c r="DQ217" s="609"/>
      <c r="DR217" s="816"/>
      <c r="DS217" s="816"/>
      <c r="DT217" s="816"/>
      <c r="DU217" s="816"/>
      <c r="DV217" s="816"/>
      <c r="DW217" s="816"/>
      <c r="DX217" s="816"/>
      <c r="DY217" s="816"/>
      <c r="DZ217" s="816"/>
      <c r="EA217" s="816"/>
      <c r="EB217" s="816"/>
      <c r="EC217" s="816"/>
      <c r="ED217" s="816"/>
      <c r="EE217" s="816"/>
      <c r="EF217" s="609"/>
      <c r="EG217" s="609"/>
      <c r="EH217" s="816"/>
      <c r="EI217" s="816"/>
      <c r="EJ217" s="816"/>
      <c r="EK217" s="816"/>
      <c r="EL217" s="816"/>
      <c r="EM217" s="816"/>
      <c r="EN217" s="816"/>
      <c r="EO217" s="816"/>
      <c r="EP217" s="816"/>
      <c r="EQ217" s="816"/>
      <c r="ER217" s="816"/>
      <c r="ES217" s="816"/>
      <c r="ET217" s="816"/>
      <c r="EU217" s="816"/>
      <c r="EV217" s="609"/>
      <c r="EW217" s="609"/>
      <c r="EX217" s="816"/>
      <c r="EY217" s="816"/>
      <c r="EZ217" s="816"/>
      <c r="FA217" s="816"/>
      <c r="FB217" s="816"/>
      <c r="FC217" s="816"/>
      <c r="FD217" s="816"/>
      <c r="FE217" s="816"/>
      <c r="FF217" s="816"/>
      <c r="FG217" s="816"/>
      <c r="FH217" s="816"/>
      <c r="FI217" s="816"/>
      <c r="FJ217" s="816"/>
      <c r="FK217" s="816"/>
      <c r="FL217" s="816"/>
      <c r="FM217" s="816"/>
      <c r="FN217" s="816"/>
      <c r="FO217" s="816"/>
      <c r="FP217" s="816"/>
      <c r="FQ217" s="816"/>
      <c r="FR217" s="816"/>
      <c r="FS217" s="816"/>
      <c r="FT217" s="816"/>
      <c r="FU217" s="816"/>
      <c r="FV217" s="816"/>
      <c r="FW217" s="816"/>
      <c r="FX217" s="816"/>
      <c r="FY217" s="816"/>
      <c r="FZ217" s="819"/>
      <c r="GA217" s="816"/>
      <c r="GB217" s="820"/>
      <c r="GC217" s="820"/>
      <c r="GD217" s="820"/>
      <c r="GE217" s="820"/>
      <c r="GF217" s="609"/>
      <c r="GG217" s="609"/>
      <c r="GH217" s="816"/>
      <c r="GI217" s="816"/>
      <c r="GJ217" s="816"/>
      <c r="GK217" s="816"/>
      <c r="GL217" s="816"/>
      <c r="GM217" s="816"/>
      <c r="GN217" s="816"/>
      <c r="GO217" s="816"/>
      <c r="GP217" s="816"/>
      <c r="GQ217" s="816"/>
      <c r="GR217" s="816"/>
      <c r="GS217" s="816"/>
      <c r="GT217" s="818"/>
      <c r="GU217" s="816"/>
      <c r="GV217" s="816"/>
      <c r="GW217" s="816"/>
      <c r="GX217" s="816"/>
      <c r="GY217" s="816"/>
      <c r="GZ217" s="816"/>
      <c r="HA217" s="816"/>
      <c r="HB217" s="609"/>
      <c r="HC217" s="609"/>
      <c r="HD217" s="816"/>
      <c r="HE217" s="816"/>
      <c r="HF217" s="816"/>
      <c r="HG217" s="816"/>
      <c r="HH217" s="816"/>
      <c r="HI217" s="816"/>
      <c r="HJ217" s="609"/>
      <c r="HK217" s="609"/>
      <c r="HL217" s="609"/>
      <c r="HM217" s="816"/>
      <c r="HN217" s="816"/>
      <c r="HO217" s="609"/>
      <c r="HP217" s="609"/>
      <c r="HQ217" s="816"/>
      <c r="HR217" s="816"/>
      <c r="HS217" s="816"/>
      <c r="HT217" s="816"/>
      <c r="HU217" s="816"/>
      <c r="HV217" s="816"/>
      <c r="HW217" s="609"/>
      <c r="HX217" s="609"/>
      <c r="HY217" s="816"/>
      <c r="HZ217" s="816"/>
      <c r="IA217" s="816"/>
      <c r="IB217" s="816"/>
      <c r="IC217" s="816"/>
      <c r="ID217" s="816"/>
      <c r="IE217" s="609"/>
      <c r="IF217" s="609"/>
      <c r="IG217" s="816"/>
      <c r="IH217" s="816"/>
      <c r="II217" s="609"/>
      <c r="IJ217" s="609"/>
      <c r="IK217" s="816"/>
      <c r="IL217" s="816"/>
      <c r="IM217" s="609"/>
      <c r="IN217" s="609"/>
      <c r="IO217" s="816"/>
      <c r="IP217" s="816"/>
      <c r="IQ217" s="816"/>
      <c r="IR217" s="816"/>
      <c r="IS217" s="816"/>
      <c r="IT217" s="816"/>
      <c r="IU217" s="821"/>
      <c r="IV217" s="609"/>
      <c r="IW217" s="816"/>
      <c r="IX217" s="816"/>
      <c r="IY217" s="822"/>
      <c r="IZ217" s="609"/>
      <c r="JA217" s="816"/>
      <c r="JB217" s="816"/>
      <c r="JC217" s="609"/>
      <c r="JD217" s="816"/>
      <c r="JE217" s="816"/>
      <c r="JF217" s="816"/>
      <c r="JG217" s="816"/>
      <c r="JH217" s="816"/>
      <c r="JI217" s="816"/>
      <c r="JJ217" s="816"/>
      <c r="JK217" s="816"/>
      <c r="JL217" s="816"/>
      <c r="JM217" s="816"/>
      <c r="JN217" s="816"/>
      <c r="JO217" s="823"/>
      <c r="JP217" s="824"/>
      <c r="JQ217" s="825"/>
      <c r="JR217" s="825"/>
      <c r="JS217" s="816"/>
      <c r="JU217" s="834"/>
      <c r="JV217" s="834"/>
      <c r="JW217" s="826"/>
      <c r="JX217" s="834"/>
    </row>
    <row r="218" spans="2:284" s="780" customFormat="1">
      <c r="B218" s="609"/>
      <c r="C218" s="609"/>
      <c r="D218" s="609"/>
      <c r="E218" s="609"/>
      <c r="F218" s="609"/>
      <c r="G218" s="609"/>
      <c r="H218" s="609"/>
      <c r="I218" s="609"/>
      <c r="J218" s="609"/>
      <c r="K218" s="609"/>
      <c r="L218" s="609"/>
      <c r="M218" s="609"/>
      <c r="N218" s="609"/>
      <c r="O218" s="609"/>
      <c r="P218" s="609"/>
      <c r="Q218" s="609"/>
      <c r="R218" s="609"/>
      <c r="S218" s="609"/>
      <c r="T218" s="609"/>
      <c r="U218" s="609"/>
      <c r="V218" s="609"/>
      <c r="W218" s="609"/>
      <c r="X218" s="609"/>
      <c r="Y218" s="609"/>
      <c r="Z218" s="609"/>
      <c r="AA218" s="609"/>
      <c r="AB218" s="609"/>
      <c r="AC218" s="609"/>
      <c r="AD218" s="816"/>
      <c r="AE218" s="816"/>
      <c r="AF218" s="816"/>
      <c r="AG218" s="816"/>
      <c r="AH218" s="816"/>
      <c r="AI218" s="816"/>
      <c r="AJ218" s="609"/>
      <c r="AK218" s="609"/>
      <c r="AL218" s="816"/>
      <c r="AM218" s="816"/>
      <c r="AN218" s="609"/>
      <c r="AO218" s="609"/>
      <c r="AP218" s="816"/>
      <c r="AQ218" s="816"/>
      <c r="AR218" s="816"/>
      <c r="AS218" s="816"/>
      <c r="AT218" s="816"/>
      <c r="AU218" s="816"/>
      <c r="AV218" s="609"/>
      <c r="AW218" s="609"/>
      <c r="AX218" s="816"/>
      <c r="AY218" s="816"/>
      <c r="AZ218" s="817"/>
      <c r="BA218" s="609"/>
      <c r="BB218" s="609"/>
      <c r="BC218" s="816"/>
      <c r="BD218" s="816"/>
      <c r="BE218" s="816"/>
      <c r="BF218" s="816"/>
      <c r="BG218" s="816"/>
      <c r="BH218" s="816"/>
      <c r="BI218" s="816"/>
      <c r="BJ218" s="816"/>
      <c r="BK218" s="816"/>
      <c r="BL218" s="816"/>
      <c r="BM218" s="816"/>
      <c r="BN218" s="816"/>
      <c r="BO218" s="816"/>
      <c r="BP218" s="816"/>
      <c r="BQ218" s="816"/>
      <c r="BR218" s="816"/>
      <c r="BS218" s="816"/>
      <c r="BT218" s="816"/>
      <c r="BU218" s="816"/>
      <c r="BV218" s="816"/>
      <c r="BW218" s="816"/>
      <c r="BX218" s="609"/>
      <c r="BY218" s="609"/>
      <c r="BZ218" s="609"/>
      <c r="CA218" s="818"/>
      <c r="CB218" s="816"/>
      <c r="CC218" s="816"/>
      <c r="CD218" s="816"/>
      <c r="CE218" s="816"/>
      <c r="CF218" s="816"/>
      <c r="CG218" s="816"/>
      <c r="CH218" s="816"/>
      <c r="CI218" s="816"/>
      <c r="CJ218" s="819"/>
      <c r="CK218" s="819"/>
      <c r="CL218" s="820"/>
      <c r="CM218" s="820"/>
      <c r="CN218" s="820"/>
      <c r="CO218" s="820"/>
      <c r="CP218" s="820"/>
      <c r="CQ218" s="820"/>
      <c r="CR218" s="609"/>
      <c r="CS218" s="609"/>
      <c r="CT218" s="816"/>
      <c r="CU218" s="816"/>
      <c r="CV218" s="609"/>
      <c r="CW218" s="609"/>
      <c r="CX218" s="816"/>
      <c r="CY218" s="816"/>
      <c r="CZ218" s="609"/>
      <c r="DA218" s="609"/>
      <c r="DB218" s="816"/>
      <c r="DC218" s="816"/>
      <c r="DD218" s="609"/>
      <c r="DE218" s="609"/>
      <c r="DF218" s="816"/>
      <c r="DG218" s="816"/>
      <c r="DH218" s="816"/>
      <c r="DI218" s="816"/>
      <c r="DJ218" s="816"/>
      <c r="DK218" s="816"/>
      <c r="DL218" s="609"/>
      <c r="DM218" s="609"/>
      <c r="DN218" s="816"/>
      <c r="DO218" s="816"/>
      <c r="DP218" s="609"/>
      <c r="DQ218" s="609"/>
      <c r="DR218" s="816"/>
      <c r="DS218" s="816"/>
      <c r="DT218" s="816"/>
      <c r="DU218" s="816"/>
      <c r="DV218" s="816"/>
      <c r="DW218" s="816"/>
      <c r="DX218" s="816"/>
      <c r="DY218" s="816"/>
      <c r="DZ218" s="816"/>
      <c r="EA218" s="816"/>
      <c r="EB218" s="816"/>
      <c r="EC218" s="816"/>
      <c r="ED218" s="816"/>
      <c r="EE218" s="816"/>
      <c r="EF218" s="609"/>
      <c r="EG218" s="609"/>
      <c r="EH218" s="816"/>
      <c r="EI218" s="816"/>
      <c r="EJ218" s="816"/>
      <c r="EK218" s="816"/>
      <c r="EL218" s="816"/>
      <c r="EM218" s="816"/>
      <c r="EN218" s="816"/>
      <c r="EO218" s="816"/>
      <c r="EP218" s="816"/>
      <c r="EQ218" s="816"/>
      <c r="ER218" s="816"/>
      <c r="ES218" s="816"/>
      <c r="ET218" s="816"/>
      <c r="EU218" s="816"/>
      <c r="EV218" s="609"/>
      <c r="EW218" s="609"/>
      <c r="EX218" s="816"/>
      <c r="EY218" s="816"/>
      <c r="EZ218" s="816"/>
      <c r="FA218" s="816"/>
      <c r="FB218" s="816"/>
      <c r="FC218" s="816"/>
      <c r="FD218" s="816"/>
      <c r="FE218" s="816"/>
      <c r="FF218" s="816"/>
      <c r="FG218" s="816"/>
      <c r="FH218" s="816"/>
      <c r="FI218" s="816"/>
      <c r="FJ218" s="816"/>
      <c r="FK218" s="816"/>
      <c r="FL218" s="816"/>
      <c r="FM218" s="816"/>
      <c r="FN218" s="816"/>
      <c r="FO218" s="816"/>
      <c r="FP218" s="816"/>
      <c r="FQ218" s="816"/>
      <c r="FR218" s="816"/>
      <c r="FS218" s="816"/>
      <c r="FT218" s="816"/>
      <c r="FU218" s="816"/>
      <c r="FV218" s="816"/>
      <c r="FW218" s="816"/>
      <c r="FX218" s="816"/>
      <c r="FY218" s="816"/>
      <c r="FZ218" s="819"/>
      <c r="GA218" s="816"/>
      <c r="GB218" s="820"/>
      <c r="GC218" s="820"/>
      <c r="GD218" s="820"/>
      <c r="GE218" s="820"/>
      <c r="GF218" s="609"/>
      <c r="GG218" s="609"/>
      <c r="GH218" s="816"/>
      <c r="GI218" s="816"/>
      <c r="GJ218" s="816"/>
      <c r="GK218" s="816"/>
      <c r="GL218" s="816"/>
      <c r="GM218" s="816"/>
      <c r="GN218" s="816"/>
      <c r="GO218" s="816"/>
      <c r="GP218" s="816"/>
      <c r="GQ218" s="816"/>
      <c r="GR218" s="816"/>
      <c r="GS218" s="816"/>
      <c r="GT218" s="818"/>
      <c r="GU218" s="816"/>
      <c r="GV218" s="816"/>
      <c r="GW218" s="816"/>
      <c r="GX218" s="816"/>
      <c r="GY218" s="816"/>
      <c r="GZ218" s="816"/>
      <c r="HA218" s="816"/>
      <c r="HB218" s="609"/>
      <c r="HC218" s="609"/>
      <c r="HD218" s="816"/>
      <c r="HE218" s="816"/>
      <c r="HF218" s="816"/>
      <c r="HG218" s="816"/>
      <c r="HH218" s="816"/>
      <c r="HI218" s="816"/>
      <c r="HJ218" s="609"/>
      <c r="HK218" s="609"/>
      <c r="HL218" s="609"/>
      <c r="HM218" s="816"/>
      <c r="HN218" s="816"/>
      <c r="HO218" s="609"/>
      <c r="HP218" s="609"/>
      <c r="HQ218" s="816"/>
      <c r="HR218" s="816"/>
      <c r="HS218" s="816"/>
      <c r="HT218" s="816"/>
      <c r="HU218" s="816"/>
      <c r="HV218" s="816"/>
      <c r="HW218" s="609"/>
      <c r="HX218" s="609"/>
      <c r="HY218" s="816"/>
      <c r="HZ218" s="816"/>
      <c r="IA218" s="816"/>
      <c r="IB218" s="816"/>
      <c r="IC218" s="816"/>
      <c r="ID218" s="816"/>
      <c r="IE218" s="609"/>
      <c r="IF218" s="609"/>
      <c r="IG218" s="816"/>
      <c r="IH218" s="816"/>
      <c r="II218" s="609"/>
      <c r="IJ218" s="609"/>
      <c r="IK218" s="816"/>
      <c r="IL218" s="816"/>
      <c r="IM218" s="609"/>
      <c r="IN218" s="609"/>
      <c r="IO218" s="816"/>
      <c r="IP218" s="816"/>
      <c r="IQ218" s="816"/>
      <c r="IR218" s="816"/>
      <c r="IS218" s="816"/>
      <c r="IT218" s="816"/>
      <c r="IU218" s="821"/>
      <c r="IV218" s="609"/>
      <c r="IW218" s="816"/>
      <c r="IX218" s="816"/>
      <c r="IY218" s="822"/>
      <c r="IZ218" s="609"/>
      <c r="JA218" s="816"/>
      <c r="JB218" s="816"/>
      <c r="JC218" s="609"/>
      <c r="JD218" s="816"/>
      <c r="JE218" s="816"/>
      <c r="JF218" s="816"/>
      <c r="JG218" s="816"/>
      <c r="JH218" s="816"/>
      <c r="JI218" s="816"/>
      <c r="JJ218" s="816"/>
      <c r="JK218" s="816"/>
      <c r="JL218" s="816"/>
      <c r="JM218" s="816"/>
      <c r="JN218" s="816"/>
      <c r="JO218" s="823"/>
      <c r="JP218" s="824"/>
      <c r="JQ218" s="825"/>
      <c r="JR218" s="825"/>
      <c r="JS218" s="816"/>
      <c r="JU218" s="834"/>
      <c r="JV218" s="834"/>
      <c r="JW218" s="826"/>
      <c r="JX218" s="834"/>
    </row>
    <row r="219" spans="2:284" s="780" customFormat="1">
      <c r="B219" s="609"/>
      <c r="C219" s="609"/>
      <c r="D219" s="609"/>
      <c r="E219" s="609"/>
      <c r="F219" s="609"/>
      <c r="G219" s="609"/>
      <c r="H219" s="609"/>
      <c r="I219" s="609"/>
      <c r="J219" s="609"/>
      <c r="K219" s="609"/>
      <c r="L219" s="609"/>
      <c r="M219" s="609"/>
      <c r="N219" s="609"/>
      <c r="O219" s="609"/>
      <c r="P219" s="609"/>
      <c r="Q219" s="609"/>
      <c r="R219" s="609"/>
      <c r="S219" s="609"/>
      <c r="T219" s="609"/>
      <c r="U219" s="609"/>
      <c r="V219" s="609"/>
      <c r="W219" s="609"/>
      <c r="X219" s="609"/>
      <c r="Y219" s="609"/>
      <c r="Z219" s="609"/>
      <c r="AA219" s="609"/>
      <c r="AB219" s="609"/>
      <c r="AC219" s="609"/>
      <c r="AD219" s="816"/>
      <c r="AE219" s="816"/>
      <c r="AF219" s="816"/>
      <c r="AG219" s="816"/>
      <c r="AH219" s="816"/>
      <c r="AI219" s="816"/>
      <c r="AJ219" s="609"/>
      <c r="AK219" s="609"/>
      <c r="AL219" s="816"/>
      <c r="AM219" s="816"/>
      <c r="AN219" s="609"/>
      <c r="AO219" s="609"/>
      <c r="AP219" s="816"/>
      <c r="AQ219" s="816"/>
      <c r="AR219" s="816"/>
      <c r="AS219" s="816"/>
      <c r="AT219" s="816"/>
      <c r="AU219" s="816"/>
      <c r="AV219" s="609"/>
      <c r="AW219" s="609"/>
      <c r="AX219" s="816"/>
      <c r="AY219" s="816"/>
      <c r="AZ219" s="817"/>
      <c r="BA219" s="609"/>
      <c r="BB219" s="609"/>
      <c r="BC219" s="816"/>
      <c r="BD219" s="816"/>
      <c r="BE219" s="816"/>
      <c r="BF219" s="816"/>
      <c r="BG219" s="816"/>
      <c r="BH219" s="816"/>
      <c r="BI219" s="816"/>
      <c r="BJ219" s="816"/>
      <c r="BK219" s="816"/>
      <c r="BL219" s="816"/>
      <c r="BM219" s="816"/>
      <c r="BN219" s="816"/>
      <c r="BO219" s="816"/>
      <c r="BP219" s="816"/>
      <c r="BQ219" s="816"/>
      <c r="BR219" s="816"/>
      <c r="BS219" s="816"/>
      <c r="BT219" s="816"/>
      <c r="BU219" s="816"/>
      <c r="BV219" s="816"/>
      <c r="BW219" s="816"/>
      <c r="BX219" s="609"/>
      <c r="BY219" s="609"/>
      <c r="BZ219" s="609"/>
      <c r="CA219" s="818"/>
      <c r="CB219" s="816"/>
      <c r="CC219" s="816"/>
      <c r="CD219" s="816"/>
      <c r="CE219" s="816"/>
      <c r="CF219" s="816"/>
      <c r="CG219" s="816"/>
      <c r="CH219" s="816"/>
      <c r="CI219" s="816"/>
      <c r="CJ219" s="819"/>
      <c r="CK219" s="819"/>
      <c r="CL219" s="820"/>
      <c r="CM219" s="820"/>
      <c r="CN219" s="820"/>
      <c r="CO219" s="820"/>
      <c r="CP219" s="820"/>
      <c r="CQ219" s="820"/>
      <c r="CR219" s="609"/>
      <c r="CS219" s="609"/>
      <c r="CT219" s="816"/>
      <c r="CU219" s="816"/>
      <c r="CV219" s="609"/>
      <c r="CW219" s="609"/>
      <c r="CX219" s="816"/>
      <c r="CY219" s="816"/>
      <c r="CZ219" s="609"/>
      <c r="DA219" s="609"/>
      <c r="DB219" s="816"/>
      <c r="DC219" s="816"/>
      <c r="DD219" s="609"/>
      <c r="DE219" s="609"/>
      <c r="DF219" s="816"/>
      <c r="DG219" s="816"/>
      <c r="DH219" s="816"/>
      <c r="DI219" s="816"/>
      <c r="DJ219" s="816"/>
      <c r="DK219" s="816"/>
      <c r="DL219" s="609"/>
      <c r="DM219" s="609"/>
      <c r="DN219" s="816"/>
      <c r="DO219" s="816"/>
      <c r="DP219" s="609"/>
      <c r="DQ219" s="609"/>
      <c r="DR219" s="816"/>
      <c r="DS219" s="816"/>
      <c r="DT219" s="816"/>
      <c r="DU219" s="816"/>
      <c r="DV219" s="816"/>
      <c r="DW219" s="816"/>
      <c r="DX219" s="816"/>
      <c r="DY219" s="816"/>
      <c r="DZ219" s="816"/>
      <c r="EA219" s="816"/>
      <c r="EB219" s="816"/>
      <c r="EC219" s="816"/>
      <c r="ED219" s="816"/>
      <c r="EE219" s="816"/>
      <c r="EF219" s="609"/>
      <c r="EG219" s="609"/>
      <c r="EH219" s="816"/>
      <c r="EI219" s="816"/>
      <c r="EJ219" s="816"/>
      <c r="EK219" s="816"/>
      <c r="EL219" s="816"/>
      <c r="EM219" s="816"/>
      <c r="EN219" s="816"/>
      <c r="EO219" s="816"/>
      <c r="EP219" s="816"/>
      <c r="EQ219" s="816"/>
      <c r="ER219" s="816"/>
      <c r="ES219" s="816"/>
      <c r="ET219" s="816"/>
      <c r="EU219" s="816"/>
      <c r="EV219" s="609"/>
      <c r="EW219" s="609"/>
      <c r="EX219" s="816"/>
      <c r="EY219" s="816"/>
      <c r="EZ219" s="816"/>
      <c r="FA219" s="816"/>
      <c r="FB219" s="816"/>
      <c r="FC219" s="816"/>
      <c r="FD219" s="816"/>
      <c r="FE219" s="816"/>
      <c r="FF219" s="816"/>
      <c r="FG219" s="816"/>
      <c r="FH219" s="816"/>
      <c r="FI219" s="816"/>
      <c r="FJ219" s="816"/>
      <c r="FK219" s="816"/>
      <c r="FL219" s="816"/>
      <c r="FM219" s="816"/>
      <c r="FN219" s="816"/>
      <c r="FO219" s="816"/>
      <c r="FP219" s="816"/>
      <c r="FQ219" s="816"/>
      <c r="FR219" s="816"/>
      <c r="FS219" s="816"/>
      <c r="FT219" s="816"/>
      <c r="FU219" s="816"/>
      <c r="FV219" s="816"/>
      <c r="FW219" s="816"/>
      <c r="FX219" s="816"/>
      <c r="FY219" s="816"/>
      <c r="FZ219" s="819"/>
      <c r="GA219" s="816"/>
      <c r="GB219" s="820"/>
      <c r="GC219" s="820"/>
      <c r="GD219" s="820"/>
      <c r="GE219" s="820"/>
      <c r="GF219" s="609"/>
      <c r="GG219" s="609"/>
      <c r="GH219" s="816"/>
      <c r="GI219" s="816"/>
      <c r="GJ219" s="816"/>
      <c r="GK219" s="816"/>
      <c r="GL219" s="816"/>
      <c r="GM219" s="816"/>
      <c r="GN219" s="816"/>
      <c r="GO219" s="816"/>
      <c r="GP219" s="816"/>
      <c r="GQ219" s="816"/>
      <c r="GR219" s="816"/>
      <c r="GS219" s="816"/>
      <c r="GT219" s="818"/>
      <c r="GU219" s="816"/>
      <c r="GV219" s="816"/>
      <c r="GW219" s="816"/>
      <c r="GX219" s="816"/>
      <c r="GY219" s="816"/>
      <c r="GZ219" s="816"/>
      <c r="HA219" s="816"/>
      <c r="HB219" s="609"/>
      <c r="HC219" s="609"/>
      <c r="HD219" s="816"/>
      <c r="HE219" s="816"/>
      <c r="HF219" s="816"/>
      <c r="HG219" s="816"/>
      <c r="HH219" s="816"/>
      <c r="HI219" s="816"/>
      <c r="HJ219" s="609"/>
      <c r="HK219" s="609"/>
      <c r="HL219" s="609"/>
      <c r="HM219" s="816"/>
      <c r="HN219" s="816"/>
      <c r="HO219" s="609"/>
      <c r="HP219" s="609"/>
      <c r="HQ219" s="816"/>
      <c r="HR219" s="816"/>
      <c r="HS219" s="816"/>
      <c r="HT219" s="816"/>
      <c r="HU219" s="816"/>
      <c r="HV219" s="816"/>
      <c r="HW219" s="609"/>
      <c r="HX219" s="609"/>
      <c r="HY219" s="816"/>
      <c r="HZ219" s="816"/>
      <c r="IA219" s="816"/>
      <c r="IB219" s="816"/>
      <c r="IC219" s="816"/>
      <c r="ID219" s="816"/>
      <c r="IE219" s="609"/>
      <c r="IF219" s="609"/>
      <c r="IG219" s="816"/>
      <c r="IH219" s="816"/>
      <c r="II219" s="609"/>
      <c r="IJ219" s="609"/>
      <c r="IK219" s="816"/>
      <c r="IL219" s="816"/>
      <c r="IM219" s="609"/>
      <c r="IN219" s="609"/>
      <c r="IO219" s="816"/>
      <c r="IP219" s="816"/>
      <c r="IQ219" s="816"/>
      <c r="IR219" s="816"/>
      <c r="IS219" s="816"/>
      <c r="IT219" s="816"/>
      <c r="IU219" s="821"/>
      <c r="IV219" s="609"/>
      <c r="IW219" s="816"/>
      <c r="IX219" s="816"/>
      <c r="IY219" s="822"/>
      <c r="IZ219" s="609"/>
      <c r="JA219" s="816"/>
      <c r="JB219" s="816"/>
      <c r="JC219" s="609"/>
      <c r="JD219" s="816"/>
      <c r="JE219" s="816"/>
      <c r="JF219" s="816"/>
      <c r="JG219" s="816"/>
      <c r="JH219" s="816"/>
      <c r="JI219" s="816"/>
      <c r="JJ219" s="816"/>
      <c r="JK219" s="816"/>
      <c r="JL219" s="816"/>
      <c r="JM219" s="816"/>
      <c r="JN219" s="816"/>
      <c r="JO219" s="823"/>
      <c r="JP219" s="824"/>
      <c r="JQ219" s="825"/>
      <c r="JR219" s="825"/>
      <c r="JS219" s="816"/>
      <c r="JU219" s="834"/>
      <c r="JV219" s="834"/>
      <c r="JW219" s="826"/>
      <c r="JX219" s="834"/>
    </row>
    <row r="220" spans="2:284" s="780" customFormat="1">
      <c r="B220" s="609"/>
      <c r="C220" s="609"/>
      <c r="D220" s="609"/>
      <c r="E220" s="609"/>
      <c r="F220" s="609"/>
      <c r="G220" s="609"/>
      <c r="H220" s="609"/>
      <c r="I220" s="609"/>
      <c r="J220" s="609"/>
      <c r="K220" s="609"/>
      <c r="L220" s="609"/>
      <c r="M220" s="609"/>
      <c r="N220" s="609"/>
      <c r="O220" s="609"/>
      <c r="P220" s="609"/>
      <c r="Q220" s="609"/>
      <c r="R220" s="609"/>
      <c r="S220" s="609"/>
      <c r="T220" s="609"/>
      <c r="U220" s="609"/>
      <c r="V220" s="609"/>
      <c r="W220" s="609"/>
      <c r="X220" s="609"/>
      <c r="Y220" s="609"/>
      <c r="Z220" s="609"/>
      <c r="AA220" s="609"/>
      <c r="AB220" s="609"/>
      <c r="AC220" s="609"/>
      <c r="AD220" s="816"/>
      <c r="AE220" s="816"/>
      <c r="AF220" s="816"/>
      <c r="AG220" s="816"/>
      <c r="AH220" s="816"/>
      <c r="AI220" s="816"/>
      <c r="AJ220" s="609"/>
      <c r="AK220" s="609"/>
      <c r="AL220" s="816"/>
      <c r="AM220" s="816"/>
      <c r="AN220" s="609"/>
      <c r="AO220" s="609"/>
      <c r="AP220" s="816"/>
      <c r="AQ220" s="816"/>
      <c r="AR220" s="816"/>
      <c r="AS220" s="816"/>
      <c r="AT220" s="816"/>
      <c r="AU220" s="816"/>
      <c r="AV220" s="609"/>
      <c r="AW220" s="609"/>
      <c r="AX220" s="816"/>
      <c r="AY220" s="816"/>
      <c r="AZ220" s="817"/>
      <c r="BA220" s="609"/>
      <c r="BB220" s="609"/>
      <c r="BC220" s="816"/>
      <c r="BD220" s="816"/>
      <c r="BE220" s="816"/>
      <c r="BF220" s="816"/>
      <c r="BG220" s="816"/>
      <c r="BH220" s="816"/>
      <c r="BI220" s="816"/>
      <c r="BJ220" s="816"/>
      <c r="BK220" s="816"/>
      <c r="BL220" s="816"/>
      <c r="BM220" s="816"/>
      <c r="BN220" s="816"/>
      <c r="BO220" s="816"/>
      <c r="BP220" s="816"/>
      <c r="BQ220" s="816"/>
      <c r="BR220" s="816"/>
      <c r="BS220" s="816"/>
      <c r="BT220" s="816"/>
      <c r="BU220" s="816"/>
      <c r="BV220" s="816"/>
      <c r="BW220" s="816"/>
      <c r="BX220" s="609"/>
      <c r="BY220" s="609"/>
      <c r="BZ220" s="609"/>
      <c r="CA220" s="818"/>
      <c r="CB220" s="816"/>
      <c r="CC220" s="816"/>
      <c r="CD220" s="816"/>
      <c r="CE220" s="816"/>
      <c r="CF220" s="816"/>
      <c r="CG220" s="816"/>
      <c r="CH220" s="816"/>
      <c r="CI220" s="816"/>
      <c r="CJ220" s="819"/>
      <c r="CK220" s="819"/>
      <c r="CL220" s="820"/>
      <c r="CM220" s="820"/>
      <c r="CN220" s="820"/>
      <c r="CO220" s="820"/>
      <c r="CP220" s="820"/>
      <c r="CQ220" s="820"/>
      <c r="CR220" s="609"/>
      <c r="CS220" s="609"/>
      <c r="CT220" s="816"/>
      <c r="CU220" s="816"/>
      <c r="CV220" s="609"/>
      <c r="CW220" s="609"/>
      <c r="CX220" s="816"/>
      <c r="CY220" s="816"/>
      <c r="CZ220" s="609"/>
      <c r="DA220" s="609"/>
      <c r="DB220" s="816"/>
      <c r="DC220" s="816"/>
      <c r="DD220" s="609"/>
      <c r="DE220" s="609"/>
      <c r="DF220" s="816"/>
      <c r="DG220" s="816"/>
      <c r="DH220" s="816"/>
      <c r="DI220" s="816"/>
      <c r="DJ220" s="816"/>
      <c r="DK220" s="816"/>
      <c r="DL220" s="609"/>
      <c r="DM220" s="609"/>
      <c r="DN220" s="816"/>
      <c r="DO220" s="816"/>
      <c r="DP220" s="609"/>
      <c r="DQ220" s="609"/>
      <c r="DR220" s="816"/>
      <c r="DS220" s="816"/>
      <c r="DT220" s="816"/>
      <c r="DU220" s="816"/>
      <c r="DV220" s="816"/>
      <c r="DW220" s="816"/>
      <c r="DX220" s="816"/>
      <c r="DY220" s="816"/>
      <c r="DZ220" s="816"/>
      <c r="EA220" s="816"/>
      <c r="EB220" s="816"/>
      <c r="EC220" s="816"/>
      <c r="ED220" s="816"/>
      <c r="EE220" s="816"/>
      <c r="EF220" s="609"/>
      <c r="EG220" s="609"/>
      <c r="EH220" s="816"/>
      <c r="EI220" s="816"/>
      <c r="EJ220" s="816"/>
      <c r="EK220" s="816"/>
      <c r="EL220" s="816"/>
      <c r="EM220" s="816"/>
      <c r="EN220" s="816"/>
      <c r="EO220" s="816"/>
      <c r="EP220" s="816"/>
      <c r="EQ220" s="816"/>
      <c r="ER220" s="816"/>
      <c r="ES220" s="816"/>
      <c r="ET220" s="816"/>
      <c r="EU220" s="816"/>
      <c r="EV220" s="609"/>
      <c r="EW220" s="609"/>
      <c r="EX220" s="816"/>
      <c r="EY220" s="816"/>
      <c r="EZ220" s="816"/>
      <c r="FA220" s="816"/>
      <c r="FB220" s="816"/>
      <c r="FC220" s="816"/>
      <c r="FD220" s="816"/>
      <c r="FE220" s="816"/>
      <c r="FF220" s="816"/>
      <c r="FG220" s="816"/>
      <c r="FH220" s="816"/>
      <c r="FI220" s="816"/>
      <c r="FJ220" s="816"/>
      <c r="FK220" s="816"/>
      <c r="FL220" s="816"/>
      <c r="FM220" s="816"/>
      <c r="FN220" s="816"/>
      <c r="FO220" s="816"/>
      <c r="FP220" s="816"/>
      <c r="FQ220" s="816"/>
      <c r="FR220" s="816"/>
      <c r="FS220" s="816"/>
      <c r="FT220" s="816"/>
      <c r="FU220" s="816"/>
      <c r="FV220" s="816"/>
      <c r="FW220" s="816"/>
      <c r="FX220" s="816"/>
      <c r="FY220" s="816"/>
      <c r="FZ220" s="819"/>
      <c r="GA220" s="816"/>
      <c r="GB220" s="820"/>
      <c r="GC220" s="820"/>
      <c r="GD220" s="820"/>
      <c r="GE220" s="820"/>
      <c r="GF220" s="609"/>
      <c r="GG220" s="609"/>
      <c r="GH220" s="816"/>
      <c r="GI220" s="816"/>
      <c r="GJ220" s="816"/>
      <c r="GK220" s="816"/>
      <c r="GL220" s="816"/>
      <c r="GM220" s="816"/>
      <c r="GN220" s="816"/>
      <c r="GO220" s="816"/>
      <c r="GP220" s="816"/>
      <c r="GQ220" s="816"/>
      <c r="GR220" s="816"/>
      <c r="GS220" s="816"/>
      <c r="GT220" s="818"/>
      <c r="GU220" s="816"/>
      <c r="GV220" s="816"/>
      <c r="GW220" s="816"/>
      <c r="GX220" s="816"/>
      <c r="GY220" s="816"/>
      <c r="GZ220" s="816"/>
      <c r="HA220" s="816"/>
      <c r="HB220" s="609"/>
      <c r="HC220" s="609"/>
      <c r="HD220" s="816"/>
      <c r="HE220" s="816"/>
      <c r="HF220" s="816"/>
      <c r="HG220" s="816"/>
      <c r="HH220" s="816"/>
      <c r="HI220" s="816"/>
      <c r="HJ220" s="609"/>
      <c r="HK220" s="609"/>
      <c r="HL220" s="609"/>
      <c r="HM220" s="816"/>
      <c r="HN220" s="816"/>
      <c r="HO220" s="609"/>
      <c r="HP220" s="609"/>
      <c r="HQ220" s="816"/>
      <c r="HR220" s="816"/>
      <c r="HS220" s="816"/>
      <c r="HT220" s="816"/>
      <c r="HU220" s="816"/>
      <c r="HV220" s="816"/>
      <c r="HW220" s="609"/>
      <c r="HX220" s="609"/>
      <c r="HY220" s="816"/>
      <c r="HZ220" s="816"/>
      <c r="IA220" s="816"/>
      <c r="IB220" s="816"/>
      <c r="IC220" s="816"/>
      <c r="ID220" s="816"/>
      <c r="IE220" s="609"/>
      <c r="IF220" s="609"/>
      <c r="IG220" s="816"/>
      <c r="IH220" s="816"/>
      <c r="II220" s="609"/>
      <c r="IJ220" s="609"/>
      <c r="IK220" s="816"/>
      <c r="IL220" s="816"/>
      <c r="IM220" s="609"/>
      <c r="IN220" s="609"/>
      <c r="IO220" s="816"/>
      <c r="IP220" s="816"/>
      <c r="IQ220" s="816"/>
      <c r="IR220" s="816"/>
      <c r="IS220" s="816"/>
      <c r="IT220" s="816"/>
      <c r="IU220" s="821"/>
      <c r="IV220" s="609"/>
      <c r="IW220" s="816"/>
      <c r="IX220" s="816"/>
      <c r="IY220" s="822"/>
      <c r="IZ220" s="609"/>
      <c r="JA220" s="816"/>
      <c r="JB220" s="816"/>
      <c r="JC220" s="609"/>
      <c r="JD220" s="816"/>
      <c r="JE220" s="816"/>
      <c r="JF220" s="816"/>
      <c r="JG220" s="816"/>
      <c r="JH220" s="816"/>
      <c r="JI220" s="816"/>
      <c r="JJ220" s="816"/>
      <c r="JK220" s="816"/>
      <c r="JL220" s="816"/>
      <c r="JM220" s="816"/>
      <c r="JN220" s="816"/>
      <c r="JO220" s="823"/>
      <c r="JP220" s="824"/>
      <c r="JQ220" s="825"/>
      <c r="JR220" s="825"/>
      <c r="JS220" s="816"/>
      <c r="JU220" s="834"/>
      <c r="JV220" s="834"/>
      <c r="JW220" s="826"/>
      <c r="JX220" s="834"/>
    </row>
    <row r="221" spans="2:284" s="780" customFormat="1">
      <c r="B221" s="609"/>
      <c r="C221" s="609"/>
      <c r="D221" s="609"/>
      <c r="E221" s="609"/>
      <c r="F221" s="609"/>
      <c r="G221" s="609"/>
      <c r="H221" s="609"/>
      <c r="I221" s="609"/>
      <c r="J221" s="609"/>
      <c r="K221" s="609"/>
      <c r="L221" s="609"/>
      <c r="M221" s="609"/>
      <c r="N221" s="609"/>
      <c r="O221" s="609"/>
      <c r="P221" s="609"/>
      <c r="Q221" s="609"/>
      <c r="R221" s="609"/>
      <c r="S221" s="609"/>
      <c r="T221" s="609"/>
      <c r="U221" s="609"/>
      <c r="V221" s="609"/>
      <c r="W221" s="609"/>
      <c r="X221" s="609"/>
      <c r="Y221" s="609"/>
      <c r="Z221" s="609"/>
      <c r="AA221" s="609"/>
      <c r="AB221" s="609"/>
      <c r="AC221" s="609"/>
      <c r="AD221" s="816"/>
      <c r="AE221" s="816"/>
      <c r="AF221" s="816"/>
      <c r="AG221" s="816"/>
      <c r="AH221" s="816"/>
      <c r="AI221" s="816"/>
      <c r="AJ221" s="609"/>
      <c r="AK221" s="609"/>
      <c r="AL221" s="816"/>
      <c r="AM221" s="816"/>
      <c r="AN221" s="609"/>
      <c r="AO221" s="609"/>
      <c r="AP221" s="816"/>
      <c r="AQ221" s="816"/>
      <c r="AR221" s="816"/>
      <c r="AS221" s="816"/>
      <c r="AT221" s="816"/>
      <c r="AU221" s="816"/>
      <c r="AV221" s="609"/>
      <c r="AW221" s="609"/>
      <c r="AX221" s="816"/>
      <c r="AY221" s="816"/>
      <c r="AZ221" s="817"/>
      <c r="BA221" s="609"/>
      <c r="BB221" s="609"/>
      <c r="BC221" s="816"/>
      <c r="BD221" s="816"/>
      <c r="BE221" s="816"/>
      <c r="BF221" s="816"/>
      <c r="BG221" s="816"/>
      <c r="BH221" s="816"/>
      <c r="BI221" s="816"/>
      <c r="BJ221" s="816"/>
      <c r="BK221" s="816"/>
      <c r="BL221" s="816"/>
      <c r="BM221" s="816"/>
      <c r="BN221" s="816"/>
      <c r="BO221" s="816"/>
      <c r="BP221" s="816"/>
      <c r="BQ221" s="816"/>
      <c r="BR221" s="816"/>
      <c r="BS221" s="816"/>
      <c r="BT221" s="816"/>
      <c r="BU221" s="816"/>
      <c r="BV221" s="816"/>
      <c r="BW221" s="816"/>
      <c r="BX221" s="609"/>
      <c r="BY221" s="609"/>
      <c r="BZ221" s="609"/>
      <c r="CA221" s="818"/>
      <c r="CB221" s="816"/>
      <c r="CC221" s="816"/>
      <c r="CD221" s="816"/>
      <c r="CE221" s="816"/>
      <c r="CF221" s="816"/>
      <c r="CG221" s="816"/>
      <c r="CH221" s="816"/>
      <c r="CI221" s="816"/>
      <c r="CJ221" s="819"/>
      <c r="CK221" s="819"/>
      <c r="CL221" s="820"/>
      <c r="CM221" s="820"/>
      <c r="CN221" s="820"/>
      <c r="CO221" s="820"/>
      <c r="CP221" s="820"/>
      <c r="CQ221" s="820"/>
      <c r="CR221" s="609"/>
      <c r="CS221" s="609"/>
      <c r="CT221" s="816"/>
      <c r="CU221" s="816"/>
      <c r="CV221" s="609"/>
      <c r="CW221" s="609"/>
      <c r="CX221" s="816"/>
      <c r="CY221" s="816"/>
      <c r="CZ221" s="609"/>
      <c r="DA221" s="609"/>
      <c r="DB221" s="816"/>
      <c r="DC221" s="816"/>
      <c r="DD221" s="609"/>
      <c r="DE221" s="609"/>
      <c r="DF221" s="816"/>
      <c r="DG221" s="816"/>
      <c r="DH221" s="816"/>
      <c r="DI221" s="816"/>
      <c r="DJ221" s="816"/>
      <c r="DK221" s="816"/>
      <c r="DL221" s="609"/>
      <c r="DM221" s="609"/>
      <c r="DN221" s="816"/>
      <c r="DO221" s="816"/>
      <c r="DP221" s="609"/>
      <c r="DQ221" s="609"/>
      <c r="DR221" s="816"/>
      <c r="DS221" s="816"/>
      <c r="DT221" s="816"/>
      <c r="DU221" s="816"/>
      <c r="DV221" s="816"/>
      <c r="DW221" s="816"/>
      <c r="DX221" s="816"/>
      <c r="DY221" s="816"/>
      <c r="DZ221" s="816"/>
      <c r="EA221" s="816"/>
      <c r="EB221" s="816"/>
      <c r="EC221" s="816"/>
      <c r="ED221" s="816"/>
      <c r="EE221" s="816"/>
      <c r="EF221" s="609"/>
      <c r="EG221" s="609"/>
      <c r="EH221" s="816"/>
      <c r="EI221" s="816"/>
      <c r="EJ221" s="816"/>
      <c r="EK221" s="816"/>
      <c r="EL221" s="816"/>
      <c r="EM221" s="816"/>
      <c r="EN221" s="816"/>
      <c r="EO221" s="816"/>
      <c r="EP221" s="816"/>
      <c r="EQ221" s="816"/>
      <c r="ER221" s="816"/>
      <c r="ES221" s="816"/>
      <c r="ET221" s="816"/>
      <c r="EU221" s="816"/>
      <c r="EV221" s="609"/>
      <c r="EW221" s="609"/>
      <c r="EX221" s="816"/>
      <c r="EY221" s="816"/>
      <c r="EZ221" s="816"/>
      <c r="FA221" s="816"/>
      <c r="FB221" s="816"/>
      <c r="FC221" s="816"/>
      <c r="FD221" s="816"/>
      <c r="FE221" s="816"/>
      <c r="FF221" s="816"/>
      <c r="FG221" s="816"/>
      <c r="FH221" s="816"/>
      <c r="FI221" s="816"/>
      <c r="FJ221" s="816"/>
      <c r="FK221" s="816"/>
      <c r="FL221" s="816"/>
      <c r="FM221" s="816"/>
      <c r="FN221" s="816"/>
      <c r="FO221" s="816"/>
      <c r="FP221" s="816"/>
      <c r="FQ221" s="816"/>
      <c r="FR221" s="816"/>
      <c r="FS221" s="816"/>
      <c r="FT221" s="816"/>
      <c r="FU221" s="816"/>
      <c r="FV221" s="816"/>
      <c r="FW221" s="816"/>
      <c r="FX221" s="816"/>
      <c r="FY221" s="816"/>
      <c r="FZ221" s="819"/>
      <c r="GA221" s="816"/>
      <c r="GB221" s="820"/>
      <c r="GC221" s="820"/>
      <c r="GD221" s="820"/>
      <c r="GE221" s="820"/>
      <c r="GF221" s="609"/>
      <c r="GG221" s="609"/>
      <c r="GH221" s="816"/>
      <c r="GI221" s="816"/>
      <c r="GJ221" s="816"/>
      <c r="GK221" s="816"/>
      <c r="GL221" s="816"/>
      <c r="GM221" s="816"/>
      <c r="GN221" s="816"/>
      <c r="GO221" s="816"/>
      <c r="GP221" s="816"/>
      <c r="GQ221" s="816"/>
      <c r="GR221" s="816"/>
      <c r="GS221" s="816"/>
      <c r="GT221" s="818"/>
      <c r="GU221" s="816"/>
      <c r="GV221" s="816"/>
      <c r="GW221" s="816"/>
      <c r="GX221" s="816"/>
      <c r="GY221" s="816"/>
      <c r="GZ221" s="816"/>
      <c r="HA221" s="816"/>
      <c r="HB221" s="609"/>
      <c r="HC221" s="609"/>
      <c r="HD221" s="816"/>
      <c r="HE221" s="816"/>
      <c r="HF221" s="816"/>
      <c r="HG221" s="816"/>
      <c r="HH221" s="816"/>
      <c r="HI221" s="816"/>
      <c r="HJ221" s="609"/>
      <c r="HK221" s="609"/>
      <c r="HL221" s="609"/>
      <c r="HM221" s="816"/>
      <c r="HN221" s="816"/>
      <c r="HO221" s="609"/>
      <c r="HP221" s="609"/>
      <c r="HQ221" s="816"/>
      <c r="HR221" s="816"/>
      <c r="HS221" s="816"/>
      <c r="HT221" s="816"/>
      <c r="HU221" s="816"/>
      <c r="HV221" s="816"/>
      <c r="HW221" s="609"/>
      <c r="HX221" s="609"/>
      <c r="HY221" s="816"/>
      <c r="HZ221" s="816"/>
      <c r="IA221" s="816"/>
      <c r="IB221" s="816"/>
      <c r="IC221" s="816"/>
      <c r="ID221" s="816"/>
      <c r="IE221" s="609"/>
      <c r="IF221" s="609"/>
      <c r="IG221" s="816"/>
      <c r="IH221" s="816"/>
      <c r="II221" s="609"/>
      <c r="IJ221" s="609"/>
      <c r="IK221" s="816"/>
      <c r="IL221" s="816"/>
      <c r="IM221" s="609"/>
      <c r="IN221" s="609"/>
      <c r="IO221" s="816"/>
      <c r="IP221" s="816"/>
      <c r="IQ221" s="816"/>
      <c r="IR221" s="816"/>
      <c r="IS221" s="816"/>
      <c r="IT221" s="816"/>
      <c r="IU221" s="821"/>
      <c r="IV221" s="609"/>
      <c r="IW221" s="816"/>
      <c r="IX221" s="816"/>
      <c r="IY221" s="822"/>
      <c r="IZ221" s="609"/>
      <c r="JA221" s="816"/>
      <c r="JB221" s="816"/>
      <c r="JC221" s="609"/>
      <c r="JD221" s="816"/>
      <c r="JE221" s="816"/>
      <c r="JF221" s="816"/>
      <c r="JG221" s="816"/>
      <c r="JH221" s="816"/>
      <c r="JI221" s="816"/>
      <c r="JJ221" s="816"/>
      <c r="JK221" s="816"/>
      <c r="JL221" s="816"/>
      <c r="JM221" s="816"/>
      <c r="JN221" s="816"/>
      <c r="JO221" s="823"/>
      <c r="JP221" s="824"/>
      <c r="JQ221" s="825"/>
      <c r="JR221" s="825"/>
      <c r="JS221" s="816"/>
      <c r="JU221" s="834"/>
      <c r="JV221" s="834"/>
      <c r="JW221" s="826"/>
      <c r="JX221" s="834"/>
    </row>
    <row r="222" spans="2:284" s="780" customFormat="1">
      <c r="B222" s="609"/>
      <c r="C222" s="609"/>
      <c r="D222" s="609"/>
      <c r="E222" s="609"/>
      <c r="F222" s="609"/>
      <c r="G222" s="609"/>
      <c r="H222" s="609"/>
      <c r="I222" s="609"/>
      <c r="J222" s="609"/>
      <c r="K222" s="609"/>
      <c r="L222" s="609"/>
      <c r="M222" s="609"/>
      <c r="N222" s="609"/>
      <c r="O222" s="609"/>
      <c r="P222" s="609"/>
      <c r="Q222" s="609"/>
      <c r="R222" s="609"/>
      <c r="S222" s="609"/>
      <c r="T222" s="609"/>
      <c r="U222" s="609"/>
      <c r="V222" s="609"/>
      <c r="W222" s="609"/>
      <c r="X222" s="609"/>
      <c r="Y222" s="609"/>
      <c r="Z222" s="609"/>
      <c r="AA222" s="609"/>
      <c r="AB222" s="609"/>
      <c r="AC222" s="609"/>
      <c r="AD222" s="816"/>
      <c r="AE222" s="816"/>
      <c r="AF222" s="816"/>
      <c r="AG222" s="816"/>
      <c r="AH222" s="816"/>
      <c r="AI222" s="816"/>
      <c r="AJ222" s="609"/>
      <c r="AK222" s="609"/>
      <c r="AL222" s="816"/>
      <c r="AM222" s="816"/>
      <c r="AN222" s="609"/>
      <c r="AO222" s="609"/>
      <c r="AP222" s="816"/>
      <c r="AQ222" s="816"/>
      <c r="AR222" s="816"/>
      <c r="AS222" s="816"/>
      <c r="AT222" s="816"/>
      <c r="AU222" s="816"/>
      <c r="AV222" s="609"/>
      <c r="AW222" s="609"/>
      <c r="AX222" s="816"/>
      <c r="AY222" s="816"/>
      <c r="AZ222" s="817"/>
      <c r="BA222" s="609"/>
      <c r="BB222" s="609"/>
      <c r="BC222" s="816"/>
      <c r="BD222" s="816"/>
      <c r="BE222" s="816"/>
      <c r="BF222" s="816"/>
      <c r="BG222" s="816"/>
      <c r="BH222" s="816"/>
      <c r="BI222" s="816"/>
      <c r="BJ222" s="816"/>
      <c r="BK222" s="816"/>
      <c r="BL222" s="816"/>
      <c r="BM222" s="816"/>
      <c r="BN222" s="816"/>
      <c r="BO222" s="816"/>
      <c r="BP222" s="816"/>
      <c r="BQ222" s="816"/>
      <c r="BR222" s="816"/>
      <c r="BS222" s="816"/>
      <c r="BT222" s="816"/>
      <c r="BU222" s="816"/>
      <c r="BV222" s="816"/>
      <c r="BW222" s="816"/>
      <c r="BX222" s="609"/>
      <c r="BY222" s="609"/>
      <c r="BZ222" s="609"/>
      <c r="CA222" s="818"/>
      <c r="CB222" s="816"/>
      <c r="CC222" s="816"/>
      <c r="CD222" s="816"/>
      <c r="CE222" s="816"/>
      <c r="CF222" s="816"/>
      <c r="CG222" s="816"/>
      <c r="CH222" s="816"/>
      <c r="CI222" s="816"/>
      <c r="CJ222" s="819"/>
      <c r="CK222" s="819"/>
      <c r="CL222" s="820"/>
      <c r="CM222" s="820"/>
      <c r="CN222" s="820"/>
      <c r="CO222" s="820"/>
      <c r="CP222" s="820"/>
      <c r="CQ222" s="820"/>
      <c r="CR222" s="609"/>
      <c r="CS222" s="609"/>
      <c r="CT222" s="816"/>
      <c r="CU222" s="816"/>
      <c r="CV222" s="609"/>
      <c r="CW222" s="609"/>
      <c r="CX222" s="816"/>
      <c r="CY222" s="816"/>
      <c r="CZ222" s="609"/>
      <c r="DA222" s="609"/>
      <c r="DB222" s="816"/>
      <c r="DC222" s="816"/>
      <c r="DD222" s="609"/>
      <c r="DE222" s="609"/>
      <c r="DF222" s="816"/>
      <c r="DG222" s="816"/>
      <c r="DH222" s="816"/>
      <c r="DI222" s="816"/>
      <c r="DJ222" s="816"/>
      <c r="DK222" s="816"/>
      <c r="DL222" s="609"/>
      <c r="DM222" s="609"/>
      <c r="DN222" s="816"/>
      <c r="DO222" s="816"/>
      <c r="DP222" s="609"/>
      <c r="DQ222" s="609"/>
      <c r="DR222" s="816"/>
      <c r="DS222" s="816"/>
      <c r="DT222" s="816"/>
      <c r="DU222" s="816"/>
      <c r="DV222" s="816"/>
      <c r="DW222" s="816"/>
      <c r="DX222" s="816"/>
      <c r="DY222" s="816"/>
      <c r="DZ222" s="816"/>
      <c r="EA222" s="816"/>
      <c r="EB222" s="816"/>
      <c r="EC222" s="816"/>
      <c r="ED222" s="816"/>
      <c r="EE222" s="816"/>
      <c r="EF222" s="609"/>
      <c r="EG222" s="609"/>
      <c r="EH222" s="816"/>
      <c r="EI222" s="816"/>
      <c r="EJ222" s="816"/>
      <c r="EK222" s="816"/>
      <c r="EL222" s="816"/>
      <c r="EM222" s="816"/>
      <c r="EN222" s="816"/>
      <c r="EO222" s="816"/>
      <c r="EP222" s="816"/>
      <c r="EQ222" s="816"/>
      <c r="ER222" s="816"/>
      <c r="ES222" s="816"/>
      <c r="ET222" s="816"/>
      <c r="EU222" s="816"/>
      <c r="EV222" s="609"/>
      <c r="EW222" s="609"/>
      <c r="EX222" s="816"/>
      <c r="EY222" s="816"/>
      <c r="EZ222" s="816"/>
      <c r="FA222" s="816"/>
      <c r="FB222" s="816"/>
      <c r="FC222" s="816"/>
      <c r="FD222" s="816"/>
      <c r="FE222" s="816"/>
      <c r="FF222" s="816"/>
      <c r="FG222" s="816"/>
      <c r="FH222" s="816"/>
      <c r="FI222" s="816"/>
      <c r="FJ222" s="816"/>
      <c r="FK222" s="816"/>
      <c r="FL222" s="816"/>
      <c r="FM222" s="816"/>
      <c r="FN222" s="816"/>
      <c r="FO222" s="816"/>
      <c r="FP222" s="816"/>
      <c r="FQ222" s="816"/>
      <c r="FR222" s="816"/>
      <c r="FS222" s="816"/>
      <c r="FT222" s="816"/>
      <c r="FU222" s="816"/>
      <c r="FV222" s="816"/>
      <c r="FW222" s="816"/>
      <c r="FX222" s="816"/>
      <c r="FY222" s="816"/>
      <c r="FZ222" s="819"/>
      <c r="GA222" s="816"/>
      <c r="GB222" s="820"/>
      <c r="GC222" s="820"/>
      <c r="GD222" s="820"/>
      <c r="GE222" s="820"/>
      <c r="GF222" s="817"/>
      <c r="GG222" s="609"/>
      <c r="GH222" s="816"/>
      <c r="GI222" s="816"/>
      <c r="GJ222" s="816"/>
      <c r="GK222" s="816"/>
      <c r="GL222" s="816"/>
      <c r="GM222" s="816"/>
      <c r="GN222" s="816"/>
      <c r="GO222" s="816"/>
      <c r="GP222" s="816"/>
      <c r="GQ222" s="816"/>
      <c r="GR222" s="816"/>
      <c r="GS222" s="816"/>
      <c r="GT222" s="818"/>
      <c r="GU222" s="816"/>
      <c r="GV222" s="816"/>
      <c r="GW222" s="816"/>
      <c r="GX222" s="816"/>
      <c r="GY222" s="816"/>
      <c r="GZ222" s="816"/>
      <c r="HA222" s="816"/>
      <c r="HB222" s="609"/>
      <c r="HC222" s="609"/>
      <c r="HD222" s="816"/>
      <c r="HE222" s="816"/>
      <c r="HF222" s="816"/>
      <c r="HG222" s="816"/>
      <c r="HH222" s="816"/>
      <c r="HI222" s="816"/>
      <c r="HJ222" s="609"/>
      <c r="HK222" s="609"/>
      <c r="HL222" s="609"/>
      <c r="HM222" s="816"/>
      <c r="HN222" s="816"/>
      <c r="HO222" s="609"/>
      <c r="HP222" s="609"/>
      <c r="HQ222" s="816"/>
      <c r="HR222" s="816"/>
      <c r="HS222" s="816"/>
      <c r="HT222" s="816"/>
      <c r="HU222" s="816"/>
      <c r="HV222" s="816"/>
      <c r="HW222" s="609"/>
      <c r="HX222" s="609"/>
      <c r="HY222" s="816"/>
      <c r="HZ222" s="816"/>
      <c r="IA222" s="816"/>
      <c r="IB222" s="816"/>
      <c r="IC222" s="816"/>
      <c r="ID222" s="816"/>
      <c r="IE222" s="609"/>
      <c r="IF222" s="609"/>
      <c r="IG222" s="816"/>
      <c r="IH222" s="816"/>
      <c r="II222" s="609"/>
      <c r="IJ222" s="609"/>
      <c r="IK222" s="816"/>
      <c r="IL222" s="816"/>
      <c r="IM222" s="609"/>
      <c r="IN222" s="609"/>
      <c r="IO222" s="816"/>
      <c r="IP222" s="816"/>
      <c r="IQ222" s="816"/>
      <c r="IR222" s="816"/>
      <c r="IS222" s="816"/>
      <c r="IT222" s="816"/>
      <c r="IU222" s="821"/>
      <c r="IV222" s="609"/>
      <c r="IW222" s="816"/>
      <c r="IX222" s="816"/>
      <c r="IY222" s="822"/>
      <c r="IZ222" s="609"/>
      <c r="JA222" s="816"/>
      <c r="JB222" s="816"/>
      <c r="JC222" s="609"/>
      <c r="JD222" s="816"/>
      <c r="JE222" s="816"/>
      <c r="JF222" s="816"/>
      <c r="JG222" s="816"/>
      <c r="JH222" s="816"/>
      <c r="JI222" s="816"/>
      <c r="JJ222" s="816"/>
      <c r="JK222" s="816"/>
      <c r="JL222" s="816"/>
      <c r="JM222" s="816"/>
      <c r="JN222" s="816"/>
      <c r="JO222" s="823"/>
      <c r="JP222" s="824"/>
      <c r="JQ222" s="825"/>
      <c r="JR222" s="825"/>
      <c r="JS222" s="816"/>
      <c r="JU222" s="834"/>
      <c r="JV222" s="834"/>
      <c r="JW222" s="826"/>
      <c r="JX222" s="834"/>
    </row>
    <row r="223" spans="2:284" s="780" customFormat="1">
      <c r="B223" s="609"/>
      <c r="C223" s="609"/>
      <c r="D223" s="609"/>
      <c r="E223" s="609"/>
      <c r="F223" s="609"/>
      <c r="G223" s="609"/>
      <c r="H223" s="609"/>
      <c r="I223" s="609"/>
      <c r="J223" s="609"/>
      <c r="K223" s="609"/>
      <c r="L223" s="609"/>
      <c r="M223" s="609"/>
      <c r="N223" s="609"/>
      <c r="O223" s="609"/>
      <c r="P223" s="609"/>
      <c r="Q223" s="609"/>
      <c r="R223" s="609"/>
      <c r="S223" s="609"/>
      <c r="T223" s="609"/>
      <c r="U223" s="609"/>
      <c r="V223" s="609"/>
      <c r="W223" s="609"/>
      <c r="X223" s="609"/>
      <c r="Y223" s="609"/>
      <c r="Z223" s="609"/>
      <c r="AA223" s="609"/>
      <c r="AB223" s="609"/>
      <c r="AC223" s="609"/>
      <c r="AD223" s="816"/>
      <c r="AE223" s="816"/>
      <c r="AF223" s="816"/>
      <c r="AG223" s="816"/>
      <c r="AH223" s="816"/>
      <c r="AI223" s="816"/>
      <c r="AJ223" s="609"/>
      <c r="AK223" s="609"/>
      <c r="AL223" s="816"/>
      <c r="AM223" s="816"/>
      <c r="AN223" s="609"/>
      <c r="AO223" s="609"/>
      <c r="AP223" s="816"/>
      <c r="AQ223" s="816"/>
      <c r="AR223" s="816"/>
      <c r="AS223" s="816"/>
      <c r="AT223" s="816"/>
      <c r="AU223" s="816"/>
      <c r="AV223" s="609"/>
      <c r="AW223" s="609"/>
      <c r="AX223" s="816"/>
      <c r="AY223" s="816"/>
      <c r="AZ223" s="817"/>
      <c r="BA223" s="609"/>
      <c r="BB223" s="609"/>
      <c r="BC223" s="816"/>
      <c r="BD223" s="816"/>
      <c r="BE223" s="816"/>
      <c r="BF223" s="816"/>
      <c r="BG223" s="816"/>
      <c r="BH223" s="816"/>
      <c r="BI223" s="816"/>
      <c r="BJ223" s="816"/>
      <c r="BK223" s="816"/>
      <c r="BL223" s="816"/>
      <c r="BM223" s="816"/>
      <c r="BN223" s="816"/>
      <c r="BO223" s="816"/>
      <c r="BP223" s="816"/>
      <c r="BQ223" s="816"/>
      <c r="BR223" s="816"/>
      <c r="BS223" s="816"/>
      <c r="BT223" s="816"/>
      <c r="BU223" s="816"/>
      <c r="BV223" s="816"/>
      <c r="BW223" s="816"/>
      <c r="BX223" s="609"/>
      <c r="BY223" s="609"/>
      <c r="BZ223" s="609"/>
      <c r="CA223" s="818"/>
      <c r="CB223" s="816"/>
      <c r="CC223" s="816"/>
      <c r="CD223" s="816"/>
      <c r="CE223" s="816"/>
      <c r="CF223" s="816"/>
      <c r="CG223" s="816"/>
      <c r="CH223" s="816"/>
      <c r="CI223" s="816"/>
      <c r="CJ223" s="819"/>
      <c r="CK223" s="819"/>
      <c r="CL223" s="820"/>
      <c r="CM223" s="820"/>
      <c r="CN223" s="820"/>
      <c r="CO223" s="820"/>
      <c r="CP223" s="820"/>
      <c r="CQ223" s="820"/>
      <c r="CR223" s="609"/>
      <c r="CS223" s="609"/>
      <c r="CT223" s="816"/>
      <c r="CU223" s="816"/>
      <c r="CV223" s="609"/>
      <c r="CW223" s="609"/>
      <c r="CX223" s="816"/>
      <c r="CY223" s="816"/>
      <c r="CZ223" s="609"/>
      <c r="DA223" s="609"/>
      <c r="DB223" s="816"/>
      <c r="DC223" s="816"/>
      <c r="DD223" s="609"/>
      <c r="DE223" s="609"/>
      <c r="DF223" s="816"/>
      <c r="DG223" s="816"/>
      <c r="DH223" s="816"/>
      <c r="DI223" s="816"/>
      <c r="DJ223" s="816"/>
      <c r="DK223" s="816"/>
      <c r="DL223" s="609"/>
      <c r="DM223" s="609"/>
      <c r="DN223" s="816"/>
      <c r="DO223" s="816"/>
      <c r="DP223" s="609"/>
      <c r="DQ223" s="609"/>
      <c r="DR223" s="816"/>
      <c r="DS223" s="816"/>
      <c r="DT223" s="816"/>
      <c r="DU223" s="816"/>
      <c r="DV223" s="816"/>
      <c r="DW223" s="816"/>
      <c r="DX223" s="816"/>
      <c r="DY223" s="816"/>
      <c r="DZ223" s="816"/>
      <c r="EA223" s="816"/>
      <c r="EB223" s="816"/>
      <c r="EC223" s="816"/>
      <c r="ED223" s="816"/>
      <c r="EE223" s="816"/>
      <c r="EF223" s="609"/>
      <c r="EG223" s="609"/>
      <c r="EH223" s="816"/>
      <c r="EI223" s="816"/>
      <c r="EJ223" s="816"/>
      <c r="EK223" s="816"/>
      <c r="EL223" s="816"/>
      <c r="EM223" s="816"/>
      <c r="EN223" s="816"/>
      <c r="EO223" s="816"/>
      <c r="EP223" s="816"/>
      <c r="EQ223" s="816"/>
      <c r="ER223" s="816"/>
      <c r="ES223" s="816"/>
      <c r="ET223" s="816"/>
      <c r="EU223" s="816"/>
      <c r="EV223" s="609"/>
      <c r="EW223" s="609"/>
      <c r="EX223" s="816"/>
      <c r="EY223" s="816"/>
      <c r="EZ223" s="816"/>
      <c r="FA223" s="816"/>
      <c r="FB223" s="816"/>
      <c r="FC223" s="816"/>
      <c r="FD223" s="816"/>
      <c r="FE223" s="816"/>
      <c r="FF223" s="816"/>
      <c r="FG223" s="816"/>
      <c r="FH223" s="816"/>
      <c r="FI223" s="816"/>
      <c r="FJ223" s="816"/>
      <c r="FK223" s="816"/>
      <c r="FL223" s="816"/>
      <c r="FM223" s="816"/>
      <c r="FN223" s="816"/>
      <c r="FO223" s="816"/>
      <c r="FP223" s="816"/>
      <c r="FQ223" s="816"/>
      <c r="FR223" s="816"/>
      <c r="FS223" s="816"/>
      <c r="FT223" s="816"/>
      <c r="FU223" s="816"/>
      <c r="FV223" s="816"/>
      <c r="FW223" s="816"/>
      <c r="FX223" s="816"/>
      <c r="FY223" s="816"/>
      <c r="FZ223" s="819"/>
      <c r="GA223" s="816"/>
      <c r="GB223" s="820"/>
      <c r="GC223" s="820"/>
      <c r="GD223" s="820"/>
      <c r="GE223" s="820"/>
      <c r="GF223" s="609"/>
      <c r="GG223" s="609"/>
      <c r="GH223" s="816"/>
      <c r="GI223" s="816"/>
      <c r="GJ223" s="816"/>
      <c r="GK223" s="816"/>
      <c r="GL223" s="816"/>
      <c r="GM223" s="816"/>
      <c r="GN223" s="816"/>
      <c r="GO223" s="816"/>
      <c r="GP223" s="816"/>
      <c r="GQ223" s="816"/>
      <c r="GR223" s="816"/>
      <c r="GS223" s="816"/>
      <c r="GT223" s="818"/>
      <c r="GU223" s="816"/>
      <c r="GV223" s="816"/>
      <c r="GW223" s="816"/>
      <c r="GX223" s="816"/>
      <c r="GY223" s="816"/>
      <c r="GZ223" s="816"/>
      <c r="HA223" s="816"/>
      <c r="HB223" s="609"/>
      <c r="HC223" s="609"/>
      <c r="HD223" s="816"/>
      <c r="HE223" s="816"/>
      <c r="HF223" s="816"/>
      <c r="HG223" s="816"/>
      <c r="HH223" s="816"/>
      <c r="HI223" s="816"/>
      <c r="HJ223" s="609"/>
      <c r="HK223" s="609"/>
      <c r="HL223" s="609"/>
      <c r="HM223" s="816"/>
      <c r="HN223" s="816"/>
      <c r="HO223" s="609"/>
      <c r="HP223" s="609"/>
      <c r="HQ223" s="816"/>
      <c r="HR223" s="816"/>
      <c r="HS223" s="816"/>
      <c r="HT223" s="816"/>
      <c r="HU223" s="816"/>
      <c r="HV223" s="816"/>
      <c r="HW223" s="609"/>
      <c r="HX223" s="609"/>
      <c r="HY223" s="816"/>
      <c r="HZ223" s="816"/>
      <c r="IA223" s="816"/>
      <c r="IB223" s="816"/>
      <c r="IC223" s="816"/>
      <c r="ID223" s="816"/>
      <c r="IE223" s="609"/>
      <c r="IF223" s="609"/>
      <c r="IG223" s="816"/>
      <c r="IH223" s="816"/>
      <c r="II223" s="609"/>
      <c r="IJ223" s="609"/>
      <c r="IK223" s="816"/>
      <c r="IL223" s="816"/>
      <c r="IM223" s="609"/>
      <c r="IN223" s="609"/>
      <c r="IO223" s="816"/>
      <c r="IP223" s="816"/>
      <c r="IQ223" s="816"/>
      <c r="IR223" s="816"/>
      <c r="IS223" s="816"/>
      <c r="IT223" s="816"/>
      <c r="IU223" s="821"/>
      <c r="IV223" s="609"/>
      <c r="IW223" s="816"/>
      <c r="IX223" s="816"/>
      <c r="IY223" s="822"/>
      <c r="IZ223" s="609"/>
      <c r="JA223" s="816"/>
      <c r="JB223" s="816"/>
      <c r="JC223" s="609"/>
      <c r="JD223" s="816"/>
      <c r="JE223" s="816"/>
      <c r="JF223" s="816"/>
      <c r="JG223" s="816"/>
      <c r="JH223" s="816"/>
      <c r="JI223" s="816"/>
      <c r="JJ223" s="816"/>
      <c r="JK223" s="816"/>
      <c r="JL223" s="816"/>
      <c r="JM223" s="816"/>
      <c r="JN223" s="816"/>
      <c r="JO223" s="823"/>
      <c r="JP223" s="824"/>
      <c r="JQ223" s="825"/>
      <c r="JR223" s="825"/>
      <c r="JS223" s="816"/>
      <c r="JU223" s="834"/>
      <c r="JV223" s="834"/>
      <c r="JW223" s="826"/>
      <c r="JX223" s="834"/>
    </row>
    <row r="224" spans="2:284" s="780" customFormat="1">
      <c r="B224" s="609"/>
      <c r="C224" s="609"/>
      <c r="D224" s="609"/>
      <c r="E224" s="609"/>
      <c r="F224" s="609"/>
      <c r="G224" s="609"/>
      <c r="H224" s="609"/>
      <c r="I224" s="609"/>
      <c r="J224" s="609"/>
      <c r="K224" s="609"/>
      <c r="L224" s="609"/>
      <c r="M224" s="609"/>
      <c r="N224" s="609"/>
      <c r="O224" s="609"/>
      <c r="P224" s="609"/>
      <c r="Q224" s="609"/>
      <c r="R224" s="609"/>
      <c r="S224" s="609"/>
      <c r="T224" s="609"/>
      <c r="U224" s="609"/>
      <c r="V224" s="609"/>
      <c r="W224" s="609"/>
      <c r="X224" s="609"/>
      <c r="Y224" s="609"/>
      <c r="Z224" s="609"/>
      <c r="AA224" s="609"/>
      <c r="AB224" s="609"/>
      <c r="AC224" s="609"/>
      <c r="AD224" s="816"/>
      <c r="AE224" s="816"/>
      <c r="AF224" s="816"/>
      <c r="AG224" s="816"/>
      <c r="AH224" s="816"/>
      <c r="AI224" s="816"/>
      <c r="AJ224" s="609"/>
      <c r="AK224" s="609"/>
      <c r="AL224" s="816"/>
      <c r="AM224" s="816"/>
      <c r="AN224" s="609"/>
      <c r="AO224" s="609"/>
      <c r="AP224" s="816"/>
      <c r="AQ224" s="816"/>
      <c r="AR224" s="816"/>
      <c r="AS224" s="816"/>
      <c r="AT224" s="816"/>
      <c r="AU224" s="816"/>
      <c r="AV224" s="609"/>
      <c r="AW224" s="609"/>
      <c r="AX224" s="816"/>
      <c r="AY224" s="816"/>
      <c r="AZ224" s="817"/>
      <c r="BA224" s="609"/>
      <c r="BB224" s="609"/>
      <c r="BC224" s="816"/>
      <c r="BD224" s="816"/>
      <c r="BE224" s="816"/>
      <c r="BF224" s="816"/>
      <c r="BG224" s="816"/>
      <c r="BH224" s="816"/>
      <c r="BI224" s="816"/>
      <c r="BJ224" s="816"/>
      <c r="BK224" s="816"/>
      <c r="BL224" s="816"/>
      <c r="BM224" s="816"/>
      <c r="BN224" s="816"/>
      <c r="BO224" s="816"/>
      <c r="BP224" s="816"/>
      <c r="BQ224" s="816"/>
      <c r="BR224" s="816"/>
      <c r="BS224" s="816"/>
      <c r="BT224" s="816"/>
      <c r="BU224" s="816"/>
      <c r="BV224" s="816"/>
      <c r="BW224" s="816"/>
      <c r="BX224" s="609"/>
      <c r="BY224" s="609"/>
      <c r="BZ224" s="609"/>
      <c r="CA224" s="818"/>
      <c r="CB224" s="816"/>
      <c r="CC224" s="816"/>
      <c r="CD224" s="816"/>
      <c r="CE224" s="816"/>
      <c r="CF224" s="816"/>
      <c r="CG224" s="816"/>
      <c r="CH224" s="816"/>
      <c r="CI224" s="816"/>
      <c r="CJ224" s="819"/>
      <c r="CK224" s="819"/>
      <c r="CL224" s="820"/>
      <c r="CM224" s="820"/>
      <c r="CN224" s="820"/>
      <c r="CO224" s="820"/>
      <c r="CP224" s="820"/>
      <c r="CQ224" s="820"/>
      <c r="CR224" s="609"/>
      <c r="CS224" s="609"/>
      <c r="CT224" s="816"/>
      <c r="CU224" s="816"/>
      <c r="CV224" s="609"/>
      <c r="CW224" s="609"/>
      <c r="CX224" s="816"/>
      <c r="CY224" s="816"/>
      <c r="CZ224" s="609"/>
      <c r="DA224" s="609"/>
      <c r="DB224" s="816"/>
      <c r="DC224" s="816"/>
      <c r="DD224" s="609"/>
      <c r="DE224" s="609"/>
      <c r="DF224" s="816"/>
      <c r="DG224" s="816"/>
      <c r="DH224" s="816"/>
      <c r="DI224" s="816"/>
      <c r="DJ224" s="816"/>
      <c r="DK224" s="816"/>
      <c r="DL224" s="609"/>
      <c r="DM224" s="609"/>
      <c r="DN224" s="816"/>
      <c r="DO224" s="816"/>
      <c r="DP224" s="609"/>
      <c r="DQ224" s="609"/>
      <c r="DR224" s="816"/>
      <c r="DS224" s="816"/>
      <c r="DT224" s="816"/>
      <c r="DU224" s="816"/>
      <c r="DV224" s="816"/>
      <c r="DW224" s="816"/>
      <c r="DX224" s="816"/>
      <c r="DY224" s="816"/>
      <c r="DZ224" s="816"/>
      <c r="EA224" s="816"/>
      <c r="EB224" s="816"/>
      <c r="EC224" s="816"/>
      <c r="ED224" s="816"/>
      <c r="EE224" s="816"/>
      <c r="EF224" s="609"/>
      <c r="EG224" s="609"/>
      <c r="EH224" s="816"/>
      <c r="EI224" s="816"/>
      <c r="EJ224" s="816"/>
      <c r="EK224" s="816"/>
      <c r="EL224" s="816"/>
      <c r="EM224" s="816"/>
      <c r="EN224" s="816"/>
      <c r="EO224" s="816"/>
      <c r="EP224" s="816"/>
      <c r="EQ224" s="816"/>
      <c r="ER224" s="816"/>
      <c r="ES224" s="816"/>
      <c r="ET224" s="816"/>
      <c r="EU224" s="816"/>
      <c r="EV224" s="609"/>
      <c r="EW224" s="609"/>
      <c r="EX224" s="816"/>
      <c r="EY224" s="816"/>
      <c r="EZ224" s="816"/>
      <c r="FA224" s="816"/>
      <c r="FB224" s="816"/>
      <c r="FC224" s="816"/>
      <c r="FD224" s="816"/>
      <c r="FE224" s="816"/>
      <c r="FF224" s="816"/>
      <c r="FG224" s="816"/>
      <c r="FH224" s="816"/>
      <c r="FI224" s="816"/>
      <c r="FJ224" s="816"/>
      <c r="FK224" s="816"/>
      <c r="FL224" s="816"/>
      <c r="FM224" s="816"/>
      <c r="FN224" s="816"/>
      <c r="FO224" s="816"/>
      <c r="FP224" s="816"/>
      <c r="FQ224" s="816"/>
      <c r="FR224" s="816"/>
      <c r="FS224" s="816"/>
      <c r="FT224" s="816"/>
      <c r="FU224" s="816"/>
      <c r="FV224" s="816"/>
      <c r="FW224" s="816"/>
      <c r="FX224" s="816"/>
      <c r="FY224" s="816"/>
      <c r="FZ224" s="819"/>
      <c r="GA224" s="816"/>
      <c r="GB224" s="820"/>
      <c r="GC224" s="820"/>
      <c r="GD224" s="820"/>
      <c r="GE224" s="820"/>
      <c r="GF224" s="609"/>
      <c r="GG224" s="609"/>
      <c r="GH224" s="816"/>
      <c r="GI224" s="816"/>
      <c r="GJ224" s="816"/>
      <c r="GK224" s="816"/>
      <c r="GL224" s="816"/>
      <c r="GM224" s="816"/>
      <c r="GN224" s="816"/>
      <c r="GO224" s="816"/>
      <c r="GP224" s="816"/>
      <c r="GQ224" s="816"/>
      <c r="GR224" s="816"/>
      <c r="GS224" s="816"/>
      <c r="GT224" s="818"/>
      <c r="GU224" s="816"/>
      <c r="GV224" s="816"/>
      <c r="GW224" s="816"/>
      <c r="GX224" s="816"/>
      <c r="GY224" s="816"/>
      <c r="GZ224" s="816"/>
      <c r="HA224" s="816"/>
      <c r="HB224" s="609"/>
      <c r="HC224" s="609"/>
      <c r="HD224" s="816"/>
      <c r="HE224" s="816"/>
      <c r="HF224" s="816"/>
      <c r="HG224" s="816"/>
      <c r="HH224" s="816"/>
      <c r="HI224" s="816"/>
      <c r="HJ224" s="609"/>
      <c r="HK224" s="609"/>
      <c r="HL224" s="609"/>
      <c r="HM224" s="816"/>
      <c r="HN224" s="816"/>
      <c r="HO224" s="609"/>
      <c r="HP224" s="609"/>
      <c r="HQ224" s="816"/>
      <c r="HR224" s="816"/>
      <c r="HS224" s="816"/>
      <c r="HT224" s="816"/>
      <c r="HU224" s="816"/>
      <c r="HV224" s="816"/>
      <c r="HW224" s="609"/>
      <c r="HX224" s="609"/>
      <c r="HY224" s="816"/>
      <c r="HZ224" s="816"/>
      <c r="IA224" s="816"/>
      <c r="IB224" s="816"/>
      <c r="IC224" s="816"/>
      <c r="ID224" s="816"/>
      <c r="IE224" s="609"/>
      <c r="IF224" s="609"/>
      <c r="IG224" s="816"/>
      <c r="IH224" s="816"/>
      <c r="II224" s="609"/>
      <c r="IJ224" s="609"/>
      <c r="IK224" s="816"/>
      <c r="IL224" s="816"/>
      <c r="IM224" s="609"/>
      <c r="IN224" s="609"/>
      <c r="IO224" s="816"/>
      <c r="IP224" s="816"/>
      <c r="IQ224" s="816"/>
      <c r="IR224" s="816"/>
      <c r="IS224" s="816"/>
      <c r="IT224" s="816"/>
      <c r="IU224" s="821"/>
      <c r="IV224" s="609"/>
      <c r="IW224" s="816"/>
      <c r="IX224" s="816"/>
      <c r="IY224" s="822"/>
      <c r="IZ224" s="609"/>
      <c r="JA224" s="816"/>
      <c r="JB224" s="816"/>
      <c r="JC224" s="609"/>
      <c r="JD224" s="816"/>
      <c r="JE224" s="816"/>
      <c r="JF224" s="816"/>
      <c r="JG224" s="816"/>
      <c r="JH224" s="816"/>
      <c r="JI224" s="816"/>
      <c r="JJ224" s="816"/>
      <c r="JK224" s="816"/>
      <c r="JL224" s="816"/>
      <c r="JM224" s="816"/>
      <c r="JN224" s="816"/>
      <c r="JO224" s="823"/>
      <c r="JP224" s="824"/>
      <c r="JQ224" s="825"/>
      <c r="JR224" s="825"/>
      <c r="JS224" s="816"/>
      <c r="JU224" s="834"/>
      <c r="JV224" s="834"/>
      <c r="JW224" s="826"/>
      <c r="JX224" s="834"/>
    </row>
    <row r="225" spans="2:284" s="780" customFormat="1">
      <c r="B225" s="609"/>
      <c r="C225" s="609"/>
      <c r="D225" s="609"/>
      <c r="E225" s="609"/>
      <c r="F225" s="609"/>
      <c r="G225" s="609"/>
      <c r="H225" s="609"/>
      <c r="I225" s="609"/>
      <c r="J225" s="609"/>
      <c r="K225" s="609"/>
      <c r="L225" s="609"/>
      <c r="M225" s="609"/>
      <c r="N225" s="609"/>
      <c r="O225" s="609"/>
      <c r="P225" s="609"/>
      <c r="Q225" s="609"/>
      <c r="R225" s="609"/>
      <c r="S225" s="609"/>
      <c r="T225" s="609"/>
      <c r="U225" s="609"/>
      <c r="V225" s="609"/>
      <c r="W225" s="609"/>
      <c r="X225" s="609"/>
      <c r="Y225" s="609"/>
      <c r="Z225" s="609"/>
      <c r="AA225" s="609"/>
      <c r="AB225" s="609"/>
      <c r="AC225" s="609"/>
      <c r="AD225" s="816"/>
      <c r="AE225" s="816"/>
      <c r="AF225" s="816"/>
      <c r="AG225" s="816"/>
      <c r="AH225" s="816"/>
      <c r="AI225" s="816"/>
      <c r="AJ225" s="609"/>
      <c r="AK225" s="609"/>
      <c r="AL225" s="816"/>
      <c r="AM225" s="816"/>
      <c r="AN225" s="609"/>
      <c r="AO225" s="609"/>
      <c r="AP225" s="816"/>
      <c r="AQ225" s="816"/>
      <c r="AR225" s="816"/>
      <c r="AS225" s="816"/>
      <c r="AT225" s="816"/>
      <c r="AU225" s="816"/>
      <c r="AV225" s="609"/>
      <c r="AW225" s="609"/>
      <c r="AX225" s="816"/>
      <c r="AY225" s="816"/>
      <c r="AZ225" s="817"/>
      <c r="BA225" s="609"/>
      <c r="BB225" s="609"/>
      <c r="BC225" s="816"/>
      <c r="BD225" s="816"/>
      <c r="BE225" s="816"/>
      <c r="BF225" s="816"/>
      <c r="BG225" s="816"/>
      <c r="BH225" s="816"/>
      <c r="BI225" s="816"/>
      <c r="BJ225" s="816"/>
      <c r="BK225" s="816"/>
      <c r="BL225" s="816"/>
      <c r="BM225" s="816"/>
      <c r="BN225" s="816"/>
      <c r="BO225" s="816"/>
      <c r="BP225" s="816"/>
      <c r="BQ225" s="816"/>
      <c r="BR225" s="816"/>
      <c r="BS225" s="816"/>
      <c r="BT225" s="816"/>
      <c r="BU225" s="816"/>
      <c r="BV225" s="816"/>
      <c r="BW225" s="816"/>
      <c r="BX225" s="609"/>
      <c r="BY225" s="609"/>
      <c r="BZ225" s="609"/>
      <c r="CA225" s="818"/>
      <c r="CB225" s="816"/>
      <c r="CC225" s="816"/>
      <c r="CD225" s="816"/>
      <c r="CE225" s="816"/>
      <c r="CF225" s="816"/>
      <c r="CG225" s="816"/>
      <c r="CH225" s="816"/>
      <c r="CI225" s="816"/>
      <c r="CJ225" s="819"/>
      <c r="CK225" s="819"/>
      <c r="CL225" s="820"/>
      <c r="CM225" s="820"/>
      <c r="CN225" s="820"/>
      <c r="CO225" s="820"/>
      <c r="CP225" s="820"/>
      <c r="CQ225" s="820"/>
      <c r="CR225" s="609"/>
      <c r="CS225" s="609"/>
      <c r="CT225" s="816"/>
      <c r="CU225" s="816"/>
      <c r="CV225" s="609"/>
      <c r="CW225" s="609"/>
      <c r="CX225" s="816"/>
      <c r="CY225" s="816"/>
      <c r="CZ225" s="609"/>
      <c r="DA225" s="609"/>
      <c r="DB225" s="816"/>
      <c r="DC225" s="816"/>
      <c r="DD225" s="609"/>
      <c r="DE225" s="609"/>
      <c r="DF225" s="816"/>
      <c r="DG225" s="816"/>
      <c r="DH225" s="816"/>
      <c r="DI225" s="816"/>
      <c r="DJ225" s="816"/>
      <c r="DK225" s="816"/>
      <c r="DL225" s="609"/>
      <c r="DM225" s="609"/>
      <c r="DN225" s="816"/>
      <c r="DO225" s="816"/>
      <c r="DP225" s="609"/>
      <c r="DQ225" s="609"/>
      <c r="DR225" s="816"/>
      <c r="DS225" s="816"/>
      <c r="DT225" s="816"/>
      <c r="DU225" s="816"/>
      <c r="DV225" s="816"/>
      <c r="DW225" s="816"/>
      <c r="DX225" s="816"/>
      <c r="DY225" s="816"/>
      <c r="DZ225" s="816"/>
      <c r="EA225" s="816"/>
      <c r="EB225" s="816"/>
      <c r="EC225" s="816"/>
      <c r="ED225" s="816"/>
      <c r="EE225" s="816"/>
      <c r="EF225" s="609"/>
      <c r="EG225" s="609"/>
      <c r="EH225" s="816"/>
      <c r="EI225" s="816"/>
      <c r="EJ225" s="816"/>
      <c r="EK225" s="816"/>
      <c r="EL225" s="816"/>
      <c r="EM225" s="816"/>
      <c r="EN225" s="816"/>
      <c r="EO225" s="816"/>
      <c r="EP225" s="816"/>
      <c r="EQ225" s="816"/>
      <c r="ER225" s="816"/>
      <c r="ES225" s="816"/>
      <c r="ET225" s="816"/>
      <c r="EU225" s="816"/>
      <c r="EV225" s="609"/>
      <c r="EW225" s="609"/>
      <c r="EX225" s="816"/>
      <c r="EY225" s="816"/>
      <c r="EZ225" s="816"/>
      <c r="FA225" s="816"/>
      <c r="FB225" s="816"/>
      <c r="FC225" s="816"/>
      <c r="FD225" s="816"/>
      <c r="FE225" s="816"/>
      <c r="FF225" s="816"/>
      <c r="FG225" s="816"/>
      <c r="FH225" s="816"/>
      <c r="FI225" s="816"/>
      <c r="FJ225" s="816"/>
      <c r="FK225" s="816"/>
      <c r="FL225" s="816"/>
      <c r="FM225" s="816"/>
      <c r="FN225" s="816"/>
      <c r="FO225" s="816"/>
      <c r="FP225" s="816"/>
      <c r="FQ225" s="816"/>
      <c r="FR225" s="816"/>
      <c r="FS225" s="816"/>
      <c r="FT225" s="816"/>
      <c r="FU225" s="816"/>
      <c r="FV225" s="816"/>
      <c r="FW225" s="816"/>
      <c r="FX225" s="816"/>
      <c r="FY225" s="816"/>
      <c r="FZ225" s="819"/>
      <c r="GA225" s="816"/>
      <c r="GB225" s="820"/>
      <c r="GC225" s="820"/>
      <c r="GD225" s="820"/>
      <c r="GE225" s="820"/>
      <c r="GF225" s="609"/>
      <c r="GG225" s="609"/>
      <c r="GH225" s="816"/>
      <c r="GI225" s="816"/>
      <c r="GJ225" s="816"/>
      <c r="GK225" s="816"/>
      <c r="GL225" s="816"/>
      <c r="GM225" s="816"/>
      <c r="GN225" s="816"/>
      <c r="GO225" s="816"/>
      <c r="GP225" s="816"/>
      <c r="GQ225" s="816"/>
      <c r="GR225" s="816"/>
      <c r="GS225" s="816"/>
      <c r="GT225" s="818"/>
      <c r="GU225" s="816"/>
      <c r="GV225" s="816"/>
      <c r="GW225" s="816"/>
      <c r="GX225" s="816"/>
      <c r="GY225" s="816"/>
      <c r="GZ225" s="816"/>
      <c r="HA225" s="816"/>
      <c r="HB225" s="609"/>
      <c r="HC225" s="609"/>
      <c r="HD225" s="816"/>
      <c r="HE225" s="816"/>
      <c r="HF225" s="816"/>
      <c r="HG225" s="816"/>
      <c r="HH225" s="816"/>
      <c r="HI225" s="816"/>
      <c r="HJ225" s="609"/>
      <c r="HK225" s="609"/>
      <c r="HL225" s="609"/>
      <c r="HM225" s="816"/>
      <c r="HN225" s="816"/>
      <c r="HO225" s="609"/>
      <c r="HP225" s="609"/>
      <c r="HQ225" s="816"/>
      <c r="HR225" s="816"/>
      <c r="HS225" s="816"/>
      <c r="HT225" s="816"/>
      <c r="HU225" s="816"/>
      <c r="HV225" s="816"/>
      <c r="HW225" s="609"/>
      <c r="HX225" s="609"/>
      <c r="HY225" s="816"/>
      <c r="HZ225" s="816"/>
      <c r="IA225" s="816"/>
      <c r="IB225" s="816"/>
      <c r="IC225" s="816"/>
      <c r="ID225" s="816"/>
      <c r="IE225" s="609"/>
      <c r="IF225" s="609"/>
      <c r="IG225" s="816"/>
      <c r="IH225" s="816"/>
      <c r="II225" s="609"/>
      <c r="IJ225" s="609"/>
      <c r="IK225" s="816"/>
      <c r="IL225" s="816"/>
      <c r="IM225" s="609"/>
      <c r="IN225" s="609"/>
      <c r="IO225" s="816"/>
      <c r="IP225" s="816"/>
      <c r="IQ225" s="816"/>
      <c r="IR225" s="816"/>
      <c r="IS225" s="816"/>
      <c r="IT225" s="816"/>
      <c r="IU225" s="821"/>
      <c r="IV225" s="609"/>
      <c r="IW225" s="816"/>
      <c r="IX225" s="816"/>
      <c r="IY225" s="822"/>
      <c r="IZ225" s="609"/>
      <c r="JA225" s="816"/>
      <c r="JB225" s="816"/>
      <c r="JC225" s="609"/>
      <c r="JD225" s="816"/>
      <c r="JE225" s="816"/>
      <c r="JF225" s="816"/>
      <c r="JG225" s="816"/>
      <c r="JH225" s="816"/>
      <c r="JI225" s="816"/>
      <c r="JJ225" s="816"/>
      <c r="JK225" s="816"/>
      <c r="JL225" s="816"/>
      <c r="JM225" s="816"/>
      <c r="JN225" s="816"/>
      <c r="JO225" s="823"/>
      <c r="JP225" s="824"/>
      <c r="JQ225" s="825"/>
      <c r="JR225" s="825"/>
      <c r="JS225" s="816"/>
      <c r="JU225" s="834"/>
      <c r="JV225" s="834"/>
      <c r="JW225" s="826"/>
      <c r="JX225" s="834"/>
    </row>
    <row r="226" spans="2:284" s="780" customFormat="1">
      <c r="B226" s="609"/>
      <c r="C226" s="609"/>
      <c r="D226" s="609"/>
      <c r="E226" s="609"/>
      <c r="F226" s="609"/>
      <c r="G226" s="609"/>
      <c r="H226" s="609"/>
      <c r="I226" s="609"/>
      <c r="J226" s="609"/>
      <c r="K226" s="609"/>
      <c r="L226" s="609"/>
      <c r="M226" s="609"/>
      <c r="N226" s="609"/>
      <c r="O226" s="609"/>
      <c r="P226" s="609"/>
      <c r="Q226" s="609"/>
      <c r="R226" s="609"/>
      <c r="S226" s="609"/>
      <c r="T226" s="609"/>
      <c r="U226" s="609"/>
      <c r="V226" s="609"/>
      <c r="W226" s="609"/>
      <c r="X226" s="609"/>
      <c r="Y226" s="609"/>
      <c r="Z226" s="609"/>
      <c r="AA226" s="609"/>
      <c r="AB226" s="609"/>
      <c r="AC226" s="609"/>
      <c r="AD226" s="816"/>
      <c r="AE226" s="816"/>
      <c r="AF226" s="816"/>
      <c r="AG226" s="816"/>
      <c r="AH226" s="816"/>
      <c r="AI226" s="816"/>
      <c r="AJ226" s="609"/>
      <c r="AK226" s="609"/>
      <c r="AL226" s="816"/>
      <c r="AM226" s="816"/>
      <c r="AN226" s="609"/>
      <c r="AO226" s="609"/>
      <c r="AP226" s="816"/>
      <c r="AQ226" s="816"/>
      <c r="AR226" s="816"/>
      <c r="AS226" s="816"/>
      <c r="AT226" s="816"/>
      <c r="AU226" s="816"/>
      <c r="AV226" s="609"/>
      <c r="AW226" s="609"/>
      <c r="AX226" s="816"/>
      <c r="AY226" s="816"/>
      <c r="AZ226" s="817"/>
      <c r="BA226" s="609"/>
      <c r="BB226" s="609"/>
      <c r="BC226" s="816"/>
      <c r="BD226" s="816"/>
      <c r="BE226" s="816"/>
      <c r="BF226" s="816"/>
      <c r="BG226" s="816"/>
      <c r="BH226" s="816"/>
      <c r="BI226" s="816"/>
      <c r="BJ226" s="816"/>
      <c r="BK226" s="816"/>
      <c r="BL226" s="816"/>
      <c r="BM226" s="816"/>
      <c r="BN226" s="816"/>
      <c r="BO226" s="816"/>
      <c r="BP226" s="816"/>
      <c r="BQ226" s="816"/>
      <c r="BR226" s="816"/>
      <c r="BS226" s="816"/>
      <c r="BT226" s="816"/>
      <c r="BU226" s="816"/>
      <c r="BV226" s="816"/>
      <c r="BW226" s="816"/>
      <c r="BX226" s="609"/>
      <c r="BY226" s="609"/>
      <c r="BZ226" s="609"/>
      <c r="CA226" s="818"/>
      <c r="CB226" s="816"/>
      <c r="CC226" s="816"/>
      <c r="CD226" s="816"/>
      <c r="CE226" s="816"/>
      <c r="CF226" s="816"/>
      <c r="CG226" s="816"/>
      <c r="CH226" s="816"/>
      <c r="CI226" s="816"/>
      <c r="CJ226" s="819"/>
      <c r="CK226" s="819"/>
      <c r="CL226" s="820"/>
      <c r="CM226" s="820"/>
      <c r="CN226" s="820"/>
      <c r="CO226" s="820"/>
      <c r="CP226" s="820"/>
      <c r="CQ226" s="820"/>
      <c r="CR226" s="609"/>
      <c r="CS226" s="609"/>
      <c r="CT226" s="816"/>
      <c r="CU226" s="816"/>
      <c r="CV226" s="609"/>
      <c r="CW226" s="609"/>
      <c r="CX226" s="816"/>
      <c r="CY226" s="816"/>
      <c r="CZ226" s="609"/>
      <c r="DA226" s="609"/>
      <c r="DB226" s="816"/>
      <c r="DC226" s="816"/>
      <c r="DD226" s="609"/>
      <c r="DE226" s="609"/>
      <c r="DF226" s="816"/>
      <c r="DG226" s="816"/>
      <c r="DH226" s="816"/>
      <c r="DI226" s="816"/>
      <c r="DJ226" s="816"/>
      <c r="DK226" s="816"/>
      <c r="DL226" s="609"/>
      <c r="DM226" s="609"/>
      <c r="DN226" s="816"/>
      <c r="DO226" s="816"/>
      <c r="DP226" s="609"/>
      <c r="DQ226" s="609"/>
      <c r="DR226" s="816"/>
      <c r="DS226" s="816"/>
      <c r="DT226" s="816"/>
      <c r="DU226" s="816"/>
      <c r="DV226" s="816"/>
      <c r="DW226" s="816"/>
      <c r="DX226" s="816"/>
      <c r="DY226" s="816"/>
      <c r="DZ226" s="816"/>
      <c r="EA226" s="816"/>
      <c r="EB226" s="816"/>
      <c r="EC226" s="816"/>
      <c r="ED226" s="816"/>
      <c r="EE226" s="816"/>
      <c r="EF226" s="609"/>
      <c r="EG226" s="609"/>
      <c r="EH226" s="816"/>
      <c r="EI226" s="816"/>
      <c r="EJ226" s="816"/>
      <c r="EK226" s="816"/>
      <c r="EL226" s="816"/>
      <c r="EM226" s="816"/>
      <c r="EN226" s="816"/>
      <c r="EO226" s="816"/>
      <c r="EP226" s="816"/>
      <c r="EQ226" s="816"/>
      <c r="ER226" s="816"/>
      <c r="ES226" s="816"/>
      <c r="ET226" s="816"/>
      <c r="EU226" s="816"/>
      <c r="EV226" s="609"/>
      <c r="EW226" s="609"/>
      <c r="EX226" s="816"/>
      <c r="EY226" s="816"/>
      <c r="EZ226" s="816"/>
      <c r="FA226" s="816"/>
      <c r="FB226" s="816"/>
      <c r="FC226" s="816"/>
      <c r="FD226" s="816"/>
      <c r="FE226" s="816"/>
      <c r="FF226" s="816"/>
      <c r="FG226" s="816"/>
      <c r="FH226" s="816"/>
      <c r="FI226" s="816"/>
      <c r="FJ226" s="816"/>
      <c r="FK226" s="816"/>
      <c r="FL226" s="816"/>
      <c r="FM226" s="816"/>
      <c r="FN226" s="816"/>
      <c r="FO226" s="816"/>
      <c r="FP226" s="816"/>
      <c r="FQ226" s="816"/>
      <c r="FR226" s="816"/>
      <c r="FS226" s="816"/>
      <c r="FT226" s="816"/>
      <c r="FU226" s="816"/>
      <c r="FV226" s="816"/>
      <c r="FW226" s="816"/>
      <c r="FX226" s="816"/>
      <c r="FY226" s="816"/>
      <c r="FZ226" s="819"/>
      <c r="GA226" s="816"/>
      <c r="GB226" s="820"/>
      <c r="GC226" s="820"/>
      <c r="GD226" s="820"/>
      <c r="GE226" s="820"/>
      <c r="GF226" s="609"/>
      <c r="GG226" s="609"/>
      <c r="GH226" s="816"/>
      <c r="GI226" s="816"/>
      <c r="GJ226" s="816"/>
      <c r="GK226" s="816"/>
      <c r="GL226" s="816"/>
      <c r="GM226" s="816"/>
      <c r="GN226" s="816"/>
      <c r="GO226" s="816"/>
      <c r="GP226" s="816"/>
      <c r="GQ226" s="816"/>
      <c r="GR226" s="816"/>
      <c r="GS226" s="816"/>
      <c r="GT226" s="818"/>
      <c r="GU226" s="816"/>
      <c r="GV226" s="816"/>
      <c r="GW226" s="816"/>
      <c r="GX226" s="816"/>
      <c r="GY226" s="816"/>
      <c r="GZ226" s="816"/>
      <c r="HA226" s="816"/>
      <c r="HB226" s="609"/>
      <c r="HC226" s="609"/>
      <c r="HD226" s="816"/>
      <c r="HE226" s="816"/>
      <c r="HF226" s="816"/>
      <c r="HG226" s="816"/>
      <c r="HH226" s="816"/>
      <c r="HI226" s="816"/>
      <c r="HJ226" s="609"/>
      <c r="HK226" s="609"/>
      <c r="HL226" s="609"/>
      <c r="HM226" s="816"/>
      <c r="HN226" s="816"/>
      <c r="HO226" s="609"/>
      <c r="HP226" s="609"/>
      <c r="HQ226" s="816"/>
      <c r="HR226" s="816"/>
      <c r="HS226" s="816"/>
      <c r="HT226" s="816"/>
      <c r="HU226" s="816"/>
      <c r="HV226" s="816"/>
      <c r="HW226" s="609"/>
      <c r="HX226" s="609"/>
      <c r="HY226" s="816"/>
      <c r="HZ226" s="816"/>
      <c r="IA226" s="816"/>
      <c r="IB226" s="816"/>
      <c r="IC226" s="816"/>
      <c r="ID226" s="816"/>
      <c r="IE226" s="609"/>
      <c r="IF226" s="609"/>
      <c r="IG226" s="816"/>
      <c r="IH226" s="816"/>
      <c r="II226" s="609"/>
      <c r="IJ226" s="609"/>
      <c r="IK226" s="816"/>
      <c r="IL226" s="816"/>
      <c r="IM226" s="609"/>
      <c r="IN226" s="609"/>
      <c r="IO226" s="816"/>
      <c r="IP226" s="816"/>
      <c r="IQ226" s="816"/>
      <c r="IR226" s="816"/>
      <c r="IS226" s="816"/>
      <c r="IT226" s="816"/>
      <c r="IU226" s="821"/>
      <c r="IV226" s="609"/>
      <c r="IW226" s="816"/>
      <c r="IX226" s="816"/>
      <c r="IY226" s="822"/>
      <c r="IZ226" s="609"/>
      <c r="JA226" s="816"/>
      <c r="JB226" s="816"/>
      <c r="JC226" s="609"/>
      <c r="JD226" s="816"/>
      <c r="JE226" s="816"/>
      <c r="JF226" s="816"/>
      <c r="JG226" s="816"/>
      <c r="JH226" s="816"/>
      <c r="JI226" s="816"/>
      <c r="JJ226" s="816"/>
      <c r="JK226" s="816"/>
      <c r="JL226" s="816"/>
      <c r="JM226" s="816"/>
      <c r="JN226" s="816"/>
      <c r="JO226" s="823"/>
      <c r="JP226" s="824"/>
      <c r="JQ226" s="825"/>
      <c r="JR226" s="825"/>
      <c r="JS226" s="816"/>
      <c r="JU226" s="834"/>
      <c r="JV226" s="834"/>
      <c r="JW226" s="826"/>
      <c r="JX226" s="834"/>
    </row>
    <row r="227" spans="2:284" s="780" customFormat="1">
      <c r="B227" s="609"/>
      <c r="C227" s="609"/>
      <c r="D227" s="609"/>
      <c r="E227" s="609"/>
      <c r="F227" s="609"/>
      <c r="G227" s="609"/>
      <c r="H227" s="609"/>
      <c r="I227" s="609"/>
      <c r="J227" s="609"/>
      <c r="K227" s="609"/>
      <c r="L227" s="609"/>
      <c r="M227" s="609"/>
      <c r="N227" s="609"/>
      <c r="O227" s="609"/>
      <c r="P227" s="609"/>
      <c r="Q227" s="609"/>
      <c r="R227" s="609"/>
      <c r="S227" s="609"/>
      <c r="T227" s="609"/>
      <c r="U227" s="609"/>
      <c r="V227" s="609"/>
      <c r="W227" s="609"/>
      <c r="X227" s="609"/>
      <c r="Y227" s="609"/>
      <c r="Z227" s="609"/>
      <c r="AA227" s="609"/>
      <c r="AB227" s="609"/>
      <c r="AC227" s="609"/>
      <c r="AD227" s="816"/>
      <c r="AE227" s="816"/>
      <c r="AF227" s="816"/>
      <c r="AG227" s="816"/>
      <c r="AH227" s="816"/>
      <c r="AI227" s="816"/>
      <c r="AJ227" s="609"/>
      <c r="AK227" s="609"/>
      <c r="AL227" s="816"/>
      <c r="AM227" s="816"/>
      <c r="AN227" s="609"/>
      <c r="AO227" s="609"/>
      <c r="AP227" s="816"/>
      <c r="AQ227" s="816"/>
      <c r="AR227" s="816"/>
      <c r="AS227" s="816"/>
      <c r="AT227" s="816"/>
      <c r="AU227" s="816"/>
      <c r="AV227" s="609"/>
      <c r="AW227" s="609"/>
      <c r="AX227" s="816"/>
      <c r="AY227" s="816"/>
      <c r="AZ227" s="817"/>
      <c r="BA227" s="609"/>
      <c r="BB227" s="609"/>
      <c r="BC227" s="816"/>
      <c r="BD227" s="816"/>
      <c r="BE227" s="816"/>
      <c r="BF227" s="816"/>
      <c r="BG227" s="816"/>
      <c r="BH227" s="816"/>
      <c r="BI227" s="816"/>
      <c r="BJ227" s="816"/>
      <c r="BK227" s="816"/>
      <c r="BL227" s="816"/>
      <c r="BM227" s="816"/>
      <c r="BN227" s="816"/>
      <c r="BO227" s="816"/>
      <c r="BP227" s="816"/>
      <c r="BQ227" s="816"/>
      <c r="BR227" s="816"/>
      <c r="BS227" s="816"/>
      <c r="BT227" s="816"/>
      <c r="BU227" s="816"/>
      <c r="BV227" s="816"/>
      <c r="BW227" s="816"/>
      <c r="BX227" s="609"/>
      <c r="BY227" s="609"/>
      <c r="BZ227" s="609"/>
      <c r="CA227" s="818"/>
      <c r="CB227" s="816"/>
      <c r="CC227" s="816"/>
      <c r="CD227" s="816"/>
      <c r="CE227" s="816"/>
      <c r="CF227" s="816"/>
      <c r="CG227" s="816"/>
      <c r="CH227" s="816"/>
      <c r="CI227" s="816"/>
      <c r="CJ227" s="819"/>
      <c r="CK227" s="819"/>
      <c r="CL227" s="820"/>
      <c r="CM227" s="820"/>
      <c r="CN227" s="820"/>
      <c r="CO227" s="820"/>
      <c r="CP227" s="820"/>
      <c r="CQ227" s="820"/>
      <c r="CR227" s="609"/>
      <c r="CS227" s="609"/>
      <c r="CT227" s="816"/>
      <c r="CU227" s="816"/>
      <c r="CV227" s="609"/>
      <c r="CW227" s="609"/>
      <c r="CX227" s="816"/>
      <c r="CY227" s="816"/>
      <c r="CZ227" s="609"/>
      <c r="DA227" s="609"/>
      <c r="DB227" s="816"/>
      <c r="DC227" s="816"/>
      <c r="DD227" s="609"/>
      <c r="DE227" s="609"/>
      <c r="DF227" s="816"/>
      <c r="DG227" s="816"/>
      <c r="DH227" s="816"/>
      <c r="DI227" s="816"/>
      <c r="DJ227" s="816"/>
      <c r="DK227" s="816"/>
      <c r="DL227" s="609"/>
      <c r="DM227" s="609"/>
      <c r="DN227" s="816"/>
      <c r="DO227" s="816"/>
      <c r="DP227" s="609"/>
      <c r="DQ227" s="609"/>
      <c r="DR227" s="816"/>
      <c r="DS227" s="816"/>
      <c r="DT227" s="816"/>
      <c r="DU227" s="816"/>
      <c r="DV227" s="816"/>
      <c r="DW227" s="816"/>
      <c r="DX227" s="816"/>
      <c r="DY227" s="816"/>
      <c r="DZ227" s="816"/>
      <c r="EA227" s="816"/>
      <c r="EB227" s="816"/>
      <c r="EC227" s="816"/>
      <c r="ED227" s="816"/>
      <c r="EE227" s="816"/>
      <c r="EF227" s="609"/>
      <c r="EG227" s="609"/>
      <c r="EH227" s="816"/>
      <c r="EI227" s="816"/>
      <c r="EJ227" s="816"/>
      <c r="EK227" s="816"/>
      <c r="EL227" s="816"/>
      <c r="EM227" s="816"/>
      <c r="EN227" s="816"/>
      <c r="EO227" s="816"/>
      <c r="EP227" s="816"/>
      <c r="EQ227" s="816"/>
      <c r="ER227" s="816"/>
      <c r="ES227" s="816"/>
      <c r="ET227" s="816"/>
      <c r="EU227" s="816"/>
      <c r="EV227" s="609"/>
      <c r="EW227" s="609"/>
      <c r="EX227" s="816"/>
      <c r="EY227" s="816"/>
      <c r="EZ227" s="816"/>
      <c r="FA227" s="816"/>
      <c r="FB227" s="816"/>
      <c r="FC227" s="816"/>
      <c r="FD227" s="816"/>
      <c r="FE227" s="816"/>
      <c r="FF227" s="816"/>
      <c r="FG227" s="816"/>
      <c r="FH227" s="816"/>
      <c r="FI227" s="816"/>
      <c r="FJ227" s="816"/>
      <c r="FK227" s="816"/>
      <c r="FL227" s="816"/>
      <c r="FM227" s="816"/>
      <c r="FN227" s="816"/>
      <c r="FO227" s="816"/>
      <c r="FP227" s="816"/>
      <c r="FQ227" s="816"/>
      <c r="FR227" s="816"/>
      <c r="FS227" s="816"/>
      <c r="FT227" s="816"/>
      <c r="FU227" s="816"/>
      <c r="FV227" s="816"/>
      <c r="FW227" s="816"/>
      <c r="FX227" s="816"/>
      <c r="FY227" s="816"/>
      <c r="FZ227" s="819"/>
      <c r="GA227" s="816"/>
      <c r="GB227" s="820"/>
      <c r="GC227" s="820"/>
      <c r="GD227" s="820"/>
      <c r="GE227" s="820"/>
      <c r="GF227" s="609"/>
      <c r="GG227" s="609"/>
      <c r="GH227" s="816"/>
      <c r="GI227" s="816"/>
      <c r="GJ227" s="816"/>
      <c r="GK227" s="816"/>
      <c r="GL227" s="816"/>
      <c r="GM227" s="816"/>
      <c r="GN227" s="816"/>
      <c r="GO227" s="816"/>
      <c r="GP227" s="816"/>
      <c r="GQ227" s="816"/>
      <c r="GR227" s="816"/>
      <c r="GS227" s="816"/>
      <c r="GT227" s="818"/>
      <c r="GU227" s="816"/>
      <c r="GV227" s="816"/>
      <c r="GW227" s="816"/>
      <c r="GX227" s="816"/>
      <c r="GY227" s="816"/>
      <c r="GZ227" s="816"/>
      <c r="HA227" s="816"/>
      <c r="HB227" s="609"/>
      <c r="HC227" s="609"/>
      <c r="HD227" s="816"/>
      <c r="HE227" s="816"/>
      <c r="HF227" s="816"/>
      <c r="HG227" s="816"/>
      <c r="HH227" s="816"/>
      <c r="HI227" s="816"/>
      <c r="HJ227" s="609"/>
      <c r="HK227" s="609"/>
      <c r="HL227" s="609"/>
      <c r="HM227" s="816"/>
      <c r="HN227" s="816"/>
      <c r="HO227" s="609"/>
      <c r="HP227" s="609"/>
      <c r="HQ227" s="816"/>
      <c r="HR227" s="816"/>
      <c r="HS227" s="816"/>
      <c r="HT227" s="816"/>
      <c r="HU227" s="816"/>
      <c r="HV227" s="816"/>
      <c r="HW227" s="609"/>
      <c r="HX227" s="609"/>
      <c r="HY227" s="816"/>
      <c r="HZ227" s="816"/>
      <c r="IA227" s="816"/>
      <c r="IB227" s="816"/>
      <c r="IC227" s="816"/>
      <c r="ID227" s="816"/>
      <c r="IE227" s="609"/>
      <c r="IF227" s="609"/>
      <c r="IG227" s="816"/>
      <c r="IH227" s="816"/>
      <c r="II227" s="609"/>
      <c r="IJ227" s="609"/>
      <c r="IK227" s="816"/>
      <c r="IL227" s="816"/>
      <c r="IM227" s="609"/>
      <c r="IN227" s="609"/>
      <c r="IO227" s="816"/>
      <c r="IP227" s="816"/>
      <c r="IQ227" s="816"/>
      <c r="IR227" s="816"/>
      <c r="IS227" s="816"/>
      <c r="IT227" s="816"/>
      <c r="IU227" s="821"/>
      <c r="IV227" s="609"/>
      <c r="IW227" s="816"/>
      <c r="IX227" s="816"/>
      <c r="IY227" s="822"/>
      <c r="IZ227" s="609"/>
      <c r="JA227" s="816"/>
      <c r="JB227" s="816"/>
      <c r="JC227" s="609"/>
      <c r="JD227" s="816"/>
      <c r="JE227" s="816"/>
      <c r="JF227" s="816"/>
      <c r="JG227" s="816"/>
      <c r="JH227" s="816"/>
      <c r="JI227" s="816"/>
      <c r="JJ227" s="816"/>
      <c r="JK227" s="816"/>
      <c r="JL227" s="816"/>
      <c r="JM227" s="816"/>
      <c r="JN227" s="816"/>
      <c r="JO227" s="823"/>
      <c r="JP227" s="824"/>
      <c r="JQ227" s="825"/>
      <c r="JR227" s="825"/>
      <c r="JS227" s="816"/>
      <c r="JU227" s="834"/>
      <c r="JV227" s="834"/>
      <c r="JW227" s="826"/>
      <c r="JX227" s="834"/>
    </row>
    <row r="228" spans="2:284" s="780" customFormat="1">
      <c r="B228" s="609"/>
      <c r="C228" s="609"/>
      <c r="D228" s="609"/>
      <c r="E228" s="609"/>
      <c r="F228" s="609"/>
      <c r="G228" s="609"/>
      <c r="H228" s="609"/>
      <c r="I228" s="609"/>
      <c r="J228" s="609"/>
      <c r="K228" s="609"/>
      <c r="L228" s="609"/>
      <c r="M228" s="609"/>
      <c r="N228" s="609"/>
      <c r="O228" s="609"/>
      <c r="P228" s="609"/>
      <c r="Q228" s="609"/>
      <c r="R228" s="609"/>
      <c r="S228" s="609"/>
      <c r="T228" s="609"/>
      <c r="U228" s="609"/>
      <c r="V228" s="609"/>
      <c r="W228" s="609"/>
      <c r="X228" s="609"/>
      <c r="Y228" s="609"/>
      <c r="Z228" s="609"/>
      <c r="AA228" s="609"/>
      <c r="AB228" s="609"/>
      <c r="AC228" s="609"/>
      <c r="AD228" s="816"/>
      <c r="AE228" s="816"/>
      <c r="AF228" s="816"/>
      <c r="AG228" s="816"/>
      <c r="AH228" s="816"/>
      <c r="AI228" s="816"/>
      <c r="AJ228" s="609"/>
      <c r="AK228" s="609"/>
      <c r="AL228" s="816"/>
      <c r="AM228" s="816"/>
      <c r="AN228" s="609"/>
      <c r="AO228" s="609"/>
      <c r="AP228" s="816"/>
      <c r="AQ228" s="816"/>
      <c r="AR228" s="816"/>
      <c r="AS228" s="816"/>
      <c r="AT228" s="816"/>
      <c r="AU228" s="816"/>
      <c r="AV228" s="609"/>
      <c r="AW228" s="609"/>
      <c r="AX228" s="816"/>
      <c r="AY228" s="816"/>
      <c r="AZ228" s="817"/>
      <c r="BA228" s="609"/>
      <c r="BB228" s="609"/>
      <c r="BC228" s="816"/>
      <c r="BD228" s="816"/>
      <c r="BE228" s="816"/>
      <c r="BF228" s="816"/>
      <c r="BG228" s="816"/>
      <c r="BH228" s="816"/>
      <c r="BI228" s="816"/>
      <c r="BJ228" s="816"/>
      <c r="BK228" s="816"/>
      <c r="BL228" s="816"/>
      <c r="BM228" s="816"/>
      <c r="BN228" s="816"/>
      <c r="BO228" s="816"/>
      <c r="BP228" s="816"/>
      <c r="BQ228" s="816"/>
      <c r="BR228" s="816"/>
      <c r="BS228" s="816"/>
      <c r="BT228" s="816"/>
      <c r="BU228" s="816"/>
      <c r="BV228" s="816"/>
      <c r="BW228" s="816"/>
      <c r="BX228" s="609"/>
      <c r="BY228" s="609"/>
      <c r="BZ228" s="609"/>
      <c r="CA228" s="818"/>
      <c r="CB228" s="816"/>
      <c r="CC228" s="816"/>
      <c r="CD228" s="816"/>
      <c r="CE228" s="816"/>
      <c r="CF228" s="816"/>
      <c r="CG228" s="816"/>
      <c r="CH228" s="816"/>
      <c r="CI228" s="816"/>
      <c r="CJ228" s="819"/>
      <c r="CK228" s="819"/>
      <c r="CL228" s="820"/>
      <c r="CM228" s="820"/>
      <c r="CN228" s="820"/>
      <c r="CO228" s="820"/>
      <c r="CP228" s="820"/>
      <c r="CQ228" s="820"/>
      <c r="CR228" s="609"/>
      <c r="CS228" s="609"/>
      <c r="CT228" s="816"/>
      <c r="CU228" s="816"/>
      <c r="CV228" s="609"/>
      <c r="CW228" s="609"/>
      <c r="CX228" s="816"/>
      <c r="CY228" s="816"/>
      <c r="CZ228" s="609"/>
      <c r="DA228" s="609"/>
      <c r="DB228" s="816"/>
      <c r="DC228" s="816"/>
      <c r="DD228" s="609"/>
      <c r="DE228" s="609"/>
      <c r="DF228" s="816"/>
      <c r="DG228" s="816"/>
      <c r="DH228" s="816"/>
      <c r="DI228" s="816"/>
      <c r="DJ228" s="816"/>
      <c r="DK228" s="816"/>
      <c r="DL228" s="609"/>
      <c r="DM228" s="609"/>
      <c r="DN228" s="816"/>
      <c r="DO228" s="816"/>
      <c r="DP228" s="609"/>
      <c r="DQ228" s="609"/>
      <c r="DR228" s="816"/>
      <c r="DS228" s="816"/>
      <c r="DT228" s="816"/>
      <c r="DU228" s="816"/>
      <c r="DV228" s="816"/>
      <c r="DW228" s="816"/>
      <c r="DX228" s="816"/>
      <c r="DY228" s="816"/>
      <c r="DZ228" s="816"/>
      <c r="EA228" s="816"/>
      <c r="EB228" s="816"/>
      <c r="EC228" s="816"/>
      <c r="ED228" s="816"/>
      <c r="EE228" s="816"/>
      <c r="EF228" s="609"/>
      <c r="EG228" s="609"/>
      <c r="EH228" s="816"/>
      <c r="EI228" s="816"/>
      <c r="EJ228" s="816"/>
      <c r="EK228" s="816"/>
      <c r="EL228" s="816"/>
      <c r="EM228" s="816"/>
      <c r="EN228" s="816"/>
      <c r="EO228" s="816"/>
      <c r="EP228" s="816"/>
      <c r="EQ228" s="816"/>
      <c r="ER228" s="816"/>
      <c r="ES228" s="816"/>
      <c r="ET228" s="816"/>
      <c r="EU228" s="816"/>
      <c r="EV228" s="609"/>
      <c r="EW228" s="609"/>
      <c r="EX228" s="816"/>
      <c r="EY228" s="816"/>
      <c r="EZ228" s="816"/>
      <c r="FA228" s="816"/>
      <c r="FB228" s="816"/>
      <c r="FC228" s="816"/>
      <c r="FD228" s="816"/>
      <c r="FE228" s="816"/>
      <c r="FF228" s="816"/>
      <c r="FG228" s="816"/>
      <c r="FH228" s="816"/>
      <c r="FI228" s="816"/>
      <c r="FJ228" s="816"/>
      <c r="FK228" s="816"/>
      <c r="FL228" s="816"/>
      <c r="FM228" s="816"/>
      <c r="FN228" s="816"/>
      <c r="FO228" s="816"/>
      <c r="FP228" s="816"/>
      <c r="FQ228" s="816"/>
      <c r="FR228" s="816"/>
      <c r="FS228" s="816"/>
      <c r="FT228" s="816"/>
      <c r="FU228" s="816"/>
      <c r="FV228" s="816"/>
      <c r="FW228" s="816"/>
      <c r="FX228" s="816"/>
      <c r="FY228" s="816"/>
      <c r="FZ228" s="819"/>
      <c r="GA228" s="816"/>
      <c r="GB228" s="820"/>
      <c r="GC228" s="820"/>
      <c r="GD228" s="820"/>
      <c r="GE228" s="820"/>
      <c r="GF228" s="609"/>
      <c r="GG228" s="609"/>
      <c r="GH228" s="816"/>
      <c r="GI228" s="816"/>
      <c r="GJ228" s="816"/>
      <c r="GK228" s="816"/>
      <c r="GL228" s="816"/>
      <c r="GM228" s="816"/>
      <c r="GN228" s="816"/>
      <c r="GO228" s="816"/>
      <c r="GP228" s="816"/>
      <c r="GQ228" s="816"/>
      <c r="GR228" s="816"/>
      <c r="GS228" s="816"/>
      <c r="GT228" s="818"/>
      <c r="GU228" s="816"/>
      <c r="GV228" s="816"/>
      <c r="GW228" s="816"/>
      <c r="GX228" s="816"/>
      <c r="GY228" s="816"/>
      <c r="GZ228" s="816"/>
      <c r="HA228" s="816"/>
      <c r="HB228" s="609"/>
      <c r="HC228" s="609"/>
      <c r="HD228" s="816"/>
      <c r="HE228" s="816"/>
      <c r="HF228" s="816"/>
      <c r="HG228" s="816"/>
      <c r="HH228" s="816"/>
      <c r="HI228" s="816"/>
      <c r="HJ228" s="609"/>
      <c r="HK228" s="609"/>
      <c r="HL228" s="609"/>
      <c r="HM228" s="816"/>
      <c r="HN228" s="816"/>
      <c r="HO228" s="609"/>
      <c r="HP228" s="609"/>
      <c r="HQ228" s="816"/>
      <c r="HR228" s="816"/>
      <c r="HS228" s="816"/>
      <c r="HT228" s="816"/>
      <c r="HU228" s="816"/>
      <c r="HV228" s="816"/>
      <c r="HW228" s="609"/>
      <c r="HX228" s="609"/>
      <c r="HY228" s="816"/>
      <c r="HZ228" s="816"/>
      <c r="IA228" s="816"/>
      <c r="IB228" s="816"/>
      <c r="IC228" s="816"/>
      <c r="ID228" s="816"/>
      <c r="IE228" s="609"/>
      <c r="IF228" s="609"/>
      <c r="IG228" s="816"/>
      <c r="IH228" s="816"/>
      <c r="II228" s="609"/>
      <c r="IJ228" s="609"/>
      <c r="IK228" s="816"/>
      <c r="IL228" s="816"/>
      <c r="IM228" s="609"/>
      <c r="IN228" s="609"/>
      <c r="IO228" s="816"/>
      <c r="IP228" s="816"/>
      <c r="IQ228" s="816"/>
      <c r="IR228" s="816"/>
      <c r="IS228" s="816"/>
      <c r="IT228" s="816"/>
      <c r="IU228" s="821"/>
      <c r="IV228" s="609"/>
      <c r="IW228" s="816"/>
      <c r="IX228" s="816"/>
      <c r="IY228" s="822"/>
      <c r="IZ228" s="609"/>
      <c r="JA228" s="816"/>
      <c r="JB228" s="816"/>
      <c r="JC228" s="609"/>
      <c r="JD228" s="816"/>
      <c r="JE228" s="816"/>
      <c r="JF228" s="816"/>
      <c r="JG228" s="816"/>
      <c r="JH228" s="816"/>
      <c r="JI228" s="816"/>
      <c r="JJ228" s="816"/>
      <c r="JK228" s="816"/>
      <c r="JL228" s="816"/>
      <c r="JM228" s="816"/>
      <c r="JN228" s="816"/>
      <c r="JO228" s="823"/>
      <c r="JP228" s="824"/>
      <c r="JQ228" s="825"/>
      <c r="JR228" s="825"/>
      <c r="JS228" s="816"/>
      <c r="JU228" s="834"/>
      <c r="JV228" s="834"/>
      <c r="JW228" s="826"/>
      <c r="JX228" s="834"/>
    </row>
    <row r="229" spans="2:284" s="780" customFormat="1">
      <c r="B229" s="609"/>
      <c r="C229" s="609"/>
      <c r="D229" s="609"/>
      <c r="E229" s="609"/>
      <c r="F229" s="609"/>
      <c r="G229" s="609"/>
      <c r="H229" s="609"/>
      <c r="I229" s="609"/>
      <c r="J229" s="609"/>
      <c r="K229" s="609"/>
      <c r="L229" s="609"/>
      <c r="M229" s="609"/>
      <c r="N229" s="609"/>
      <c r="O229" s="609"/>
      <c r="P229" s="609"/>
      <c r="Q229" s="609"/>
      <c r="R229" s="609"/>
      <c r="S229" s="609"/>
      <c r="T229" s="609"/>
      <c r="U229" s="609"/>
      <c r="V229" s="609"/>
      <c r="W229" s="609"/>
      <c r="X229" s="609"/>
      <c r="Y229" s="609"/>
      <c r="Z229" s="609"/>
      <c r="AA229" s="609"/>
      <c r="AB229" s="609"/>
      <c r="AC229" s="609"/>
      <c r="AD229" s="816"/>
      <c r="AE229" s="816"/>
      <c r="AF229" s="816"/>
      <c r="AG229" s="816"/>
      <c r="AH229" s="816"/>
      <c r="AI229" s="816"/>
      <c r="AJ229" s="609"/>
      <c r="AK229" s="609"/>
      <c r="AL229" s="816"/>
      <c r="AM229" s="816"/>
      <c r="AN229" s="609"/>
      <c r="AO229" s="609"/>
      <c r="AP229" s="816"/>
      <c r="AQ229" s="816"/>
      <c r="AR229" s="816"/>
      <c r="AS229" s="816"/>
      <c r="AT229" s="816"/>
      <c r="AU229" s="816"/>
      <c r="AV229" s="609"/>
      <c r="AW229" s="609"/>
      <c r="AX229" s="816"/>
      <c r="AY229" s="816"/>
      <c r="AZ229" s="817"/>
      <c r="BA229" s="609"/>
      <c r="BB229" s="609"/>
      <c r="BC229" s="816"/>
      <c r="BD229" s="816"/>
      <c r="BE229" s="816"/>
      <c r="BF229" s="816"/>
      <c r="BG229" s="816"/>
      <c r="BH229" s="816"/>
      <c r="BI229" s="816"/>
      <c r="BJ229" s="816"/>
      <c r="BK229" s="816"/>
      <c r="BL229" s="816"/>
      <c r="BM229" s="816"/>
      <c r="BN229" s="816"/>
      <c r="BO229" s="816"/>
      <c r="BP229" s="816"/>
      <c r="BQ229" s="816"/>
      <c r="BR229" s="816"/>
      <c r="BS229" s="816"/>
      <c r="BT229" s="816"/>
      <c r="BU229" s="816"/>
      <c r="BV229" s="816"/>
      <c r="BW229" s="816"/>
      <c r="BX229" s="609"/>
      <c r="BY229" s="609"/>
      <c r="BZ229" s="609"/>
      <c r="CA229" s="818"/>
      <c r="CB229" s="816"/>
      <c r="CC229" s="816"/>
      <c r="CD229" s="816"/>
      <c r="CE229" s="816"/>
      <c r="CF229" s="816"/>
      <c r="CG229" s="816"/>
      <c r="CH229" s="816"/>
      <c r="CI229" s="816"/>
      <c r="CJ229" s="819"/>
      <c r="CK229" s="819"/>
      <c r="CL229" s="820"/>
      <c r="CM229" s="820"/>
      <c r="CN229" s="820"/>
      <c r="CO229" s="820"/>
      <c r="CP229" s="820"/>
      <c r="CQ229" s="820"/>
      <c r="CR229" s="609"/>
      <c r="CS229" s="609"/>
      <c r="CT229" s="816"/>
      <c r="CU229" s="816"/>
      <c r="CV229" s="609"/>
      <c r="CW229" s="609"/>
      <c r="CX229" s="816"/>
      <c r="CY229" s="816"/>
      <c r="CZ229" s="609"/>
      <c r="DA229" s="609"/>
      <c r="DB229" s="816"/>
      <c r="DC229" s="816"/>
      <c r="DD229" s="609"/>
      <c r="DE229" s="609"/>
      <c r="DF229" s="816"/>
      <c r="DG229" s="816"/>
      <c r="DH229" s="816"/>
      <c r="DI229" s="816"/>
      <c r="DJ229" s="816"/>
      <c r="DK229" s="816"/>
      <c r="DL229" s="609"/>
      <c r="DM229" s="609"/>
      <c r="DN229" s="816"/>
      <c r="DO229" s="816"/>
      <c r="DP229" s="609"/>
      <c r="DQ229" s="609"/>
      <c r="DR229" s="816"/>
      <c r="DS229" s="816"/>
      <c r="DT229" s="816"/>
      <c r="DU229" s="816"/>
      <c r="DV229" s="816"/>
      <c r="DW229" s="816"/>
      <c r="DX229" s="816"/>
      <c r="DY229" s="816"/>
      <c r="DZ229" s="816"/>
      <c r="EA229" s="816"/>
      <c r="EB229" s="816"/>
      <c r="EC229" s="816"/>
      <c r="ED229" s="816"/>
      <c r="EE229" s="816"/>
      <c r="EF229" s="609"/>
      <c r="EG229" s="609"/>
      <c r="EH229" s="816"/>
      <c r="EI229" s="816"/>
      <c r="EJ229" s="816"/>
      <c r="EK229" s="816"/>
      <c r="EL229" s="816"/>
      <c r="EM229" s="816"/>
      <c r="EN229" s="816"/>
      <c r="EO229" s="816"/>
      <c r="EP229" s="816"/>
      <c r="EQ229" s="816"/>
      <c r="ER229" s="816"/>
      <c r="ES229" s="816"/>
      <c r="ET229" s="816"/>
      <c r="EU229" s="816"/>
      <c r="EV229" s="609"/>
      <c r="EW229" s="609"/>
      <c r="EX229" s="816"/>
      <c r="EY229" s="816"/>
      <c r="EZ229" s="816"/>
      <c r="FA229" s="816"/>
      <c r="FB229" s="816"/>
      <c r="FC229" s="816"/>
      <c r="FD229" s="816"/>
      <c r="FE229" s="816"/>
      <c r="FF229" s="816"/>
      <c r="FG229" s="816"/>
      <c r="FH229" s="816"/>
      <c r="FI229" s="816"/>
      <c r="FJ229" s="816"/>
      <c r="FK229" s="816"/>
      <c r="FL229" s="816"/>
      <c r="FM229" s="816"/>
      <c r="FN229" s="816"/>
      <c r="FO229" s="816"/>
      <c r="FP229" s="816"/>
      <c r="FQ229" s="816"/>
      <c r="FR229" s="816"/>
      <c r="FS229" s="816"/>
      <c r="FT229" s="816"/>
      <c r="FU229" s="816"/>
      <c r="FV229" s="816"/>
      <c r="FW229" s="816"/>
      <c r="FX229" s="816"/>
      <c r="FY229" s="816"/>
      <c r="FZ229" s="819"/>
      <c r="GA229" s="816"/>
      <c r="GB229" s="820"/>
      <c r="GC229" s="820"/>
      <c r="GD229" s="820"/>
      <c r="GE229" s="820"/>
      <c r="GF229" s="609"/>
      <c r="GG229" s="609"/>
      <c r="GH229" s="816"/>
      <c r="GI229" s="816"/>
      <c r="GJ229" s="816"/>
      <c r="GK229" s="816"/>
      <c r="GL229" s="816"/>
      <c r="GM229" s="816"/>
      <c r="GN229" s="816"/>
      <c r="GO229" s="816"/>
      <c r="GP229" s="816"/>
      <c r="GQ229" s="816"/>
      <c r="GR229" s="816"/>
      <c r="GS229" s="816"/>
      <c r="GT229" s="818"/>
      <c r="GU229" s="816"/>
      <c r="GV229" s="816"/>
      <c r="GW229" s="816"/>
      <c r="GX229" s="816"/>
      <c r="GY229" s="816"/>
      <c r="GZ229" s="816"/>
      <c r="HA229" s="816"/>
      <c r="HB229" s="609"/>
      <c r="HC229" s="609"/>
      <c r="HD229" s="816"/>
      <c r="HE229" s="816"/>
      <c r="HF229" s="816"/>
      <c r="HG229" s="816"/>
      <c r="HH229" s="816"/>
      <c r="HI229" s="816"/>
      <c r="HJ229" s="609"/>
      <c r="HK229" s="609"/>
      <c r="HL229" s="609"/>
      <c r="HM229" s="816"/>
      <c r="HN229" s="816"/>
      <c r="HO229" s="609"/>
      <c r="HP229" s="609"/>
      <c r="HQ229" s="816"/>
      <c r="HR229" s="816"/>
      <c r="HS229" s="816"/>
      <c r="HT229" s="816"/>
      <c r="HU229" s="816"/>
      <c r="HV229" s="816"/>
      <c r="HW229" s="609"/>
      <c r="HX229" s="609"/>
      <c r="HY229" s="816"/>
      <c r="HZ229" s="816"/>
      <c r="IA229" s="816"/>
      <c r="IB229" s="816"/>
      <c r="IC229" s="816"/>
      <c r="ID229" s="816"/>
      <c r="IE229" s="609"/>
      <c r="IF229" s="609"/>
      <c r="IG229" s="816"/>
      <c r="IH229" s="816"/>
      <c r="II229" s="609"/>
      <c r="IJ229" s="609"/>
      <c r="IK229" s="816"/>
      <c r="IL229" s="816"/>
      <c r="IM229" s="609"/>
      <c r="IN229" s="609"/>
      <c r="IO229" s="816"/>
      <c r="IP229" s="816"/>
      <c r="IQ229" s="816"/>
      <c r="IR229" s="816"/>
      <c r="IS229" s="816"/>
      <c r="IT229" s="816"/>
      <c r="IU229" s="821"/>
      <c r="IV229" s="609"/>
      <c r="IW229" s="816"/>
      <c r="IX229" s="816"/>
      <c r="IY229" s="822"/>
      <c r="IZ229" s="609"/>
      <c r="JA229" s="816"/>
      <c r="JB229" s="816"/>
      <c r="JC229" s="609"/>
      <c r="JD229" s="816"/>
      <c r="JE229" s="816"/>
      <c r="JF229" s="816"/>
      <c r="JG229" s="816"/>
      <c r="JH229" s="816"/>
      <c r="JI229" s="816"/>
      <c r="JJ229" s="816"/>
      <c r="JK229" s="816"/>
      <c r="JL229" s="816"/>
      <c r="JM229" s="816"/>
      <c r="JN229" s="816"/>
      <c r="JO229" s="823"/>
      <c r="JP229" s="824"/>
      <c r="JQ229" s="825"/>
      <c r="JR229" s="825"/>
      <c r="JS229" s="816"/>
      <c r="JU229" s="834"/>
      <c r="JV229" s="834"/>
      <c r="JW229" s="826"/>
      <c r="JX229" s="834"/>
    </row>
    <row r="230" spans="2:284" s="780" customFormat="1">
      <c r="B230" s="609"/>
      <c r="C230" s="609"/>
      <c r="D230" s="609"/>
      <c r="E230" s="609"/>
      <c r="F230" s="609"/>
      <c r="G230" s="609"/>
      <c r="H230" s="609"/>
      <c r="I230" s="609"/>
      <c r="J230" s="609"/>
      <c r="K230" s="609"/>
      <c r="L230" s="609"/>
      <c r="M230" s="609"/>
      <c r="N230" s="609"/>
      <c r="O230" s="609"/>
      <c r="P230" s="609"/>
      <c r="Q230" s="609"/>
      <c r="R230" s="609"/>
      <c r="S230" s="609"/>
      <c r="T230" s="609"/>
      <c r="U230" s="609"/>
      <c r="V230" s="609"/>
      <c r="W230" s="609"/>
      <c r="X230" s="609"/>
      <c r="Y230" s="609"/>
      <c r="Z230" s="609"/>
      <c r="AA230" s="609"/>
      <c r="AB230" s="609"/>
      <c r="AC230" s="609"/>
      <c r="AD230" s="816"/>
      <c r="AE230" s="816"/>
      <c r="AF230" s="816"/>
      <c r="AG230" s="816"/>
      <c r="AH230" s="816"/>
      <c r="AI230" s="816"/>
      <c r="AJ230" s="609"/>
      <c r="AK230" s="609"/>
      <c r="AL230" s="816"/>
      <c r="AM230" s="816"/>
      <c r="AN230" s="609"/>
      <c r="AO230" s="609"/>
      <c r="AP230" s="816"/>
      <c r="AQ230" s="816"/>
      <c r="AR230" s="816"/>
      <c r="AS230" s="816"/>
      <c r="AT230" s="816"/>
      <c r="AU230" s="816"/>
      <c r="AV230" s="609"/>
      <c r="AW230" s="609"/>
      <c r="AX230" s="816"/>
      <c r="AY230" s="816"/>
      <c r="AZ230" s="817"/>
      <c r="BA230" s="609"/>
      <c r="BB230" s="609"/>
      <c r="BC230" s="816"/>
      <c r="BD230" s="816"/>
      <c r="BE230" s="816"/>
      <c r="BF230" s="816"/>
      <c r="BG230" s="816"/>
      <c r="BH230" s="816"/>
      <c r="BI230" s="816"/>
      <c r="BJ230" s="816"/>
      <c r="BK230" s="816"/>
      <c r="BL230" s="816"/>
      <c r="BM230" s="816"/>
      <c r="BN230" s="816"/>
      <c r="BO230" s="816"/>
      <c r="BP230" s="816"/>
      <c r="BQ230" s="816"/>
      <c r="BR230" s="816"/>
      <c r="BS230" s="816"/>
      <c r="BT230" s="816"/>
      <c r="BU230" s="816"/>
      <c r="BV230" s="816"/>
      <c r="BW230" s="816"/>
      <c r="BX230" s="609"/>
      <c r="BY230" s="609"/>
      <c r="BZ230" s="609"/>
      <c r="CA230" s="818"/>
      <c r="CB230" s="816"/>
      <c r="CC230" s="816"/>
      <c r="CD230" s="816"/>
      <c r="CE230" s="816"/>
      <c r="CF230" s="816"/>
      <c r="CG230" s="816"/>
      <c r="CH230" s="816"/>
      <c r="CI230" s="816"/>
      <c r="CJ230" s="819"/>
      <c r="CK230" s="819"/>
      <c r="CL230" s="820"/>
      <c r="CM230" s="820"/>
      <c r="CN230" s="820"/>
      <c r="CO230" s="820"/>
      <c r="CP230" s="820"/>
      <c r="CQ230" s="820"/>
      <c r="CR230" s="609"/>
      <c r="CS230" s="609"/>
      <c r="CT230" s="816"/>
      <c r="CU230" s="816"/>
      <c r="CV230" s="609"/>
      <c r="CW230" s="609"/>
      <c r="CX230" s="816"/>
      <c r="CY230" s="816"/>
      <c r="CZ230" s="609"/>
      <c r="DA230" s="609"/>
      <c r="DB230" s="816"/>
      <c r="DC230" s="816"/>
      <c r="DD230" s="609"/>
      <c r="DE230" s="609"/>
      <c r="DF230" s="816"/>
      <c r="DG230" s="816"/>
      <c r="DH230" s="816"/>
      <c r="DI230" s="816"/>
      <c r="DJ230" s="816"/>
      <c r="DK230" s="816"/>
      <c r="DL230" s="609"/>
      <c r="DM230" s="609"/>
      <c r="DN230" s="816"/>
      <c r="DO230" s="816"/>
      <c r="DP230" s="609"/>
      <c r="DQ230" s="609"/>
      <c r="DR230" s="816"/>
      <c r="DS230" s="816"/>
      <c r="DT230" s="816"/>
      <c r="DU230" s="816"/>
      <c r="DV230" s="816"/>
      <c r="DW230" s="816"/>
      <c r="DX230" s="816"/>
      <c r="DY230" s="816"/>
      <c r="DZ230" s="816"/>
      <c r="EA230" s="816"/>
      <c r="EB230" s="816"/>
      <c r="EC230" s="816"/>
      <c r="ED230" s="816"/>
      <c r="EE230" s="816"/>
      <c r="EF230" s="609"/>
      <c r="EG230" s="609"/>
      <c r="EH230" s="816"/>
      <c r="EI230" s="816"/>
      <c r="EJ230" s="816"/>
      <c r="EK230" s="816"/>
      <c r="EL230" s="816"/>
      <c r="EM230" s="816"/>
      <c r="EN230" s="816"/>
      <c r="EO230" s="816"/>
      <c r="EP230" s="816"/>
      <c r="EQ230" s="816"/>
      <c r="ER230" s="816"/>
      <c r="ES230" s="816"/>
      <c r="ET230" s="816"/>
      <c r="EU230" s="816"/>
      <c r="EV230" s="609"/>
      <c r="EW230" s="609"/>
      <c r="EX230" s="816"/>
      <c r="EY230" s="816"/>
      <c r="EZ230" s="816"/>
      <c r="FA230" s="816"/>
      <c r="FB230" s="816"/>
      <c r="FC230" s="816"/>
      <c r="FD230" s="816"/>
      <c r="FE230" s="816"/>
      <c r="FF230" s="816"/>
      <c r="FG230" s="816"/>
      <c r="FH230" s="816"/>
      <c r="FI230" s="816"/>
      <c r="FJ230" s="816"/>
      <c r="FK230" s="816"/>
      <c r="FL230" s="816"/>
      <c r="FM230" s="816"/>
      <c r="FN230" s="816"/>
      <c r="FO230" s="816"/>
      <c r="FP230" s="816"/>
      <c r="FQ230" s="816"/>
      <c r="FR230" s="816"/>
      <c r="FS230" s="816"/>
      <c r="FT230" s="816"/>
      <c r="FU230" s="816"/>
      <c r="FV230" s="816"/>
      <c r="FW230" s="816"/>
      <c r="FX230" s="816"/>
      <c r="FY230" s="816"/>
      <c r="FZ230" s="819"/>
      <c r="GA230" s="816"/>
      <c r="GB230" s="820"/>
      <c r="GC230" s="820"/>
      <c r="GD230" s="820"/>
      <c r="GE230" s="820"/>
      <c r="GF230" s="609"/>
      <c r="GG230" s="609"/>
      <c r="GH230" s="816"/>
      <c r="GI230" s="816"/>
      <c r="GJ230" s="816"/>
      <c r="GK230" s="816"/>
      <c r="GL230" s="816"/>
      <c r="GM230" s="816"/>
      <c r="GN230" s="816"/>
      <c r="GO230" s="816"/>
      <c r="GP230" s="816"/>
      <c r="GQ230" s="816"/>
      <c r="GR230" s="816"/>
      <c r="GS230" s="816"/>
      <c r="GT230" s="818"/>
      <c r="GU230" s="816"/>
      <c r="GV230" s="816"/>
      <c r="GW230" s="816"/>
      <c r="GX230" s="816"/>
      <c r="GY230" s="816"/>
      <c r="GZ230" s="816"/>
      <c r="HA230" s="816"/>
      <c r="HB230" s="609"/>
      <c r="HC230" s="609"/>
      <c r="HD230" s="816"/>
      <c r="HE230" s="816"/>
      <c r="HF230" s="816"/>
      <c r="HG230" s="816"/>
      <c r="HH230" s="816"/>
      <c r="HI230" s="816"/>
      <c r="HJ230" s="609"/>
      <c r="HK230" s="609"/>
      <c r="HL230" s="609"/>
      <c r="HM230" s="816"/>
      <c r="HN230" s="816"/>
      <c r="HO230" s="609"/>
      <c r="HP230" s="609"/>
      <c r="HQ230" s="816"/>
      <c r="HR230" s="816"/>
      <c r="HS230" s="816"/>
      <c r="HT230" s="816"/>
      <c r="HU230" s="816"/>
      <c r="HV230" s="816"/>
      <c r="HW230" s="609"/>
      <c r="HX230" s="609"/>
      <c r="HY230" s="816"/>
      <c r="HZ230" s="816"/>
      <c r="IA230" s="816"/>
      <c r="IB230" s="816"/>
      <c r="IC230" s="816"/>
      <c r="ID230" s="816"/>
      <c r="IE230" s="609"/>
      <c r="IF230" s="609"/>
      <c r="IG230" s="816"/>
      <c r="IH230" s="816"/>
      <c r="II230" s="609"/>
      <c r="IJ230" s="609"/>
      <c r="IK230" s="816"/>
      <c r="IL230" s="816"/>
      <c r="IM230" s="609"/>
      <c r="IN230" s="609"/>
      <c r="IO230" s="816"/>
      <c r="IP230" s="816"/>
      <c r="IQ230" s="816"/>
      <c r="IR230" s="816"/>
      <c r="IS230" s="816"/>
      <c r="IT230" s="816"/>
      <c r="IU230" s="821"/>
      <c r="IV230" s="609"/>
      <c r="IW230" s="816"/>
      <c r="IX230" s="816"/>
      <c r="IY230" s="822"/>
      <c r="IZ230" s="609"/>
      <c r="JA230" s="816"/>
      <c r="JB230" s="816"/>
      <c r="JC230" s="609"/>
      <c r="JD230" s="816"/>
      <c r="JE230" s="816"/>
      <c r="JF230" s="816"/>
      <c r="JG230" s="816"/>
      <c r="JH230" s="816"/>
      <c r="JI230" s="816"/>
      <c r="JJ230" s="816"/>
      <c r="JK230" s="816"/>
      <c r="JL230" s="816"/>
      <c r="JM230" s="816"/>
      <c r="JN230" s="816"/>
      <c r="JO230" s="823"/>
      <c r="JP230" s="824"/>
      <c r="JQ230" s="825"/>
      <c r="JR230" s="825"/>
      <c r="JS230" s="816"/>
      <c r="JU230" s="834"/>
      <c r="JV230" s="834"/>
      <c r="JW230" s="826"/>
      <c r="JX230" s="834"/>
    </row>
    <row r="231" spans="2:284" s="780" customFormat="1">
      <c r="B231" s="609"/>
      <c r="C231" s="609"/>
      <c r="D231" s="609"/>
      <c r="E231" s="609"/>
      <c r="F231" s="609"/>
      <c r="G231" s="609"/>
      <c r="H231" s="609"/>
      <c r="I231" s="609"/>
      <c r="J231" s="609"/>
      <c r="K231" s="609"/>
      <c r="L231" s="609"/>
      <c r="M231" s="609"/>
      <c r="N231" s="609"/>
      <c r="O231" s="609"/>
      <c r="P231" s="609"/>
      <c r="Q231" s="609"/>
      <c r="R231" s="609"/>
      <c r="S231" s="609"/>
      <c r="T231" s="609"/>
      <c r="U231" s="609"/>
      <c r="V231" s="609"/>
      <c r="W231" s="609"/>
      <c r="X231" s="609"/>
      <c r="Y231" s="609"/>
      <c r="Z231" s="609"/>
      <c r="AA231" s="609"/>
      <c r="AB231" s="609"/>
      <c r="AC231" s="609"/>
      <c r="AD231" s="816"/>
      <c r="AE231" s="816"/>
      <c r="AF231" s="816"/>
      <c r="AG231" s="816"/>
      <c r="AH231" s="816"/>
      <c r="AI231" s="816"/>
      <c r="AJ231" s="609"/>
      <c r="AK231" s="609"/>
      <c r="AL231" s="816"/>
      <c r="AM231" s="816"/>
      <c r="AN231" s="609"/>
      <c r="AO231" s="609"/>
      <c r="AP231" s="816"/>
      <c r="AQ231" s="816"/>
      <c r="AR231" s="816"/>
      <c r="AS231" s="816"/>
      <c r="AT231" s="816"/>
      <c r="AU231" s="816"/>
      <c r="AV231" s="609"/>
      <c r="AW231" s="609"/>
      <c r="AX231" s="816"/>
      <c r="AY231" s="816"/>
      <c r="AZ231" s="817"/>
      <c r="BA231" s="609"/>
      <c r="BB231" s="609"/>
      <c r="BC231" s="816"/>
      <c r="BD231" s="816"/>
      <c r="BE231" s="816"/>
      <c r="BF231" s="816"/>
      <c r="BG231" s="816"/>
      <c r="BH231" s="816"/>
      <c r="BI231" s="816"/>
      <c r="BJ231" s="816"/>
      <c r="BK231" s="816"/>
      <c r="BL231" s="816"/>
      <c r="BM231" s="816"/>
      <c r="BN231" s="816"/>
      <c r="BO231" s="816"/>
      <c r="BP231" s="816"/>
      <c r="BQ231" s="816"/>
      <c r="BR231" s="816"/>
      <c r="BS231" s="816"/>
      <c r="BT231" s="816"/>
      <c r="BU231" s="816"/>
      <c r="BV231" s="816"/>
      <c r="BW231" s="816"/>
      <c r="BX231" s="609"/>
      <c r="BY231" s="609"/>
      <c r="BZ231" s="609"/>
      <c r="CA231" s="818"/>
      <c r="CB231" s="816"/>
      <c r="CC231" s="816"/>
      <c r="CD231" s="816"/>
      <c r="CE231" s="816"/>
      <c r="CF231" s="816"/>
      <c r="CG231" s="816"/>
      <c r="CH231" s="816"/>
      <c r="CI231" s="816"/>
      <c r="CJ231" s="819"/>
      <c r="CK231" s="819"/>
      <c r="CL231" s="820"/>
      <c r="CM231" s="820"/>
      <c r="CN231" s="820"/>
      <c r="CO231" s="820"/>
      <c r="CP231" s="820"/>
      <c r="CQ231" s="820"/>
      <c r="CR231" s="609"/>
      <c r="CS231" s="609"/>
      <c r="CT231" s="816"/>
      <c r="CU231" s="816"/>
      <c r="CV231" s="609"/>
      <c r="CW231" s="609"/>
      <c r="CX231" s="816"/>
      <c r="CY231" s="816"/>
      <c r="CZ231" s="609"/>
      <c r="DA231" s="609"/>
      <c r="DB231" s="816"/>
      <c r="DC231" s="816"/>
      <c r="DD231" s="609"/>
      <c r="DE231" s="609"/>
      <c r="DF231" s="816"/>
      <c r="DG231" s="816"/>
      <c r="DH231" s="816"/>
      <c r="DI231" s="816"/>
      <c r="DJ231" s="816"/>
      <c r="DK231" s="816"/>
      <c r="DL231" s="609"/>
      <c r="DM231" s="609"/>
      <c r="DN231" s="816"/>
      <c r="DO231" s="816"/>
      <c r="DP231" s="609"/>
      <c r="DQ231" s="609"/>
      <c r="DR231" s="816"/>
      <c r="DS231" s="816"/>
      <c r="DT231" s="816"/>
      <c r="DU231" s="816"/>
      <c r="DV231" s="816"/>
      <c r="DW231" s="816"/>
      <c r="DX231" s="816"/>
      <c r="DY231" s="816"/>
      <c r="DZ231" s="816"/>
      <c r="EA231" s="816"/>
      <c r="EB231" s="816"/>
      <c r="EC231" s="816"/>
      <c r="ED231" s="816"/>
      <c r="EE231" s="816"/>
      <c r="EF231" s="609"/>
      <c r="EG231" s="609"/>
      <c r="EH231" s="816"/>
      <c r="EI231" s="816"/>
      <c r="EJ231" s="816"/>
      <c r="EK231" s="816"/>
      <c r="EL231" s="816"/>
      <c r="EM231" s="816"/>
      <c r="EN231" s="816"/>
      <c r="EO231" s="816"/>
      <c r="EP231" s="816"/>
      <c r="EQ231" s="816"/>
      <c r="ER231" s="816"/>
      <c r="ES231" s="816"/>
      <c r="ET231" s="816"/>
      <c r="EU231" s="816"/>
      <c r="EV231" s="609"/>
      <c r="EW231" s="609"/>
      <c r="EX231" s="816"/>
      <c r="EY231" s="816"/>
      <c r="EZ231" s="816"/>
      <c r="FA231" s="816"/>
      <c r="FB231" s="816"/>
      <c r="FC231" s="816"/>
      <c r="FD231" s="816"/>
      <c r="FE231" s="816"/>
      <c r="FF231" s="816"/>
      <c r="FG231" s="816"/>
      <c r="FH231" s="816"/>
      <c r="FI231" s="816"/>
      <c r="FJ231" s="816"/>
      <c r="FK231" s="816"/>
      <c r="FL231" s="816"/>
      <c r="FM231" s="816"/>
      <c r="FN231" s="816"/>
      <c r="FO231" s="816"/>
      <c r="FP231" s="816"/>
      <c r="FQ231" s="816"/>
      <c r="FR231" s="816"/>
      <c r="FS231" s="816"/>
      <c r="FT231" s="816"/>
      <c r="FU231" s="816"/>
      <c r="FV231" s="816"/>
      <c r="FW231" s="816"/>
      <c r="FX231" s="816"/>
      <c r="FY231" s="816"/>
      <c r="FZ231" s="819"/>
      <c r="GA231" s="816"/>
      <c r="GB231" s="820"/>
      <c r="GC231" s="820"/>
      <c r="GD231" s="820"/>
      <c r="GE231" s="820"/>
      <c r="GF231" s="609"/>
      <c r="GG231" s="609"/>
      <c r="GH231" s="816"/>
      <c r="GI231" s="816"/>
      <c r="GJ231" s="816"/>
      <c r="GK231" s="816"/>
      <c r="GL231" s="816"/>
      <c r="GM231" s="816"/>
      <c r="GN231" s="816"/>
      <c r="GO231" s="816"/>
      <c r="GP231" s="816"/>
      <c r="GQ231" s="816"/>
      <c r="GR231" s="816"/>
      <c r="GS231" s="816"/>
      <c r="GT231" s="818"/>
      <c r="GU231" s="816"/>
      <c r="GV231" s="816"/>
      <c r="GW231" s="816"/>
      <c r="GX231" s="816"/>
      <c r="GY231" s="816"/>
      <c r="GZ231" s="816"/>
      <c r="HA231" s="816"/>
      <c r="HB231" s="609"/>
      <c r="HC231" s="609"/>
      <c r="HD231" s="816"/>
      <c r="HE231" s="816"/>
      <c r="HF231" s="816"/>
      <c r="HG231" s="816"/>
      <c r="HH231" s="816"/>
      <c r="HI231" s="816"/>
      <c r="HJ231" s="609"/>
      <c r="HK231" s="609"/>
      <c r="HL231" s="609"/>
      <c r="HM231" s="816"/>
      <c r="HN231" s="816"/>
      <c r="HO231" s="609"/>
      <c r="HP231" s="609"/>
      <c r="HQ231" s="816"/>
      <c r="HR231" s="816"/>
      <c r="HS231" s="816"/>
      <c r="HT231" s="816"/>
      <c r="HU231" s="816"/>
      <c r="HV231" s="816"/>
      <c r="HW231" s="609"/>
      <c r="HX231" s="609"/>
      <c r="HY231" s="816"/>
      <c r="HZ231" s="816"/>
      <c r="IA231" s="816"/>
      <c r="IB231" s="816"/>
      <c r="IC231" s="816"/>
      <c r="ID231" s="816"/>
      <c r="IE231" s="609"/>
      <c r="IF231" s="609"/>
      <c r="IG231" s="816"/>
      <c r="IH231" s="816"/>
      <c r="II231" s="609"/>
      <c r="IJ231" s="609"/>
      <c r="IK231" s="816"/>
      <c r="IL231" s="816"/>
      <c r="IM231" s="609"/>
      <c r="IN231" s="609"/>
      <c r="IO231" s="816"/>
      <c r="IP231" s="816"/>
      <c r="IQ231" s="816"/>
      <c r="IR231" s="816"/>
      <c r="IS231" s="816"/>
      <c r="IT231" s="816"/>
      <c r="IU231" s="821"/>
      <c r="IV231" s="609"/>
      <c r="IW231" s="816"/>
      <c r="IX231" s="816"/>
      <c r="IY231" s="822"/>
      <c r="IZ231" s="609"/>
      <c r="JA231" s="816"/>
      <c r="JB231" s="816"/>
      <c r="JC231" s="609"/>
      <c r="JD231" s="816"/>
      <c r="JE231" s="816"/>
      <c r="JF231" s="816"/>
      <c r="JG231" s="816"/>
      <c r="JH231" s="816"/>
      <c r="JI231" s="816"/>
      <c r="JJ231" s="816"/>
      <c r="JK231" s="816"/>
      <c r="JL231" s="816"/>
      <c r="JM231" s="816"/>
      <c r="JN231" s="816"/>
      <c r="JO231" s="823"/>
      <c r="JP231" s="824"/>
      <c r="JQ231" s="825"/>
      <c r="JR231" s="825"/>
      <c r="JS231" s="816"/>
      <c r="JU231" s="834"/>
      <c r="JV231" s="834"/>
      <c r="JW231" s="826"/>
      <c r="JX231" s="834"/>
    </row>
    <row r="232" spans="2:284" s="780" customFormat="1">
      <c r="B232" s="609"/>
      <c r="C232" s="609"/>
      <c r="D232" s="609"/>
      <c r="E232" s="609"/>
      <c r="F232" s="609"/>
      <c r="G232" s="609"/>
      <c r="H232" s="609"/>
      <c r="I232" s="609"/>
      <c r="J232" s="609"/>
      <c r="K232" s="609"/>
      <c r="L232" s="609"/>
      <c r="M232" s="609"/>
      <c r="N232" s="609"/>
      <c r="O232" s="609"/>
      <c r="P232" s="609"/>
      <c r="Q232" s="609"/>
      <c r="R232" s="609"/>
      <c r="S232" s="609"/>
      <c r="T232" s="609"/>
      <c r="U232" s="609"/>
      <c r="V232" s="609"/>
      <c r="W232" s="609"/>
      <c r="X232" s="609"/>
      <c r="Y232" s="609"/>
      <c r="Z232" s="609"/>
      <c r="AA232" s="609"/>
      <c r="AB232" s="609"/>
      <c r="AC232" s="609"/>
      <c r="AD232" s="816"/>
      <c r="AE232" s="816"/>
      <c r="AF232" s="816"/>
      <c r="AG232" s="816"/>
      <c r="AH232" s="816"/>
      <c r="AI232" s="816"/>
      <c r="AJ232" s="609"/>
      <c r="AK232" s="609"/>
      <c r="AL232" s="816"/>
      <c r="AM232" s="816"/>
      <c r="AN232" s="609"/>
      <c r="AO232" s="609"/>
      <c r="AP232" s="816"/>
      <c r="AQ232" s="816"/>
      <c r="AR232" s="816"/>
      <c r="AS232" s="816"/>
      <c r="AT232" s="816"/>
      <c r="AU232" s="816"/>
      <c r="AV232" s="609"/>
      <c r="AW232" s="609"/>
      <c r="AX232" s="816"/>
      <c r="AY232" s="816"/>
      <c r="AZ232" s="817"/>
      <c r="BA232" s="609"/>
      <c r="BB232" s="609"/>
      <c r="BC232" s="816"/>
      <c r="BD232" s="816"/>
      <c r="BE232" s="816"/>
      <c r="BF232" s="816"/>
      <c r="BG232" s="816"/>
      <c r="BH232" s="816"/>
      <c r="BI232" s="816"/>
      <c r="BJ232" s="816"/>
      <c r="BK232" s="816"/>
      <c r="BL232" s="816"/>
      <c r="BM232" s="816"/>
      <c r="BN232" s="816"/>
      <c r="BO232" s="816"/>
      <c r="BP232" s="816"/>
      <c r="BQ232" s="816"/>
      <c r="BR232" s="816"/>
      <c r="BS232" s="816"/>
      <c r="BT232" s="816"/>
      <c r="BU232" s="816"/>
      <c r="BV232" s="816"/>
      <c r="BW232" s="816"/>
      <c r="BX232" s="609"/>
      <c r="BY232" s="609"/>
      <c r="BZ232" s="609"/>
      <c r="CA232" s="818"/>
      <c r="CB232" s="816"/>
      <c r="CC232" s="816"/>
      <c r="CD232" s="816"/>
      <c r="CE232" s="816"/>
      <c r="CF232" s="816"/>
      <c r="CG232" s="816"/>
      <c r="CH232" s="816"/>
      <c r="CI232" s="816"/>
      <c r="CJ232" s="819"/>
      <c r="CK232" s="819"/>
      <c r="CL232" s="820"/>
      <c r="CM232" s="820"/>
      <c r="CN232" s="820"/>
      <c r="CO232" s="820"/>
      <c r="CP232" s="820"/>
      <c r="CQ232" s="820"/>
      <c r="CR232" s="609"/>
      <c r="CS232" s="609"/>
      <c r="CT232" s="816"/>
      <c r="CU232" s="816"/>
      <c r="CV232" s="609"/>
      <c r="CW232" s="609"/>
      <c r="CX232" s="816"/>
      <c r="CY232" s="816"/>
      <c r="CZ232" s="609"/>
      <c r="DA232" s="609"/>
      <c r="DB232" s="816"/>
      <c r="DC232" s="816"/>
      <c r="DD232" s="609"/>
      <c r="DE232" s="609"/>
      <c r="DF232" s="816"/>
      <c r="DG232" s="816"/>
      <c r="DH232" s="816"/>
      <c r="DI232" s="816"/>
      <c r="DJ232" s="816"/>
      <c r="DK232" s="816"/>
      <c r="DL232" s="609"/>
      <c r="DM232" s="609"/>
      <c r="DN232" s="816"/>
      <c r="DO232" s="816"/>
      <c r="DP232" s="609"/>
      <c r="DQ232" s="609"/>
      <c r="DR232" s="816"/>
      <c r="DS232" s="816"/>
      <c r="DT232" s="816"/>
      <c r="DU232" s="816"/>
      <c r="DV232" s="816"/>
      <c r="DW232" s="816"/>
      <c r="DX232" s="816"/>
      <c r="DY232" s="816"/>
      <c r="DZ232" s="816"/>
      <c r="EA232" s="816"/>
      <c r="EB232" s="816"/>
      <c r="EC232" s="816"/>
      <c r="ED232" s="816"/>
      <c r="EE232" s="816"/>
      <c r="EF232" s="609"/>
      <c r="EG232" s="609"/>
      <c r="EH232" s="816"/>
      <c r="EI232" s="816"/>
      <c r="EJ232" s="816"/>
      <c r="EK232" s="816"/>
      <c r="EL232" s="816"/>
      <c r="EM232" s="816"/>
      <c r="EN232" s="816"/>
      <c r="EO232" s="816"/>
      <c r="EP232" s="816"/>
      <c r="EQ232" s="816"/>
      <c r="ER232" s="816"/>
      <c r="ES232" s="816"/>
      <c r="ET232" s="816"/>
      <c r="EU232" s="816"/>
      <c r="EV232" s="609"/>
      <c r="EW232" s="609"/>
      <c r="EX232" s="816"/>
      <c r="EY232" s="816"/>
      <c r="EZ232" s="816"/>
      <c r="FA232" s="816"/>
      <c r="FB232" s="816"/>
      <c r="FC232" s="816"/>
      <c r="FD232" s="816"/>
      <c r="FE232" s="816"/>
      <c r="FF232" s="816"/>
      <c r="FG232" s="816"/>
      <c r="FH232" s="816"/>
      <c r="FI232" s="816"/>
      <c r="FJ232" s="816"/>
      <c r="FK232" s="816"/>
      <c r="FL232" s="816"/>
      <c r="FM232" s="816"/>
      <c r="FN232" s="816"/>
      <c r="FO232" s="816"/>
      <c r="FP232" s="816"/>
      <c r="FQ232" s="816"/>
      <c r="FR232" s="816"/>
      <c r="FS232" s="816"/>
      <c r="FT232" s="816"/>
      <c r="FU232" s="816"/>
      <c r="FV232" s="816"/>
      <c r="FW232" s="816"/>
      <c r="FX232" s="816"/>
      <c r="FY232" s="816"/>
      <c r="FZ232" s="819"/>
      <c r="GA232" s="816"/>
      <c r="GB232" s="820"/>
      <c r="GC232" s="820"/>
      <c r="GD232" s="820"/>
      <c r="GE232" s="820"/>
      <c r="GF232" s="609"/>
      <c r="GG232" s="609"/>
      <c r="GH232" s="816"/>
      <c r="GI232" s="816"/>
      <c r="GJ232" s="816"/>
      <c r="GK232" s="816"/>
      <c r="GL232" s="816"/>
      <c r="GM232" s="816"/>
      <c r="GN232" s="816"/>
      <c r="GO232" s="816"/>
      <c r="GP232" s="816"/>
      <c r="GQ232" s="816"/>
      <c r="GR232" s="816"/>
      <c r="GS232" s="816"/>
      <c r="GT232" s="818"/>
      <c r="GU232" s="816"/>
      <c r="GV232" s="816"/>
      <c r="GW232" s="816"/>
      <c r="GX232" s="816"/>
      <c r="GY232" s="816"/>
      <c r="GZ232" s="816"/>
      <c r="HA232" s="816"/>
      <c r="HB232" s="609"/>
      <c r="HC232" s="609"/>
      <c r="HD232" s="816"/>
      <c r="HE232" s="816"/>
      <c r="HF232" s="816"/>
      <c r="HG232" s="816"/>
      <c r="HH232" s="816"/>
      <c r="HI232" s="816"/>
      <c r="HJ232" s="609"/>
      <c r="HK232" s="609"/>
      <c r="HL232" s="609"/>
      <c r="HM232" s="816"/>
      <c r="HN232" s="816"/>
      <c r="HO232" s="609"/>
      <c r="HP232" s="609"/>
      <c r="HQ232" s="816"/>
      <c r="HR232" s="816"/>
      <c r="HS232" s="816"/>
      <c r="HT232" s="816"/>
      <c r="HU232" s="816"/>
      <c r="HV232" s="816"/>
      <c r="HW232" s="609"/>
      <c r="HX232" s="609"/>
      <c r="HY232" s="816"/>
      <c r="HZ232" s="816"/>
      <c r="IA232" s="816"/>
      <c r="IB232" s="816"/>
      <c r="IC232" s="816"/>
      <c r="ID232" s="816"/>
      <c r="IE232" s="609"/>
      <c r="IF232" s="609"/>
      <c r="IG232" s="816"/>
      <c r="IH232" s="816"/>
      <c r="II232" s="609"/>
      <c r="IJ232" s="609"/>
      <c r="IK232" s="816"/>
      <c r="IL232" s="816"/>
      <c r="IM232" s="609"/>
      <c r="IN232" s="609"/>
      <c r="IO232" s="816"/>
      <c r="IP232" s="816"/>
      <c r="IQ232" s="816"/>
      <c r="IR232" s="816"/>
      <c r="IS232" s="816"/>
      <c r="IT232" s="816"/>
      <c r="IU232" s="821"/>
      <c r="IV232" s="609"/>
      <c r="IW232" s="816"/>
      <c r="IX232" s="816"/>
      <c r="IY232" s="822"/>
      <c r="IZ232" s="609"/>
      <c r="JA232" s="816"/>
      <c r="JB232" s="816"/>
      <c r="JC232" s="609"/>
      <c r="JD232" s="816"/>
      <c r="JE232" s="816"/>
      <c r="JF232" s="816"/>
      <c r="JG232" s="816"/>
      <c r="JH232" s="816"/>
      <c r="JI232" s="816"/>
      <c r="JJ232" s="816"/>
      <c r="JK232" s="816"/>
      <c r="JL232" s="816"/>
      <c r="JM232" s="816"/>
      <c r="JN232" s="816"/>
      <c r="JO232" s="823"/>
      <c r="JP232" s="824"/>
      <c r="JQ232" s="825"/>
      <c r="JR232" s="825"/>
      <c r="JS232" s="816"/>
      <c r="JU232" s="834"/>
      <c r="JV232" s="834"/>
      <c r="JW232" s="826"/>
      <c r="JX232" s="834"/>
    </row>
    <row r="233" spans="2:284" s="780" customFormat="1">
      <c r="B233" s="609"/>
      <c r="C233" s="609"/>
      <c r="D233" s="609"/>
      <c r="E233" s="609"/>
      <c r="F233" s="609"/>
      <c r="G233" s="609"/>
      <c r="H233" s="609"/>
      <c r="I233" s="609"/>
      <c r="J233" s="609"/>
      <c r="K233" s="609"/>
      <c r="L233" s="609"/>
      <c r="M233" s="609"/>
      <c r="N233" s="609"/>
      <c r="O233" s="609"/>
      <c r="P233" s="609"/>
      <c r="Q233" s="609"/>
      <c r="R233" s="609"/>
      <c r="S233" s="609"/>
      <c r="T233" s="609"/>
      <c r="U233" s="609"/>
      <c r="V233" s="609"/>
      <c r="W233" s="609"/>
      <c r="X233" s="609"/>
      <c r="Y233" s="609"/>
      <c r="Z233" s="609"/>
      <c r="AA233" s="609"/>
      <c r="AB233" s="609"/>
      <c r="AC233" s="609"/>
      <c r="AD233" s="816"/>
      <c r="AE233" s="816"/>
      <c r="AF233" s="816"/>
      <c r="AG233" s="816"/>
      <c r="AH233" s="816"/>
      <c r="AI233" s="816"/>
      <c r="AJ233" s="609"/>
      <c r="AK233" s="609"/>
      <c r="AL233" s="816"/>
      <c r="AM233" s="816"/>
      <c r="AN233" s="609"/>
      <c r="AO233" s="609"/>
      <c r="AP233" s="816"/>
      <c r="AQ233" s="816"/>
      <c r="AR233" s="816"/>
      <c r="AS233" s="816"/>
      <c r="AT233" s="816"/>
      <c r="AU233" s="816"/>
      <c r="AV233" s="609"/>
      <c r="AW233" s="609"/>
      <c r="AX233" s="816"/>
      <c r="AY233" s="816"/>
      <c r="AZ233" s="817"/>
      <c r="BA233" s="609"/>
      <c r="BB233" s="609"/>
      <c r="BC233" s="816"/>
      <c r="BD233" s="816"/>
      <c r="BE233" s="816"/>
      <c r="BF233" s="816"/>
      <c r="BG233" s="816"/>
      <c r="BH233" s="816"/>
      <c r="BI233" s="816"/>
      <c r="BJ233" s="816"/>
      <c r="BK233" s="816"/>
      <c r="BL233" s="816"/>
      <c r="BM233" s="816"/>
      <c r="BN233" s="816"/>
      <c r="BO233" s="816"/>
      <c r="BP233" s="816"/>
      <c r="BQ233" s="816"/>
      <c r="BR233" s="816"/>
      <c r="BS233" s="816"/>
      <c r="BT233" s="816"/>
      <c r="BU233" s="816"/>
      <c r="BV233" s="816"/>
      <c r="BW233" s="816"/>
      <c r="BX233" s="609"/>
      <c r="BY233" s="609"/>
      <c r="BZ233" s="609"/>
      <c r="CA233" s="818"/>
      <c r="CB233" s="816"/>
      <c r="CC233" s="816"/>
      <c r="CD233" s="816"/>
      <c r="CE233" s="816"/>
      <c r="CF233" s="816"/>
      <c r="CG233" s="816"/>
      <c r="CH233" s="816"/>
      <c r="CI233" s="816"/>
      <c r="CJ233" s="819"/>
      <c r="CK233" s="819"/>
      <c r="CL233" s="820"/>
      <c r="CM233" s="820"/>
      <c r="CN233" s="820"/>
      <c r="CO233" s="820"/>
      <c r="CP233" s="820"/>
      <c r="CQ233" s="820"/>
      <c r="CR233" s="609"/>
      <c r="CS233" s="609"/>
      <c r="CT233" s="816"/>
      <c r="CU233" s="816"/>
      <c r="CV233" s="609"/>
      <c r="CW233" s="609"/>
      <c r="CX233" s="816"/>
      <c r="CY233" s="816"/>
      <c r="CZ233" s="609"/>
      <c r="DA233" s="609"/>
      <c r="DB233" s="816"/>
      <c r="DC233" s="816"/>
      <c r="DD233" s="609"/>
      <c r="DE233" s="609"/>
      <c r="DF233" s="816"/>
      <c r="DG233" s="816"/>
      <c r="DH233" s="816"/>
      <c r="DI233" s="816"/>
      <c r="DJ233" s="816"/>
      <c r="DK233" s="816"/>
      <c r="DL233" s="609"/>
      <c r="DM233" s="609"/>
      <c r="DN233" s="816"/>
      <c r="DO233" s="816"/>
      <c r="DP233" s="609"/>
      <c r="DQ233" s="609"/>
      <c r="DR233" s="816"/>
      <c r="DS233" s="816"/>
      <c r="DT233" s="816"/>
      <c r="DU233" s="816"/>
      <c r="DV233" s="816"/>
      <c r="DW233" s="816"/>
      <c r="DX233" s="816"/>
      <c r="DY233" s="816"/>
      <c r="DZ233" s="816"/>
      <c r="EA233" s="816"/>
      <c r="EB233" s="816"/>
      <c r="EC233" s="816"/>
      <c r="ED233" s="816"/>
      <c r="EE233" s="816"/>
      <c r="EF233" s="609"/>
      <c r="EG233" s="609"/>
      <c r="EH233" s="816"/>
      <c r="EI233" s="816"/>
      <c r="EJ233" s="816"/>
      <c r="EK233" s="816"/>
      <c r="EL233" s="816"/>
      <c r="EM233" s="816"/>
      <c r="EN233" s="816"/>
      <c r="EO233" s="816"/>
      <c r="EP233" s="816"/>
      <c r="EQ233" s="816"/>
      <c r="ER233" s="816"/>
      <c r="ES233" s="816"/>
      <c r="ET233" s="816"/>
      <c r="EU233" s="816"/>
      <c r="EV233" s="609"/>
      <c r="EW233" s="609"/>
      <c r="EX233" s="816"/>
      <c r="EY233" s="816"/>
      <c r="EZ233" s="816"/>
      <c r="FA233" s="816"/>
      <c r="FB233" s="816"/>
      <c r="FC233" s="816"/>
      <c r="FD233" s="816"/>
      <c r="FE233" s="816"/>
      <c r="FF233" s="816"/>
      <c r="FG233" s="816"/>
      <c r="FH233" s="816"/>
      <c r="FI233" s="816"/>
      <c r="FJ233" s="816"/>
      <c r="FK233" s="816"/>
      <c r="FL233" s="816"/>
      <c r="FM233" s="816"/>
      <c r="FN233" s="816"/>
      <c r="FO233" s="816"/>
      <c r="FP233" s="816"/>
      <c r="FQ233" s="816"/>
      <c r="FR233" s="816"/>
      <c r="FS233" s="816"/>
      <c r="FT233" s="816"/>
      <c r="FU233" s="816"/>
      <c r="FV233" s="816"/>
      <c r="FW233" s="816"/>
      <c r="FX233" s="816"/>
      <c r="FY233" s="816"/>
      <c r="FZ233" s="819"/>
      <c r="GA233" s="816"/>
      <c r="GB233" s="820"/>
      <c r="GC233" s="820"/>
      <c r="GD233" s="820"/>
      <c r="GE233" s="820"/>
      <c r="GF233" s="609"/>
      <c r="GG233" s="609"/>
      <c r="GH233" s="816"/>
      <c r="GI233" s="816"/>
      <c r="GJ233" s="816"/>
      <c r="GK233" s="816"/>
      <c r="GL233" s="816"/>
      <c r="GM233" s="816"/>
      <c r="GN233" s="816"/>
      <c r="GO233" s="816"/>
      <c r="GP233" s="816"/>
      <c r="GQ233" s="816"/>
      <c r="GR233" s="816"/>
      <c r="GS233" s="816"/>
      <c r="GT233" s="818"/>
      <c r="GU233" s="816"/>
      <c r="GV233" s="816"/>
      <c r="GW233" s="816"/>
      <c r="GX233" s="816"/>
      <c r="GY233" s="816"/>
      <c r="GZ233" s="816"/>
      <c r="HA233" s="816"/>
      <c r="HB233" s="609"/>
      <c r="HC233" s="609"/>
      <c r="HD233" s="816"/>
      <c r="HE233" s="816"/>
      <c r="HF233" s="816"/>
      <c r="HG233" s="816"/>
      <c r="HH233" s="816"/>
      <c r="HI233" s="816"/>
      <c r="HJ233" s="609"/>
      <c r="HK233" s="609"/>
      <c r="HL233" s="609"/>
      <c r="HM233" s="816"/>
      <c r="HN233" s="816"/>
      <c r="HO233" s="609"/>
      <c r="HP233" s="609"/>
      <c r="HQ233" s="816"/>
      <c r="HR233" s="816"/>
      <c r="HS233" s="816"/>
      <c r="HT233" s="816"/>
      <c r="HU233" s="816"/>
      <c r="HV233" s="816"/>
      <c r="HW233" s="609"/>
      <c r="HX233" s="609"/>
      <c r="HY233" s="816"/>
      <c r="HZ233" s="816"/>
      <c r="IA233" s="816"/>
      <c r="IB233" s="816"/>
      <c r="IC233" s="816"/>
      <c r="ID233" s="816"/>
      <c r="IE233" s="609"/>
      <c r="IF233" s="609"/>
      <c r="IG233" s="816"/>
      <c r="IH233" s="816"/>
      <c r="II233" s="609"/>
      <c r="IJ233" s="609"/>
      <c r="IK233" s="816"/>
      <c r="IL233" s="816"/>
      <c r="IM233" s="609"/>
      <c r="IN233" s="609"/>
      <c r="IO233" s="816"/>
      <c r="IP233" s="816"/>
      <c r="IQ233" s="816"/>
      <c r="IR233" s="816"/>
      <c r="IS233" s="816"/>
      <c r="IT233" s="816"/>
      <c r="IU233" s="821"/>
      <c r="IV233" s="609"/>
      <c r="IW233" s="816"/>
      <c r="IX233" s="816"/>
      <c r="IY233" s="822"/>
      <c r="IZ233" s="609"/>
      <c r="JA233" s="816"/>
      <c r="JB233" s="816"/>
      <c r="JC233" s="609"/>
      <c r="JD233" s="816"/>
      <c r="JE233" s="816"/>
      <c r="JF233" s="816"/>
      <c r="JG233" s="816"/>
      <c r="JH233" s="816"/>
      <c r="JI233" s="816"/>
      <c r="JJ233" s="816"/>
      <c r="JK233" s="816"/>
      <c r="JL233" s="816"/>
      <c r="JM233" s="816"/>
      <c r="JN233" s="816"/>
      <c r="JO233" s="823"/>
      <c r="JP233" s="824"/>
      <c r="JQ233" s="825"/>
      <c r="JR233" s="825"/>
      <c r="JS233" s="816"/>
      <c r="JU233" s="834"/>
      <c r="JV233" s="834"/>
      <c r="JW233" s="826"/>
      <c r="JX233" s="834"/>
    </row>
    <row r="234" spans="2:284" s="780" customFormat="1">
      <c r="B234" s="609"/>
      <c r="C234" s="609"/>
      <c r="D234" s="609"/>
      <c r="E234" s="609"/>
      <c r="F234" s="609"/>
      <c r="G234" s="609"/>
      <c r="H234" s="609"/>
      <c r="I234" s="609"/>
      <c r="J234" s="609"/>
      <c r="K234" s="609"/>
      <c r="L234" s="609"/>
      <c r="M234" s="609"/>
      <c r="N234" s="609"/>
      <c r="O234" s="609"/>
      <c r="P234" s="609"/>
      <c r="Q234" s="609"/>
      <c r="R234" s="609"/>
      <c r="S234" s="609"/>
      <c r="T234" s="609"/>
      <c r="U234" s="609"/>
      <c r="V234" s="609"/>
      <c r="W234" s="609"/>
      <c r="X234" s="609"/>
      <c r="Y234" s="609"/>
      <c r="Z234" s="609"/>
      <c r="AA234" s="609"/>
      <c r="AB234" s="609"/>
      <c r="AC234" s="609"/>
      <c r="AD234" s="816"/>
      <c r="AE234" s="816"/>
      <c r="AF234" s="816"/>
      <c r="AG234" s="816"/>
      <c r="AH234" s="816"/>
      <c r="AI234" s="816"/>
      <c r="AJ234" s="609"/>
      <c r="AK234" s="609"/>
      <c r="AL234" s="816"/>
      <c r="AM234" s="816"/>
      <c r="AN234" s="609"/>
      <c r="AO234" s="609"/>
      <c r="AP234" s="816"/>
      <c r="AQ234" s="816"/>
      <c r="AR234" s="816"/>
      <c r="AS234" s="816"/>
      <c r="AT234" s="816"/>
      <c r="AU234" s="816"/>
      <c r="AV234" s="609"/>
      <c r="AW234" s="609"/>
      <c r="AX234" s="816"/>
      <c r="AY234" s="816"/>
      <c r="AZ234" s="817"/>
      <c r="BA234" s="609"/>
      <c r="BB234" s="609"/>
      <c r="BC234" s="816"/>
      <c r="BD234" s="816"/>
      <c r="BE234" s="816"/>
      <c r="BF234" s="816"/>
      <c r="BG234" s="816"/>
      <c r="BH234" s="816"/>
      <c r="BI234" s="816"/>
      <c r="BJ234" s="816"/>
      <c r="BK234" s="816"/>
      <c r="BL234" s="816"/>
      <c r="BM234" s="816"/>
      <c r="BN234" s="816"/>
      <c r="BO234" s="816"/>
      <c r="BP234" s="816"/>
      <c r="BQ234" s="816"/>
      <c r="BR234" s="816"/>
      <c r="BS234" s="816"/>
      <c r="BT234" s="816"/>
      <c r="BU234" s="816"/>
      <c r="BV234" s="816"/>
      <c r="BW234" s="816"/>
      <c r="BX234" s="609"/>
      <c r="BY234" s="609"/>
      <c r="BZ234" s="609"/>
      <c r="CA234" s="818"/>
      <c r="CB234" s="816"/>
      <c r="CC234" s="816"/>
      <c r="CD234" s="816"/>
      <c r="CE234" s="816"/>
      <c r="CF234" s="816"/>
      <c r="CG234" s="816"/>
      <c r="CH234" s="816"/>
      <c r="CI234" s="816"/>
      <c r="CJ234" s="819"/>
      <c r="CK234" s="819"/>
      <c r="CL234" s="820"/>
      <c r="CM234" s="820"/>
      <c r="CN234" s="820"/>
      <c r="CO234" s="820"/>
      <c r="CP234" s="820"/>
      <c r="CQ234" s="820"/>
      <c r="CR234" s="609"/>
      <c r="CS234" s="609"/>
      <c r="CT234" s="816"/>
      <c r="CU234" s="816"/>
      <c r="CV234" s="609"/>
      <c r="CW234" s="609"/>
      <c r="CX234" s="816"/>
      <c r="CY234" s="816"/>
      <c r="CZ234" s="609"/>
      <c r="DA234" s="609"/>
      <c r="DB234" s="816"/>
      <c r="DC234" s="816"/>
      <c r="DD234" s="609"/>
      <c r="DE234" s="609"/>
      <c r="DF234" s="816"/>
      <c r="DG234" s="816"/>
      <c r="DH234" s="816"/>
      <c r="DI234" s="816"/>
      <c r="DJ234" s="816"/>
      <c r="DK234" s="816"/>
      <c r="DL234" s="609"/>
      <c r="DM234" s="609"/>
      <c r="DN234" s="816"/>
      <c r="DO234" s="816"/>
      <c r="DP234" s="609"/>
      <c r="DQ234" s="609"/>
      <c r="DR234" s="816"/>
      <c r="DS234" s="816"/>
      <c r="DT234" s="816"/>
      <c r="DU234" s="816"/>
      <c r="DV234" s="816"/>
      <c r="DW234" s="816"/>
      <c r="DX234" s="816"/>
      <c r="DY234" s="816"/>
      <c r="DZ234" s="816"/>
      <c r="EA234" s="816"/>
      <c r="EB234" s="816"/>
      <c r="EC234" s="816"/>
      <c r="ED234" s="816"/>
      <c r="EE234" s="816"/>
      <c r="EF234" s="609"/>
      <c r="EG234" s="609"/>
      <c r="EH234" s="816"/>
      <c r="EI234" s="816"/>
      <c r="EJ234" s="816"/>
      <c r="EK234" s="816"/>
      <c r="EL234" s="816"/>
      <c r="EM234" s="816"/>
      <c r="EN234" s="816"/>
      <c r="EO234" s="816"/>
      <c r="EP234" s="816"/>
      <c r="EQ234" s="816"/>
      <c r="ER234" s="816"/>
      <c r="ES234" s="816"/>
      <c r="ET234" s="816"/>
      <c r="EU234" s="816"/>
      <c r="EV234" s="609"/>
      <c r="EW234" s="609"/>
      <c r="EX234" s="816"/>
      <c r="EY234" s="816"/>
      <c r="EZ234" s="816"/>
      <c r="FA234" s="816"/>
      <c r="FB234" s="816"/>
      <c r="FC234" s="816"/>
      <c r="FD234" s="816"/>
      <c r="FE234" s="816"/>
      <c r="FF234" s="816"/>
      <c r="FG234" s="816"/>
      <c r="FH234" s="816"/>
      <c r="FI234" s="816"/>
      <c r="FJ234" s="816"/>
      <c r="FK234" s="816"/>
      <c r="FL234" s="816"/>
      <c r="FM234" s="816"/>
      <c r="FN234" s="816"/>
      <c r="FO234" s="816"/>
      <c r="FP234" s="816"/>
      <c r="FQ234" s="816"/>
      <c r="FR234" s="816"/>
      <c r="FS234" s="816"/>
      <c r="FT234" s="816"/>
      <c r="FU234" s="816"/>
      <c r="FV234" s="816"/>
      <c r="FW234" s="816"/>
      <c r="FX234" s="816"/>
      <c r="FY234" s="816"/>
      <c r="FZ234" s="819"/>
      <c r="GA234" s="816"/>
      <c r="GB234" s="820"/>
      <c r="GC234" s="820"/>
      <c r="GD234" s="820"/>
      <c r="GE234" s="820"/>
      <c r="GF234" s="609"/>
      <c r="GG234" s="609"/>
      <c r="GH234" s="816"/>
      <c r="GI234" s="816"/>
      <c r="GJ234" s="816"/>
      <c r="GK234" s="816"/>
      <c r="GL234" s="816"/>
      <c r="GM234" s="816"/>
      <c r="GN234" s="816"/>
      <c r="GO234" s="816"/>
      <c r="GP234" s="816"/>
      <c r="GQ234" s="816"/>
      <c r="GR234" s="816"/>
      <c r="GS234" s="816"/>
      <c r="GT234" s="818"/>
      <c r="GU234" s="816"/>
      <c r="GV234" s="816"/>
      <c r="GW234" s="816"/>
      <c r="GX234" s="816"/>
      <c r="GY234" s="816"/>
      <c r="GZ234" s="816"/>
      <c r="HA234" s="816"/>
      <c r="HB234" s="609"/>
      <c r="HC234" s="609"/>
      <c r="HD234" s="816"/>
      <c r="HE234" s="816"/>
      <c r="HF234" s="816"/>
      <c r="HG234" s="816"/>
      <c r="HH234" s="816"/>
      <c r="HI234" s="816"/>
      <c r="HJ234" s="609"/>
      <c r="HK234" s="609"/>
      <c r="HL234" s="609"/>
      <c r="HM234" s="816"/>
      <c r="HN234" s="816"/>
      <c r="HO234" s="609"/>
      <c r="HP234" s="609"/>
      <c r="HQ234" s="816"/>
      <c r="HR234" s="816"/>
      <c r="HS234" s="816"/>
      <c r="HT234" s="816"/>
      <c r="HU234" s="816"/>
      <c r="HV234" s="816"/>
      <c r="HW234" s="609"/>
      <c r="HX234" s="609"/>
      <c r="HY234" s="816"/>
      <c r="HZ234" s="816"/>
      <c r="IA234" s="816"/>
      <c r="IB234" s="816"/>
      <c r="IC234" s="816"/>
      <c r="ID234" s="816"/>
      <c r="IE234" s="609"/>
      <c r="IF234" s="609"/>
      <c r="IG234" s="816"/>
      <c r="IH234" s="816"/>
      <c r="II234" s="609"/>
      <c r="IJ234" s="609"/>
      <c r="IK234" s="816"/>
      <c r="IL234" s="816"/>
      <c r="IM234" s="609"/>
      <c r="IN234" s="609"/>
      <c r="IO234" s="816"/>
      <c r="IP234" s="816"/>
      <c r="IQ234" s="816"/>
      <c r="IR234" s="816"/>
      <c r="IS234" s="816"/>
      <c r="IT234" s="816"/>
      <c r="IU234" s="821"/>
      <c r="IV234" s="609"/>
      <c r="IW234" s="816"/>
      <c r="IX234" s="816"/>
      <c r="IY234" s="822"/>
      <c r="IZ234" s="609"/>
      <c r="JA234" s="816"/>
      <c r="JB234" s="816"/>
      <c r="JC234" s="609"/>
      <c r="JD234" s="816"/>
      <c r="JE234" s="816"/>
      <c r="JF234" s="816"/>
      <c r="JG234" s="816"/>
      <c r="JH234" s="816"/>
      <c r="JI234" s="816"/>
      <c r="JJ234" s="816"/>
      <c r="JK234" s="816"/>
      <c r="JL234" s="816"/>
      <c r="JM234" s="816"/>
      <c r="JN234" s="816"/>
      <c r="JO234" s="823"/>
      <c r="JP234" s="824"/>
      <c r="JQ234" s="825"/>
      <c r="JR234" s="825"/>
      <c r="JS234" s="816"/>
      <c r="JU234" s="834"/>
      <c r="JV234" s="834"/>
      <c r="JW234" s="826"/>
      <c r="JX234" s="834"/>
    </row>
    <row r="235" spans="2:284" s="780" customFormat="1">
      <c r="B235" s="609"/>
      <c r="C235" s="609"/>
      <c r="D235" s="609"/>
      <c r="E235" s="609"/>
      <c r="F235" s="609"/>
      <c r="G235" s="609"/>
      <c r="H235" s="609"/>
      <c r="I235" s="609"/>
      <c r="J235" s="609"/>
      <c r="K235" s="609"/>
      <c r="L235" s="609"/>
      <c r="M235" s="609"/>
      <c r="N235" s="609"/>
      <c r="O235" s="609"/>
      <c r="P235" s="609"/>
      <c r="Q235" s="609"/>
      <c r="R235" s="609"/>
      <c r="S235" s="609"/>
      <c r="T235" s="609"/>
      <c r="U235" s="609"/>
      <c r="V235" s="609"/>
      <c r="W235" s="609"/>
      <c r="X235" s="609"/>
      <c r="Y235" s="609"/>
      <c r="Z235" s="609"/>
      <c r="AA235" s="609"/>
      <c r="AB235" s="609"/>
      <c r="AC235" s="609"/>
      <c r="AD235" s="816"/>
      <c r="AE235" s="816"/>
      <c r="AF235" s="816"/>
      <c r="AG235" s="816"/>
      <c r="AH235" s="816"/>
      <c r="AI235" s="816"/>
      <c r="AJ235" s="609"/>
      <c r="AK235" s="609"/>
      <c r="AL235" s="816"/>
      <c r="AM235" s="816"/>
      <c r="AN235" s="609"/>
      <c r="AO235" s="609"/>
      <c r="AP235" s="816"/>
      <c r="AQ235" s="816"/>
      <c r="AR235" s="816"/>
      <c r="AS235" s="816"/>
      <c r="AT235" s="816"/>
      <c r="AU235" s="816"/>
      <c r="AV235" s="609"/>
      <c r="AW235" s="609"/>
      <c r="AX235" s="816"/>
      <c r="AY235" s="816"/>
      <c r="AZ235" s="817"/>
      <c r="BA235" s="609"/>
      <c r="BB235" s="609"/>
      <c r="BC235" s="816"/>
      <c r="BD235" s="816"/>
      <c r="BE235" s="816"/>
      <c r="BF235" s="816"/>
      <c r="BG235" s="816"/>
      <c r="BH235" s="816"/>
      <c r="BI235" s="816"/>
      <c r="BJ235" s="816"/>
      <c r="BK235" s="816"/>
      <c r="BL235" s="816"/>
      <c r="BM235" s="816"/>
      <c r="BN235" s="816"/>
      <c r="BO235" s="816"/>
      <c r="BP235" s="816"/>
      <c r="BQ235" s="816"/>
      <c r="BR235" s="816"/>
      <c r="BS235" s="816"/>
      <c r="BT235" s="816"/>
      <c r="BU235" s="816"/>
      <c r="BV235" s="816"/>
      <c r="BW235" s="816"/>
      <c r="BX235" s="609"/>
      <c r="BY235" s="609"/>
      <c r="BZ235" s="609"/>
      <c r="CA235" s="818"/>
      <c r="CB235" s="816"/>
      <c r="CC235" s="816"/>
      <c r="CD235" s="816"/>
      <c r="CE235" s="816"/>
      <c r="CF235" s="816"/>
      <c r="CG235" s="816"/>
      <c r="CH235" s="816"/>
      <c r="CI235" s="816"/>
      <c r="CJ235" s="819"/>
      <c r="CK235" s="819"/>
      <c r="CL235" s="820"/>
      <c r="CM235" s="820"/>
      <c r="CN235" s="820"/>
      <c r="CO235" s="820"/>
      <c r="CP235" s="820"/>
      <c r="CQ235" s="820"/>
      <c r="CR235" s="609"/>
      <c r="CS235" s="609"/>
      <c r="CT235" s="816"/>
      <c r="CU235" s="816"/>
      <c r="CV235" s="609"/>
      <c r="CW235" s="609"/>
      <c r="CX235" s="816"/>
      <c r="CY235" s="816"/>
      <c r="CZ235" s="609"/>
      <c r="DA235" s="609"/>
      <c r="DB235" s="816"/>
      <c r="DC235" s="816"/>
      <c r="DD235" s="609"/>
      <c r="DE235" s="609"/>
      <c r="DF235" s="816"/>
      <c r="DG235" s="816"/>
      <c r="DH235" s="816"/>
      <c r="DI235" s="816"/>
      <c r="DJ235" s="816"/>
      <c r="DK235" s="816"/>
      <c r="DL235" s="609"/>
      <c r="DM235" s="609"/>
      <c r="DN235" s="816"/>
      <c r="DO235" s="816"/>
      <c r="DP235" s="609"/>
      <c r="DQ235" s="609"/>
      <c r="DR235" s="816"/>
      <c r="DS235" s="816"/>
      <c r="DT235" s="816"/>
      <c r="DU235" s="816"/>
      <c r="DV235" s="816"/>
      <c r="DW235" s="816"/>
      <c r="DX235" s="816"/>
      <c r="DY235" s="816"/>
      <c r="DZ235" s="816"/>
      <c r="EA235" s="816"/>
      <c r="EB235" s="816"/>
      <c r="EC235" s="816"/>
      <c r="ED235" s="816"/>
      <c r="EE235" s="816"/>
      <c r="EF235" s="609"/>
      <c r="EG235" s="609"/>
      <c r="EH235" s="816"/>
      <c r="EI235" s="816"/>
      <c r="EJ235" s="816"/>
      <c r="EK235" s="816"/>
      <c r="EL235" s="816"/>
      <c r="EM235" s="816"/>
      <c r="EN235" s="816"/>
      <c r="EO235" s="816"/>
      <c r="EP235" s="816"/>
      <c r="EQ235" s="816"/>
      <c r="ER235" s="816"/>
      <c r="ES235" s="816"/>
      <c r="ET235" s="816"/>
      <c r="EU235" s="816"/>
      <c r="EV235" s="609"/>
      <c r="EW235" s="609"/>
      <c r="EX235" s="816"/>
      <c r="EY235" s="816"/>
      <c r="EZ235" s="816"/>
      <c r="FA235" s="816"/>
      <c r="FB235" s="816"/>
      <c r="FC235" s="816"/>
      <c r="FD235" s="816"/>
      <c r="FE235" s="816"/>
      <c r="FF235" s="816"/>
      <c r="FG235" s="816"/>
      <c r="FH235" s="816"/>
      <c r="FI235" s="816"/>
      <c r="FJ235" s="816"/>
      <c r="FK235" s="816"/>
      <c r="FL235" s="816"/>
      <c r="FM235" s="816"/>
      <c r="FN235" s="816"/>
      <c r="FO235" s="816"/>
      <c r="FP235" s="816"/>
      <c r="FQ235" s="816"/>
      <c r="FR235" s="816"/>
      <c r="FS235" s="816"/>
      <c r="FT235" s="816"/>
      <c r="FU235" s="816"/>
      <c r="FV235" s="816"/>
      <c r="FW235" s="816"/>
      <c r="FX235" s="816"/>
      <c r="FY235" s="816"/>
      <c r="FZ235" s="819"/>
      <c r="GA235" s="816"/>
      <c r="GB235" s="820"/>
      <c r="GC235" s="820"/>
      <c r="GD235" s="820"/>
      <c r="GE235" s="820"/>
      <c r="GF235" s="609"/>
      <c r="GG235" s="609"/>
      <c r="GH235" s="816"/>
      <c r="GI235" s="816"/>
      <c r="GJ235" s="816"/>
      <c r="GK235" s="816"/>
      <c r="GL235" s="816"/>
      <c r="GM235" s="816"/>
      <c r="GN235" s="816"/>
      <c r="GO235" s="816"/>
      <c r="GP235" s="816"/>
      <c r="GQ235" s="816"/>
      <c r="GR235" s="816"/>
      <c r="GS235" s="816"/>
      <c r="GT235" s="818"/>
      <c r="GU235" s="816"/>
      <c r="GV235" s="816"/>
      <c r="GW235" s="816"/>
      <c r="GX235" s="816"/>
      <c r="GY235" s="816"/>
      <c r="GZ235" s="816"/>
      <c r="HA235" s="816"/>
      <c r="HB235" s="609"/>
      <c r="HC235" s="609"/>
      <c r="HD235" s="816"/>
      <c r="HE235" s="816"/>
      <c r="HF235" s="816"/>
      <c r="HG235" s="816"/>
      <c r="HH235" s="816"/>
      <c r="HI235" s="816"/>
      <c r="HJ235" s="609"/>
      <c r="HK235" s="609"/>
      <c r="HL235" s="609"/>
      <c r="HM235" s="816"/>
      <c r="HN235" s="816"/>
      <c r="HO235" s="609"/>
      <c r="HP235" s="609"/>
      <c r="HQ235" s="816"/>
      <c r="HR235" s="816"/>
      <c r="HS235" s="816"/>
      <c r="HT235" s="816"/>
      <c r="HU235" s="816"/>
      <c r="HV235" s="816"/>
      <c r="HW235" s="609"/>
      <c r="HX235" s="609"/>
      <c r="HY235" s="816"/>
      <c r="HZ235" s="816"/>
      <c r="IA235" s="816"/>
      <c r="IB235" s="816"/>
      <c r="IC235" s="816"/>
      <c r="ID235" s="816"/>
      <c r="IE235" s="609"/>
      <c r="IF235" s="609"/>
      <c r="IG235" s="816"/>
      <c r="IH235" s="816"/>
      <c r="II235" s="609"/>
      <c r="IJ235" s="609"/>
      <c r="IK235" s="816"/>
      <c r="IL235" s="816"/>
      <c r="IM235" s="609"/>
      <c r="IN235" s="609"/>
      <c r="IO235" s="816"/>
      <c r="IP235" s="816"/>
      <c r="IQ235" s="816"/>
      <c r="IR235" s="816"/>
      <c r="IS235" s="816"/>
      <c r="IT235" s="816"/>
      <c r="IU235" s="821"/>
      <c r="IV235" s="609"/>
      <c r="IW235" s="816"/>
      <c r="IX235" s="816"/>
      <c r="IY235" s="822"/>
      <c r="IZ235" s="609"/>
      <c r="JA235" s="816"/>
      <c r="JB235" s="816"/>
      <c r="JC235" s="609"/>
      <c r="JD235" s="816"/>
      <c r="JE235" s="816"/>
      <c r="JF235" s="816"/>
      <c r="JG235" s="816"/>
      <c r="JH235" s="816"/>
      <c r="JI235" s="816"/>
      <c r="JJ235" s="816"/>
      <c r="JK235" s="816"/>
      <c r="JL235" s="816"/>
      <c r="JM235" s="816"/>
      <c r="JN235" s="816"/>
      <c r="JO235" s="823"/>
      <c r="JP235" s="824"/>
      <c r="JQ235" s="825"/>
      <c r="JR235" s="825"/>
      <c r="JS235" s="816"/>
      <c r="JU235" s="834"/>
      <c r="JV235" s="834"/>
      <c r="JW235" s="826"/>
      <c r="JX235" s="834"/>
    </row>
    <row r="236" spans="2:284" s="780" customFormat="1">
      <c r="B236" s="609"/>
      <c r="C236" s="609"/>
      <c r="D236" s="609"/>
      <c r="E236" s="609"/>
      <c r="F236" s="609"/>
      <c r="G236" s="609"/>
      <c r="H236" s="609"/>
      <c r="I236" s="609"/>
      <c r="J236" s="609"/>
      <c r="K236" s="609"/>
      <c r="L236" s="609"/>
      <c r="M236" s="609"/>
      <c r="N236" s="609"/>
      <c r="O236" s="609"/>
      <c r="P236" s="609"/>
      <c r="Q236" s="609"/>
      <c r="R236" s="609"/>
      <c r="S236" s="609"/>
      <c r="T236" s="609"/>
      <c r="U236" s="609"/>
      <c r="V236" s="609"/>
      <c r="W236" s="609"/>
      <c r="X236" s="609"/>
      <c r="Y236" s="609"/>
      <c r="Z236" s="609"/>
      <c r="AA236" s="609"/>
      <c r="AB236" s="609"/>
      <c r="AC236" s="609"/>
      <c r="AD236" s="816"/>
      <c r="AE236" s="816"/>
      <c r="AF236" s="816"/>
      <c r="AG236" s="816"/>
      <c r="AH236" s="816"/>
      <c r="AI236" s="816"/>
      <c r="AJ236" s="609"/>
      <c r="AK236" s="609"/>
      <c r="AL236" s="816"/>
      <c r="AM236" s="816"/>
      <c r="AN236" s="609"/>
      <c r="AO236" s="609"/>
      <c r="AP236" s="816"/>
      <c r="AQ236" s="816"/>
      <c r="AR236" s="816"/>
      <c r="AS236" s="816"/>
      <c r="AT236" s="816"/>
      <c r="AU236" s="816"/>
      <c r="AV236" s="609"/>
      <c r="AW236" s="609"/>
      <c r="AX236" s="816"/>
      <c r="AY236" s="816"/>
      <c r="AZ236" s="817"/>
      <c r="BA236" s="609"/>
      <c r="BB236" s="609"/>
      <c r="BC236" s="816"/>
      <c r="BD236" s="816"/>
      <c r="BE236" s="816"/>
      <c r="BF236" s="816"/>
      <c r="BG236" s="816"/>
      <c r="BH236" s="816"/>
      <c r="BI236" s="816"/>
      <c r="BJ236" s="816"/>
      <c r="BK236" s="816"/>
      <c r="BL236" s="816"/>
      <c r="BM236" s="816"/>
      <c r="BN236" s="816"/>
      <c r="BO236" s="816"/>
      <c r="BP236" s="816"/>
      <c r="BQ236" s="816"/>
      <c r="BR236" s="816"/>
      <c r="BS236" s="816"/>
      <c r="BT236" s="816"/>
      <c r="BU236" s="816"/>
      <c r="BV236" s="816"/>
      <c r="BW236" s="816"/>
      <c r="BX236" s="609"/>
      <c r="BY236" s="609"/>
      <c r="BZ236" s="609"/>
      <c r="CA236" s="818"/>
      <c r="CB236" s="816"/>
      <c r="CC236" s="816"/>
      <c r="CD236" s="816"/>
      <c r="CE236" s="816"/>
      <c r="CF236" s="816"/>
      <c r="CG236" s="816"/>
      <c r="CH236" s="816"/>
      <c r="CI236" s="816"/>
      <c r="CJ236" s="819"/>
      <c r="CK236" s="819"/>
      <c r="CL236" s="820"/>
      <c r="CM236" s="820"/>
      <c r="CN236" s="820"/>
      <c r="CO236" s="820"/>
      <c r="CP236" s="820"/>
      <c r="CQ236" s="820"/>
      <c r="CR236" s="609"/>
      <c r="CS236" s="609"/>
      <c r="CT236" s="816"/>
      <c r="CU236" s="816"/>
      <c r="CV236" s="609"/>
      <c r="CW236" s="609"/>
      <c r="CX236" s="816"/>
      <c r="CY236" s="816"/>
      <c r="CZ236" s="609"/>
      <c r="DA236" s="609"/>
      <c r="DB236" s="816"/>
      <c r="DC236" s="816"/>
      <c r="DD236" s="609"/>
      <c r="DE236" s="609"/>
      <c r="DF236" s="816"/>
      <c r="DG236" s="816"/>
      <c r="DH236" s="816"/>
      <c r="DI236" s="816"/>
      <c r="DJ236" s="816"/>
      <c r="DK236" s="816"/>
      <c r="DL236" s="609"/>
      <c r="DM236" s="609"/>
      <c r="DN236" s="816"/>
      <c r="DO236" s="816"/>
      <c r="DP236" s="609"/>
      <c r="DQ236" s="609"/>
      <c r="DR236" s="816"/>
      <c r="DS236" s="816"/>
      <c r="DT236" s="816"/>
      <c r="DU236" s="816"/>
      <c r="DV236" s="816"/>
      <c r="DW236" s="816"/>
      <c r="DX236" s="816"/>
      <c r="DY236" s="816"/>
      <c r="DZ236" s="816"/>
      <c r="EA236" s="816"/>
      <c r="EB236" s="816"/>
      <c r="EC236" s="816"/>
      <c r="ED236" s="816"/>
      <c r="EE236" s="816"/>
      <c r="EF236" s="609"/>
      <c r="EG236" s="609"/>
      <c r="EH236" s="816"/>
      <c r="EI236" s="816"/>
      <c r="EJ236" s="816"/>
      <c r="EK236" s="816"/>
      <c r="EL236" s="816"/>
      <c r="EM236" s="816"/>
      <c r="EN236" s="816"/>
      <c r="EO236" s="816"/>
      <c r="EP236" s="816"/>
      <c r="EQ236" s="816"/>
      <c r="ER236" s="816"/>
      <c r="ES236" s="816"/>
      <c r="ET236" s="816"/>
      <c r="EU236" s="816"/>
      <c r="EV236" s="609"/>
      <c r="EW236" s="609"/>
      <c r="EX236" s="816"/>
      <c r="EY236" s="816"/>
      <c r="EZ236" s="816"/>
      <c r="FA236" s="816"/>
      <c r="FB236" s="816"/>
      <c r="FC236" s="816"/>
      <c r="FD236" s="816"/>
      <c r="FE236" s="816"/>
      <c r="FF236" s="816"/>
      <c r="FG236" s="816"/>
      <c r="FH236" s="816"/>
      <c r="FI236" s="816"/>
      <c r="FJ236" s="816"/>
      <c r="FK236" s="816"/>
      <c r="FL236" s="816"/>
      <c r="FM236" s="816"/>
      <c r="FN236" s="816"/>
      <c r="FO236" s="816"/>
      <c r="FP236" s="816"/>
      <c r="FQ236" s="816"/>
      <c r="FR236" s="816"/>
      <c r="FS236" s="816"/>
      <c r="FT236" s="816"/>
      <c r="FU236" s="816"/>
      <c r="FV236" s="816"/>
      <c r="FW236" s="816"/>
      <c r="FX236" s="816"/>
      <c r="FY236" s="816"/>
      <c r="FZ236" s="819"/>
      <c r="GA236" s="816"/>
      <c r="GB236" s="820"/>
      <c r="GC236" s="820"/>
      <c r="GD236" s="820"/>
      <c r="GE236" s="820"/>
      <c r="GF236" s="609"/>
      <c r="GG236" s="609"/>
      <c r="GH236" s="816"/>
      <c r="GI236" s="816"/>
      <c r="GJ236" s="816"/>
      <c r="GK236" s="816"/>
      <c r="GL236" s="816"/>
      <c r="GM236" s="816"/>
      <c r="GN236" s="816"/>
      <c r="GO236" s="816"/>
      <c r="GP236" s="816"/>
      <c r="GQ236" s="816"/>
      <c r="GR236" s="816"/>
      <c r="GS236" s="816"/>
      <c r="GT236" s="818"/>
      <c r="GU236" s="816"/>
      <c r="GV236" s="816"/>
      <c r="GW236" s="816"/>
      <c r="GX236" s="816"/>
      <c r="GY236" s="816"/>
      <c r="GZ236" s="816"/>
      <c r="HA236" s="816"/>
      <c r="HB236" s="609"/>
      <c r="HC236" s="609"/>
      <c r="HD236" s="816"/>
      <c r="HE236" s="816"/>
      <c r="HF236" s="816"/>
      <c r="HG236" s="816"/>
      <c r="HH236" s="816"/>
      <c r="HI236" s="816"/>
      <c r="HJ236" s="609"/>
      <c r="HK236" s="609"/>
      <c r="HL236" s="609"/>
      <c r="HM236" s="816"/>
      <c r="HN236" s="816"/>
      <c r="HO236" s="609"/>
      <c r="HP236" s="609"/>
      <c r="HQ236" s="816"/>
      <c r="HR236" s="816"/>
      <c r="HS236" s="816"/>
      <c r="HT236" s="816"/>
      <c r="HU236" s="816"/>
      <c r="HV236" s="816"/>
      <c r="HW236" s="609"/>
      <c r="HX236" s="609"/>
      <c r="HY236" s="816"/>
      <c r="HZ236" s="816"/>
      <c r="IA236" s="816"/>
      <c r="IB236" s="816"/>
      <c r="IC236" s="816"/>
      <c r="ID236" s="816"/>
      <c r="IE236" s="609"/>
      <c r="IF236" s="609"/>
      <c r="IG236" s="816"/>
      <c r="IH236" s="816"/>
      <c r="II236" s="609"/>
      <c r="IJ236" s="609"/>
      <c r="IK236" s="816"/>
      <c r="IL236" s="816"/>
      <c r="IM236" s="609"/>
      <c r="IN236" s="609"/>
      <c r="IO236" s="816"/>
      <c r="IP236" s="816"/>
      <c r="IQ236" s="816"/>
      <c r="IR236" s="816"/>
      <c r="IS236" s="816"/>
      <c r="IT236" s="816"/>
      <c r="IU236" s="821"/>
      <c r="IV236" s="609"/>
      <c r="IW236" s="816"/>
      <c r="IX236" s="816"/>
      <c r="IY236" s="822"/>
      <c r="IZ236" s="609"/>
      <c r="JA236" s="816"/>
      <c r="JB236" s="816"/>
      <c r="JC236" s="609"/>
      <c r="JD236" s="816"/>
      <c r="JE236" s="816"/>
      <c r="JF236" s="816"/>
      <c r="JG236" s="816"/>
      <c r="JH236" s="816"/>
      <c r="JI236" s="816"/>
      <c r="JJ236" s="816"/>
      <c r="JK236" s="816"/>
      <c r="JL236" s="816"/>
      <c r="JM236" s="816"/>
      <c r="JN236" s="816"/>
      <c r="JO236" s="823"/>
      <c r="JP236" s="824"/>
      <c r="JQ236" s="825"/>
      <c r="JR236" s="825"/>
      <c r="JS236" s="816"/>
      <c r="JU236" s="834"/>
      <c r="JV236" s="834"/>
      <c r="JW236" s="826"/>
      <c r="JX236" s="834"/>
    </row>
    <row r="237" spans="2:284" s="780" customFormat="1">
      <c r="B237" s="609"/>
      <c r="C237" s="609"/>
      <c r="D237" s="609"/>
      <c r="E237" s="609"/>
      <c r="F237" s="609"/>
      <c r="G237" s="609"/>
      <c r="H237" s="609"/>
      <c r="I237" s="609"/>
      <c r="J237" s="609"/>
      <c r="K237" s="609"/>
      <c r="L237" s="609"/>
      <c r="M237" s="609"/>
      <c r="N237" s="609"/>
      <c r="O237" s="609"/>
      <c r="P237" s="609"/>
      <c r="Q237" s="609"/>
      <c r="R237" s="609"/>
      <c r="S237" s="609"/>
      <c r="T237" s="609"/>
      <c r="U237" s="609"/>
      <c r="V237" s="609"/>
      <c r="W237" s="609"/>
      <c r="X237" s="609"/>
      <c r="Y237" s="609"/>
      <c r="Z237" s="609"/>
      <c r="AA237" s="609"/>
      <c r="AB237" s="609"/>
      <c r="AC237" s="609"/>
      <c r="AD237" s="816"/>
      <c r="AE237" s="816"/>
      <c r="AF237" s="816"/>
      <c r="AG237" s="816"/>
      <c r="AH237" s="816"/>
      <c r="AI237" s="816"/>
      <c r="AJ237" s="609"/>
      <c r="AK237" s="609"/>
      <c r="AL237" s="816"/>
      <c r="AM237" s="816"/>
      <c r="AN237" s="609"/>
      <c r="AO237" s="609"/>
      <c r="AP237" s="816"/>
      <c r="AQ237" s="816"/>
      <c r="AR237" s="816"/>
      <c r="AS237" s="816"/>
      <c r="AT237" s="816"/>
      <c r="AU237" s="816"/>
      <c r="AV237" s="609"/>
      <c r="AW237" s="609"/>
      <c r="AX237" s="816"/>
      <c r="AY237" s="816"/>
      <c r="AZ237" s="817"/>
      <c r="BA237" s="609"/>
      <c r="BB237" s="609"/>
      <c r="BC237" s="816"/>
      <c r="BD237" s="816"/>
      <c r="BE237" s="816"/>
      <c r="BF237" s="816"/>
      <c r="BG237" s="816"/>
      <c r="BH237" s="816"/>
      <c r="BI237" s="816"/>
      <c r="BJ237" s="816"/>
      <c r="BK237" s="816"/>
      <c r="BL237" s="816"/>
      <c r="BM237" s="816"/>
      <c r="BN237" s="816"/>
      <c r="BO237" s="816"/>
      <c r="BP237" s="816"/>
      <c r="BQ237" s="816"/>
      <c r="BR237" s="816"/>
      <c r="BS237" s="816"/>
      <c r="BT237" s="816"/>
      <c r="BU237" s="816"/>
      <c r="BV237" s="816"/>
      <c r="BW237" s="816"/>
      <c r="BX237" s="609"/>
      <c r="BY237" s="609"/>
      <c r="BZ237" s="609"/>
      <c r="CA237" s="818"/>
      <c r="CB237" s="816"/>
      <c r="CC237" s="816"/>
      <c r="CD237" s="816"/>
      <c r="CE237" s="816"/>
      <c r="CF237" s="816"/>
      <c r="CG237" s="816"/>
      <c r="CH237" s="816"/>
      <c r="CI237" s="816"/>
      <c r="CJ237" s="819"/>
      <c r="CK237" s="819"/>
      <c r="CL237" s="820"/>
      <c r="CM237" s="820"/>
      <c r="CN237" s="820"/>
      <c r="CO237" s="820"/>
      <c r="CP237" s="820"/>
      <c r="CQ237" s="820"/>
      <c r="CR237" s="609"/>
      <c r="CS237" s="609"/>
      <c r="CT237" s="816"/>
      <c r="CU237" s="816"/>
      <c r="CV237" s="609"/>
      <c r="CW237" s="609"/>
      <c r="CX237" s="816"/>
      <c r="CY237" s="816"/>
      <c r="CZ237" s="609"/>
      <c r="DA237" s="609"/>
      <c r="DB237" s="816"/>
      <c r="DC237" s="816"/>
      <c r="DD237" s="609"/>
      <c r="DE237" s="609"/>
      <c r="DF237" s="816"/>
      <c r="DG237" s="816"/>
      <c r="DH237" s="816"/>
      <c r="DI237" s="816"/>
      <c r="DJ237" s="816"/>
      <c r="DK237" s="816"/>
      <c r="DL237" s="609"/>
      <c r="DM237" s="609"/>
      <c r="DN237" s="816"/>
      <c r="DO237" s="816"/>
      <c r="DP237" s="609"/>
      <c r="DQ237" s="609"/>
      <c r="DR237" s="816"/>
      <c r="DS237" s="816"/>
      <c r="DT237" s="816"/>
      <c r="DU237" s="816"/>
      <c r="DV237" s="816"/>
      <c r="DW237" s="816"/>
      <c r="DX237" s="816"/>
      <c r="DY237" s="816"/>
      <c r="DZ237" s="816"/>
      <c r="EA237" s="816"/>
      <c r="EB237" s="816"/>
      <c r="EC237" s="816"/>
      <c r="ED237" s="816"/>
      <c r="EE237" s="816"/>
      <c r="EF237" s="609"/>
      <c r="EG237" s="609"/>
      <c r="EH237" s="816"/>
      <c r="EI237" s="816"/>
      <c r="EJ237" s="816"/>
      <c r="EK237" s="816"/>
      <c r="EL237" s="816"/>
      <c r="EM237" s="816"/>
      <c r="EN237" s="816"/>
      <c r="EO237" s="816"/>
      <c r="EP237" s="816"/>
      <c r="EQ237" s="816"/>
      <c r="ER237" s="816"/>
      <c r="ES237" s="816"/>
      <c r="ET237" s="816"/>
      <c r="EU237" s="816"/>
      <c r="EV237" s="609"/>
      <c r="EW237" s="609"/>
      <c r="EX237" s="816"/>
      <c r="EY237" s="816"/>
      <c r="EZ237" s="816"/>
      <c r="FA237" s="816"/>
      <c r="FB237" s="816"/>
      <c r="FC237" s="816"/>
      <c r="FD237" s="816"/>
      <c r="FE237" s="816"/>
      <c r="FF237" s="816"/>
      <c r="FG237" s="816"/>
      <c r="FH237" s="816"/>
      <c r="FI237" s="816"/>
      <c r="FJ237" s="816"/>
      <c r="FK237" s="816"/>
      <c r="FL237" s="816"/>
      <c r="FM237" s="816"/>
      <c r="FN237" s="816"/>
      <c r="FO237" s="816"/>
      <c r="FP237" s="816"/>
      <c r="FQ237" s="816"/>
      <c r="FR237" s="816"/>
      <c r="FS237" s="816"/>
      <c r="FT237" s="816"/>
      <c r="FU237" s="816"/>
      <c r="FV237" s="816"/>
      <c r="FW237" s="816"/>
      <c r="FX237" s="816"/>
      <c r="FY237" s="816"/>
      <c r="FZ237" s="819"/>
      <c r="GA237" s="816"/>
      <c r="GB237" s="820"/>
      <c r="GC237" s="820"/>
      <c r="GD237" s="820"/>
      <c r="GE237" s="820"/>
      <c r="GF237" s="609"/>
      <c r="GG237" s="609"/>
      <c r="GH237" s="816"/>
      <c r="GI237" s="816"/>
      <c r="GJ237" s="816"/>
      <c r="GK237" s="816"/>
      <c r="GL237" s="816"/>
      <c r="GM237" s="816"/>
      <c r="GN237" s="816"/>
      <c r="GO237" s="816"/>
      <c r="GP237" s="816"/>
      <c r="GQ237" s="816"/>
      <c r="GR237" s="816"/>
      <c r="GS237" s="816"/>
      <c r="GT237" s="818"/>
      <c r="GU237" s="816"/>
      <c r="GV237" s="816"/>
      <c r="GW237" s="816"/>
      <c r="GX237" s="816"/>
      <c r="GY237" s="816"/>
      <c r="GZ237" s="816"/>
      <c r="HA237" s="816"/>
      <c r="HB237" s="609"/>
      <c r="HC237" s="609"/>
      <c r="HD237" s="816"/>
      <c r="HE237" s="816"/>
      <c r="HF237" s="816"/>
      <c r="HG237" s="816"/>
      <c r="HH237" s="816"/>
      <c r="HI237" s="816"/>
      <c r="HJ237" s="609"/>
      <c r="HK237" s="609"/>
      <c r="HL237" s="609"/>
      <c r="HM237" s="816"/>
      <c r="HN237" s="816"/>
      <c r="HO237" s="609"/>
      <c r="HP237" s="609"/>
      <c r="HQ237" s="816"/>
      <c r="HR237" s="816"/>
      <c r="HS237" s="816"/>
      <c r="HT237" s="816"/>
      <c r="HU237" s="816"/>
      <c r="HV237" s="816"/>
      <c r="HW237" s="609"/>
      <c r="HX237" s="609"/>
      <c r="HY237" s="816"/>
      <c r="HZ237" s="816"/>
      <c r="IA237" s="816"/>
      <c r="IB237" s="816"/>
      <c r="IC237" s="816"/>
      <c r="ID237" s="816"/>
      <c r="IE237" s="609"/>
      <c r="IF237" s="609"/>
      <c r="IG237" s="816"/>
      <c r="IH237" s="816"/>
      <c r="II237" s="609"/>
      <c r="IJ237" s="609"/>
      <c r="IK237" s="816"/>
      <c r="IL237" s="816"/>
      <c r="IM237" s="609"/>
      <c r="IN237" s="609"/>
      <c r="IO237" s="816"/>
      <c r="IP237" s="816"/>
      <c r="IQ237" s="816"/>
      <c r="IR237" s="816"/>
      <c r="IS237" s="816"/>
      <c r="IT237" s="816"/>
      <c r="IU237" s="821"/>
      <c r="IV237" s="609"/>
      <c r="IW237" s="816"/>
      <c r="IX237" s="816"/>
      <c r="IY237" s="822"/>
      <c r="IZ237" s="609"/>
      <c r="JA237" s="816"/>
      <c r="JB237" s="816"/>
      <c r="JC237" s="609"/>
      <c r="JD237" s="816"/>
      <c r="JE237" s="816"/>
      <c r="JF237" s="816"/>
      <c r="JG237" s="816"/>
      <c r="JH237" s="816"/>
      <c r="JI237" s="816"/>
      <c r="JJ237" s="816"/>
      <c r="JK237" s="816"/>
      <c r="JL237" s="816"/>
      <c r="JM237" s="816"/>
      <c r="JN237" s="816"/>
      <c r="JO237" s="823"/>
      <c r="JP237" s="824"/>
      <c r="JQ237" s="825"/>
      <c r="JR237" s="825"/>
      <c r="JS237" s="816"/>
      <c r="JU237" s="834"/>
      <c r="JV237" s="834"/>
      <c r="JW237" s="826"/>
      <c r="JX237" s="834"/>
    </row>
    <row r="238" spans="2:284" s="780" customFormat="1">
      <c r="B238" s="609"/>
      <c r="C238" s="609"/>
      <c r="D238" s="609"/>
      <c r="E238" s="609"/>
      <c r="F238" s="609"/>
      <c r="G238" s="609"/>
      <c r="H238" s="609"/>
      <c r="I238" s="609"/>
      <c r="J238" s="609"/>
      <c r="K238" s="609"/>
      <c r="L238" s="609"/>
      <c r="M238" s="609"/>
      <c r="N238" s="609"/>
      <c r="O238" s="609"/>
      <c r="P238" s="609"/>
      <c r="Q238" s="609"/>
      <c r="R238" s="609"/>
      <c r="S238" s="609"/>
      <c r="T238" s="609"/>
      <c r="U238" s="609"/>
      <c r="V238" s="609"/>
      <c r="W238" s="609"/>
      <c r="X238" s="609"/>
      <c r="Y238" s="609"/>
      <c r="Z238" s="609"/>
      <c r="AA238" s="609"/>
      <c r="AB238" s="609"/>
      <c r="AC238" s="609"/>
      <c r="AD238" s="816"/>
      <c r="AE238" s="816"/>
      <c r="AF238" s="816"/>
      <c r="AG238" s="816"/>
      <c r="AH238" s="816"/>
      <c r="AI238" s="816"/>
      <c r="AJ238" s="609"/>
      <c r="AK238" s="609"/>
      <c r="AL238" s="816"/>
      <c r="AM238" s="816"/>
      <c r="AN238" s="609"/>
      <c r="AO238" s="609"/>
      <c r="AP238" s="816"/>
      <c r="AQ238" s="816"/>
      <c r="AR238" s="816"/>
      <c r="AS238" s="816"/>
      <c r="AT238" s="816"/>
      <c r="AU238" s="816"/>
      <c r="AV238" s="609"/>
      <c r="AW238" s="609"/>
      <c r="AX238" s="816"/>
      <c r="AY238" s="816"/>
      <c r="AZ238" s="817"/>
      <c r="BA238" s="609"/>
      <c r="BB238" s="609"/>
      <c r="BC238" s="816"/>
      <c r="BD238" s="816"/>
      <c r="BE238" s="816"/>
      <c r="BF238" s="816"/>
      <c r="BG238" s="816"/>
      <c r="BH238" s="816"/>
      <c r="BI238" s="816"/>
      <c r="BJ238" s="816"/>
      <c r="BK238" s="816"/>
      <c r="BL238" s="816"/>
      <c r="BM238" s="816"/>
      <c r="BN238" s="816"/>
      <c r="BO238" s="816"/>
      <c r="BP238" s="816"/>
      <c r="BQ238" s="816"/>
      <c r="BR238" s="816"/>
      <c r="BS238" s="816"/>
      <c r="BT238" s="816"/>
      <c r="BU238" s="816"/>
      <c r="BV238" s="816"/>
      <c r="BW238" s="816"/>
      <c r="BX238" s="609"/>
      <c r="BY238" s="609"/>
      <c r="BZ238" s="609"/>
      <c r="CA238" s="818"/>
      <c r="CB238" s="816"/>
      <c r="CC238" s="816"/>
      <c r="CD238" s="816"/>
      <c r="CE238" s="816"/>
      <c r="CF238" s="816"/>
      <c r="CG238" s="816"/>
      <c r="CH238" s="816"/>
      <c r="CI238" s="816"/>
      <c r="CJ238" s="819"/>
      <c r="CK238" s="819"/>
      <c r="CL238" s="820"/>
      <c r="CM238" s="820"/>
      <c r="CN238" s="820"/>
      <c r="CO238" s="820"/>
      <c r="CP238" s="820"/>
      <c r="CQ238" s="820"/>
      <c r="CR238" s="609"/>
      <c r="CS238" s="609"/>
      <c r="CT238" s="816"/>
      <c r="CU238" s="816"/>
      <c r="CV238" s="609"/>
      <c r="CW238" s="609"/>
      <c r="CX238" s="816"/>
      <c r="CY238" s="816"/>
      <c r="CZ238" s="609"/>
      <c r="DA238" s="609"/>
      <c r="DB238" s="816"/>
      <c r="DC238" s="816"/>
      <c r="DD238" s="609"/>
      <c r="DE238" s="609"/>
      <c r="DF238" s="816"/>
      <c r="DG238" s="816"/>
      <c r="DH238" s="816"/>
      <c r="DI238" s="816"/>
      <c r="DJ238" s="816"/>
      <c r="DK238" s="816"/>
      <c r="DL238" s="609"/>
      <c r="DM238" s="609"/>
      <c r="DN238" s="816"/>
      <c r="DO238" s="816"/>
      <c r="DP238" s="609"/>
      <c r="DQ238" s="609"/>
      <c r="DR238" s="816"/>
      <c r="DS238" s="816"/>
      <c r="DT238" s="816"/>
      <c r="DU238" s="816"/>
      <c r="DV238" s="816"/>
      <c r="DW238" s="816"/>
      <c r="DX238" s="816"/>
      <c r="DY238" s="816"/>
      <c r="DZ238" s="816"/>
      <c r="EA238" s="816"/>
      <c r="EB238" s="816"/>
      <c r="EC238" s="816"/>
      <c r="ED238" s="816"/>
      <c r="EE238" s="816"/>
      <c r="EF238" s="609"/>
      <c r="EG238" s="609"/>
      <c r="EH238" s="816"/>
      <c r="EI238" s="816"/>
      <c r="EJ238" s="816"/>
      <c r="EK238" s="816"/>
      <c r="EL238" s="816"/>
      <c r="EM238" s="816"/>
      <c r="EN238" s="816"/>
      <c r="EO238" s="816"/>
      <c r="EP238" s="816"/>
      <c r="EQ238" s="816"/>
      <c r="ER238" s="816"/>
      <c r="ES238" s="816"/>
      <c r="ET238" s="816"/>
      <c r="EU238" s="816"/>
      <c r="EV238" s="609"/>
      <c r="EW238" s="609"/>
      <c r="EX238" s="816"/>
      <c r="EY238" s="816"/>
      <c r="EZ238" s="816"/>
      <c r="FA238" s="816"/>
      <c r="FB238" s="816"/>
      <c r="FC238" s="816"/>
      <c r="FD238" s="816"/>
      <c r="FE238" s="816"/>
      <c r="FF238" s="816"/>
      <c r="FG238" s="816"/>
      <c r="FH238" s="816"/>
      <c r="FI238" s="816"/>
      <c r="FJ238" s="816"/>
      <c r="FK238" s="816"/>
      <c r="FL238" s="816"/>
      <c r="FM238" s="816"/>
      <c r="FN238" s="816"/>
      <c r="FO238" s="816"/>
      <c r="FP238" s="816"/>
      <c r="FQ238" s="816"/>
      <c r="FR238" s="816"/>
      <c r="FS238" s="816"/>
      <c r="FT238" s="816"/>
      <c r="FU238" s="816"/>
      <c r="FV238" s="816"/>
      <c r="FW238" s="816"/>
      <c r="FX238" s="816"/>
      <c r="FY238" s="816"/>
      <c r="FZ238" s="819"/>
      <c r="GA238" s="816"/>
      <c r="GB238" s="820"/>
      <c r="GC238" s="820"/>
      <c r="GD238" s="820"/>
      <c r="GE238" s="820"/>
      <c r="GF238" s="817"/>
      <c r="GG238" s="609"/>
      <c r="GH238" s="816"/>
      <c r="GI238" s="816"/>
      <c r="GJ238" s="816"/>
      <c r="GK238" s="816"/>
      <c r="GL238" s="816"/>
      <c r="GM238" s="816"/>
      <c r="GN238" s="816"/>
      <c r="GO238" s="816"/>
      <c r="GP238" s="816"/>
      <c r="GQ238" s="816"/>
      <c r="GR238" s="816"/>
      <c r="GS238" s="816"/>
      <c r="GT238" s="818"/>
      <c r="GU238" s="816"/>
      <c r="GV238" s="816"/>
      <c r="GW238" s="816"/>
      <c r="GX238" s="816"/>
      <c r="GY238" s="816"/>
      <c r="GZ238" s="816"/>
      <c r="HA238" s="816"/>
      <c r="HB238" s="609"/>
      <c r="HC238" s="609"/>
      <c r="HD238" s="816"/>
      <c r="HE238" s="816"/>
      <c r="HF238" s="816"/>
      <c r="HG238" s="816"/>
      <c r="HH238" s="816"/>
      <c r="HI238" s="816"/>
      <c r="HJ238" s="609"/>
      <c r="HK238" s="609"/>
      <c r="HL238" s="609"/>
      <c r="HM238" s="816"/>
      <c r="HN238" s="816"/>
      <c r="HO238" s="609"/>
      <c r="HP238" s="609"/>
      <c r="HQ238" s="816"/>
      <c r="HR238" s="816"/>
      <c r="HS238" s="816"/>
      <c r="HT238" s="816"/>
      <c r="HU238" s="816"/>
      <c r="HV238" s="816"/>
      <c r="HW238" s="609"/>
      <c r="HX238" s="609"/>
      <c r="HY238" s="816"/>
      <c r="HZ238" s="816"/>
      <c r="IA238" s="816"/>
      <c r="IB238" s="816"/>
      <c r="IC238" s="816"/>
      <c r="ID238" s="816"/>
      <c r="IE238" s="609"/>
      <c r="IF238" s="609"/>
      <c r="IG238" s="816"/>
      <c r="IH238" s="816"/>
      <c r="II238" s="609"/>
      <c r="IJ238" s="609"/>
      <c r="IK238" s="816"/>
      <c r="IL238" s="816"/>
      <c r="IM238" s="609"/>
      <c r="IN238" s="609"/>
      <c r="IO238" s="816"/>
      <c r="IP238" s="816"/>
      <c r="IQ238" s="816"/>
      <c r="IR238" s="816"/>
      <c r="IS238" s="816"/>
      <c r="IT238" s="816"/>
      <c r="IU238" s="821"/>
      <c r="IV238" s="609"/>
      <c r="IW238" s="816"/>
      <c r="IX238" s="816"/>
      <c r="IY238" s="822"/>
      <c r="IZ238" s="609"/>
      <c r="JA238" s="816"/>
      <c r="JB238" s="816"/>
      <c r="JC238" s="609"/>
      <c r="JD238" s="816"/>
      <c r="JE238" s="816"/>
      <c r="JF238" s="816"/>
      <c r="JG238" s="816"/>
      <c r="JH238" s="816"/>
      <c r="JI238" s="816"/>
      <c r="JJ238" s="816"/>
      <c r="JK238" s="816"/>
      <c r="JL238" s="816"/>
      <c r="JM238" s="816"/>
      <c r="JN238" s="816"/>
      <c r="JO238" s="823"/>
      <c r="JP238" s="824"/>
      <c r="JQ238" s="825"/>
      <c r="JR238" s="825"/>
      <c r="JS238" s="816"/>
      <c r="JU238" s="834"/>
      <c r="JV238" s="834"/>
      <c r="JW238" s="826"/>
      <c r="JX238" s="834"/>
    </row>
    <row r="239" spans="2:284" s="780" customFormat="1">
      <c r="B239" s="609"/>
      <c r="C239" s="609"/>
      <c r="D239" s="609"/>
      <c r="E239" s="609"/>
      <c r="F239" s="609"/>
      <c r="G239" s="609"/>
      <c r="H239" s="609"/>
      <c r="I239" s="609"/>
      <c r="J239" s="609"/>
      <c r="K239" s="609"/>
      <c r="L239" s="609"/>
      <c r="M239" s="609"/>
      <c r="N239" s="609"/>
      <c r="O239" s="609"/>
      <c r="P239" s="609"/>
      <c r="Q239" s="609"/>
      <c r="R239" s="609"/>
      <c r="S239" s="609"/>
      <c r="T239" s="609"/>
      <c r="U239" s="609"/>
      <c r="V239" s="609"/>
      <c r="W239" s="609"/>
      <c r="X239" s="609"/>
      <c r="Y239" s="609"/>
      <c r="Z239" s="609"/>
      <c r="AA239" s="609"/>
      <c r="AB239" s="609"/>
      <c r="AC239" s="609"/>
      <c r="AD239" s="816"/>
      <c r="AE239" s="816"/>
      <c r="AF239" s="816"/>
      <c r="AG239" s="816"/>
      <c r="AH239" s="816"/>
      <c r="AI239" s="816"/>
      <c r="AJ239" s="609"/>
      <c r="AK239" s="609"/>
      <c r="AL239" s="816"/>
      <c r="AM239" s="816"/>
      <c r="AN239" s="609"/>
      <c r="AO239" s="609"/>
      <c r="AP239" s="816"/>
      <c r="AQ239" s="816"/>
      <c r="AR239" s="816"/>
      <c r="AS239" s="816"/>
      <c r="AT239" s="816"/>
      <c r="AU239" s="816"/>
      <c r="AV239" s="609"/>
      <c r="AW239" s="609"/>
      <c r="AX239" s="816"/>
      <c r="AY239" s="816"/>
      <c r="AZ239" s="817"/>
      <c r="BA239" s="609"/>
      <c r="BB239" s="609"/>
      <c r="BC239" s="816"/>
      <c r="BD239" s="816"/>
      <c r="BE239" s="816"/>
      <c r="BF239" s="816"/>
      <c r="BG239" s="816"/>
      <c r="BH239" s="816"/>
      <c r="BI239" s="816"/>
      <c r="BJ239" s="816"/>
      <c r="BK239" s="816"/>
      <c r="BL239" s="816"/>
      <c r="BM239" s="816"/>
      <c r="BN239" s="816"/>
      <c r="BO239" s="816"/>
      <c r="BP239" s="816"/>
      <c r="BQ239" s="816"/>
      <c r="BR239" s="816"/>
      <c r="BS239" s="816"/>
      <c r="BT239" s="816"/>
      <c r="BU239" s="816"/>
      <c r="BV239" s="816"/>
      <c r="BW239" s="816"/>
      <c r="BX239" s="609"/>
      <c r="BY239" s="609"/>
      <c r="BZ239" s="609"/>
      <c r="CA239" s="818"/>
      <c r="CB239" s="816"/>
      <c r="CC239" s="816"/>
      <c r="CD239" s="816"/>
      <c r="CE239" s="816"/>
      <c r="CF239" s="816"/>
      <c r="CG239" s="816"/>
      <c r="CH239" s="816"/>
      <c r="CI239" s="816"/>
      <c r="CJ239" s="819"/>
      <c r="CK239" s="819"/>
      <c r="CL239" s="820"/>
      <c r="CM239" s="820"/>
      <c r="CN239" s="820"/>
      <c r="CO239" s="820"/>
      <c r="CP239" s="820"/>
      <c r="CQ239" s="820"/>
      <c r="CR239" s="609"/>
      <c r="CS239" s="609"/>
      <c r="CT239" s="816"/>
      <c r="CU239" s="816"/>
      <c r="CV239" s="609"/>
      <c r="CW239" s="609"/>
      <c r="CX239" s="816"/>
      <c r="CY239" s="816"/>
      <c r="CZ239" s="609"/>
      <c r="DA239" s="609"/>
      <c r="DB239" s="816"/>
      <c r="DC239" s="816"/>
      <c r="DD239" s="609"/>
      <c r="DE239" s="609"/>
      <c r="DF239" s="816"/>
      <c r="DG239" s="816"/>
      <c r="DH239" s="816"/>
      <c r="DI239" s="816"/>
      <c r="DJ239" s="816"/>
      <c r="DK239" s="816"/>
      <c r="DL239" s="609"/>
      <c r="DM239" s="609"/>
      <c r="DN239" s="816"/>
      <c r="DO239" s="816"/>
      <c r="DP239" s="609"/>
      <c r="DQ239" s="609"/>
      <c r="DR239" s="816"/>
      <c r="DS239" s="816"/>
      <c r="DT239" s="816"/>
      <c r="DU239" s="816"/>
      <c r="DV239" s="816"/>
      <c r="DW239" s="816"/>
      <c r="DX239" s="816"/>
      <c r="DY239" s="816"/>
      <c r="DZ239" s="816"/>
      <c r="EA239" s="816"/>
      <c r="EB239" s="816"/>
      <c r="EC239" s="816"/>
      <c r="ED239" s="816"/>
      <c r="EE239" s="816"/>
      <c r="EF239" s="609"/>
      <c r="EG239" s="609"/>
      <c r="EH239" s="816"/>
      <c r="EI239" s="816"/>
      <c r="EJ239" s="816"/>
      <c r="EK239" s="816"/>
      <c r="EL239" s="816"/>
      <c r="EM239" s="816"/>
      <c r="EN239" s="816"/>
      <c r="EO239" s="816"/>
      <c r="EP239" s="816"/>
      <c r="EQ239" s="816"/>
      <c r="ER239" s="816"/>
      <c r="ES239" s="816"/>
      <c r="ET239" s="816"/>
      <c r="EU239" s="816"/>
      <c r="EV239" s="609"/>
      <c r="EW239" s="609"/>
      <c r="EX239" s="816"/>
      <c r="EY239" s="816"/>
      <c r="EZ239" s="816"/>
      <c r="FA239" s="816"/>
      <c r="FB239" s="816"/>
      <c r="FC239" s="816"/>
      <c r="FD239" s="816"/>
      <c r="FE239" s="816"/>
      <c r="FF239" s="816"/>
      <c r="FG239" s="816"/>
      <c r="FH239" s="816"/>
      <c r="FI239" s="816"/>
      <c r="FJ239" s="816"/>
      <c r="FK239" s="816"/>
      <c r="FL239" s="816"/>
      <c r="FM239" s="816"/>
      <c r="FN239" s="816"/>
      <c r="FO239" s="816"/>
      <c r="FP239" s="816"/>
      <c r="FQ239" s="816"/>
      <c r="FR239" s="816"/>
      <c r="FS239" s="816"/>
      <c r="FT239" s="816"/>
      <c r="FU239" s="816"/>
      <c r="FV239" s="816"/>
      <c r="FW239" s="816"/>
      <c r="FX239" s="816"/>
      <c r="FY239" s="816"/>
      <c r="FZ239" s="819"/>
      <c r="GA239" s="816"/>
      <c r="GB239" s="820"/>
      <c r="GC239" s="820"/>
      <c r="GD239" s="820"/>
      <c r="GE239" s="820"/>
      <c r="GF239" s="817"/>
      <c r="GG239" s="609"/>
      <c r="GH239" s="816"/>
      <c r="GI239" s="816"/>
      <c r="GJ239" s="816"/>
      <c r="GK239" s="816"/>
      <c r="GL239" s="816"/>
      <c r="GM239" s="816"/>
      <c r="GN239" s="816"/>
      <c r="GO239" s="816"/>
      <c r="GP239" s="816"/>
      <c r="GQ239" s="816"/>
      <c r="GR239" s="816"/>
      <c r="GS239" s="816"/>
      <c r="GT239" s="818"/>
      <c r="GU239" s="816"/>
      <c r="GV239" s="816"/>
      <c r="GW239" s="816"/>
      <c r="GX239" s="816"/>
      <c r="GY239" s="816"/>
      <c r="GZ239" s="816"/>
      <c r="HA239" s="816"/>
      <c r="HB239" s="609"/>
      <c r="HC239" s="609"/>
      <c r="HD239" s="816"/>
      <c r="HE239" s="816"/>
      <c r="HF239" s="816"/>
      <c r="HG239" s="816"/>
      <c r="HH239" s="816"/>
      <c r="HI239" s="816"/>
      <c r="HJ239" s="609"/>
      <c r="HK239" s="609"/>
      <c r="HL239" s="609"/>
      <c r="HM239" s="816"/>
      <c r="HN239" s="816"/>
      <c r="HO239" s="609"/>
      <c r="HP239" s="609"/>
      <c r="HQ239" s="816"/>
      <c r="HR239" s="816"/>
      <c r="HS239" s="816"/>
      <c r="HT239" s="816"/>
      <c r="HU239" s="816"/>
      <c r="HV239" s="816"/>
      <c r="HW239" s="609"/>
      <c r="HX239" s="609"/>
      <c r="HY239" s="816"/>
      <c r="HZ239" s="816"/>
      <c r="IA239" s="816"/>
      <c r="IB239" s="816"/>
      <c r="IC239" s="816"/>
      <c r="ID239" s="816"/>
      <c r="IE239" s="609"/>
      <c r="IF239" s="609"/>
      <c r="IG239" s="816"/>
      <c r="IH239" s="816"/>
      <c r="II239" s="609"/>
      <c r="IJ239" s="609"/>
      <c r="IK239" s="816"/>
      <c r="IL239" s="816"/>
      <c r="IM239" s="609"/>
      <c r="IN239" s="609"/>
      <c r="IO239" s="816"/>
      <c r="IP239" s="816"/>
      <c r="IQ239" s="816"/>
      <c r="IR239" s="816"/>
      <c r="IS239" s="816"/>
      <c r="IT239" s="816"/>
      <c r="IU239" s="821"/>
      <c r="IV239" s="609"/>
      <c r="IW239" s="816"/>
      <c r="IX239" s="816"/>
      <c r="IY239" s="822"/>
      <c r="IZ239" s="609"/>
      <c r="JA239" s="816"/>
      <c r="JB239" s="816"/>
      <c r="JC239" s="609"/>
      <c r="JD239" s="816"/>
      <c r="JE239" s="816"/>
      <c r="JF239" s="816"/>
      <c r="JG239" s="816"/>
      <c r="JH239" s="816"/>
      <c r="JI239" s="816"/>
      <c r="JJ239" s="816"/>
      <c r="JK239" s="816"/>
      <c r="JL239" s="816"/>
      <c r="JM239" s="816"/>
      <c r="JN239" s="816"/>
      <c r="JO239" s="823"/>
      <c r="JP239" s="824"/>
      <c r="JQ239" s="825"/>
      <c r="JR239" s="825"/>
      <c r="JS239" s="816"/>
      <c r="JU239" s="834"/>
      <c r="JV239" s="834"/>
      <c r="JW239" s="826"/>
      <c r="JX239" s="834"/>
    </row>
    <row r="240" spans="2:284" s="780" customFormat="1">
      <c r="B240" s="609"/>
      <c r="C240" s="609"/>
      <c r="D240" s="609"/>
      <c r="E240" s="609"/>
      <c r="F240" s="609"/>
      <c r="G240" s="609"/>
      <c r="H240" s="609"/>
      <c r="I240" s="609"/>
      <c r="J240" s="609"/>
      <c r="K240" s="609"/>
      <c r="L240" s="609"/>
      <c r="M240" s="609"/>
      <c r="N240" s="609"/>
      <c r="O240" s="609"/>
      <c r="P240" s="609"/>
      <c r="Q240" s="609"/>
      <c r="R240" s="609"/>
      <c r="S240" s="609"/>
      <c r="T240" s="609"/>
      <c r="U240" s="609"/>
      <c r="V240" s="609"/>
      <c r="W240" s="609"/>
      <c r="X240" s="609"/>
      <c r="Y240" s="609"/>
      <c r="Z240" s="609"/>
      <c r="AA240" s="609"/>
      <c r="AB240" s="609"/>
      <c r="AC240" s="609"/>
      <c r="AD240" s="816"/>
      <c r="AE240" s="816"/>
      <c r="AF240" s="816"/>
      <c r="AG240" s="816"/>
      <c r="AH240" s="816"/>
      <c r="AI240" s="816"/>
      <c r="AJ240" s="609"/>
      <c r="AK240" s="609"/>
      <c r="AL240" s="816"/>
      <c r="AM240" s="816"/>
      <c r="AN240" s="609"/>
      <c r="AO240" s="609"/>
      <c r="AP240" s="816"/>
      <c r="AQ240" s="816"/>
      <c r="AR240" s="816"/>
      <c r="AS240" s="816"/>
      <c r="AT240" s="816"/>
      <c r="AU240" s="816"/>
      <c r="AV240" s="609"/>
      <c r="AW240" s="609"/>
      <c r="AX240" s="816"/>
      <c r="AY240" s="816"/>
      <c r="AZ240" s="817"/>
      <c r="BA240" s="609"/>
      <c r="BB240" s="609"/>
      <c r="BC240" s="816"/>
      <c r="BD240" s="816"/>
      <c r="BE240" s="816"/>
      <c r="BF240" s="816"/>
      <c r="BG240" s="816"/>
      <c r="BH240" s="816"/>
      <c r="BI240" s="816"/>
      <c r="BJ240" s="816"/>
      <c r="BK240" s="816"/>
      <c r="BL240" s="816"/>
      <c r="BM240" s="816"/>
      <c r="BN240" s="816"/>
      <c r="BO240" s="816"/>
      <c r="BP240" s="816"/>
      <c r="BQ240" s="816"/>
      <c r="BR240" s="816"/>
      <c r="BS240" s="816"/>
      <c r="BT240" s="816"/>
      <c r="BU240" s="816"/>
      <c r="BV240" s="816"/>
      <c r="BW240" s="816"/>
      <c r="BX240" s="609"/>
      <c r="BY240" s="609"/>
      <c r="BZ240" s="609"/>
      <c r="CA240" s="818"/>
      <c r="CB240" s="816"/>
      <c r="CC240" s="816"/>
      <c r="CD240" s="816"/>
      <c r="CE240" s="816"/>
      <c r="CF240" s="816"/>
      <c r="CG240" s="816"/>
      <c r="CH240" s="816"/>
      <c r="CI240" s="816"/>
      <c r="CJ240" s="819"/>
      <c r="CK240" s="819"/>
      <c r="CL240" s="820"/>
      <c r="CM240" s="820"/>
      <c r="CN240" s="820"/>
      <c r="CO240" s="820"/>
      <c r="CP240" s="820"/>
      <c r="CQ240" s="820"/>
      <c r="CR240" s="609"/>
      <c r="CS240" s="609"/>
      <c r="CT240" s="816"/>
      <c r="CU240" s="816"/>
      <c r="CV240" s="609"/>
      <c r="CW240" s="609"/>
      <c r="CX240" s="816"/>
      <c r="CY240" s="816"/>
      <c r="CZ240" s="609"/>
      <c r="DA240" s="609"/>
      <c r="DB240" s="816"/>
      <c r="DC240" s="816"/>
      <c r="DD240" s="609"/>
      <c r="DE240" s="609"/>
      <c r="DF240" s="816"/>
      <c r="DG240" s="816"/>
      <c r="DH240" s="816"/>
      <c r="DI240" s="816"/>
      <c r="DJ240" s="816"/>
      <c r="DK240" s="816"/>
      <c r="DL240" s="609"/>
      <c r="DM240" s="609"/>
      <c r="DN240" s="816"/>
      <c r="DO240" s="816"/>
      <c r="DP240" s="609"/>
      <c r="DQ240" s="609"/>
      <c r="DR240" s="816"/>
      <c r="DS240" s="816"/>
      <c r="DT240" s="816"/>
      <c r="DU240" s="816"/>
      <c r="DV240" s="816"/>
      <c r="DW240" s="816"/>
      <c r="DX240" s="816"/>
      <c r="DY240" s="816"/>
      <c r="DZ240" s="816"/>
      <c r="EA240" s="816"/>
      <c r="EB240" s="816"/>
      <c r="EC240" s="816"/>
      <c r="ED240" s="816"/>
      <c r="EE240" s="816"/>
      <c r="EF240" s="609"/>
      <c r="EG240" s="609"/>
      <c r="EH240" s="816"/>
      <c r="EI240" s="816"/>
      <c r="EJ240" s="816"/>
      <c r="EK240" s="816"/>
      <c r="EL240" s="816"/>
      <c r="EM240" s="816"/>
      <c r="EN240" s="816"/>
      <c r="EO240" s="816"/>
      <c r="EP240" s="816"/>
      <c r="EQ240" s="816"/>
      <c r="ER240" s="816"/>
      <c r="ES240" s="816"/>
      <c r="ET240" s="816"/>
      <c r="EU240" s="816"/>
      <c r="EV240" s="609"/>
      <c r="EW240" s="609"/>
      <c r="EX240" s="816"/>
      <c r="EY240" s="816"/>
      <c r="EZ240" s="816"/>
      <c r="FA240" s="816"/>
      <c r="FB240" s="816"/>
      <c r="FC240" s="816"/>
      <c r="FD240" s="816"/>
      <c r="FE240" s="816"/>
      <c r="FF240" s="816"/>
      <c r="FG240" s="816"/>
      <c r="FH240" s="816"/>
      <c r="FI240" s="816"/>
      <c r="FJ240" s="816"/>
      <c r="FK240" s="816"/>
      <c r="FL240" s="816"/>
      <c r="FM240" s="816"/>
      <c r="FN240" s="816"/>
      <c r="FO240" s="816"/>
      <c r="FP240" s="816"/>
      <c r="FQ240" s="816"/>
      <c r="FR240" s="816"/>
      <c r="FS240" s="816"/>
      <c r="FT240" s="816"/>
      <c r="FU240" s="816"/>
      <c r="FV240" s="816"/>
      <c r="FW240" s="816"/>
      <c r="FX240" s="816"/>
      <c r="FY240" s="816"/>
      <c r="FZ240" s="819"/>
      <c r="GA240" s="816"/>
      <c r="GB240" s="820"/>
      <c r="GC240" s="820"/>
      <c r="GD240" s="820"/>
      <c r="GE240" s="820"/>
      <c r="GF240" s="609"/>
      <c r="GG240" s="609"/>
      <c r="GH240" s="816"/>
      <c r="GI240" s="816"/>
      <c r="GJ240" s="816"/>
      <c r="GK240" s="816"/>
      <c r="GL240" s="816"/>
      <c r="GM240" s="816"/>
      <c r="GN240" s="816"/>
      <c r="GO240" s="816"/>
      <c r="GP240" s="816"/>
      <c r="GQ240" s="816"/>
      <c r="GR240" s="816"/>
      <c r="GS240" s="816"/>
      <c r="GT240" s="818"/>
      <c r="GU240" s="816"/>
      <c r="GV240" s="816"/>
      <c r="GW240" s="816"/>
      <c r="GX240" s="816"/>
      <c r="GY240" s="816"/>
      <c r="GZ240" s="816"/>
      <c r="HA240" s="816"/>
      <c r="HB240" s="609"/>
      <c r="HC240" s="609"/>
      <c r="HD240" s="816"/>
      <c r="HE240" s="816"/>
      <c r="HF240" s="816"/>
      <c r="HG240" s="816"/>
      <c r="HH240" s="816"/>
      <c r="HI240" s="816"/>
      <c r="HJ240" s="609"/>
      <c r="HK240" s="609"/>
      <c r="HL240" s="609"/>
      <c r="HM240" s="816"/>
      <c r="HN240" s="816"/>
      <c r="HO240" s="609"/>
      <c r="HP240" s="609"/>
      <c r="HQ240" s="816"/>
      <c r="HR240" s="816"/>
      <c r="HS240" s="816"/>
      <c r="HT240" s="816"/>
      <c r="HU240" s="816"/>
      <c r="HV240" s="816"/>
      <c r="HW240" s="609"/>
      <c r="HX240" s="609"/>
      <c r="HY240" s="816"/>
      <c r="HZ240" s="816"/>
      <c r="IA240" s="816"/>
      <c r="IB240" s="816"/>
      <c r="IC240" s="816"/>
      <c r="ID240" s="816"/>
      <c r="IE240" s="609"/>
      <c r="IF240" s="609"/>
      <c r="IG240" s="816"/>
      <c r="IH240" s="816"/>
      <c r="II240" s="609"/>
      <c r="IJ240" s="609"/>
      <c r="IK240" s="816"/>
      <c r="IL240" s="816"/>
      <c r="IM240" s="609"/>
      <c r="IN240" s="609"/>
      <c r="IO240" s="816"/>
      <c r="IP240" s="816"/>
      <c r="IQ240" s="816"/>
      <c r="IR240" s="816"/>
      <c r="IS240" s="816"/>
      <c r="IT240" s="816"/>
      <c r="IU240" s="821"/>
      <c r="IV240" s="609"/>
      <c r="IW240" s="816"/>
      <c r="IX240" s="816"/>
      <c r="IY240" s="822"/>
      <c r="IZ240" s="609"/>
      <c r="JA240" s="816"/>
      <c r="JB240" s="816"/>
      <c r="JC240" s="609"/>
      <c r="JD240" s="816"/>
      <c r="JE240" s="816"/>
      <c r="JF240" s="816"/>
      <c r="JG240" s="816"/>
      <c r="JH240" s="816"/>
      <c r="JI240" s="816"/>
      <c r="JJ240" s="816"/>
      <c r="JK240" s="816"/>
      <c r="JL240" s="816"/>
      <c r="JM240" s="816"/>
      <c r="JN240" s="816"/>
      <c r="JO240" s="823"/>
      <c r="JP240" s="824"/>
      <c r="JQ240" s="825"/>
      <c r="JR240" s="825"/>
      <c r="JS240" s="816"/>
      <c r="JU240" s="834"/>
      <c r="JV240" s="834"/>
      <c r="JW240" s="826"/>
      <c r="JX240" s="834"/>
    </row>
    <row r="241" spans="2:284" s="780" customFormat="1">
      <c r="B241" s="609"/>
      <c r="C241" s="609"/>
      <c r="D241" s="609"/>
      <c r="E241" s="609"/>
      <c r="F241" s="609"/>
      <c r="G241" s="609"/>
      <c r="H241" s="609"/>
      <c r="I241" s="609"/>
      <c r="J241" s="609"/>
      <c r="K241" s="609"/>
      <c r="L241" s="609"/>
      <c r="M241" s="609"/>
      <c r="N241" s="609"/>
      <c r="O241" s="609"/>
      <c r="P241" s="609"/>
      <c r="Q241" s="609"/>
      <c r="R241" s="609"/>
      <c r="S241" s="609"/>
      <c r="T241" s="609"/>
      <c r="U241" s="609"/>
      <c r="V241" s="609"/>
      <c r="W241" s="609"/>
      <c r="X241" s="609"/>
      <c r="Y241" s="609"/>
      <c r="Z241" s="609"/>
      <c r="AA241" s="609"/>
      <c r="AB241" s="609"/>
      <c r="AC241" s="609"/>
      <c r="AD241" s="816"/>
      <c r="AE241" s="816"/>
      <c r="AF241" s="816"/>
      <c r="AG241" s="816"/>
      <c r="AH241" s="816"/>
      <c r="AI241" s="816"/>
      <c r="AJ241" s="609"/>
      <c r="AK241" s="609"/>
      <c r="AL241" s="816"/>
      <c r="AM241" s="816"/>
      <c r="AN241" s="609"/>
      <c r="AO241" s="609"/>
      <c r="AP241" s="816"/>
      <c r="AQ241" s="816"/>
      <c r="AR241" s="816"/>
      <c r="AS241" s="816"/>
      <c r="AT241" s="816"/>
      <c r="AU241" s="816"/>
      <c r="AV241" s="609"/>
      <c r="AW241" s="609"/>
      <c r="AX241" s="816"/>
      <c r="AY241" s="816"/>
      <c r="AZ241" s="817"/>
      <c r="BA241" s="609"/>
      <c r="BB241" s="609"/>
      <c r="BC241" s="816"/>
      <c r="BD241" s="816"/>
      <c r="BE241" s="816"/>
      <c r="BF241" s="816"/>
      <c r="BG241" s="816"/>
      <c r="BH241" s="816"/>
      <c r="BI241" s="816"/>
      <c r="BJ241" s="816"/>
      <c r="BK241" s="816"/>
      <c r="BL241" s="816"/>
      <c r="BM241" s="816"/>
      <c r="BN241" s="816"/>
      <c r="BO241" s="816"/>
      <c r="BP241" s="816"/>
      <c r="BQ241" s="816"/>
      <c r="BR241" s="816"/>
      <c r="BS241" s="816"/>
      <c r="BT241" s="816"/>
      <c r="BU241" s="816"/>
      <c r="BV241" s="816"/>
      <c r="BW241" s="816"/>
      <c r="BX241" s="609"/>
      <c r="BY241" s="609"/>
      <c r="BZ241" s="609"/>
      <c r="CA241" s="818"/>
      <c r="CB241" s="816"/>
      <c r="CC241" s="816"/>
      <c r="CD241" s="816"/>
      <c r="CE241" s="816"/>
      <c r="CF241" s="816"/>
      <c r="CG241" s="816"/>
      <c r="CH241" s="816"/>
      <c r="CI241" s="816"/>
      <c r="CJ241" s="819"/>
      <c r="CK241" s="819"/>
      <c r="CL241" s="820"/>
      <c r="CM241" s="820"/>
      <c r="CN241" s="820"/>
      <c r="CO241" s="820"/>
      <c r="CP241" s="820"/>
      <c r="CQ241" s="820"/>
      <c r="CR241" s="609"/>
      <c r="CS241" s="609"/>
      <c r="CT241" s="816"/>
      <c r="CU241" s="816"/>
      <c r="CV241" s="609"/>
      <c r="CW241" s="609"/>
      <c r="CX241" s="816"/>
      <c r="CY241" s="816"/>
      <c r="CZ241" s="609"/>
      <c r="DA241" s="609"/>
      <c r="DB241" s="816"/>
      <c r="DC241" s="816"/>
      <c r="DD241" s="609"/>
      <c r="DE241" s="609"/>
      <c r="DF241" s="816"/>
      <c r="DG241" s="816"/>
      <c r="DH241" s="816"/>
      <c r="DI241" s="816"/>
      <c r="DJ241" s="816"/>
      <c r="DK241" s="816"/>
      <c r="DL241" s="609"/>
      <c r="DM241" s="609"/>
      <c r="DN241" s="816"/>
      <c r="DO241" s="816"/>
      <c r="DP241" s="609"/>
      <c r="DQ241" s="609"/>
      <c r="DR241" s="816"/>
      <c r="DS241" s="816"/>
      <c r="DT241" s="816"/>
      <c r="DU241" s="816"/>
      <c r="DV241" s="816"/>
      <c r="DW241" s="816"/>
      <c r="DX241" s="816"/>
      <c r="DY241" s="816"/>
      <c r="DZ241" s="816"/>
      <c r="EA241" s="816"/>
      <c r="EB241" s="816"/>
      <c r="EC241" s="816"/>
      <c r="ED241" s="816"/>
      <c r="EE241" s="816"/>
      <c r="EF241" s="609"/>
      <c r="EG241" s="609"/>
      <c r="EH241" s="816"/>
      <c r="EI241" s="816"/>
      <c r="EJ241" s="816"/>
      <c r="EK241" s="816"/>
      <c r="EL241" s="816"/>
      <c r="EM241" s="816"/>
      <c r="EN241" s="816"/>
      <c r="EO241" s="816"/>
      <c r="EP241" s="816"/>
      <c r="EQ241" s="816"/>
      <c r="ER241" s="816"/>
      <c r="ES241" s="816"/>
      <c r="ET241" s="816"/>
      <c r="EU241" s="816"/>
      <c r="EV241" s="609"/>
      <c r="EW241" s="609"/>
      <c r="EX241" s="816"/>
      <c r="EY241" s="816"/>
      <c r="EZ241" s="816"/>
      <c r="FA241" s="816"/>
      <c r="FB241" s="816"/>
      <c r="FC241" s="816"/>
      <c r="FD241" s="816"/>
      <c r="FE241" s="816"/>
      <c r="FF241" s="816"/>
      <c r="FG241" s="816"/>
      <c r="FH241" s="816"/>
      <c r="FI241" s="816"/>
      <c r="FJ241" s="816"/>
      <c r="FK241" s="816"/>
      <c r="FL241" s="816"/>
      <c r="FM241" s="816"/>
      <c r="FN241" s="816"/>
      <c r="FO241" s="816"/>
      <c r="FP241" s="816"/>
      <c r="FQ241" s="816"/>
      <c r="FR241" s="816"/>
      <c r="FS241" s="816"/>
      <c r="FT241" s="816"/>
      <c r="FU241" s="816"/>
      <c r="FV241" s="816"/>
      <c r="FW241" s="816"/>
      <c r="FX241" s="816"/>
      <c r="FY241" s="816"/>
      <c r="FZ241" s="819"/>
      <c r="GA241" s="816"/>
      <c r="GB241" s="820"/>
      <c r="GC241" s="820"/>
      <c r="GD241" s="820"/>
      <c r="GE241" s="820"/>
      <c r="GF241" s="609"/>
      <c r="GG241" s="609"/>
      <c r="GH241" s="816"/>
      <c r="GI241" s="816"/>
      <c r="GJ241" s="816"/>
      <c r="GK241" s="816"/>
      <c r="GL241" s="816"/>
      <c r="GM241" s="816"/>
      <c r="GN241" s="816"/>
      <c r="GO241" s="816"/>
      <c r="GP241" s="816"/>
      <c r="GQ241" s="816"/>
      <c r="GR241" s="816"/>
      <c r="GS241" s="816"/>
      <c r="GT241" s="818"/>
      <c r="GU241" s="816"/>
      <c r="GV241" s="816"/>
      <c r="GW241" s="816"/>
      <c r="GX241" s="816"/>
      <c r="GY241" s="816"/>
      <c r="GZ241" s="816"/>
      <c r="HA241" s="816"/>
      <c r="HB241" s="609"/>
      <c r="HC241" s="609"/>
      <c r="HD241" s="816"/>
      <c r="HE241" s="816"/>
      <c r="HF241" s="816"/>
      <c r="HG241" s="816"/>
      <c r="HH241" s="816"/>
      <c r="HI241" s="816"/>
      <c r="HJ241" s="609"/>
      <c r="HK241" s="609"/>
      <c r="HL241" s="609"/>
      <c r="HM241" s="816"/>
      <c r="HN241" s="816"/>
      <c r="HO241" s="609"/>
      <c r="HP241" s="609"/>
      <c r="HQ241" s="816"/>
      <c r="HR241" s="816"/>
      <c r="HS241" s="816"/>
      <c r="HT241" s="816"/>
      <c r="HU241" s="816"/>
      <c r="HV241" s="816"/>
      <c r="HW241" s="609"/>
      <c r="HX241" s="609"/>
      <c r="HY241" s="816"/>
      <c r="HZ241" s="816"/>
      <c r="IA241" s="816"/>
      <c r="IB241" s="816"/>
      <c r="IC241" s="816"/>
      <c r="ID241" s="816"/>
      <c r="IE241" s="609"/>
      <c r="IF241" s="609"/>
      <c r="IG241" s="816"/>
      <c r="IH241" s="816"/>
      <c r="II241" s="609"/>
      <c r="IJ241" s="609"/>
      <c r="IK241" s="816"/>
      <c r="IL241" s="816"/>
      <c r="IM241" s="609"/>
      <c r="IN241" s="609"/>
      <c r="IO241" s="816"/>
      <c r="IP241" s="816"/>
      <c r="IQ241" s="816"/>
      <c r="IR241" s="816"/>
      <c r="IS241" s="816"/>
      <c r="IT241" s="816"/>
      <c r="IU241" s="821"/>
      <c r="IV241" s="609"/>
      <c r="IW241" s="816"/>
      <c r="IX241" s="816"/>
      <c r="IY241" s="822"/>
      <c r="IZ241" s="609"/>
      <c r="JA241" s="816"/>
      <c r="JB241" s="816"/>
      <c r="JC241" s="609"/>
      <c r="JD241" s="816"/>
      <c r="JE241" s="816"/>
      <c r="JF241" s="816"/>
      <c r="JG241" s="816"/>
      <c r="JH241" s="816"/>
      <c r="JI241" s="816"/>
      <c r="JJ241" s="816"/>
      <c r="JK241" s="816"/>
      <c r="JL241" s="816"/>
      <c r="JM241" s="816"/>
      <c r="JN241" s="816"/>
      <c r="JO241" s="823"/>
      <c r="JP241" s="824"/>
      <c r="JQ241" s="825"/>
      <c r="JR241" s="825"/>
      <c r="JS241" s="816"/>
      <c r="JU241" s="834"/>
      <c r="JV241" s="834"/>
      <c r="JW241" s="826"/>
      <c r="JX241" s="834"/>
    </row>
    <row r="242" spans="2:284" s="780" customFormat="1">
      <c r="B242" s="609"/>
      <c r="C242" s="609"/>
      <c r="D242" s="609"/>
      <c r="E242" s="609"/>
      <c r="F242" s="609"/>
      <c r="G242" s="609"/>
      <c r="H242" s="609"/>
      <c r="I242" s="609"/>
      <c r="J242" s="609"/>
      <c r="K242" s="609"/>
      <c r="L242" s="609"/>
      <c r="M242" s="609"/>
      <c r="N242" s="609"/>
      <c r="O242" s="609"/>
      <c r="P242" s="609"/>
      <c r="Q242" s="609"/>
      <c r="R242" s="609"/>
      <c r="S242" s="609"/>
      <c r="T242" s="609"/>
      <c r="U242" s="609"/>
      <c r="V242" s="609"/>
      <c r="W242" s="609"/>
      <c r="X242" s="609"/>
      <c r="Y242" s="609"/>
      <c r="Z242" s="609"/>
      <c r="AA242" s="609"/>
      <c r="AB242" s="609"/>
      <c r="AC242" s="609"/>
      <c r="AD242" s="816"/>
      <c r="AE242" s="816"/>
      <c r="AF242" s="816"/>
      <c r="AG242" s="816"/>
      <c r="AH242" s="816"/>
      <c r="AI242" s="816"/>
      <c r="AJ242" s="609"/>
      <c r="AK242" s="609"/>
      <c r="AL242" s="816"/>
      <c r="AM242" s="816"/>
      <c r="AN242" s="609"/>
      <c r="AO242" s="609"/>
      <c r="AP242" s="816"/>
      <c r="AQ242" s="816"/>
      <c r="AR242" s="816"/>
      <c r="AS242" s="816"/>
      <c r="AT242" s="816"/>
      <c r="AU242" s="816"/>
      <c r="AV242" s="609"/>
      <c r="AW242" s="609"/>
      <c r="AX242" s="816"/>
      <c r="AY242" s="816"/>
      <c r="AZ242" s="817"/>
      <c r="BA242" s="609"/>
      <c r="BB242" s="609"/>
      <c r="BC242" s="816"/>
      <c r="BD242" s="816"/>
      <c r="BE242" s="816"/>
      <c r="BF242" s="816"/>
      <c r="BG242" s="816"/>
      <c r="BH242" s="816"/>
      <c r="BI242" s="816"/>
      <c r="BJ242" s="816"/>
      <c r="BK242" s="816"/>
      <c r="BL242" s="816"/>
      <c r="BM242" s="816"/>
      <c r="BN242" s="816"/>
      <c r="BO242" s="816"/>
      <c r="BP242" s="816"/>
      <c r="BQ242" s="816"/>
      <c r="BR242" s="816"/>
      <c r="BS242" s="816"/>
      <c r="BT242" s="816"/>
      <c r="BU242" s="816"/>
      <c r="BV242" s="816"/>
      <c r="BW242" s="816"/>
      <c r="BX242" s="609"/>
      <c r="BY242" s="609"/>
      <c r="BZ242" s="609"/>
      <c r="CA242" s="818"/>
      <c r="CB242" s="816"/>
      <c r="CC242" s="816"/>
      <c r="CD242" s="816"/>
      <c r="CE242" s="816"/>
      <c r="CF242" s="816"/>
      <c r="CG242" s="816"/>
      <c r="CH242" s="816"/>
      <c r="CI242" s="816"/>
      <c r="CJ242" s="819"/>
      <c r="CK242" s="819"/>
      <c r="CL242" s="820"/>
      <c r="CM242" s="820"/>
      <c r="CN242" s="820"/>
      <c r="CO242" s="820"/>
      <c r="CP242" s="820"/>
      <c r="CQ242" s="820"/>
      <c r="CR242" s="609"/>
      <c r="CS242" s="609"/>
      <c r="CT242" s="816"/>
      <c r="CU242" s="816"/>
      <c r="CV242" s="609"/>
      <c r="CW242" s="609"/>
      <c r="CX242" s="816"/>
      <c r="CY242" s="816"/>
      <c r="CZ242" s="609"/>
      <c r="DA242" s="609"/>
      <c r="DB242" s="816"/>
      <c r="DC242" s="816"/>
      <c r="DD242" s="609"/>
      <c r="DE242" s="609"/>
      <c r="DF242" s="816"/>
      <c r="DG242" s="816"/>
      <c r="DH242" s="816"/>
      <c r="DI242" s="816"/>
      <c r="DJ242" s="816"/>
      <c r="DK242" s="816"/>
      <c r="DL242" s="609"/>
      <c r="DM242" s="609"/>
      <c r="DN242" s="816"/>
      <c r="DO242" s="816"/>
      <c r="DP242" s="609"/>
      <c r="DQ242" s="609"/>
      <c r="DR242" s="816"/>
      <c r="DS242" s="816"/>
      <c r="DT242" s="816"/>
      <c r="DU242" s="816"/>
      <c r="DV242" s="816"/>
      <c r="DW242" s="816"/>
      <c r="DX242" s="816"/>
      <c r="DY242" s="816"/>
      <c r="DZ242" s="816"/>
      <c r="EA242" s="816"/>
      <c r="EB242" s="816"/>
      <c r="EC242" s="816"/>
      <c r="ED242" s="816"/>
      <c r="EE242" s="816"/>
      <c r="EF242" s="609"/>
      <c r="EG242" s="609"/>
      <c r="EH242" s="816"/>
      <c r="EI242" s="816"/>
      <c r="EJ242" s="816"/>
      <c r="EK242" s="816"/>
      <c r="EL242" s="816"/>
      <c r="EM242" s="816"/>
      <c r="EN242" s="816"/>
      <c r="EO242" s="816"/>
      <c r="EP242" s="816"/>
      <c r="EQ242" s="816"/>
      <c r="ER242" s="816"/>
      <c r="ES242" s="816"/>
      <c r="ET242" s="816"/>
      <c r="EU242" s="816"/>
      <c r="EV242" s="609"/>
      <c r="EW242" s="609"/>
      <c r="EX242" s="816"/>
      <c r="EY242" s="816"/>
      <c r="EZ242" s="816"/>
      <c r="FA242" s="816"/>
      <c r="FB242" s="816"/>
      <c r="FC242" s="816"/>
      <c r="FD242" s="816"/>
      <c r="FE242" s="816"/>
      <c r="FF242" s="816"/>
      <c r="FG242" s="816"/>
      <c r="FH242" s="816"/>
      <c r="FI242" s="816"/>
      <c r="FJ242" s="816"/>
      <c r="FK242" s="816"/>
      <c r="FL242" s="816"/>
      <c r="FM242" s="816"/>
      <c r="FN242" s="816"/>
      <c r="FO242" s="816"/>
      <c r="FP242" s="816"/>
      <c r="FQ242" s="816"/>
      <c r="FR242" s="816"/>
      <c r="FS242" s="816"/>
      <c r="FT242" s="816"/>
      <c r="FU242" s="816"/>
      <c r="FV242" s="816"/>
      <c r="FW242" s="816"/>
      <c r="FX242" s="816"/>
      <c r="FY242" s="816"/>
      <c r="FZ242" s="819"/>
      <c r="GA242" s="816"/>
      <c r="GB242" s="820"/>
      <c r="GC242" s="820"/>
      <c r="GD242" s="820"/>
      <c r="GE242" s="820"/>
      <c r="GF242" s="609"/>
      <c r="GG242" s="609"/>
      <c r="GH242" s="816"/>
      <c r="GI242" s="816"/>
      <c r="GJ242" s="816"/>
      <c r="GK242" s="816"/>
      <c r="GL242" s="816"/>
      <c r="GM242" s="816"/>
      <c r="GN242" s="816"/>
      <c r="GO242" s="816"/>
      <c r="GP242" s="816"/>
      <c r="GQ242" s="816"/>
      <c r="GR242" s="816"/>
      <c r="GS242" s="816"/>
      <c r="GT242" s="818"/>
      <c r="GU242" s="816"/>
      <c r="GV242" s="816"/>
      <c r="GW242" s="816"/>
      <c r="GX242" s="816"/>
      <c r="GY242" s="816"/>
      <c r="GZ242" s="816"/>
      <c r="HA242" s="816"/>
      <c r="HB242" s="609"/>
      <c r="HC242" s="609"/>
      <c r="HD242" s="816"/>
      <c r="HE242" s="816"/>
      <c r="HF242" s="816"/>
      <c r="HG242" s="816"/>
      <c r="HH242" s="816"/>
      <c r="HI242" s="816"/>
      <c r="HJ242" s="609"/>
      <c r="HK242" s="609"/>
      <c r="HL242" s="609"/>
      <c r="HM242" s="816"/>
      <c r="HN242" s="816"/>
      <c r="HO242" s="609"/>
      <c r="HP242" s="609"/>
      <c r="HQ242" s="816"/>
      <c r="HR242" s="816"/>
      <c r="HS242" s="816"/>
      <c r="HT242" s="816"/>
      <c r="HU242" s="816"/>
      <c r="HV242" s="816"/>
      <c r="HW242" s="609"/>
      <c r="HX242" s="609"/>
      <c r="HY242" s="816"/>
      <c r="HZ242" s="816"/>
      <c r="IA242" s="816"/>
      <c r="IB242" s="816"/>
      <c r="IC242" s="816"/>
      <c r="ID242" s="816"/>
      <c r="IE242" s="609"/>
      <c r="IF242" s="609"/>
      <c r="IG242" s="816"/>
      <c r="IH242" s="816"/>
      <c r="II242" s="609"/>
      <c r="IJ242" s="609"/>
      <c r="IK242" s="816"/>
      <c r="IL242" s="816"/>
      <c r="IM242" s="609"/>
      <c r="IN242" s="609"/>
      <c r="IO242" s="816"/>
      <c r="IP242" s="816"/>
      <c r="IQ242" s="816"/>
      <c r="IR242" s="816"/>
      <c r="IS242" s="816"/>
      <c r="IT242" s="816"/>
      <c r="IU242" s="821"/>
      <c r="IV242" s="609"/>
      <c r="IW242" s="816"/>
      <c r="IX242" s="816"/>
      <c r="IY242" s="822"/>
      <c r="IZ242" s="609"/>
      <c r="JA242" s="816"/>
      <c r="JB242" s="816"/>
      <c r="JC242" s="609"/>
      <c r="JD242" s="816"/>
      <c r="JE242" s="816"/>
      <c r="JF242" s="816"/>
      <c r="JG242" s="816"/>
      <c r="JH242" s="816"/>
      <c r="JI242" s="816"/>
      <c r="JJ242" s="816"/>
      <c r="JK242" s="816"/>
      <c r="JL242" s="816"/>
      <c r="JM242" s="816"/>
      <c r="JN242" s="816"/>
      <c r="JO242" s="823"/>
      <c r="JP242" s="824"/>
      <c r="JQ242" s="825"/>
      <c r="JR242" s="825"/>
      <c r="JS242" s="816"/>
      <c r="JU242" s="834"/>
      <c r="JV242" s="834"/>
      <c r="JW242" s="826"/>
      <c r="JX242" s="834"/>
    </row>
    <row r="243" spans="2:284" s="780" customFormat="1">
      <c r="B243" s="609"/>
      <c r="C243" s="609"/>
      <c r="D243" s="609"/>
      <c r="E243" s="609"/>
      <c r="F243" s="609"/>
      <c r="G243" s="609"/>
      <c r="H243" s="609"/>
      <c r="I243" s="609"/>
      <c r="J243" s="609"/>
      <c r="K243" s="609"/>
      <c r="L243" s="609"/>
      <c r="M243" s="609"/>
      <c r="N243" s="609"/>
      <c r="O243" s="609"/>
      <c r="P243" s="609"/>
      <c r="Q243" s="609"/>
      <c r="R243" s="609"/>
      <c r="S243" s="609"/>
      <c r="T243" s="609"/>
      <c r="U243" s="609"/>
      <c r="V243" s="609"/>
      <c r="W243" s="609"/>
      <c r="X243" s="609"/>
      <c r="Y243" s="609"/>
      <c r="Z243" s="609"/>
      <c r="AA243" s="609"/>
      <c r="AB243" s="609"/>
      <c r="AC243" s="609"/>
      <c r="AD243" s="816"/>
      <c r="AE243" s="816"/>
      <c r="AF243" s="816"/>
      <c r="AG243" s="816"/>
      <c r="AH243" s="816"/>
      <c r="AI243" s="816"/>
      <c r="AJ243" s="609"/>
      <c r="AK243" s="609"/>
      <c r="AL243" s="816"/>
      <c r="AM243" s="816"/>
      <c r="AN243" s="609"/>
      <c r="AO243" s="609"/>
      <c r="AP243" s="816"/>
      <c r="AQ243" s="816"/>
      <c r="AR243" s="816"/>
      <c r="AS243" s="816"/>
      <c r="AT243" s="816"/>
      <c r="AU243" s="816"/>
      <c r="AV243" s="609"/>
      <c r="AW243" s="609"/>
      <c r="AX243" s="816"/>
      <c r="AY243" s="816"/>
      <c r="AZ243" s="817"/>
      <c r="BA243" s="609"/>
      <c r="BB243" s="609"/>
      <c r="BC243" s="816"/>
      <c r="BD243" s="816"/>
      <c r="BE243" s="816"/>
      <c r="BF243" s="816"/>
      <c r="BG243" s="816"/>
      <c r="BH243" s="816"/>
      <c r="BI243" s="816"/>
      <c r="BJ243" s="816"/>
      <c r="BK243" s="816"/>
      <c r="BL243" s="816"/>
      <c r="BM243" s="816"/>
      <c r="BN243" s="816"/>
      <c r="BO243" s="816"/>
      <c r="BP243" s="816"/>
      <c r="BQ243" s="816"/>
      <c r="BR243" s="816"/>
      <c r="BS243" s="816"/>
      <c r="BT243" s="816"/>
      <c r="BU243" s="816"/>
      <c r="BV243" s="816"/>
      <c r="BW243" s="816"/>
      <c r="BX243" s="609"/>
      <c r="BY243" s="609"/>
      <c r="BZ243" s="609"/>
      <c r="CA243" s="818"/>
      <c r="CB243" s="816"/>
      <c r="CC243" s="816"/>
      <c r="CD243" s="816"/>
      <c r="CE243" s="816"/>
      <c r="CF243" s="816"/>
      <c r="CG243" s="816"/>
      <c r="CH243" s="816"/>
      <c r="CI243" s="816"/>
      <c r="CJ243" s="819"/>
      <c r="CK243" s="819"/>
      <c r="CL243" s="820"/>
      <c r="CM243" s="820"/>
      <c r="CN243" s="820"/>
      <c r="CO243" s="820"/>
      <c r="CP243" s="820"/>
      <c r="CQ243" s="820"/>
      <c r="CR243" s="609"/>
      <c r="CS243" s="609"/>
      <c r="CT243" s="816"/>
      <c r="CU243" s="816"/>
      <c r="CV243" s="609"/>
      <c r="CW243" s="609"/>
      <c r="CX243" s="816"/>
      <c r="CY243" s="816"/>
      <c r="CZ243" s="609"/>
      <c r="DA243" s="609"/>
      <c r="DB243" s="816"/>
      <c r="DC243" s="816"/>
      <c r="DD243" s="609"/>
      <c r="DE243" s="609"/>
      <c r="DF243" s="816"/>
      <c r="DG243" s="816"/>
      <c r="DH243" s="816"/>
      <c r="DI243" s="816"/>
      <c r="DJ243" s="816"/>
      <c r="DK243" s="816"/>
      <c r="DL243" s="609"/>
      <c r="DM243" s="609"/>
      <c r="DN243" s="816"/>
      <c r="DO243" s="816"/>
      <c r="DP243" s="609"/>
      <c r="DQ243" s="609"/>
      <c r="DR243" s="816"/>
      <c r="DS243" s="816"/>
      <c r="DT243" s="816"/>
      <c r="DU243" s="816"/>
      <c r="DV243" s="816"/>
      <c r="DW243" s="816"/>
      <c r="DX243" s="816"/>
      <c r="DY243" s="816"/>
      <c r="DZ243" s="816"/>
      <c r="EA243" s="816"/>
      <c r="EB243" s="816"/>
      <c r="EC243" s="816"/>
      <c r="ED243" s="816"/>
      <c r="EE243" s="816"/>
      <c r="EF243" s="609"/>
      <c r="EG243" s="609"/>
      <c r="EH243" s="816"/>
      <c r="EI243" s="816"/>
      <c r="EJ243" s="816"/>
      <c r="EK243" s="816"/>
      <c r="EL243" s="816"/>
      <c r="EM243" s="816"/>
      <c r="EN243" s="816"/>
      <c r="EO243" s="816"/>
      <c r="EP243" s="816"/>
      <c r="EQ243" s="816"/>
      <c r="ER243" s="816"/>
      <c r="ES243" s="816"/>
      <c r="ET243" s="816"/>
      <c r="EU243" s="816"/>
      <c r="EV243" s="609"/>
      <c r="EW243" s="609"/>
      <c r="EX243" s="816"/>
      <c r="EY243" s="816"/>
      <c r="EZ243" s="816"/>
      <c r="FA243" s="816"/>
      <c r="FB243" s="816"/>
      <c r="FC243" s="816"/>
      <c r="FD243" s="816"/>
      <c r="FE243" s="816"/>
      <c r="FF243" s="816"/>
      <c r="FG243" s="816"/>
      <c r="FH243" s="816"/>
      <c r="FI243" s="816"/>
      <c r="FJ243" s="816"/>
      <c r="FK243" s="816"/>
      <c r="FL243" s="816"/>
      <c r="FM243" s="816"/>
      <c r="FN243" s="816"/>
      <c r="FO243" s="816"/>
      <c r="FP243" s="816"/>
      <c r="FQ243" s="816"/>
      <c r="FR243" s="816"/>
      <c r="FS243" s="816"/>
      <c r="FT243" s="816"/>
      <c r="FU243" s="816"/>
      <c r="FV243" s="816"/>
      <c r="FW243" s="816"/>
      <c r="FX243" s="816"/>
      <c r="FY243" s="816"/>
      <c r="FZ243" s="819"/>
      <c r="GA243" s="816"/>
      <c r="GB243" s="820"/>
      <c r="GC243" s="820"/>
      <c r="GD243" s="820"/>
      <c r="GE243" s="820"/>
      <c r="GF243" s="609"/>
      <c r="GG243" s="609"/>
      <c r="GH243" s="816"/>
      <c r="GI243" s="816"/>
      <c r="GJ243" s="816"/>
      <c r="GK243" s="816"/>
      <c r="GL243" s="816"/>
      <c r="GM243" s="816"/>
      <c r="GN243" s="816"/>
      <c r="GO243" s="816"/>
      <c r="GP243" s="816"/>
      <c r="GQ243" s="816"/>
      <c r="GR243" s="816"/>
      <c r="GS243" s="816"/>
      <c r="GT243" s="818"/>
      <c r="GU243" s="816"/>
      <c r="GV243" s="816"/>
      <c r="GW243" s="816"/>
      <c r="GX243" s="816"/>
      <c r="GY243" s="816"/>
      <c r="GZ243" s="816"/>
      <c r="HA243" s="816"/>
      <c r="HB243" s="609"/>
      <c r="HC243" s="609"/>
      <c r="HD243" s="816"/>
      <c r="HE243" s="816"/>
      <c r="HF243" s="816"/>
      <c r="HG243" s="816"/>
      <c r="HH243" s="816"/>
      <c r="HI243" s="816"/>
      <c r="HJ243" s="609"/>
      <c r="HK243" s="609"/>
      <c r="HL243" s="609"/>
      <c r="HM243" s="816"/>
      <c r="HN243" s="816"/>
      <c r="HO243" s="609"/>
      <c r="HP243" s="609"/>
      <c r="HQ243" s="816"/>
      <c r="HR243" s="816"/>
      <c r="HS243" s="816"/>
      <c r="HT243" s="816"/>
      <c r="HU243" s="816"/>
      <c r="HV243" s="816"/>
      <c r="HW243" s="609"/>
      <c r="HX243" s="609"/>
      <c r="HY243" s="816"/>
      <c r="HZ243" s="816"/>
      <c r="IA243" s="816"/>
      <c r="IB243" s="816"/>
      <c r="IC243" s="816"/>
      <c r="ID243" s="816"/>
      <c r="IE243" s="609"/>
      <c r="IF243" s="609"/>
      <c r="IG243" s="816"/>
      <c r="IH243" s="816"/>
      <c r="II243" s="609"/>
      <c r="IJ243" s="609"/>
      <c r="IK243" s="816"/>
      <c r="IL243" s="816"/>
      <c r="IM243" s="609"/>
      <c r="IN243" s="609"/>
      <c r="IO243" s="816"/>
      <c r="IP243" s="816"/>
      <c r="IQ243" s="816"/>
      <c r="IR243" s="816"/>
      <c r="IS243" s="816"/>
      <c r="IT243" s="816"/>
      <c r="IU243" s="821"/>
      <c r="IV243" s="609"/>
      <c r="IW243" s="816"/>
      <c r="IX243" s="816"/>
      <c r="IY243" s="822"/>
      <c r="IZ243" s="609"/>
      <c r="JA243" s="816"/>
      <c r="JB243" s="816"/>
      <c r="JC243" s="609"/>
      <c r="JD243" s="816"/>
      <c r="JE243" s="816"/>
      <c r="JF243" s="816"/>
      <c r="JG243" s="816"/>
      <c r="JH243" s="816"/>
      <c r="JI243" s="816"/>
      <c r="JJ243" s="816"/>
      <c r="JK243" s="816"/>
      <c r="JL243" s="816"/>
      <c r="JM243" s="816"/>
      <c r="JN243" s="816"/>
      <c r="JO243" s="823"/>
      <c r="JP243" s="824"/>
      <c r="JQ243" s="825"/>
      <c r="JR243" s="825"/>
      <c r="JS243" s="816"/>
      <c r="JU243" s="834"/>
      <c r="JV243" s="834"/>
      <c r="JW243" s="826"/>
      <c r="JX243" s="834"/>
    </row>
    <row r="244" spans="2:284" s="780" customFormat="1">
      <c r="B244" s="609"/>
      <c r="C244" s="609"/>
      <c r="D244" s="609"/>
      <c r="E244" s="609"/>
      <c r="F244" s="609"/>
      <c r="G244" s="609"/>
      <c r="H244" s="609"/>
      <c r="I244" s="609"/>
      <c r="J244" s="609"/>
      <c r="K244" s="609"/>
      <c r="L244" s="609"/>
      <c r="M244" s="609"/>
      <c r="N244" s="609"/>
      <c r="O244" s="609"/>
      <c r="P244" s="609"/>
      <c r="Q244" s="609"/>
      <c r="R244" s="609"/>
      <c r="S244" s="609"/>
      <c r="T244" s="609"/>
      <c r="U244" s="609"/>
      <c r="V244" s="609"/>
      <c r="W244" s="609"/>
      <c r="X244" s="609"/>
      <c r="Y244" s="609"/>
      <c r="Z244" s="609"/>
      <c r="AA244" s="609"/>
      <c r="AB244" s="609"/>
      <c r="AC244" s="609"/>
      <c r="AD244" s="816"/>
      <c r="AE244" s="816"/>
      <c r="AF244" s="816"/>
      <c r="AG244" s="816"/>
      <c r="AH244" s="816"/>
      <c r="AI244" s="816"/>
      <c r="AJ244" s="609"/>
      <c r="AK244" s="609"/>
      <c r="AL244" s="816"/>
      <c r="AM244" s="816"/>
      <c r="AN244" s="609"/>
      <c r="AO244" s="609"/>
      <c r="AP244" s="816"/>
      <c r="AQ244" s="816"/>
      <c r="AR244" s="816"/>
      <c r="AS244" s="816"/>
      <c r="AT244" s="816"/>
      <c r="AU244" s="816"/>
      <c r="AV244" s="609"/>
      <c r="AW244" s="609"/>
      <c r="AX244" s="816"/>
      <c r="AY244" s="816"/>
      <c r="AZ244" s="817"/>
      <c r="BA244" s="609"/>
      <c r="BB244" s="609"/>
      <c r="BC244" s="816"/>
      <c r="BD244" s="816"/>
      <c r="BE244" s="816"/>
      <c r="BF244" s="816"/>
      <c r="BG244" s="816"/>
      <c r="BH244" s="816"/>
      <c r="BI244" s="816"/>
      <c r="BJ244" s="816"/>
      <c r="BK244" s="816"/>
      <c r="BL244" s="816"/>
      <c r="BM244" s="816"/>
      <c r="BN244" s="816"/>
      <c r="BO244" s="816"/>
      <c r="BP244" s="816"/>
      <c r="BQ244" s="816"/>
      <c r="BR244" s="816"/>
      <c r="BS244" s="816"/>
      <c r="BT244" s="816"/>
      <c r="BU244" s="816"/>
      <c r="BV244" s="816"/>
      <c r="BW244" s="816"/>
      <c r="BX244" s="609"/>
      <c r="BY244" s="609"/>
      <c r="BZ244" s="609"/>
      <c r="CA244" s="818"/>
      <c r="CB244" s="816"/>
      <c r="CC244" s="816"/>
      <c r="CD244" s="816"/>
      <c r="CE244" s="816"/>
      <c r="CF244" s="816"/>
      <c r="CG244" s="816"/>
      <c r="CH244" s="816"/>
      <c r="CI244" s="816"/>
      <c r="CJ244" s="819"/>
      <c r="CK244" s="819"/>
      <c r="CL244" s="820"/>
      <c r="CM244" s="820"/>
      <c r="CN244" s="820"/>
      <c r="CO244" s="820"/>
      <c r="CP244" s="820"/>
      <c r="CQ244" s="820"/>
      <c r="CR244" s="609"/>
      <c r="CS244" s="609"/>
      <c r="CT244" s="816"/>
      <c r="CU244" s="816"/>
      <c r="CV244" s="609"/>
      <c r="CW244" s="609"/>
      <c r="CX244" s="816"/>
      <c r="CY244" s="816"/>
      <c r="CZ244" s="609"/>
      <c r="DA244" s="609"/>
      <c r="DB244" s="816"/>
      <c r="DC244" s="816"/>
      <c r="DD244" s="609"/>
      <c r="DE244" s="609"/>
      <c r="DF244" s="816"/>
      <c r="DG244" s="816"/>
      <c r="DH244" s="816"/>
      <c r="DI244" s="816"/>
      <c r="DJ244" s="816"/>
      <c r="DK244" s="816"/>
      <c r="DL244" s="609"/>
      <c r="DM244" s="609"/>
      <c r="DN244" s="816"/>
      <c r="DO244" s="816"/>
      <c r="DP244" s="609"/>
      <c r="DQ244" s="609"/>
      <c r="DR244" s="816"/>
      <c r="DS244" s="816"/>
      <c r="DT244" s="816"/>
      <c r="DU244" s="816"/>
      <c r="DV244" s="816"/>
      <c r="DW244" s="816"/>
      <c r="DX244" s="816"/>
      <c r="DY244" s="816"/>
      <c r="DZ244" s="816"/>
      <c r="EA244" s="816"/>
      <c r="EB244" s="816"/>
      <c r="EC244" s="816"/>
      <c r="ED244" s="816"/>
      <c r="EE244" s="816"/>
      <c r="EF244" s="609"/>
      <c r="EG244" s="609"/>
      <c r="EH244" s="816"/>
      <c r="EI244" s="816"/>
      <c r="EJ244" s="816"/>
      <c r="EK244" s="816"/>
      <c r="EL244" s="816"/>
      <c r="EM244" s="816"/>
      <c r="EN244" s="816"/>
      <c r="EO244" s="816"/>
      <c r="EP244" s="816"/>
      <c r="EQ244" s="816"/>
      <c r="ER244" s="816"/>
      <c r="ES244" s="816"/>
      <c r="ET244" s="816"/>
      <c r="EU244" s="816"/>
      <c r="EV244" s="609"/>
      <c r="EW244" s="609"/>
      <c r="EX244" s="816"/>
      <c r="EY244" s="816"/>
      <c r="EZ244" s="816"/>
      <c r="FA244" s="816"/>
      <c r="FB244" s="816"/>
      <c r="FC244" s="816"/>
      <c r="FD244" s="816"/>
      <c r="FE244" s="816"/>
      <c r="FF244" s="816"/>
      <c r="FG244" s="816"/>
      <c r="FH244" s="816"/>
      <c r="FI244" s="816"/>
      <c r="FJ244" s="816"/>
      <c r="FK244" s="816"/>
      <c r="FL244" s="816"/>
      <c r="FM244" s="816"/>
      <c r="FN244" s="816"/>
      <c r="FO244" s="816"/>
      <c r="FP244" s="816"/>
      <c r="FQ244" s="816"/>
      <c r="FR244" s="816"/>
      <c r="FS244" s="816"/>
      <c r="FT244" s="816"/>
      <c r="FU244" s="816"/>
      <c r="FV244" s="816"/>
      <c r="FW244" s="816"/>
      <c r="FX244" s="816"/>
      <c r="FY244" s="816"/>
      <c r="FZ244" s="819"/>
      <c r="GA244" s="816"/>
      <c r="GB244" s="820"/>
      <c r="GC244" s="820"/>
      <c r="GD244" s="820"/>
      <c r="GE244" s="820"/>
      <c r="GF244" s="609"/>
      <c r="GG244" s="609"/>
      <c r="GH244" s="816"/>
      <c r="GI244" s="816"/>
      <c r="GJ244" s="816"/>
      <c r="GK244" s="816"/>
      <c r="GL244" s="816"/>
      <c r="GM244" s="816"/>
      <c r="GN244" s="816"/>
      <c r="GO244" s="816"/>
      <c r="GP244" s="816"/>
      <c r="GQ244" s="816"/>
      <c r="GR244" s="816"/>
      <c r="GS244" s="816"/>
      <c r="GT244" s="818"/>
      <c r="GU244" s="816"/>
      <c r="GV244" s="816"/>
      <c r="GW244" s="816"/>
      <c r="GX244" s="816"/>
      <c r="GY244" s="816"/>
      <c r="GZ244" s="816"/>
      <c r="HA244" s="816"/>
      <c r="HB244" s="609"/>
      <c r="HC244" s="609"/>
      <c r="HD244" s="816"/>
      <c r="HE244" s="816"/>
      <c r="HF244" s="816"/>
      <c r="HG244" s="816"/>
      <c r="HH244" s="816"/>
      <c r="HI244" s="816"/>
      <c r="HJ244" s="609"/>
      <c r="HK244" s="609"/>
      <c r="HL244" s="609"/>
      <c r="HM244" s="816"/>
      <c r="HN244" s="816"/>
      <c r="HO244" s="609"/>
      <c r="HP244" s="609"/>
      <c r="HQ244" s="816"/>
      <c r="HR244" s="816"/>
      <c r="HS244" s="816"/>
      <c r="HT244" s="816"/>
      <c r="HU244" s="816"/>
      <c r="HV244" s="816"/>
      <c r="HW244" s="609"/>
      <c r="HX244" s="609"/>
      <c r="HY244" s="816"/>
      <c r="HZ244" s="816"/>
      <c r="IA244" s="816"/>
      <c r="IB244" s="816"/>
      <c r="IC244" s="816"/>
      <c r="ID244" s="816"/>
      <c r="IE244" s="609"/>
      <c r="IF244" s="609"/>
      <c r="IG244" s="816"/>
      <c r="IH244" s="816"/>
      <c r="II244" s="609"/>
      <c r="IJ244" s="609"/>
      <c r="IK244" s="816"/>
      <c r="IL244" s="816"/>
      <c r="IM244" s="609"/>
      <c r="IN244" s="609"/>
      <c r="IO244" s="816"/>
      <c r="IP244" s="816"/>
      <c r="IQ244" s="816"/>
      <c r="IR244" s="816"/>
      <c r="IS244" s="816"/>
      <c r="IT244" s="816"/>
      <c r="IU244" s="821"/>
      <c r="IV244" s="609"/>
      <c r="IW244" s="816"/>
      <c r="IX244" s="816"/>
      <c r="IY244" s="822"/>
      <c r="IZ244" s="609"/>
      <c r="JA244" s="816"/>
      <c r="JB244" s="816"/>
      <c r="JC244" s="609"/>
      <c r="JD244" s="816"/>
      <c r="JE244" s="816"/>
      <c r="JF244" s="816"/>
      <c r="JG244" s="816"/>
      <c r="JH244" s="816"/>
      <c r="JI244" s="816"/>
      <c r="JJ244" s="816"/>
      <c r="JK244" s="816"/>
      <c r="JL244" s="816"/>
      <c r="JM244" s="816"/>
      <c r="JN244" s="816"/>
      <c r="JO244" s="823"/>
      <c r="JP244" s="824"/>
      <c r="JQ244" s="825"/>
      <c r="JR244" s="825"/>
      <c r="JS244" s="816"/>
      <c r="JU244" s="834"/>
      <c r="JV244" s="834"/>
      <c r="JW244" s="826"/>
      <c r="JX244" s="834"/>
    </row>
    <row r="245" spans="2:284" s="780" customFormat="1">
      <c r="B245" s="609"/>
      <c r="C245" s="609"/>
      <c r="D245" s="609"/>
      <c r="E245" s="609"/>
      <c r="F245" s="609"/>
      <c r="G245" s="609"/>
      <c r="H245" s="609"/>
      <c r="I245" s="609"/>
      <c r="J245" s="609"/>
      <c r="K245" s="609"/>
      <c r="L245" s="609"/>
      <c r="M245" s="609"/>
      <c r="N245" s="609"/>
      <c r="O245" s="609"/>
      <c r="P245" s="609"/>
      <c r="Q245" s="609"/>
      <c r="R245" s="609"/>
      <c r="S245" s="609"/>
      <c r="T245" s="609"/>
      <c r="U245" s="609"/>
      <c r="V245" s="609"/>
      <c r="W245" s="609"/>
      <c r="X245" s="609"/>
      <c r="Y245" s="609"/>
      <c r="Z245" s="609"/>
      <c r="AA245" s="609"/>
      <c r="AB245" s="609"/>
      <c r="AC245" s="609"/>
      <c r="AD245" s="816"/>
      <c r="AE245" s="816"/>
      <c r="AF245" s="816"/>
      <c r="AG245" s="816"/>
      <c r="AH245" s="816"/>
      <c r="AI245" s="816"/>
      <c r="AJ245" s="609"/>
      <c r="AK245" s="609"/>
      <c r="AL245" s="816"/>
      <c r="AM245" s="816"/>
      <c r="AN245" s="609"/>
      <c r="AO245" s="609"/>
      <c r="AP245" s="816"/>
      <c r="AQ245" s="816"/>
      <c r="AR245" s="816"/>
      <c r="AS245" s="816"/>
      <c r="AT245" s="816"/>
      <c r="AU245" s="816"/>
      <c r="AV245" s="609"/>
      <c r="AW245" s="609"/>
      <c r="AX245" s="816"/>
      <c r="AY245" s="816"/>
      <c r="AZ245" s="817"/>
      <c r="BA245" s="609"/>
      <c r="BB245" s="609"/>
      <c r="BC245" s="816"/>
      <c r="BD245" s="816"/>
      <c r="BE245" s="816"/>
      <c r="BF245" s="816"/>
      <c r="BG245" s="816"/>
      <c r="BH245" s="816"/>
      <c r="BI245" s="816"/>
      <c r="BJ245" s="816"/>
      <c r="BK245" s="816"/>
      <c r="BL245" s="816"/>
      <c r="BM245" s="816"/>
      <c r="BN245" s="816"/>
      <c r="BO245" s="816"/>
      <c r="BP245" s="816"/>
      <c r="BQ245" s="816"/>
      <c r="BR245" s="816"/>
      <c r="BS245" s="816"/>
      <c r="BT245" s="816"/>
      <c r="BU245" s="816"/>
      <c r="BV245" s="816"/>
      <c r="BW245" s="816"/>
      <c r="BX245" s="609"/>
      <c r="BY245" s="609"/>
      <c r="BZ245" s="609"/>
      <c r="CA245" s="818"/>
      <c r="CB245" s="816"/>
      <c r="CC245" s="816"/>
      <c r="CD245" s="816"/>
      <c r="CE245" s="816"/>
      <c r="CF245" s="816"/>
      <c r="CG245" s="816"/>
      <c r="CH245" s="816"/>
      <c r="CI245" s="816"/>
      <c r="CJ245" s="819"/>
      <c r="CK245" s="819"/>
      <c r="CL245" s="820"/>
      <c r="CM245" s="820"/>
      <c r="CN245" s="820"/>
      <c r="CO245" s="820"/>
      <c r="CP245" s="820"/>
      <c r="CQ245" s="820"/>
      <c r="CR245" s="609"/>
      <c r="CS245" s="609"/>
      <c r="CT245" s="816"/>
      <c r="CU245" s="816"/>
      <c r="CV245" s="609"/>
      <c r="CW245" s="609"/>
      <c r="CX245" s="816"/>
      <c r="CY245" s="816"/>
      <c r="CZ245" s="609"/>
      <c r="DA245" s="609"/>
      <c r="DB245" s="816"/>
      <c r="DC245" s="816"/>
      <c r="DD245" s="609"/>
      <c r="DE245" s="609"/>
      <c r="DF245" s="816"/>
      <c r="DG245" s="816"/>
      <c r="DH245" s="816"/>
      <c r="DI245" s="816"/>
      <c r="DJ245" s="816"/>
      <c r="DK245" s="816"/>
      <c r="DL245" s="609"/>
      <c r="DM245" s="609"/>
      <c r="DN245" s="816"/>
      <c r="DO245" s="816"/>
      <c r="DP245" s="609"/>
      <c r="DQ245" s="609"/>
      <c r="DR245" s="816"/>
      <c r="DS245" s="816"/>
      <c r="DT245" s="816"/>
      <c r="DU245" s="816"/>
      <c r="DV245" s="816"/>
      <c r="DW245" s="816"/>
      <c r="DX245" s="816"/>
      <c r="DY245" s="816"/>
      <c r="DZ245" s="816"/>
      <c r="EA245" s="816"/>
      <c r="EB245" s="816"/>
      <c r="EC245" s="816"/>
      <c r="ED245" s="816"/>
      <c r="EE245" s="816"/>
      <c r="EF245" s="609"/>
      <c r="EG245" s="609"/>
      <c r="EH245" s="816"/>
      <c r="EI245" s="816"/>
      <c r="EJ245" s="816"/>
      <c r="EK245" s="816"/>
      <c r="EL245" s="816"/>
      <c r="EM245" s="816"/>
      <c r="EN245" s="816"/>
      <c r="EO245" s="816"/>
      <c r="EP245" s="816"/>
      <c r="EQ245" s="816"/>
      <c r="ER245" s="816"/>
      <c r="ES245" s="816"/>
      <c r="ET245" s="816"/>
      <c r="EU245" s="816"/>
      <c r="EV245" s="609"/>
      <c r="EW245" s="609"/>
      <c r="EX245" s="816"/>
      <c r="EY245" s="816"/>
      <c r="EZ245" s="816"/>
      <c r="FA245" s="816"/>
      <c r="FB245" s="816"/>
      <c r="FC245" s="816"/>
      <c r="FD245" s="816"/>
      <c r="FE245" s="816"/>
      <c r="FF245" s="816"/>
      <c r="FG245" s="816"/>
      <c r="FH245" s="816"/>
      <c r="FI245" s="816"/>
      <c r="FJ245" s="816"/>
      <c r="FK245" s="816"/>
      <c r="FL245" s="816"/>
      <c r="FM245" s="816"/>
      <c r="FN245" s="816"/>
      <c r="FO245" s="816"/>
      <c r="FP245" s="816"/>
      <c r="FQ245" s="816"/>
      <c r="FR245" s="816"/>
      <c r="FS245" s="816"/>
      <c r="FT245" s="816"/>
      <c r="FU245" s="816"/>
      <c r="FV245" s="816"/>
      <c r="FW245" s="816"/>
      <c r="FX245" s="816"/>
      <c r="FY245" s="816"/>
      <c r="FZ245" s="819"/>
      <c r="GA245" s="816"/>
      <c r="GB245" s="820"/>
      <c r="GC245" s="820"/>
      <c r="GD245" s="820"/>
      <c r="GE245" s="820"/>
      <c r="GF245" s="609"/>
      <c r="GG245" s="609"/>
      <c r="GH245" s="816"/>
      <c r="GI245" s="816"/>
      <c r="GJ245" s="816"/>
      <c r="GK245" s="816"/>
      <c r="GL245" s="816"/>
      <c r="GM245" s="816"/>
      <c r="GN245" s="816"/>
      <c r="GO245" s="816"/>
      <c r="GP245" s="816"/>
      <c r="GQ245" s="816"/>
      <c r="GR245" s="816"/>
      <c r="GS245" s="816"/>
      <c r="GT245" s="818"/>
      <c r="GU245" s="816"/>
      <c r="GV245" s="816"/>
      <c r="GW245" s="816"/>
      <c r="GX245" s="816"/>
      <c r="GY245" s="816"/>
      <c r="GZ245" s="816"/>
      <c r="HA245" s="816"/>
      <c r="HB245" s="609"/>
      <c r="HC245" s="609"/>
      <c r="HD245" s="816"/>
      <c r="HE245" s="816"/>
      <c r="HF245" s="816"/>
      <c r="HG245" s="816"/>
      <c r="HH245" s="816"/>
      <c r="HI245" s="816"/>
      <c r="HJ245" s="609"/>
      <c r="HK245" s="609"/>
      <c r="HL245" s="609"/>
      <c r="HM245" s="816"/>
      <c r="HN245" s="816"/>
      <c r="HO245" s="609"/>
      <c r="HP245" s="609"/>
      <c r="HQ245" s="816"/>
      <c r="HR245" s="816"/>
      <c r="HS245" s="816"/>
      <c r="HT245" s="816"/>
      <c r="HU245" s="816"/>
      <c r="HV245" s="816"/>
      <c r="HW245" s="609"/>
      <c r="HX245" s="609"/>
      <c r="HY245" s="816"/>
      <c r="HZ245" s="816"/>
      <c r="IA245" s="816"/>
      <c r="IB245" s="816"/>
      <c r="IC245" s="816"/>
      <c r="ID245" s="816"/>
      <c r="IE245" s="609"/>
      <c r="IF245" s="609"/>
      <c r="IG245" s="816"/>
      <c r="IH245" s="816"/>
      <c r="II245" s="609"/>
      <c r="IJ245" s="609"/>
      <c r="IK245" s="816"/>
      <c r="IL245" s="816"/>
      <c r="IM245" s="609"/>
      <c r="IN245" s="609"/>
      <c r="IO245" s="816"/>
      <c r="IP245" s="816"/>
      <c r="IQ245" s="816"/>
      <c r="IR245" s="816"/>
      <c r="IS245" s="816"/>
      <c r="IT245" s="816"/>
      <c r="IU245" s="821"/>
      <c r="IV245" s="609"/>
      <c r="IW245" s="816"/>
      <c r="IX245" s="816"/>
      <c r="IY245" s="822"/>
      <c r="IZ245" s="609"/>
      <c r="JA245" s="816"/>
      <c r="JB245" s="816"/>
      <c r="JC245" s="609"/>
      <c r="JD245" s="816"/>
      <c r="JE245" s="816"/>
      <c r="JF245" s="816"/>
      <c r="JG245" s="816"/>
      <c r="JH245" s="816"/>
      <c r="JI245" s="816"/>
      <c r="JJ245" s="816"/>
      <c r="JK245" s="816"/>
      <c r="JL245" s="816"/>
      <c r="JM245" s="816"/>
      <c r="JN245" s="816"/>
      <c r="JO245" s="823"/>
      <c r="JP245" s="824"/>
      <c r="JQ245" s="825"/>
      <c r="JR245" s="825"/>
      <c r="JS245" s="816"/>
      <c r="JU245" s="834"/>
      <c r="JV245" s="834"/>
      <c r="JW245" s="826"/>
      <c r="JX245" s="834"/>
    </row>
    <row r="246" spans="2:284" s="780" customFormat="1">
      <c r="B246" s="609"/>
      <c r="C246" s="609"/>
      <c r="D246" s="609"/>
      <c r="E246" s="609"/>
      <c r="F246" s="609"/>
      <c r="G246" s="609"/>
      <c r="H246" s="609"/>
      <c r="I246" s="609"/>
      <c r="J246" s="609"/>
      <c r="K246" s="609"/>
      <c r="L246" s="609"/>
      <c r="M246" s="609"/>
      <c r="N246" s="609"/>
      <c r="O246" s="609"/>
      <c r="P246" s="609"/>
      <c r="Q246" s="609"/>
      <c r="R246" s="609"/>
      <c r="S246" s="609"/>
      <c r="T246" s="609"/>
      <c r="U246" s="609"/>
      <c r="V246" s="609"/>
      <c r="W246" s="609"/>
      <c r="X246" s="609"/>
      <c r="Y246" s="609"/>
      <c r="Z246" s="609"/>
      <c r="AA246" s="609"/>
      <c r="AB246" s="609"/>
      <c r="AC246" s="609"/>
      <c r="AD246" s="816"/>
      <c r="AE246" s="816"/>
      <c r="AF246" s="816"/>
      <c r="AG246" s="816"/>
      <c r="AH246" s="816"/>
      <c r="AI246" s="816"/>
      <c r="AJ246" s="609"/>
      <c r="AK246" s="609"/>
      <c r="AL246" s="816"/>
      <c r="AM246" s="816"/>
      <c r="AN246" s="609"/>
      <c r="AO246" s="609"/>
      <c r="AP246" s="816"/>
      <c r="AQ246" s="816"/>
      <c r="AR246" s="816"/>
      <c r="AS246" s="816"/>
      <c r="AT246" s="816"/>
      <c r="AU246" s="816"/>
      <c r="AV246" s="609"/>
      <c r="AW246" s="609"/>
      <c r="AX246" s="816"/>
      <c r="AY246" s="816"/>
      <c r="AZ246" s="817"/>
      <c r="BA246" s="609"/>
      <c r="BB246" s="609"/>
      <c r="BC246" s="816"/>
      <c r="BD246" s="816"/>
      <c r="BE246" s="816"/>
      <c r="BF246" s="816"/>
      <c r="BG246" s="816"/>
      <c r="BH246" s="816"/>
      <c r="BI246" s="816"/>
      <c r="BJ246" s="816"/>
      <c r="BK246" s="816"/>
      <c r="BL246" s="816"/>
      <c r="BM246" s="816"/>
      <c r="BN246" s="816"/>
      <c r="BO246" s="816"/>
      <c r="BP246" s="816"/>
      <c r="BQ246" s="816"/>
      <c r="BR246" s="816"/>
      <c r="BS246" s="816"/>
      <c r="BT246" s="816"/>
      <c r="BU246" s="816"/>
      <c r="BV246" s="816"/>
      <c r="BW246" s="816"/>
      <c r="BX246" s="609"/>
      <c r="BY246" s="609"/>
      <c r="BZ246" s="609"/>
      <c r="CA246" s="818"/>
      <c r="CB246" s="816"/>
      <c r="CC246" s="816"/>
      <c r="CD246" s="816"/>
      <c r="CE246" s="816"/>
      <c r="CF246" s="816"/>
      <c r="CG246" s="816"/>
      <c r="CH246" s="816"/>
      <c r="CI246" s="816"/>
      <c r="CJ246" s="819"/>
      <c r="CK246" s="819"/>
      <c r="CL246" s="820"/>
      <c r="CM246" s="820"/>
      <c r="CN246" s="820"/>
      <c r="CO246" s="820"/>
      <c r="CP246" s="820"/>
      <c r="CQ246" s="820"/>
      <c r="CR246" s="609"/>
      <c r="CS246" s="609"/>
      <c r="CT246" s="816"/>
      <c r="CU246" s="816"/>
      <c r="CV246" s="609"/>
      <c r="CW246" s="609"/>
      <c r="CX246" s="816"/>
      <c r="CY246" s="816"/>
      <c r="CZ246" s="609"/>
      <c r="DA246" s="609"/>
      <c r="DB246" s="816"/>
      <c r="DC246" s="816"/>
      <c r="DD246" s="609"/>
      <c r="DE246" s="609"/>
      <c r="DF246" s="816"/>
      <c r="DG246" s="816"/>
      <c r="DH246" s="816"/>
      <c r="DI246" s="816"/>
      <c r="DJ246" s="816"/>
      <c r="DK246" s="816"/>
      <c r="DL246" s="609"/>
      <c r="DM246" s="609"/>
      <c r="DN246" s="816"/>
      <c r="DO246" s="816"/>
      <c r="DP246" s="609"/>
      <c r="DQ246" s="609"/>
      <c r="DR246" s="816"/>
      <c r="DS246" s="816"/>
      <c r="DT246" s="816"/>
      <c r="DU246" s="816"/>
      <c r="DV246" s="816"/>
      <c r="DW246" s="816"/>
      <c r="DX246" s="816"/>
      <c r="DY246" s="816"/>
      <c r="DZ246" s="816"/>
      <c r="EA246" s="816"/>
      <c r="EB246" s="816"/>
      <c r="EC246" s="816"/>
      <c r="ED246" s="816"/>
      <c r="EE246" s="816"/>
      <c r="EF246" s="609"/>
      <c r="EG246" s="609"/>
      <c r="EH246" s="816"/>
      <c r="EI246" s="816"/>
      <c r="EJ246" s="816"/>
      <c r="EK246" s="816"/>
      <c r="EL246" s="816"/>
      <c r="EM246" s="816"/>
      <c r="EN246" s="816"/>
      <c r="EO246" s="816"/>
      <c r="EP246" s="816"/>
      <c r="EQ246" s="816"/>
      <c r="ER246" s="816"/>
      <c r="ES246" s="816"/>
      <c r="ET246" s="816"/>
      <c r="EU246" s="816"/>
      <c r="EV246" s="609"/>
      <c r="EW246" s="609"/>
      <c r="EX246" s="816"/>
      <c r="EY246" s="816"/>
      <c r="EZ246" s="816"/>
      <c r="FA246" s="816"/>
      <c r="FB246" s="816"/>
      <c r="FC246" s="816"/>
      <c r="FD246" s="816"/>
      <c r="FE246" s="816"/>
      <c r="FF246" s="816"/>
      <c r="FG246" s="816"/>
      <c r="FH246" s="816"/>
      <c r="FI246" s="816"/>
      <c r="FJ246" s="816"/>
      <c r="FK246" s="816"/>
      <c r="FL246" s="816"/>
      <c r="FM246" s="816"/>
      <c r="FN246" s="816"/>
      <c r="FO246" s="816"/>
      <c r="FP246" s="816"/>
      <c r="FQ246" s="816"/>
      <c r="FR246" s="816"/>
      <c r="FS246" s="816"/>
      <c r="FT246" s="816"/>
      <c r="FU246" s="816"/>
      <c r="FV246" s="816"/>
      <c r="FW246" s="816"/>
      <c r="FX246" s="816"/>
      <c r="FY246" s="816"/>
      <c r="FZ246" s="819"/>
      <c r="GA246" s="816"/>
      <c r="GB246" s="820"/>
      <c r="GC246" s="820"/>
      <c r="GD246" s="820"/>
      <c r="GE246" s="820"/>
      <c r="GF246" s="609"/>
      <c r="GG246" s="609"/>
      <c r="GH246" s="816"/>
      <c r="GI246" s="816"/>
      <c r="GJ246" s="816"/>
      <c r="GK246" s="816"/>
      <c r="GL246" s="816"/>
      <c r="GM246" s="816"/>
      <c r="GN246" s="816"/>
      <c r="GO246" s="816"/>
      <c r="GP246" s="816"/>
      <c r="GQ246" s="816"/>
      <c r="GR246" s="816"/>
      <c r="GS246" s="816"/>
      <c r="GT246" s="818"/>
      <c r="GU246" s="816"/>
      <c r="GV246" s="816"/>
      <c r="GW246" s="816"/>
      <c r="GX246" s="816"/>
      <c r="GY246" s="816"/>
      <c r="GZ246" s="816"/>
      <c r="HA246" s="816"/>
      <c r="HB246" s="609"/>
      <c r="HC246" s="609"/>
      <c r="HD246" s="816"/>
      <c r="HE246" s="816"/>
      <c r="HF246" s="816"/>
      <c r="HG246" s="816"/>
      <c r="HH246" s="816"/>
      <c r="HI246" s="816"/>
      <c r="HJ246" s="609"/>
      <c r="HK246" s="609"/>
      <c r="HL246" s="609"/>
      <c r="HM246" s="816"/>
      <c r="HN246" s="816"/>
      <c r="HO246" s="609"/>
      <c r="HP246" s="609"/>
      <c r="HQ246" s="816"/>
      <c r="HR246" s="816"/>
      <c r="HS246" s="816"/>
      <c r="HT246" s="816"/>
      <c r="HU246" s="816"/>
      <c r="HV246" s="816"/>
      <c r="HW246" s="609"/>
      <c r="HX246" s="609"/>
      <c r="HY246" s="816"/>
      <c r="HZ246" s="816"/>
      <c r="IA246" s="816"/>
      <c r="IB246" s="816"/>
      <c r="IC246" s="816"/>
      <c r="ID246" s="816"/>
      <c r="IE246" s="609"/>
      <c r="IF246" s="609"/>
      <c r="IG246" s="816"/>
      <c r="IH246" s="816"/>
      <c r="II246" s="609"/>
      <c r="IJ246" s="609"/>
      <c r="IK246" s="816"/>
      <c r="IL246" s="816"/>
      <c r="IM246" s="609"/>
      <c r="IN246" s="609"/>
      <c r="IO246" s="816"/>
      <c r="IP246" s="816"/>
      <c r="IQ246" s="816"/>
      <c r="IR246" s="816"/>
      <c r="IS246" s="816"/>
      <c r="IT246" s="816"/>
      <c r="IU246" s="821"/>
      <c r="IV246" s="609"/>
      <c r="IW246" s="816"/>
      <c r="IX246" s="816"/>
      <c r="IY246" s="822"/>
      <c r="IZ246" s="609"/>
      <c r="JA246" s="816"/>
      <c r="JB246" s="816"/>
      <c r="JC246" s="609"/>
      <c r="JD246" s="816"/>
      <c r="JE246" s="816"/>
      <c r="JF246" s="816"/>
      <c r="JG246" s="816"/>
      <c r="JH246" s="816"/>
      <c r="JI246" s="816"/>
      <c r="JJ246" s="816"/>
      <c r="JK246" s="816"/>
      <c r="JL246" s="816"/>
      <c r="JM246" s="816"/>
      <c r="JN246" s="816"/>
      <c r="JO246" s="823"/>
      <c r="JP246" s="824"/>
      <c r="JQ246" s="825"/>
      <c r="JR246" s="825"/>
      <c r="JS246" s="816"/>
      <c r="JU246" s="834"/>
      <c r="JV246" s="834"/>
      <c r="JW246" s="826"/>
      <c r="JX246" s="834"/>
    </row>
    <row r="247" spans="2:284" s="780" customFormat="1">
      <c r="B247" s="609"/>
      <c r="C247" s="609"/>
      <c r="D247" s="609"/>
      <c r="E247" s="609"/>
      <c r="F247" s="609"/>
      <c r="G247" s="609"/>
      <c r="H247" s="609"/>
      <c r="I247" s="609"/>
      <c r="J247" s="609"/>
      <c r="K247" s="609"/>
      <c r="L247" s="609"/>
      <c r="M247" s="609"/>
      <c r="N247" s="609"/>
      <c r="O247" s="609"/>
      <c r="P247" s="609"/>
      <c r="Q247" s="609"/>
      <c r="R247" s="609"/>
      <c r="S247" s="609"/>
      <c r="T247" s="609"/>
      <c r="U247" s="609"/>
      <c r="V247" s="609"/>
      <c r="W247" s="609"/>
      <c r="X247" s="609"/>
      <c r="Y247" s="609"/>
      <c r="Z247" s="609"/>
      <c r="AA247" s="609"/>
      <c r="AB247" s="609"/>
      <c r="AC247" s="609"/>
      <c r="AD247" s="816"/>
      <c r="AE247" s="816"/>
      <c r="AF247" s="816"/>
      <c r="AG247" s="816"/>
      <c r="AH247" s="816"/>
      <c r="AI247" s="816"/>
      <c r="AJ247" s="609"/>
      <c r="AK247" s="609"/>
      <c r="AL247" s="816"/>
      <c r="AM247" s="816"/>
      <c r="AN247" s="609"/>
      <c r="AO247" s="609"/>
      <c r="AP247" s="816"/>
      <c r="AQ247" s="816"/>
      <c r="AR247" s="816"/>
      <c r="AS247" s="816"/>
      <c r="AT247" s="816"/>
      <c r="AU247" s="816"/>
      <c r="AV247" s="609"/>
      <c r="AW247" s="609"/>
      <c r="AX247" s="816"/>
      <c r="AY247" s="816"/>
      <c r="AZ247" s="817"/>
      <c r="BA247" s="609"/>
      <c r="BB247" s="609"/>
      <c r="BC247" s="816"/>
      <c r="BD247" s="816"/>
      <c r="BE247" s="816"/>
      <c r="BF247" s="816"/>
      <c r="BG247" s="816"/>
      <c r="BH247" s="816"/>
      <c r="BI247" s="816"/>
      <c r="BJ247" s="816"/>
      <c r="BK247" s="816"/>
      <c r="BL247" s="816"/>
      <c r="BM247" s="816"/>
      <c r="BN247" s="816"/>
      <c r="BO247" s="816"/>
      <c r="BP247" s="816"/>
      <c r="BQ247" s="816"/>
      <c r="BR247" s="816"/>
      <c r="BS247" s="816"/>
      <c r="BT247" s="816"/>
      <c r="BU247" s="816"/>
      <c r="BV247" s="816"/>
      <c r="BW247" s="816"/>
      <c r="BX247" s="609"/>
      <c r="BY247" s="609"/>
      <c r="BZ247" s="609"/>
      <c r="CA247" s="818"/>
      <c r="CB247" s="816"/>
      <c r="CC247" s="816"/>
      <c r="CD247" s="816"/>
      <c r="CE247" s="816"/>
      <c r="CF247" s="816"/>
      <c r="CG247" s="816"/>
      <c r="CH247" s="816"/>
      <c r="CI247" s="816"/>
      <c r="CJ247" s="819"/>
      <c r="CK247" s="819"/>
      <c r="CL247" s="820"/>
      <c r="CM247" s="820"/>
      <c r="CN247" s="820"/>
      <c r="CO247" s="820"/>
      <c r="CP247" s="820"/>
      <c r="CQ247" s="820"/>
      <c r="CR247" s="609"/>
      <c r="CS247" s="609"/>
      <c r="CT247" s="816"/>
      <c r="CU247" s="816"/>
      <c r="CV247" s="609"/>
      <c r="CW247" s="609"/>
      <c r="CX247" s="816"/>
      <c r="CY247" s="816"/>
      <c r="CZ247" s="609"/>
      <c r="DA247" s="609"/>
      <c r="DB247" s="816"/>
      <c r="DC247" s="816"/>
      <c r="DD247" s="609"/>
      <c r="DE247" s="609"/>
      <c r="DF247" s="816"/>
      <c r="DG247" s="816"/>
      <c r="DH247" s="816"/>
      <c r="DI247" s="816"/>
      <c r="DJ247" s="816"/>
      <c r="DK247" s="816"/>
      <c r="DL247" s="609"/>
      <c r="DM247" s="609"/>
      <c r="DN247" s="816"/>
      <c r="DO247" s="816"/>
      <c r="DP247" s="609"/>
      <c r="DQ247" s="609"/>
      <c r="DR247" s="816"/>
      <c r="DS247" s="816"/>
      <c r="DT247" s="816"/>
      <c r="DU247" s="816"/>
      <c r="DV247" s="816"/>
      <c r="DW247" s="816"/>
      <c r="DX247" s="816"/>
      <c r="DY247" s="816"/>
      <c r="DZ247" s="816"/>
      <c r="EA247" s="816"/>
      <c r="EB247" s="816"/>
      <c r="EC247" s="816"/>
      <c r="ED247" s="816"/>
      <c r="EE247" s="816"/>
      <c r="EF247" s="609"/>
      <c r="EG247" s="609"/>
      <c r="EH247" s="816"/>
      <c r="EI247" s="816"/>
      <c r="EJ247" s="816"/>
      <c r="EK247" s="816"/>
      <c r="EL247" s="816"/>
      <c r="EM247" s="816"/>
      <c r="EN247" s="816"/>
      <c r="EO247" s="816"/>
      <c r="EP247" s="816"/>
      <c r="EQ247" s="816"/>
      <c r="ER247" s="816"/>
      <c r="ES247" s="816"/>
      <c r="ET247" s="816"/>
      <c r="EU247" s="816"/>
      <c r="EV247" s="609"/>
      <c r="EW247" s="609"/>
      <c r="EX247" s="816"/>
      <c r="EY247" s="816"/>
      <c r="EZ247" s="816"/>
      <c r="FA247" s="816"/>
      <c r="FB247" s="816"/>
      <c r="FC247" s="816"/>
      <c r="FD247" s="816"/>
      <c r="FE247" s="816"/>
      <c r="FF247" s="816"/>
      <c r="FG247" s="816"/>
      <c r="FH247" s="816"/>
      <c r="FI247" s="816"/>
      <c r="FJ247" s="816"/>
      <c r="FK247" s="816"/>
      <c r="FL247" s="816"/>
      <c r="FM247" s="816"/>
      <c r="FN247" s="816"/>
      <c r="FO247" s="816"/>
      <c r="FP247" s="816"/>
      <c r="FQ247" s="816"/>
      <c r="FR247" s="816"/>
      <c r="FS247" s="816"/>
      <c r="FT247" s="816"/>
      <c r="FU247" s="816"/>
      <c r="FV247" s="816"/>
      <c r="FW247" s="816"/>
      <c r="FX247" s="816"/>
      <c r="FY247" s="816"/>
      <c r="FZ247" s="819"/>
      <c r="GA247" s="816"/>
      <c r="GB247" s="820"/>
      <c r="GC247" s="820"/>
      <c r="GD247" s="820"/>
      <c r="GE247" s="820"/>
      <c r="GF247" s="609"/>
      <c r="GG247" s="609"/>
      <c r="GH247" s="816"/>
      <c r="GI247" s="816"/>
      <c r="GJ247" s="816"/>
      <c r="GK247" s="816"/>
      <c r="GL247" s="816"/>
      <c r="GM247" s="816"/>
      <c r="GN247" s="816"/>
      <c r="GO247" s="816"/>
      <c r="GP247" s="816"/>
      <c r="GQ247" s="816"/>
      <c r="GR247" s="816"/>
      <c r="GS247" s="816"/>
      <c r="GT247" s="818"/>
      <c r="GU247" s="816"/>
      <c r="GV247" s="816"/>
      <c r="GW247" s="816"/>
      <c r="GX247" s="816"/>
      <c r="GY247" s="816"/>
      <c r="GZ247" s="816"/>
      <c r="HA247" s="816"/>
      <c r="HB247" s="609"/>
      <c r="HC247" s="609"/>
      <c r="HD247" s="816"/>
      <c r="HE247" s="816"/>
      <c r="HF247" s="816"/>
      <c r="HG247" s="816"/>
      <c r="HH247" s="816"/>
      <c r="HI247" s="816"/>
      <c r="HJ247" s="609"/>
      <c r="HK247" s="609"/>
      <c r="HL247" s="609"/>
      <c r="HM247" s="816"/>
      <c r="HN247" s="816"/>
      <c r="HO247" s="609"/>
      <c r="HP247" s="609"/>
      <c r="HQ247" s="816"/>
      <c r="HR247" s="816"/>
      <c r="HS247" s="816"/>
      <c r="HT247" s="816"/>
      <c r="HU247" s="816"/>
      <c r="HV247" s="816"/>
      <c r="HW247" s="609"/>
      <c r="HX247" s="609"/>
      <c r="HY247" s="816"/>
      <c r="HZ247" s="816"/>
      <c r="IA247" s="816"/>
      <c r="IB247" s="816"/>
      <c r="IC247" s="816"/>
      <c r="ID247" s="816"/>
      <c r="IE247" s="609"/>
      <c r="IF247" s="609"/>
      <c r="IG247" s="816"/>
      <c r="IH247" s="816"/>
      <c r="II247" s="609"/>
      <c r="IJ247" s="609"/>
      <c r="IK247" s="816"/>
      <c r="IL247" s="816"/>
      <c r="IM247" s="609"/>
      <c r="IN247" s="609"/>
      <c r="IO247" s="816"/>
      <c r="IP247" s="816"/>
      <c r="IQ247" s="816"/>
      <c r="IR247" s="816"/>
      <c r="IS247" s="816"/>
      <c r="IT247" s="816"/>
      <c r="IU247" s="821"/>
      <c r="IV247" s="609"/>
      <c r="IW247" s="816"/>
      <c r="IX247" s="816"/>
      <c r="IY247" s="822"/>
      <c r="IZ247" s="609"/>
      <c r="JA247" s="816"/>
      <c r="JB247" s="816"/>
      <c r="JC247" s="609"/>
      <c r="JD247" s="816"/>
      <c r="JE247" s="816"/>
      <c r="JF247" s="816"/>
      <c r="JG247" s="816"/>
      <c r="JH247" s="816"/>
      <c r="JI247" s="816"/>
      <c r="JJ247" s="816"/>
      <c r="JK247" s="816"/>
      <c r="JL247" s="816"/>
      <c r="JM247" s="816"/>
      <c r="JN247" s="816"/>
      <c r="JO247" s="823"/>
      <c r="JP247" s="824"/>
      <c r="JQ247" s="825"/>
      <c r="JR247" s="825"/>
      <c r="JS247" s="816"/>
      <c r="JU247" s="834"/>
      <c r="JV247" s="834"/>
      <c r="JW247" s="826"/>
      <c r="JX247" s="834"/>
    </row>
    <row r="248" spans="2:284" s="780" customFormat="1">
      <c r="B248" s="609"/>
      <c r="C248" s="609"/>
      <c r="D248" s="609"/>
      <c r="E248" s="609"/>
      <c r="F248" s="609"/>
      <c r="G248" s="609"/>
      <c r="H248" s="609"/>
      <c r="I248" s="609"/>
      <c r="J248" s="609"/>
      <c r="K248" s="609"/>
      <c r="L248" s="609"/>
      <c r="M248" s="609"/>
      <c r="N248" s="609"/>
      <c r="O248" s="609"/>
      <c r="P248" s="609"/>
      <c r="Q248" s="609"/>
      <c r="R248" s="609"/>
      <c r="S248" s="609"/>
      <c r="T248" s="609"/>
      <c r="U248" s="609"/>
      <c r="V248" s="609"/>
      <c r="W248" s="609"/>
      <c r="X248" s="609"/>
      <c r="Y248" s="609"/>
      <c r="Z248" s="609"/>
      <c r="AA248" s="609"/>
      <c r="AB248" s="609"/>
      <c r="AC248" s="609"/>
      <c r="AD248" s="816"/>
      <c r="AE248" s="816"/>
      <c r="AF248" s="816"/>
      <c r="AG248" s="816"/>
      <c r="AH248" s="816"/>
      <c r="AI248" s="816"/>
      <c r="AJ248" s="609"/>
      <c r="AK248" s="609"/>
      <c r="AL248" s="816"/>
      <c r="AM248" s="816"/>
      <c r="AN248" s="609"/>
      <c r="AO248" s="609"/>
      <c r="AP248" s="816"/>
      <c r="AQ248" s="816"/>
      <c r="AR248" s="816"/>
      <c r="AS248" s="816"/>
      <c r="AT248" s="816"/>
      <c r="AU248" s="816"/>
      <c r="AV248" s="609"/>
      <c r="AW248" s="609"/>
      <c r="AX248" s="816"/>
      <c r="AY248" s="816"/>
      <c r="AZ248" s="817"/>
      <c r="BA248" s="609"/>
      <c r="BB248" s="609"/>
      <c r="BC248" s="816"/>
      <c r="BD248" s="816"/>
      <c r="BE248" s="816"/>
      <c r="BF248" s="816"/>
      <c r="BG248" s="816"/>
      <c r="BH248" s="816"/>
      <c r="BI248" s="816"/>
      <c r="BJ248" s="816"/>
      <c r="BK248" s="816"/>
      <c r="BL248" s="816"/>
      <c r="BM248" s="816"/>
      <c r="BN248" s="816"/>
      <c r="BO248" s="816"/>
      <c r="BP248" s="816"/>
      <c r="BQ248" s="816"/>
      <c r="BR248" s="816"/>
      <c r="BS248" s="816"/>
      <c r="BT248" s="816"/>
      <c r="BU248" s="816"/>
      <c r="BV248" s="816"/>
      <c r="BW248" s="816"/>
      <c r="BX248" s="609"/>
      <c r="BY248" s="609"/>
      <c r="BZ248" s="609"/>
      <c r="CA248" s="818"/>
      <c r="CB248" s="816"/>
      <c r="CC248" s="816"/>
      <c r="CD248" s="816"/>
      <c r="CE248" s="816"/>
      <c r="CF248" s="816"/>
      <c r="CG248" s="816"/>
      <c r="CH248" s="816"/>
      <c r="CI248" s="816"/>
      <c r="CJ248" s="819"/>
      <c r="CK248" s="819"/>
      <c r="CL248" s="820"/>
      <c r="CM248" s="820"/>
      <c r="CN248" s="820"/>
      <c r="CO248" s="820"/>
      <c r="CP248" s="820"/>
      <c r="CQ248" s="820"/>
      <c r="CR248" s="609"/>
      <c r="CS248" s="609"/>
      <c r="CT248" s="816"/>
      <c r="CU248" s="816"/>
      <c r="CV248" s="609"/>
      <c r="CW248" s="609"/>
      <c r="CX248" s="816"/>
      <c r="CY248" s="816"/>
      <c r="CZ248" s="609"/>
      <c r="DA248" s="609"/>
      <c r="DB248" s="816"/>
      <c r="DC248" s="816"/>
      <c r="DD248" s="609"/>
      <c r="DE248" s="609"/>
      <c r="DF248" s="816"/>
      <c r="DG248" s="816"/>
      <c r="DH248" s="816"/>
      <c r="DI248" s="816"/>
      <c r="DJ248" s="816"/>
      <c r="DK248" s="816"/>
      <c r="DL248" s="609"/>
      <c r="DM248" s="609"/>
      <c r="DN248" s="816"/>
      <c r="DO248" s="816"/>
      <c r="DP248" s="609"/>
      <c r="DQ248" s="609"/>
      <c r="DR248" s="816"/>
      <c r="DS248" s="816"/>
      <c r="DT248" s="816"/>
      <c r="DU248" s="816"/>
      <c r="DV248" s="816"/>
      <c r="DW248" s="816"/>
      <c r="DX248" s="816"/>
      <c r="DY248" s="816"/>
      <c r="DZ248" s="816"/>
      <c r="EA248" s="816"/>
      <c r="EB248" s="816"/>
      <c r="EC248" s="816"/>
      <c r="ED248" s="816"/>
      <c r="EE248" s="816"/>
      <c r="EF248" s="609"/>
      <c r="EG248" s="609"/>
      <c r="EH248" s="816"/>
      <c r="EI248" s="816"/>
      <c r="EJ248" s="816"/>
      <c r="EK248" s="816"/>
      <c r="EL248" s="816"/>
      <c r="EM248" s="816"/>
      <c r="EN248" s="816"/>
      <c r="EO248" s="816"/>
      <c r="EP248" s="816"/>
      <c r="EQ248" s="816"/>
      <c r="ER248" s="816"/>
      <c r="ES248" s="816"/>
      <c r="ET248" s="816"/>
      <c r="EU248" s="816"/>
      <c r="EV248" s="609"/>
      <c r="EW248" s="609"/>
      <c r="EX248" s="816"/>
      <c r="EY248" s="816"/>
      <c r="EZ248" s="816"/>
      <c r="FA248" s="816"/>
      <c r="FB248" s="816"/>
      <c r="FC248" s="816"/>
      <c r="FD248" s="816"/>
      <c r="FE248" s="816"/>
      <c r="FF248" s="816"/>
      <c r="FG248" s="816"/>
      <c r="FH248" s="816"/>
      <c r="FI248" s="816"/>
      <c r="FJ248" s="816"/>
      <c r="FK248" s="816"/>
      <c r="FL248" s="816"/>
      <c r="FM248" s="816"/>
      <c r="FN248" s="816"/>
      <c r="FO248" s="816"/>
      <c r="FP248" s="816"/>
      <c r="FQ248" s="816"/>
      <c r="FR248" s="816"/>
      <c r="FS248" s="816"/>
      <c r="FT248" s="816"/>
      <c r="FU248" s="816"/>
      <c r="FV248" s="816"/>
      <c r="FW248" s="816"/>
      <c r="FX248" s="816"/>
      <c r="FY248" s="816"/>
      <c r="FZ248" s="819"/>
      <c r="GA248" s="816"/>
      <c r="GB248" s="820"/>
      <c r="GC248" s="820"/>
      <c r="GD248" s="820"/>
      <c r="GE248" s="820"/>
      <c r="GF248" s="609"/>
      <c r="GG248" s="609"/>
      <c r="GH248" s="816"/>
      <c r="GI248" s="816"/>
      <c r="GJ248" s="816"/>
      <c r="GK248" s="816"/>
      <c r="GL248" s="816"/>
      <c r="GM248" s="816"/>
      <c r="GN248" s="816"/>
      <c r="GO248" s="816"/>
      <c r="GP248" s="816"/>
      <c r="GQ248" s="816"/>
      <c r="GR248" s="816"/>
      <c r="GS248" s="816"/>
      <c r="GT248" s="818"/>
      <c r="GU248" s="816"/>
      <c r="GV248" s="816"/>
      <c r="GW248" s="816"/>
      <c r="GX248" s="816"/>
      <c r="GY248" s="816"/>
      <c r="GZ248" s="816"/>
      <c r="HA248" s="816"/>
      <c r="HB248" s="609"/>
      <c r="HC248" s="609"/>
      <c r="HD248" s="816"/>
      <c r="HE248" s="816"/>
      <c r="HF248" s="816"/>
      <c r="HG248" s="816"/>
      <c r="HH248" s="816"/>
      <c r="HI248" s="816"/>
      <c r="HJ248" s="609"/>
      <c r="HK248" s="609"/>
      <c r="HL248" s="609"/>
      <c r="HM248" s="816"/>
      <c r="HN248" s="816"/>
      <c r="HO248" s="609"/>
      <c r="HP248" s="609"/>
      <c r="HQ248" s="816"/>
      <c r="HR248" s="816"/>
      <c r="HS248" s="816"/>
      <c r="HT248" s="816"/>
      <c r="HU248" s="816"/>
      <c r="HV248" s="816"/>
      <c r="HW248" s="609"/>
      <c r="HX248" s="609"/>
      <c r="HY248" s="816"/>
      <c r="HZ248" s="816"/>
      <c r="IA248" s="816"/>
      <c r="IB248" s="816"/>
      <c r="IC248" s="816"/>
      <c r="ID248" s="816"/>
      <c r="IE248" s="609"/>
      <c r="IF248" s="609"/>
      <c r="IG248" s="816"/>
      <c r="IH248" s="816"/>
      <c r="II248" s="609"/>
      <c r="IJ248" s="609"/>
      <c r="IK248" s="816"/>
      <c r="IL248" s="816"/>
      <c r="IM248" s="609"/>
      <c r="IN248" s="609"/>
      <c r="IO248" s="816"/>
      <c r="IP248" s="816"/>
      <c r="IQ248" s="816"/>
      <c r="IR248" s="816"/>
      <c r="IS248" s="816"/>
      <c r="IT248" s="816"/>
      <c r="IU248" s="821"/>
      <c r="IV248" s="609"/>
      <c r="IW248" s="816"/>
      <c r="IX248" s="816"/>
      <c r="IY248" s="822"/>
      <c r="IZ248" s="609"/>
      <c r="JA248" s="816"/>
      <c r="JB248" s="816"/>
      <c r="JC248" s="609"/>
      <c r="JD248" s="816"/>
      <c r="JE248" s="816"/>
      <c r="JF248" s="816"/>
      <c r="JG248" s="816"/>
      <c r="JH248" s="816"/>
      <c r="JI248" s="816"/>
      <c r="JJ248" s="816"/>
      <c r="JK248" s="816"/>
      <c r="JL248" s="816"/>
      <c r="JM248" s="816"/>
      <c r="JN248" s="816"/>
      <c r="JO248" s="823"/>
      <c r="JP248" s="824"/>
      <c r="JQ248" s="825"/>
      <c r="JR248" s="825"/>
      <c r="JS248" s="816"/>
      <c r="JU248" s="834"/>
      <c r="JV248" s="834"/>
      <c r="JW248" s="826"/>
      <c r="JX248" s="834"/>
    </row>
    <row r="249" spans="2:284" s="780" customFormat="1">
      <c r="B249" s="609"/>
      <c r="C249" s="609"/>
      <c r="D249" s="609"/>
      <c r="E249" s="609"/>
      <c r="F249" s="609"/>
      <c r="G249" s="609"/>
      <c r="H249" s="609"/>
      <c r="I249" s="609"/>
      <c r="J249" s="609"/>
      <c r="K249" s="609"/>
      <c r="L249" s="609"/>
      <c r="M249" s="609"/>
      <c r="N249" s="609"/>
      <c r="O249" s="609"/>
      <c r="P249" s="609"/>
      <c r="Q249" s="609"/>
      <c r="R249" s="609"/>
      <c r="S249" s="609"/>
      <c r="T249" s="609"/>
      <c r="U249" s="609"/>
      <c r="V249" s="609"/>
      <c r="W249" s="609"/>
      <c r="X249" s="609"/>
      <c r="Y249" s="609"/>
      <c r="Z249" s="609"/>
      <c r="AA249" s="609"/>
      <c r="AB249" s="609"/>
      <c r="AC249" s="609"/>
      <c r="AD249" s="816"/>
      <c r="AE249" s="816"/>
      <c r="AF249" s="816"/>
      <c r="AG249" s="816"/>
      <c r="AH249" s="816"/>
      <c r="AI249" s="816"/>
      <c r="AJ249" s="609"/>
      <c r="AK249" s="609"/>
      <c r="AL249" s="816"/>
      <c r="AM249" s="816"/>
      <c r="AN249" s="609"/>
      <c r="AO249" s="609"/>
      <c r="AP249" s="816"/>
      <c r="AQ249" s="816"/>
      <c r="AR249" s="816"/>
      <c r="AS249" s="816"/>
      <c r="AT249" s="816"/>
      <c r="AU249" s="816"/>
      <c r="AV249" s="609"/>
      <c r="AW249" s="609"/>
      <c r="AX249" s="816"/>
      <c r="AY249" s="816"/>
      <c r="AZ249" s="817"/>
      <c r="BA249" s="609"/>
      <c r="BB249" s="609"/>
      <c r="BC249" s="816"/>
      <c r="BD249" s="816"/>
      <c r="BE249" s="816"/>
      <c r="BF249" s="816"/>
      <c r="BG249" s="816"/>
      <c r="BH249" s="816"/>
      <c r="BI249" s="816"/>
      <c r="BJ249" s="816"/>
      <c r="BK249" s="816"/>
      <c r="BL249" s="816"/>
      <c r="BM249" s="816"/>
      <c r="BN249" s="816"/>
      <c r="BO249" s="816"/>
      <c r="BP249" s="816"/>
      <c r="BQ249" s="816"/>
      <c r="BR249" s="816"/>
      <c r="BS249" s="816"/>
      <c r="BT249" s="816"/>
      <c r="BU249" s="816"/>
      <c r="BV249" s="816"/>
      <c r="BW249" s="816"/>
      <c r="BX249" s="609"/>
      <c r="BY249" s="609"/>
      <c r="BZ249" s="609"/>
      <c r="CA249" s="818"/>
      <c r="CB249" s="816"/>
      <c r="CC249" s="816"/>
      <c r="CD249" s="816"/>
      <c r="CE249" s="816"/>
      <c r="CF249" s="816"/>
      <c r="CG249" s="816"/>
      <c r="CH249" s="816"/>
      <c r="CI249" s="816"/>
      <c r="CJ249" s="819"/>
      <c r="CK249" s="819"/>
      <c r="CL249" s="820"/>
      <c r="CM249" s="820"/>
      <c r="CN249" s="820"/>
      <c r="CO249" s="820"/>
      <c r="CP249" s="820"/>
      <c r="CQ249" s="820"/>
      <c r="CR249" s="609"/>
      <c r="CS249" s="609"/>
      <c r="CT249" s="816"/>
      <c r="CU249" s="816"/>
      <c r="CV249" s="609"/>
      <c r="CW249" s="609"/>
      <c r="CX249" s="816"/>
      <c r="CY249" s="816"/>
      <c r="CZ249" s="609"/>
      <c r="DA249" s="609"/>
      <c r="DB249" s="816"/>
      <c r="DC249" s="816"/>
      <c r="DD249" s="609"/>
      <c r="DE249" s="609"/>
      <c r="DF249" s="816"/>
      <c r="DG249" s="816"/>
      <c r="DH249" s="816"/>
      <c r="DI249" s="816"/>
      <c r="DJ249" s="816"/>
      <c r="DK249" s="816"/>
      <c r="DL249" s="609"/>
      <c r="DM249" s="609"/>
      <c r="DN249" s="816"/>
      <c r="DO249" s="816"/>
      <c r="DP249" s="609"/>
      <c r="DQ249" s="609"/>
      <c r="DR249" s="816"/>
      <c r="DS249" s="816"/>
      <c r="DT249" s="816"/>
      <c r="DU249" s="816"/>
      <c r="DV249" s="816"/>
      <c r="DW249" s="816"/>
      <c r="DX249" s="816"/>
      <c r="DY249" s="816"/>
      <c r="DZ249" s="816"/>
      <c r="EA249" s="816"/>
      <c r="EB249" s="816"/>
      <c r="EC249" s="816"/>
      <c r="ED249" s="816"/>
      <c r="EE249" s="816"/>
      <c r="EF249" s="609"/>
      <c r="EG249" s="609"/>
      <c r="EH249" s="816"/>
      <c r="EI249" s="816"/>
      <c r="EJ249" s="816"/>
      <c r="EK249" s="816"/>
      <c r="EL249" s="816"/>
      <c r="EM249" s="816"/>
      <c r="EN249" s="816"/>
      <c r="EO249" s="816"/>
      <c r="EP249" s="816"/>
      <c r="EQ249" s="816"/>
      <c r="ER249" s="816"/>
      <c r="ES249" s="816"/>
      <c r="ET249" s="816"/>
      <c r="EU249" s="816"/>
      <c r="EV249" s="609"/>
      <c r="EW249" s="609"/>
      <c r="EX249" s="816"/>
      <c r="EY249" s="816"/>
      <c r="EZ249" s="816"/>
      <c r="FA249" s="816"/>
      <c r="FB249" s="816"/>
      <c r="FC249" s="816"/>
      <c r="FD249" s="816"/>
      <c r="FE249" s="816"/>
      <c r="FF249" s="816"/>
      <c r="FG249" s="816"/>
      <c r="FH249" s="816"/>
      <c r="FI249" s="816"/>
      <c r="FJ249" s="816"/>
      <c r="FK249" s="816"/>
      <c r="FL249" s="816"/>
      <c r="FM249" s="816"/>
      <c r="FN249" s="816"/>
      <c r="FO249" s="816"/>
      <c r="FP249" s="816"/>
      <c r="FQ249" s="816"/>
      <c r="FR249" s="816"/>
      <c r="FS249" s="816"/>
      <c r="FT249" s="816"/>
      <c r="FU249" s="816"/>
      <c r="FV249" s="816"/>
      <c r="FW249" s="816"/>
      <c r="FX249" s="816"/>
      <c r="FY249" s="816"/>
      <c r="FZ249" s="819"/>
      <c r="GA249" s="816"/>
      <c r="GB249" s="820"/>
      <c r="GC249" s="820"/>
      <c r="GD249" s="820"/>
      <c r="GE249" s="820"/>
      <c r="GF249" s="609"/>
      <c r="GG249" s="609"/>
      <c r="GH249" s="816"/>
      <c r="GI249" s="816"/>
      <c r="GJ249" s="816"/>
      <c r="GK249" s="816"/>
      <c r="GL249" s="816"/>
      <c r="GM249" s="816"/>
      <c r="GN249" s="816"/>
      <c r="GO249" s="816"/>
      <c r="GP249" s="816"/>
      <c r="GQ249" s="816"/>
      <c r="GR249" s="816"/>
      <c r="GS249" s="816"/>
      <c r="GT249" s="818"/>
      <c r="GU249" s="816"/>
      <c r="GV249" s="816"/>
      <c r="GW249" s="816"/>
      <c r="GX249" s="816"/>
      <c r="GY249" s="816"/>
      <c r="GZ249" s="816"/>
      <c r="HA249" s="816"/>
      <c r="HB249" s="609"/>
      <c r="HC249" s="609"/>
      <c r="HD249" s="816"/>
      <c r="HE249" s="816"/>
      <c r="HF249" s="816"/>
      <c r="HG249" s="816"/>
      <c r="HH249" s="816"/>
      <c r="HI249" s="816"/>
      <c r="HJ249" s="609"/>
      <c r="HK249" s="609"/>
      <c r="HL249" s="609"/>
      <c r="HM249" s="816"/>
      <c r="HN249" s="816"/>
      <c r="HO249" s="609"/>
      <c r="HP249" s="609"/>
      <c r="HQ249" s="816"/>
      <c r="HR249" s="816"/>
      <c r="HS249" s="816"/>
      <c r="HT249" s="816"/>
      <c r="HU249" s="816"/>
      <c r="HV249" s="816"/>
      <c r="HW249" s="609"/>
      <c r="HX249" s="609"/>
      <c r="HY249" s="816"/>
      <c r="HZ249" s="816"/>
      <c r="IA249" s="816"/>
      <c r="IB249" s="816"/>
      <c r="IC249" s="816"/>
      <c r="ID249" s="816"/>
      <c r="IE249" s="609"/>
      <c r="IF249" s="609"/>
      <c r="IG249" s="816"/>
      <c r="IH249" s="816"/>
      <c r="II249" s="609"/>
      <c r="IJ249" s="609"/>
      <c r="IK249" s="816"/>
      <c r="IL249" s="816"/>
      <c r="IM249" s="609"/>
      <c r="IN249" s="609"/>
      <c r="IO249" s="816"/>
      <c r="IP249" s="816"/>
      <c r="IQ249" s="816"/>
      <c r="IR249" s="816"/>
      <c r="IS249" s="816"/>
      <c r="IT249" s="816"/>
      <c r="IU249" s="821"/>
      <c r="IV249" s="609"/>
      <c r="IW249" s="816"/>
      <c r="IX249" s="816"/>
      <c r="IY249" s="822"/>
      <c r="IZ249" s="609"/>
      <c r="JA249" s="816"/>
      <c r="JB249" s="816"/>
      <c r="JC249" s="609"/>
      <c r="JD249" s="816"/>
      <c r="JE249" s="816"/>
      <c r="JF249" s="816"/>
      <c r="JG249" s="816"/>
      <c r="JH249" s="816"/>
      <c r="JI249" s="816"/>
      <c r="JJ249" s="816"/>
      <c r="JK249" s="816"/>
      <c r="JL249" s="816"/>
      <c r="JM249" s="816"/>
      <c r="JN249" s="816"/>
      <c r="JO249" s="823"/>
      <c r="JP249" s="824"/>
      <c r="JQ249" s="825"/>
      <c r="JR249" s="825"/>
      <c r="JS249" s="816"/>
      <c r="JU249" s="834"/>
      <c r="JV249" s="834"/>
      <c r="JW249" s="826"/>
      <c r="JX249" s="834"/>
    </row>
    <row r="250" spans="2:284" s="780" customFormat="1">
      <c r="B250" s="609"/>
      <c r="C250" s="609"/>
      <c r="D250" s="609"/>
      <c r="E250" s="609"/>
      <c r="F250" s="609"/>
      <c r="G250" s="609"/>
      <c r="H250" s="609"/>
      <c r="I250" s="609"/>
      <c r="J250" s="609"/>
      <c r="K250" s="609"/>
      <c r="L250" s="609"/>
      <c r="M250" s="609"/>
      <c r="N250" s="609"/>
      <c r="O250" s="609"/>
      <c r="P250" s="609"/>
      <c r="Q250" s="609"/>
      <c r="R250" s="609"/>
      <c r="S250" s="609"/>
      <c r="T250" s="609"/>
      <c r="U250" s="609"/>
      <c r="V250" s="609"/>
      <c r="W250" s="609"/>
      <c r="X250" s="609"/>
      <c r="Y250" s="609"/>
      <c r="Z250" s="609"/>
      <c r="AA250" s="609"/>
      <c r="AB250" s="609"/>
      <c r="AC250" s="609"/>
      <c r="AD250" s="816"/>
      <c r="AE250" s="816"/>
      <c r="AF250" s="816"/>
      <c r="AG250" s="816"/>
      <c r="AH250" s="816"/>
      <c r="AI250" s="816"/>
      <c r="AJ250" s="609"/>
      <c r="AK250" s="609"/>
      <c r="AL250" s="816"/>
      <c r="AM250" s="816"/>
      <c r="AN250" s="609"/>
      <c r="AO250" s="609"/>
      <c r="AP250" s="816"/>
      <c r="AQ250" s="816"/>
      <c r="AR250" s="816"/>
      <c r="AS250" s="816"/>
      <c r="AT250" s="816"/>
      <c r="AU250" s="816"/>
      <c r="AV250" s="609"/>
      <c r="AW250" s="609"/>
      <c r="AX250" s="816"/>
      <c r="AY250" s="816"/>
      <c r="AZ250" s="817"/>
      <c r="BA250" s="609"/>
      <c r="BB250" s="609"/>
      <c r="BC250" s="816"/>
      <c r="BD250" s="816"/>
      <c r="BE250" s="816"/>
      <c r="BF250" s="816"/>
      <c r="BG250" s="816"/>
      <c r="BH250" s="816"/>
      <c r="BI250" s="816"/>
      <c r="BJ250" s="816"/>
      <c r="BK250" s="816"/>
      <c r="BL250" s="816"/>
      <c r="BM250" s="816"/>
      <c r="BN250" s="816"/>
      <c r="BO250" s="816"/>
      <c r="BP250" s="816"/>
      <c r="BQ250" s="816"/>
      <c r="BR250" s="816"/>
      <c r="BS250" s="816"/>
      <c r="BT250" s="816"/>
      <c r="BU250" s="816"/>
      <c r="BV250" s="816"/>
      <c r="BW250" s="816"/>
      <c r="BX250" s="609"/>
      <c r="BY250" s="609"/>
      <c r="BZ250" s="609"/>
      <c r="CA250" s="818"/>
      <c r="CB250" s="816"/>
      <c r="CC250" s="816"/>
      <c r="CD250" s="816"/>
      <c r="CE250" s="816"/>
      <c r="CF250" s="816"/>
      <c r="CG250" s="816"/>
      <c r="CH250" s="816"/>
      <c r="CI250" s="816"/>
      <c r="CJ250" s="819"/>
      <c r="CK250" s="819"/>
      <c r="CL250" s="820"/>
      <c r="CM250" s="820"/>
      <c r="CN250" s="820"/>
      <c r="CO250" s="820"/>
      <c r="CP250" s="820"/>
      <c r="CQ250" s="820"/>
      <c r="CR250" s="609"/>
      <c r="CS250" s="609"/>
      <c r="CT250" s="816"/>
      <c r="CU250" s="816"/>
      <c r="CV250" s="609"/>
      <c r="CW250" s="609"/>
      <c r="CX250" s="816"/>
      <c r="CY250" s="816"/>
      <c r="CZ250" s="609"/>
      <c r="DA250" s="609"/>
      <c r="DB250" s="816"/>
      <c r="DC250" s="816"/>
      <c r="DD250" s="609"/>
      <c r="DE250" s="609"/>
      <c r="DF250" s="816"/>
      <c r="DG250" s="816"/>
      <c r="DH250" s="816"/>
      <c r="DI250" s="816"/>
      <c r="DJ250" s="816"/>
      <c r="DK250" s="816"/>
      <c r="DL250" s="609"/>
      <c r="DM250" s="609"/>
      <c r="DN250" s="816"/>
      <c r="DO250" s="816"/>
      <c r="DP250" s="609"/>
      <c r="DQ250" s="609"/>
      <c r="DR250" s="816"/>
      <c r="DS250" s="816"/>
      <c r="DT250" s="816"/>
      <c r="DU250" s="816"/>
      <c r="DV250" s="816"/>
      <c r="DW250" s="816"/>
      <c r="DX250" s="816"/>
      <c r="DY250" s="816"/>
      <c r="DZ250" s="816"/>
      <c r="EA250" s="816"/>
      <c r="EB250" s="816"/>
      <c r="EC250" s="816"/>
      <c r="ED250" s="816"/>
      <c r="EE250" s="816"/>
      <c r="EF250" s="609"/>
      <c r="EG250" s="609"/>
      <c r="EH250" s="816"/>
      <c r="EI250" s="816"/>
      <c r="EJ250" s="816"/>
      <c r="EK250" s="816"/>
      <c r="EL250" s="816"/>
      <c r="EM250" s="816"/>
      <c r="EN250" s="816"/>
      <c r="EO250" s="816"/>
      <c r="EP250" s="816"/>
      <c r="EQ250" s="816"/>
      <c r="ER250" s="816"/>
      <c r="ES250" s="816"/>
      <c r="ET250" s="816"/>
      <c r="EU250" s="816"/>
      <c r="EV250" s="609"/>
      <c r="EW250" s="609"/>
      <c r="EX250" s="816"/>
      <c r="EY250" s="816"/>
      <c r="EZ250" s="816"/>
      <c r="FA250" s="816"/>
      <c r="FB250" s="816"/>
      <c r="FC250" s="816"/>
      <c r="FD250" s="816"/>
      <c r="FE250" s="816"/>
      <c r="FF250" s="816"/>
      <c r="FG250" s="816"/>
      <c r="FH250" s="816"/>
      <c r="FI250" s="816"/>
      <c r="FJ250" s="816"/>
      <c r="FK250" s="816"/>
      <c r="FL250" s="816"/>
      <c r="FM250" s="816"/>
      <c r="FN250" s="816"/>
      <c r="FO250" s="816"/>
      <c r="FP250" s="816"/>
      <c r="FQ250" s="816"/>
      <c r="FR250" s="816"/>
      <c r="FS250" s="816"/>
      <c r="FT250" s="816"/>
      <c r="FU250" s="816"/>
      <c r="FV250" s="816"/>
      <c r="FW250" s="816"/>
      <c r="FX250" s="816"/>
      <c r="FY250" s="816"/>
      <c r="FZ250" s="819"/>
      <c r="GA250" s="816"/>
      <c r="GB250" s="820"/>
      <c r="GC250" s="820"/>
      <c r="GD250" s="820"/>
      <c r="GE250" s="820"/>
      <c r="GF250" s="609"/>
      <c r="GG250" s="609"/>
      <c r="GH250" s="816"/>
      <c r="GI250" s="816"/>
      <c r="GJ250" s="816"/>
      <c r="GK250" s="816"/>
      <c r="GL250" s="816"/>
      <c r="GM250" s="816"/>
      <c r="GN250" s="816"/>
      <c r="GO250" s="816"/>
      <c r="GP250" s="816"/>
      <c r="GQ250" s="816"/>
      <c r="GR250" s="816"/>
      <c r="GS250" s="816"/>
      <c r="GT250" s="818"/>
      <c r="GU250" s="816"/>
      <c r="GV250" s="816"/>
      <c r="GW250" s="816"/>
      <c r="GX250" s="816"/>
      <c r="GY250" s="816"/>
      <c r="GZ250" s="816"/>
      <c r="HA250" s="816"/>
      <c r="HB250" s="609"/>
      <c r="HC250" s="609"/>
      <c r="HD250" s="816"/>
      <c r="HE250" s="816"/>
      <c r="HF250" s="816"/>
      <c r="HG250" s="816"/>
      <c r="HH250" s="816"/>
      <c r="HI250" s="816"/>
      <c r="HJ250" s="609"/>
      <c r="HK250" s="609"/>
      <c r="HL250" s="609"/>
      <c r="HM250" s="816"/>
      <c r="HN250" s="816"/>
      <c r="HO250" s="609"/>
      <c r="HP250" s="609"/>
      <c r="HQ250" s="816"/>
      <c r="HR250" s="816"/>
      <c r="HS250" s="816"/>
      <c r="HT250" s="816"/>
      <c r="HU250" s="816"/>
      <c r="HV250" s="816"/>
      <c r="HW250" s="609"/>
      <c r="HX250" s="609"/>
      <c r="HY250" s="816"/>
      <c r="HZ250" s="816"/>
      <c r="IA250" s="816"/>
      <c r="IB250" s="816"/>
      <c r="IC250" s="816"/>
      <c r="ID250" s="816"/>
      <c r="IE250" s="609"/>
      <c r="IF250" s="609"/>
      <c r="IG250" s="816"/>
      <c r="IH250" s="816"/>
      <c r="II250" s="609"/>
      <c r="IJ250" s="609"/>
      <c r="IK250" s="816"/>
      <c r="IL250" s="816"/>
      <c r="IM250" s="609"/>
      <c r="IN250" s="609"/>
      <c r="IO250" s="816"/>
      <c r="IP250" s="816"/>
      <c r="IQ250" s="816"/>
      <c r="IR250" s="816"/>
      <c r="IS250" s="816"/>
      <c r="IT250" s="816"/>
      <c r="IU250" s="821"/>
      <c r="IV250" s="609"/>
      <c r="IW250" s="816"/>
      <c r="IX250" s="816"/>
      <c r="IY250" s="822"/>
      <c r="IZ250" s="609"/>
      <c r="JA250" s="816"/>
      <c r="JB250" s="816"/>
      <c r="JC250" s="609"/>
      <c r="JD250" s="816"/>
      <c r="JE250" s="816"/>
      <c r="JF250" s="816"/>
      <c r="JG250" s="816"/>
      <c r="JH250" s="816"/>
      <c r="JI250" s="816"/>
      <c r="JJ250" s="816"/>
      <c r="JK250" s="816"/>
      <c r="JL250" s="816"/>
      <c r="JM250" s="816"/>
      <c r="JN250" s="816"/>
      <c r="JO250" s="823"/>
      <c r="JP250" s="824"/>
      <c r="JQ250" s="825"/>
      <c r="JR250" s="825"/>
      <c r="JS250" s="816"/>
      <c r="JU250" s="834"/>
      <c r="JV250" s="834"/>
      <c r="JW250" s="826"/>
      <c r="JX250" s="834"/>
    </row>
    <row r="251" spans="2:284" s="780" customFormat="1">
      <c r="B251" s="609"/>
      <c r="C251" s="609"/>
      <c r="D251" s="609"/>
      <c r="E251" s="609"/>
      <c r="F251" s="609"/>
      <c r="G251" s="609"/>
      <c r="H251" s="609"/>
      <c r="I251" s="609"/>
      <c r="J251" s="609"/>
      <c r="K251" s="609"/>
      <c r="L251" s="609"/>
      <c r="M251" s="609"/>
      <c r="N251" s="609"/>
      <c r="O251" s="609"/>
      <c r="P251" s="609"/>
      <c r="Q251" s="609"/>
      <c r="R251" s="609"/>
      <c r="S251" s="609"/>
      <c r="T251" s="609"/>
      <c r="U251" s="609"/>
      <c r="V251" s="609"/>
      <c r="W251" s="609"/>
      <c r="X251" s="609"/>
      <c r="Y251" s="609"/>
      <c r="Z251" s="609"/>
      <c r="AA251" s="609"/>
      <c r="AB251" s="609"/>
      <c r="AC251" s="609"/>
      <c r="AD251" s="816"/>
      <c r="AE251" s="816"/>
      <c r="AF251" s="816"/>
      <c r="AG251" s="816"/>
      <c r="AH251" s="816"/>
      <c r="AI251" s="816"/>
      <c r="AJ251" s="609"/>
      <c r="AK251" s="609"/>
      <c r="AL251" s="816"/>
      <c r="AM251" s="816"/>
      <c r="AN251" s="609"/>
      <c r="AO251" s="609"/>
      <c r="AP251" s="816"/>
      <c r="AQ251" s="816"/>
      <c r="AR251" s="816"/>
      <c r="AS251" s="816"/>
      <c r="AT251" s="816"/>
      <c r="AU251" s="816"/>
      <c r="AV251" s="609"/>
      <c r="AW251" s="609"/>
      <c r="AX251" s="816"/>
      <c r="AY251" s="816"/>
      <c r="AZ251" s="817"/>
      <c r="BA251" s="609"/>
      <c r="BB251" s="609"/>
      <c r="BC251" s="816"/>
      <c r="BD251" s="816"/>
      <c r="BE251" s="816"/>
      <c r="BF251" s="816"/>
      <c r="BG251" s="816"/>
      <c r="BH251" s="816"/>
      <c r="BI251" s="816"/>
      <c r="BJ251" s="816"/>
      <c r="BK251" s="816"/>
      <c r="BL251" s="816"/>
      <c r="BM251" s="816"/>
      <c r="BN251" s="816"/>
      <c r="BO251" s="816"/>
      <c r="BP251" s="816"/>
      <c r="BQ251" s="816"/>
      <c r="BR251" s="816"/>
      <c r="BS251" s="816"/>
      <c r="BT251" s="816"/>
      <c r="BU251" s="816"/>
      <c r="BV251" s="816"/>
      <c r="BW251" s="816"/>
      <c r="BX251" s="609"/>
      <c r="BY251" s="609"/>
      <c r="BZ251" s="609"/>
      <c r="CA251" s="818"/>
      <c r="CB251" s="816"/>
      <c r="CC251" s="816"/>
      <c r="CD251" s="816"/>
      <c r="CE251" s="816"/>
      <c r="CF251" s="816"/>
      <c r="CG251" s="816"/>
      <c r="CH251" s="816"/>
      <c r="CI251" s="816"/>
      <c r="CJ251" s="819"/>
      <c r="CK251" s="819"/>
      <c r="CL251" s="820"/>
      <c r="CM251" s="820"/>
      <c r="CN251" s="820"/>
      <c r="CO251" s="820"/>
      <c r="CP251" s="820"/>
      <c r="CQ251" s="820"/>
      <c r="CR251" s="609"/>
      <c r="CS251" s="609"/>
      <c r="CT251" s="816"/>
      <c r="CU251" s="816"/>
      <c r="CV251" s="609"/>
      <c r="CW251" s="609"/>
      <c r="CX251" s="816"/>
      <c r="CY251" s="816"/>
      <c r="CZ251" s="609"/>
      <c r="DA251" s="609"/>
      <c r="DB251" s="816"/>
      <c r="DC251" s="816"/>
      <c r="DD251" s="609"/>
      <c r="DE251" s="609"/>
      <c r="DF251" s="816"/>
      <c r="DG251" s="816"/>
      <c r="DH251" s="816"/>
      <c r="DI251" s="816"/>
      <c r="DJ251" s="816"/>
      <c r="DK251" s="816"/>
      <c r="DL251" s="609"/>
      <c r="DM251" s="609"/>
      <c r="DN251" s="816"/>
      <c r="DO251" s="816"/>
      <c r="DP251" s="609"/>
      <c r="DQ251" s="609"/>
      <c r="DR251" s="816"/>
      <c r="DS251" s="816"/>
      <c r="DT251" s="816"/>
      <c r="DU251" s="816"/>
      <c r="DV251" s="816"/>
      <c r="DW251" s="816"/>
      <c r="DX251" s="816"/>
      <c r="DY251" s="816"/>
      <c r="DZ251" s="816"/>
      <c r="EA251" s="816"/>
      <c r="EB251" s="816"/>
      <c r="EC251" s="816"/>
      <c r="ED251" s="816"/>
      <c r="EE251" s="816"/>
      <c r="EF251" s="609"/>
      <c r="EG251" s="609"/>
      <c r="EH251" s="816"/>
      <c r="EI251" s="816"/>
      <c r="EJ251" s="816"/>
      <c r="EK251" s="816"/>
      <c r="EL251" s="816"/>
      <c r="EM251" s="816"/>
      <c r="EN251" s="816"/>
      <c r="EO251" s="816"/>
      <c r="EP251" s="816"/>
      <c r="EQ251" s="816"/>
      <c r="ER251" s="816"/>
      <c r="ES251" s="816"/>
      <c r="ET251" s="816"/>
      <c r="EU251" s="816"/>
      <c r="EV251" s="609"/>
      <c r="EW251" s="609"/>
      <c r="EX251" s="816"/>
      <c r="EY251" s="816"/>
      <c r="EZ251" s="816"/>
      <c r="FA251" s="816"/>
      <c r="FB251" s="816"/>
      <c r="FC251" s="816"/>
      <c r="FD251" s="816"/>
      <c r="FE251" s="816"/>
      <c r="FF251" s="816"/>
      <c r="FG251" s="816"/>
      <c r="FH251" s="816"/>
      <c r="FI251" s="816"/>
      <c r="FJ251" s="816"/>
      <c r="FK251" s="816"/>
      <c r="FL251" s="816"/>
      <c r="FM251" s="816"/>
      <c r="FN251" s="816"/>
      <c r="FO251" s="816"/>
      <c r="FP251" s="816"/>
      <c r="FQ251" s="816"/>
      <c r="FR251" s="816"/>
      <c r="FS251" s="816"/>
      <c r="FT251" s="816"/>
      <c r="FU251" s="816"/>
      <c r="FV251" s="816"/>
      <c r="FW251" s="816"/>
      <c r="FX251" s="816"/>
      <c r="FY251" s="816"/>
      <c r="FZ251" s="819"/>
      <c r="GA251" s="816"/>
      <c r="GB251" s="820"/>
      <c r="GC251" s="820"/>
      <c r="GD251" s="820"/>
      <c r="GE251" s="820"/>
      <c r="GF251" s="609"/>
      <c r="GG251" s="609"/>
      <c r="GH251" s="816"/>
      <c r="GI251" s="816"/>
      <c r="GJ251" s="816"/>
      <c r="GK251" s="816"/>
      <c r="GL251" s="816"/>
      <c r="GM251" s="816"/>
      <c r="GN251" s="816"/>
      <c r="GO251" s="816"/>
      <c r="GP251" s="816"/>
      <c r="GQ251" s="816"/>
      <c r="GR251" s="816"/>
      <c r="GS251" s="816"/>
      <c r="GT251" s="818"/>
      <c r="GU251" s="816"/>
      <c r="GV251" s="816"/>
      <c r="GW251" s="816"/>
      <c r="GX251" s="816"/>
      <c r="GY251" s="816"/>
      <c r="GZ251" s="816"/>
      <c r="HA251" s="816"/>
      <c r="HB251" s="609"/>
      <c r="HC251" s="609"/>
      <c r="HD251" s="816"/>
      <c r="HE251" s="816"/>
      <c r="HF251" s="816"/>
      <c r="HG251" s="816"/>
      <c r="HH251" s="816"/>
      <c r="HI251" s="816"/>
      <c r="HJ251" s="609"/>
      <c r="HK251" s="609"/>
      <c r="HL251" s="609"/>
      <c r="HM251" s="816"/>
      <c r="HN251" s="816"/>
      <c r="HO251" s="609"/>
      <c r="HP251" s="609"/>
      <c r="HQ251" s="816"/>
      <c r="HR251" s="816"/>
      <c r="HS251" s="816"/>
      <c r="HT251" s="816"/>
      <c r="HU251" s="816"/>
      <c r="HV251" s="816"/>
      <c r="HW251" s="609"/>
      <c r="HX251" s="609"/>
      <c r="HY251" s="816"/>
      <c r="HZ251" s="816"/>
      <c r="IA251" s="816"/>
      <c r="IB251" s="816"/>
      <c r="IC251" s="816"/>
      <c r="ID251" s="816"/>
      <c r="IE251" s="609"/>
      <c r="IF251" s="609"/>
      <c r="IG251" s="816"/>
      <c r="IH251" s="816"/>
      <c r="II251" s="609"/>
      <c r="IJ251" s="609"/>
      <c r="IK251" s="816"/>
      <c r="IL251" s="816"/>
      <c r="IM251" s="609"/>
      <c r="IN251" s="609"/>
      <c r="IO251" s="816"/>
      <c r="IP251" s="816"/>
      <c r="IQ251" s="816"/>
      <c r="IR251" s="816"/>
      <c r="IS251" s="816"/>
      <c r="IT251" s="816"/>
      <c r="IU251" s="821"/>
      <c r="IV251" s="609"/>
      <c r="IW251" s="816"/>
      <c r="IX251" s="816"/>
      <c r="IY251" s="822"/>
      <c r="IZ251" s="609"/>
      <c r="JA251" s="816"/>
      <c r="JB251" s="816"/>
      <c r="JC251" s="609"/>
      <c r="JD251" s="816"/>
      <c r="JE251" s="816"/>
      <c r="JF251" s="816"/>
      <c r="JG251" s="816"/>
      <c r="JH251" s="816"/>
      <c r="JI251" s="816"/>
      <c r="JJ251" s="816"/>
      <c r="JK251" s="816"/>
      <c r="JL251" s="816"/>
      <c r="JM251" s="816"/>
      <c r="JN251" s="816"/>
      <c r="JO251" s="823"/>
      <c r="JP251" s="824"/>
      <c r="JQ251" s="825"/>
      <c r="JR251" s="825"/>
      <c r="JS251" s="816"/>
      <c r="JU251" s="834"/>
      <c r="JV251" s="834"/>
      <c r="JW251" s="826"/>
      <c r="JX251" s="834"/>
    </row>
    <row r="252" spans="2:284" s="780" customFormat="1">
      <c r="B252" s="609"/>
      <c r="C252" s="609"/>
      <c r="D252" s="609"/>
      <c r="E252" s="609"/>
      <c r="F252" s="609"/>
      <c r="G252" s="609"/>
      <c r="H252" s="609"/>
      <c r="I252" s="609"/>
      <c r="J252" s="609"/>
      <c r="K252" s="609"/>
      <c r="L252" s="609"/>
      <c r="M252" s="609"/>
      <c r="N252" s="609"/>
      <c r="O252" s="609"/>
      <c r="P252" s="609"/>
      <c r="Q252" s="609"/>
      <c r="R252" s="609"/>
      <c r="S252" s="609"/>
      <c r="T252" s="609"/>
      <c r="U252" s="609"/>
      <c r="V252" s="609"/>
      <c r="W252" s="609"/>
      <c r="X252" s="609"/>
      <c r="Y252" s="609"/>
      <c r="Z252" s="609"/>
      <c r="AA252" s="609"/>
      <c r="AB252" s="609"/>
      <c r="AC252" s="609"/>
      <c r="AD252" s="816"/>
      <c r="AE252" s="816"/>
      <c r="AF252" s="816"/>
      <c r="AG252" s="816"/>
      <c r="AH252" s="816"/>
      <c r="AI252" s="816"/>
      <c r="AJ252" s="609"/>
      <c r="AK252" s="609"/>
      <c r="AL252" s="816"/>
      <c r="AM252" s="816"/>
      <c r="AN252" s="609"/>
      <c r="AO252" s="609"/>
      <c r="AP252" s="816"/>
      <c r="AQ252" s="816"/>
      <c r="AR252" s="816"/>
      <c r="AS252" s="816"/>
      <c r="AT252" s="816"/>
      <c r="AU252" s="816"/>
      <c r="AV252" s="609"/>
      <c r="AW252" s="609"/>
      <c r="AX252" s="816"/>
      <c r="AY252" s="816"/>
      <c r="AZ252" s="817"/>
      <c r="BA252" s="609"/>
      <c r="BB252" s="609"/>
      <c r="BC252" s="816"/>
      <c r="BD252" s="816"/>
      <c r="BE252" s="816"/>
      <c r="BF252" s="816"/>
      <c r="BG252" s="816"/>
      <c r="BH252" s="816"/>
      <c r="BI252" s="816"/>
      <c r="BJ252" s="816"/>
      <c r="BK252" s="816"/>
      <c r="BL252" s="816"/>
      <c r="BM252" s="816"/>
      <c r="BN252" s="816"/>
      <c r="BO252" s="816"/>
      <c r="BP252" s="816"/>
      <c r="BQ252" s="816"/>
      <c r="BR252" s="816"/>
      <c r="BS252" s="816"/>
      <c r="BT252" s="816"/>
      <c r="BU252" s="816"/>
      <c r="BV252" s="816"/>
      <c r="BW252" s="816"/>
      <c r="BX252" s="609"/>
      <c r="BY252" s="609"/>
      <c r="BZ252" s="609"/>
      <c r="CA252" s="818"/>
      <c r="CB252" s="816"/>
      <c r="CC252" s="816"/>
      <c r="CD252" s="816"/>
      <c r="CE252" s="816"/>
      <c r="CF252" s="816"/>
      <c r="CG252" s="816"/>
      <c r="CH252" s="816"/>
      <c r="CI252" s="816"/>
      <c r="CJ252" s="819"/>
      <c r="CK252" s="819"/>
      <c r="CL252" s="820"/>
      <c r="CM252" s="820"/>
      <c r="CN252" s="820"/>
      <c r="CO252" s="820"/>
      <c r="CP252" s="820"/>
      <c r="CQ252" s="820"/>
      <c r="CR252" s="609"/>
      <c r="CS252" s="609"/>
      <c r="CT252" s="816"/>
      <c r="CU252" s="816"/>
      <c r="CV252" s="609"/>
      <c r="CW252" s="609"/>
      <c r="CX252" s="816"/>
      <c r="CY252" s="816"/>
      <c r="CZ252" s="609"/>
      <c r="DA252" s="609"/>
      <c r="DB252" s="816"/>
      <c r="DC252" s="816"/>
      <c r="DD252" s="609"/>
      <c r="DE252" s="609"/>
      <c r="DF252" s="816"/>
      <c r="DG252" s="816"/>
      <c r="DH252" s="816"/>
      <c r="DI252" s="816"/>
      <c r="DJ252" s="816"/>
      <c r="DK252" s="816"/>
      <c r="DL252" s="609"/>
      <c r="DM252" s="609"/>
      <c r="DN252" s="816"/>
      <c r="DO252" s="816"/>
      <c r="DP252" s="609"/>
      <c r="DQ252" s="609"/>
      <c r="DR252" s="816"/>
      <c r="DS252" s="816"/>
      <c r="DT252" s="816"/>
      <c r="DU252" s="816"/>
      <c r="DV252" s="816"/>
      <c r="DW252" s="816"/>
      <c r="DX252" s="816"/>
      <c r="DY252" s="816"/>
      <c r="DZ252" s="816"/>
      <c r="EA252" s="816"/>
      <c r="EB252" s="816"/>
      <c r="EC252" s="816"/>
      <c r="ED252" s="816"/>
      <c r="EE252" s="816"/>
      <c r="EF252" s="609"/>
      <c r="EG252" s="609"/>
      <c r="EH252" s="816"/>
      <c r="EI252" s="816"/>
      <c r="EJ252" s="816"/>
      <c r="EK252" s="816"/>
      <c r="EL252" s="816"/>
      <c r="EM252" s="816"/>
      <c r="EN252" s="816"/>
      <c r="EO252" s="816"/>
      <c r="EP252" s="816"/>
      <c r="EQ252" s="816"/>
      <c r="ER252" s="816"/>
      <c r="ES252" s="816"/>
      <c r="ET252" s="816"/>
      <c r="EU252" s="816"/>
      <c r="EV252" s="609"/>
      <c r="EW252" s="609"/>
      <c r="EX252" s="816"/>
      <c r="EY252" s="816"/>
      <c r="EZ252" s="816"/>
      <c r="FA252" s="816"/>
      <c r="FB252" s="816"/>
      <c r="FC252" s="816"/>
      <c r="FD252" s="816"/>
      <c r="FE252" s="816"/>
      <c r="FF252" s="816"/>
      <c r="FG252" s="816"/>
      <c r="FH252" s="816"/>
      <c r="FI252" s="816"/>
      <c r="FJ252" s="816"/>
      <c r="FK252" s="816"/>
      <c r="FL252" s="816"/>
      <c r="FM252" s="816"/>
      <c r="FN252" s="816"/>
      <c r="FO252" s="816"/>
      <c r="FP252" s="816"/>
      <c r="FQ252" s="816"/>
      <c r="FR252" s="816"/>
      <c r="FS252" s="816"/>
      <c r="FT252" s="816"/>
      <c r="FU252" s="816"/>
      <c r="FV252" s="816"/>
      <c r="FW252" s="816"/>
      <c r="FX252" s="816"/>
      <c r="FY252" s="816"/>
      <c r="FZ252" s="819"/>
      <c r="GA252" s="816"/>
      <c r="GB252" s="820"/>
      <c r="GC252" s="820"/>
      <c r="GD252" s="820"/>
      <c r="GE252" s="820"/>
      <c r="GF252" s="609"/>
      <c r="GG252" s="609"/>
      <c r="GH252" s="816"/>
      <c r="GI252" s="816"/>
      <c r="GJ252" s="816"/>
      <c r="GK252" s="816"/>
      <c r="GL252" s="816"/>
      <c r="GM252" s="816"/>
      <c r="GN252" s="816"/>
      <c r="GO252" s="816"/>
      <c r="GP252" s="816"/>
      <c r="GQ252" s="816"/>
      <c r="GR252" s="816"/>
      <c r="GS252" s="816"/>
      <c r="GT252" s="818"/>
      <c r="GU252" s="816"/>
      <c r="GV252" s="816"/>
      <c r="GW252" s="816"/>
      <c r="GX252" s="816"/>
      <c r="GY252" s="816"/>
      <c r="GZ252" s="816"/>
      <c r="HA252" s="816"/>
      <c r="HB252" s="609"/>
      <c r="HC252" s="609"/>
      <c r="HD252" s="816"/>
      <c r="HE252" s="816"/>
      <c r="HF252" s="816"/>
      <c r="HG252" s="816"/>
      <c r="HH252" s="816"/>
      <c r="HI252" s="816"/>
      <c r="HJ252" s="609"/>
      <c r="HK252" s="609"/>
      <c r="HL252" s="609"/>
      <c r="HM252" s="816"/>
      <c r="HN252" s="816"/>
      <c r="HO252" s="609"/>
      <c r="HP252" s="609"/>
      <c r="HQ252" s="816"/>
      <c r="HR252" s="816"/>
      <c r="HS252" s="816"/>
      <c r="HT252" s="816"/>
      <c r="HU252" s="816"/>
      <c r="HV252" s="816"/>
      <c r="HW252" s="609"/>
      <c r="HX252" s="609"/>
      <c r="HY252" s="816"/>
      <c r="HZ252" s="816"/>
      <c r="IA252" s="816"/>
      <c r="IB252" s="816"/>
      <c r="IC252" s="816"/>
      <c r="ID252" s="816"/>
      <c r="IE252" s="609"/>
      <c r="IF252" s="609"/>
      <c r="IG252" s="816"/>
      <c r="IH252" s="816"/>
      <c r="II252" s="609"/>
      <c r="IJ252" s="609"/>
      <c r="IK252" s="816"/>
      <c r="IL252" s="816"/>
      <c r="IM252" s="609"/>
      <c r="IN252" s="609"/>
      <c r="IO252" s="816"/>
      <c r="IP252" s="816"/>
      <c r="IQ252" s="816"/>
      <c r="IR252" s="816"/>
      <c r="IS252" s="816"/>
      <c r="IT252" s="816"/>
      <c r="IU252" s="821"/>
      <c r="IV252" s="609"/>
      <c r="IW252" s="816"/>
      <c r="IX252" s="816"/>
      <c r="IY252" s="822"/>
      <c r="IZ252" s="609"/>
      <c r="JA252" s="816"/>
      <c r="JB252" s="816"/>
      <c r="JC252" s="609"/>
      <c r="JD252" s="816"/>
      <c r="JE252" s="816"/>
      <c r="JF252" s="816"/>
      <c r="JG252" s="816"/>
      <c r="JH252" s="816"/>
      <c r="JI252" s="816"/>
      <c r="JJ252" s="816"/>
      <c r="JK252" s="816"/>
      <c r="JL252" s="816"/>
      <c r="JM252" s="816"/>
      <c r="JN252" s="816"/>
      <c r="JO252" s="823"/>
      <c r="JP252" s="824"/>
      <c r="JQ252" s="825"/>
      <c r="JR252" s="825"/>
      <c r="JS252" s="816"/>
      <c r="JU252" s="834"/>
      <c r="JV252" s="834"/>
      <c r="JW252" s="826"/>
      <c r="JX252" s="834"/>
    </row>
    <row r="253" spans="2:284" s="780" customFormat="1">
      <c r="B253" s="609"/>
      <c r="C253" s="609"/>
      <c r="D253" s="609"/>
      <c r="E253" s="609"/>
      <c r="F253" s="609"/>
      <c r="G253" s="609"/>
      <c r="H253" s="609"/>
      <c r="I253" s="609"/>
      <c r="J253" s="609"/>
      <c r="K253" s="609"/>
      <c r="L253" s="609"/>
      <c r="M253" s="609"/>
      <c r="N253" s="609"/>
      <c r="O253" s="609"/>
      <c r="P253" s="609"/>
      <c r="Q253" s="609"/>
      <c r="R253" s="609"/>
      <c r="S253" s="609"/>
      <c r="T253" s="609"/>
      <c r="U253" s="609"/>
      <c r="V253" s="609"/>
      <c r="W253" s="609"/>
      <c r="X253" s="609"/>
      <c r="Y253" s="609"/>
      <c r="Z253" s="609"/>
      <c r="AA253" s="609"/>
      <c r="AB253" s="609"/>
      <c r="AC253" s="609"/>
      <c r="AD253" s="816"/>
      <c r="AE253" s="816"/>
      <c r="AF253" s="816"/>
      <c r="AG253" s="816"/>
      <c r="AH253" s="816"/>
      <c r="AI253" s="816"/>
      <c r="AJ253" s="609"/>
      <c r="AK253" s="609"/>
      <c r="AL253" s="816"/>
      <c r="AM253" s="816"/>
      <c r="AN253" s="609"/>
      <c r="AO253" s="609"/>
      <c r="AP253" s="816"/>
      <c r="AQ253" s="816"/>
      <c r="AR253" s="816"/>
      <c r="AS253" s="816"/>
      <c r="AT253" s="816"/>
      <c r="AU253" s="816"/>
      <c r="AV253" s="609"/>
      <c r="AW253" s="609"/>
      <c r="AX253" s="816"/>
      <c r="AY253" s="816"/>
      <c r="AZ253" s="817"/>
      <c r="BA253" s="609"/>
      <c r="BB253" s="609"/>
      <c r="BC253" s="816"/>
      <c r="BD253" s="816"/>
      <c r="BE253" s="816"/>
      <c r="BF253" s="816"/>
      <c r="BG253" s="816"/>
      <c r="BH253" s="816"/>
      <c r="BI253" s="816"/>
      <c r="BJ253" s="816"/>
      <c r="BK253" s="816"/>
      <c r="BL253" s="816"/>
      <c r="BM253" s="816"/>
      <c r="BN253" s="816"/>
      <c r="BO253" s="816"/>
      <c r="BP253" s="816"/>
      <c r="BQ253" s="816"/>
      <c r="BR253" s="816"/>
      <c r="BS253" s="816"/>
      <c r="BT253" s="816"/>
      <c r="BU253" s="816"/>
      <c r="BV253" s="816"/>
      <c r="BW253" s="816"/>
      <c r="BX253" s="609"/>
      <c r="BY253" s="609"/>
      <c r="BZ253" s="609"/>
      <c r="CA253" s="818"/>
      <c r="CB253" s="816"/>
      <c r="CC253" s="816"/>
      <c r="CD253" s="816"/>
      <c r="CE253" s="816"/>
      <c r="CF253" s="816"/>
      <c r="CG253" s="816"/>
      <c r="CH253" s="816"/>
      <c r="CI253" s="816"/>
      <c r="CJ253" s="819"/>
      <c r="CK253" s="819"/>
      <c r="CL253" s="820"/>
      <c r="CM253" s="820"/>
      <c r="CN253" s="820"/>
      <c r="CO253" s="820"/>
      <c r="CP253" s="820"/>
      <c r="CQ253" s="820"/>
      <c r="CR253" s="609"/>
      <c r="CS253" s="609"/>
      <c r="CT253" s="816"/>
      <c r="CU253" s="816"/>
      <c r="CV253" s="609"/>
      <c r="CW253" s="609"/>
      <c r="CX253" s="816"/>
      <c r="CY253" s="816"/>
      <c r="CZ253" s="609"/>
      <c r="DA253" s="609"/>
      <c r="DB253" s="816"/>
      <c r="DC253" s="816"/>
      <c r="DD253" s="609"/>
      <c r="DE253" s="609"/>
      <c r="DF253" s="816"/>
      <c r="DG253" s="816"/>
      <c r="DH253" s="816"/>
      <c r="DI253" s="816"/>
      <c r="DJ253" s="816"/>
      <c r="DK253" s="816"/>
      <c r="DL253" s="609"/>
      <c r="DM253" s="609"/>
      <c r="DN253" s="816"/>
      <c r="DO253" s="816"/>
      <c r="DP253" s="609"/>
      <c r="DQ253" s="609"/>
      <c r="DR253" s="816"/>
      <c r="DS253" s="816"/>
      <c r="DT253" s="816"/>
      <c r="DU253" s="816"/>
      <c r="DV253" s="816"/>
      <c r="DW253" s="816"/>
      <c r="DX253" s="816"/>
      <c r="DY253" s="816"/>
      <c r="DZ253" s="816"/>
      <c r="EA253" s="816"/>
      <c r="EB253" s="816"/>
      <c r="EC253" s="816"/>
      <c r="ED253" s="816"/>
      <c r="EE253" s="816"/>
      <c r="EF253" s="609"/>
      <c r="EG253" s="609"/>
      <c r="EH253" s="816"/>
      <c r="EI253" s="816"/>
      <c r="EJ253" s="816"/>
      <c r="EK253" s="816"/>
      <c r="EL253" s="816"/>
      <c r="EM253" s="816"/>
      <c r="EN253" s="816"/>
      <c r="EO253" s="816"/>
      <c r="EP253" s="816"/>
      <c r="EQ253" s="816"/>
      <c r="ER253" s="816"/>
      <c r="ES253" s="816"/>
      <c r="ET253" s="816"/>
      <c r="EU253" s="816"/>
      <c r="EV253" s="609"/>
      <c r="EW253" s="609"/>
      <c r="EX253" s="816"/>
      <c r="EY253" s="816"/>
      <c r="EZ253" s="816"/>
      <c r="FA253" s="816"/>
      <c r="FB253" s="816"/>
      <c r="FC253" s="816"/>
      <c r="FD253" s="816"/>
      <c r="FE253" s="816"/>
      <c r="FF253" s="816"/>
      <c r="FG253" s="816"/>
      <c r="FH253" s="816"/>
      <c r="FI253" s="816"/>
      <c r="FJ253" s="816"/>
      <c r="FK253" s="816"/>
      <c r="FL253" s="816"/>
      <c r="FM253" s="816"/>
      <c r="FN253" s="816"/>
      <c r="FO253" s="816"/>
      <c r="FP253" s="816"/>
      <c r="FQ253" s="816"/>
      <c r="FR253" s="816"/>
      <c r="FS253" s="816"/>
      <c r="FT253" s="816"/>
      <c r="FU253" s="816"/>
      <c r="FV253" s="816"/>
      <c r="FW253" s="816"/>
      <c r="FX253" s="816"/>
      <c r="FY253" s="816"/>
      <c r="FZ253" s="819"/>
      <c r="GA253" s="816"/>
      <c r="GB253" s="820"/>
      <c r="GC253" s="820"/>
      <c r="GD253" s="820"/>
      <c r="GE253" s="820"/>
      <c r="GF253" s="609"/>
      <c r="GG253" s="609"/>
      <c r="GH253" s="816"/>
      <c r="GI253" s="816"/>
      <c r="GJ253" s="816"/>
      <c r="GK253" s="816"/>
      <c r="GL253" s="816"/>
      <c r="GM253" s="816"/>
      <c r="GN253" s="816"/>
      <c r="GO253" s="816"/>
      <c r="GP253" s="816"/>
      <c r="GQ253" s="816"/>
      <c r="GR253" s="816"/>
      <c r="GS253" s="816"/>
      <c r="GT253" s="818"/>
      <c r="GU253" s="816"/>
      <c r="GV253" s="816"/>
      <c r="GW253" s="816"/>
      <c r="GX253" s="816"/>
      <c r="GY253" s="816"/>
      <c r="GZ253" s="816"/>
      <c r="HA253" s="816"/>
      <c r="HB253" s="609"/>
      <c r="HC253" s="609"/>
      <c r="HD253" s="816"/>
      <c r="HE253" s="816"/>
      <c r="HF253" s="816"/>
      <c r="HG253" s="816"/>
      <c r="HH253" s="816"/>
      <c r="HI253" s="816"/>
      <c r="HJ253" s="609"/>
      <c r="HK253" s="609"/>
      <c r="HL253" s="609"/>
      <c r="HM253" s="816"/>
      <c r="HN253" s="816"/>
      <c r="HO253" s="609"/>
      <c r="HP253" s="609"/>
      <c r="HQ253" s="816"/>
      <c r="HR253" s="816"/>
      <c r="HS253" s="816"/>
      <c r="HT253" s="816"/>
      <c r="HU253" s="816"/>
      <c r="HV253" s="816"/>
      <c r="HW253" s="609"/>
      <c r="HX253" s="609"/>
      <c r="HY253" s="816"/>
      <c r="HZ253" s="816"/>
      <c r="IA253" s="816"/>
      <c r="IB253" s="816"/>
      <c r="IC253" s="816"/>
      <c r="ID253" s="816"/>
      <c r="IE253" s="609"/>
      <c r="IF253" s="609"/>
      <c r="IG253" s="816"/>
      <c r="IH253" s="816"/>
      <c r="II253" s="609"/>
      <c r="IJ253" s="609"/>
      <c r="IK253" s="816"/>
      <c r="IL253" s="816"/>
      <c r="IM253" s="609"/>
      <c r="IN253" s="609"/>
      <c r="IO253" s="816"/>
      <c r="IP253" s="816"/>
      <c r="IQ253" s="816"/>
      <c r="IR253" s="816"/>
      <c r="IS253" s="816"/>
      <c r="IT253" s="816"/>
      <c r="IU253" s="821"/>
      <c r="IV253" s="609"/>
      <c r="IW253" s="816"/>
      <c r="IX253" s="816"/>
      <c r="IY253" s="822"/>
      <c r="IZ253" s="609"/>
      <c r="JA253" s="816"/>
      <c r="JB253" s="816"/>
      <c r="JC253" s="609"/>
      <c r="JD253" s="816"/>
      <c r="JE253" s="816"/>
      <c r="JF253" s="816"/>
      <c r="JG253" s="816"/>
      <c r="JH253" s="816"/>
      <c r="JI253" s="816"/>
      <c r="JJ253" s="816"/>
      <c r="JK253" s="816"/>
      <c r="JL253" s="816"/>
      <c r="JM253" s="816"/>
      <c r="JN253" s="816"/>
      <c r="JO253" s="823"/>
      <c r="JP253" s="824"/>
      <c r="JQ253" s="825"/>
      <c r="JR253" s="825"/>
      <c r="JS253" s="816"/>
      <c r="JU253" s="834"/>
      <c r="JV253" s="834"/>
      <c r="JW253" s="826"/>
      <c r="JX253" s="834"/>
    </row>
    <row r="254" spans="2:284" s="780" customFormat="1">
      <c r="B254" s="609"/>
      <c r="C254" s="609"/>
      <c r="D254" s="609"/>
      <c r="E254" s="609"/>
      <c r="F254" s="609"/>
      <c r="G254" s="609"/>
      <c r="H254" s="609"/>
      <c r="I254" s="609"/>
      <c r="J254" s="609"/>
      <c r="K254" s="609"/>
      <c r="L254" s="609"/>
      <c r="M254" s="609"/>
      <c r="N254" s="609"/>
      <c r="O254" s="609"/>
      <c r="P254" s="609"/>
      <c r="Q254" s="609"/>
      <c r="R254" s="609"/>
      <c r="S254" s="609"/>
      <c r="T254" s="609"/>
      <c r="U254" s="609"/>
      <c r="V254" s="609"/>
      <c r="W254" s="609"/>
      <c r="X254" s="609"/>
      <c r="Y254" s="609"/>
      <c r="Z254" s="609"/>
      <c r="AA254" s="609"/>
      <c r="AB254" s="609"/>
      <c r="AC254" s="609"/>
      <c r="AD254" s="816"/>
      <c r="AE254" s="816"/>
      <c r="AF254" s="816"/>
      <c r="AG254" s="816"/>
      <c r="AH254" s="816"/>
      <c r="AI254" s="816"/>
      <c r="AJ254" s="609"/>
      <c r="AK254" s="609"/>
      <c r="AL254" s="816"/>
      <c r="AM254" s="816"/>
      <c r="AN254" s="609"/>
      <c r="AO254" s="609"/>
      <c r="AP254" s="816"/>
      <c r="AQ254" s="816"/>
      <c r="AR254" s="816"/>
      <c r="AS254" s="816"/>
      <c r="AT254" s="816"/>
      <c r="AU254" s="816"/>
      <c r="AV254" s="609"/>
      <c r="AW254" s="609"/>
      <c r="AX254" s="816"/>
      <c r="AY254" s="816"/>
      <c r="AZ254" s="817"/>
      <c r="BA254" s="609"/>
      <c r="BB254" s="609"/>
      <c r="BC254" s="816"/>
      <c r="BD254" s="816"/>
      <c r="BE254" s="816"/>
      <c r="BF254" s="816"/>
      <c r="BG254" s="816"/>
      <c r="BH254" s="816"/>
      <c r="BI254" s="816"/>
      <c r="BJ254" s="816"/>
      <c r="BK254" s="816"/>
      <c r="BL254" s="816"/>
      <c r="BM254" s="816"/>
      <c r="BN254" s="816"/>
      <c r="BO254" s="816"/>
      <c r="BP254" s="816"/>
      <c r="BQ254" s="816"/>
      <c r="BR254" s="816"/>
      <c r="BS254" s="816"/>
      <c r="BT254" s="816"/>
      <c r="BU254" s="816"/>
      <c r="BV254" s="816"/>
      <c r="BW254" s="816"/>
      <c r="BX254" s="609"/>
      <c r="BY254" s="609"/>
      <c r="BZ254" s="609"/>
      <c r="CA254" s="818"/>
      <c r="CB254" s="816"/>
      <c r="CC254" s="816"/>
      <c r="CD254" s="816"/>
      <c r="CE254" s="816"/>
      <c r="CF254" s="816"/>
      <c r="CG254" s="816"/>
      <c r="CH254" s="816"/>
      <c r="CI254" s="816"/>
      <c r="CJ254" s="819"/>
      <c r="CK254" s="819"/>
      <c r="CL254" s="820"/>
      <c r="CM254" s="820"/>
      <c r="CN254" s="820"/>
      <c r="CO254" s="820"/>
      <c r="CP254" s="820"/>
      <c r="CQ254" s="820"/>
      <c r="CR254" s="609"/>
      <c r="CS254" s="609"/>
      <c r="CT254" s="816"/>
      <c r="CU254" s="816"/>
      <c r="CV254" s="609"/>
      <c r="CW254" s="609"/>
      <c r="CX254" s="816"/>
      <c r="CY254" s="816"/>
      <c r="CZ254" s="609"/>
      <c r="DA254" s="609"/>
      <c r="DB254" s="816"/>
      <c r="DC254" s="816"/>
      <c r="DD254" s="609"/>
      <c r="DE254" s="609"/>
      <c r="DF254" s="816"/>
      <c r="DG254" s="816"/>
      <c r="DH254" s="816"/>
      <c r="DI254" s="816"/>
      <c r="DJ254" s="816"/>
      <c r="DK254" s="816"/>
      <c r="DL254" s="609"/>
      <c r="DM254" s="609"/>
      <c r="DN254" s="816"/>
      <c r="DO254" s="816"/>
      <c r="DP254" s="609"/>
      <c r="DQ254" s="609"/>
      <c r="DR254" s="816"/>
      <c r="DS254" s="816"/>
      <c r="DT254" s="816"/>
      <c r="DU254" s="816"/>
      <c r="DV254" s="816"/>
      <c r="DW254" s="816"/>
      <c r="DX254" s="816"/>
      <c r="DY254" s="816"/>
      <c r="DZ254" s="816"/>
      <c r="EA254" s="816"/>
      <c r="EB254" s="816"/>
      <c r="EC254" s="816"/>
      <c r="ED254" s="816"/>
      <c r="EE254" s="816"/>
      <c r="EF254" s="609"/>
      <c r="EG254" s="609"/>
      <c r="EH254" s="816"/>
      <c r="EI254" s="816"/>
      <c r="EJ254" s="816"/>
      <c r="EK254" s="816"/>
      <c r="EL254" s="816"/>
      <c r="EM254" s="816"/>
      <c r="EN254" s="816"/>
      <c r="EO254" s="816"/>
      <c r="EP254" s="816"/>
      <c r="EQ254" s="816"/>
      <c r="ER254" s="816"/>
      <c r="ES254" s="816"/>
      <c r="ET254" s="816"/>
      <c r="EU254" s="816"/>
      <c r="EV254" s="609"/>
      <c r="EW254" s="609"/>
      <c r="EX254" s="816"/>
      <c r="EY254" s="816"/>
      <c r="EZ254" s="816"/>
      <c r="FA254" s="816"/>
      <c r="FB254" s="816"/>
      <c r="FC254" s="816"/>
      <c r="FD254" s="816"/>
      <c r="FE254" s="816"/>
      <c r="FF254" s="816"/>
      <c r="FG254" s="816"/>
      <c r="FH254" s="816"/>
      <c r="FI254" s="816"/>
      <c r="FJ254" s="816"/>
      <c r="FK254" s="816"/>
      <c r="FL254" s="816"/>
      <c r="FM254" s="816"/>
      <c r="FN254" s="816"/>
      <c r="FO254" s="816"/>
      <c r="FP254" s="816"/>
      <c r="FQ254" s="816"/>
      <c r="FR254" s="816"/>
      <c r="FS254" s="816"/>
      <c r="FT254" s="816"/>
      <c r="FU254" s="816"/>
      <c r="FV254" s="816"/>
      <c r="FW254" s="816"/>
      <c r="FX254" s="816"/>
      <c r="FY254" s="816"/>
      <c r="FZ254" s="819"/>
      <c r="GA254" s="816"/>
      <c r="GB254" s="820"/>
      <c r="GC254" s="820"/>
      <c r="GD254" s="820"/>
      <c r="GE254" s="820"/>
      <c r="GF254" s="609"/>
      <c r="GG254" s="609"/>
      <c r="GH254" s="816"/>
      <c r="GI254" s="816"/>
      <c r="GJ254" s="816"/>
      <c r="GK254" s="816"/>
      <c r="GL254" s="816"/>
      <c r="GM254" s="816"/>
      <c r="GN254" s="816"/>
      <c r="GO254" s="816"/>
      <c r="GP254" s="816"/>
      <c r="GQ254" s="816"/>
      <c r="GR254" s="816"/>
      <c r="GS254" s="816"/>
      <c r="GT254" s="818"/>
      <c r="GU254" s="816"/>
      <c r="GV254" s="816"/>
      <c r="GW254" s="816"/>
      <c r="GX254" s="816"/>
      <c r="GY254" s="816"/>
      <c r="GZ254" s="816"/>
      <c r="HA254" s="816"/>
      <c r="HB254" s="609"/>
      <c r="HC254" s="609"/>
      <c r="HD254" s="816"/>
      <c r="HE254" s="816"/>
      <c r="HF254" s="816"/>
      <c r="HG254" s="816"/>
      <c r="HH254" s="816"/>
      <c r="HI254" s="816"/>
      <c r="HJ254" s="609"/>
      <c r="HK254" s="609"/>
      <c r="HL254" s="609"/>
      <c r="HM254" s="816"/>
      <c r="HN254" s="816"/>
      <c r="HO254" s="609"/>
      <c r="HP254" s="609"/>
      <c r="HQ254" s="816"/>
      <c r="HR254" s="816"/>
      <c r="HS254" s="816"/>
      <c r="HT254" s="816"/>
      <c r="HU254" s="816"/>
      <c r="HV254" s="816"/>
      <c r="HW254" s="609"/>
      <c r="HX254" s="609"/>
      <c r="HY254" s="816"/>
      <c r="HZ254" s="816"/>
      <c r="IA254" s="816"/>
      <c r="IB254" s="816"/>
      <c r="IC254" s="816"/>
      <c r="ID254" s="816"/>
      <c r="IE254" s="609"/>
      <c r="IF254" s="609"/>
      <c r="IG254" s="816"/>
      <c r="IH254" s="816"/>
      <c r="II254" s="609"/>
      <c r="IJ254" s="609"/>
      <c r="IK254" s="816"/>
      <c r="IL254" s="816"/>
      <c r="IM254" s="609"/>
      <c r="IN254" s="609"/>
      <c r="IO254" s="816"/>
      <c r="IP254" s="816"/>
      <c r="IQ254" s="816"/>
      <c r="IR254" s="816"/>
      <c r="IS254" s="816"/>
      <c r="IT254" s="816"/>
      <c r="IU254" s="821"/>
      <c r="IV254" s="609"/>
      <c r="IW254" s="816"/>
      <c r="IX254" s="816"/>
      <c r="IY254" s="822"/>
      <c r="IZ254" s="609"/>
      <c r="JA254" s="816"/>
      <c r="JB254" s="816"/>
      <c r="JC254" s="609"/>
      <c r="JD254" s="816"/>
      <c r="JE254" s="816"/>
      <c r="JF254" s="816"/>
      <c r="JG254" s="816"/>
      <c r="JH254" s="816"/>
      <c r="JI254" s="816"/>
      <c r="JJ254" s="816"/>
      <c r="JK254" s="816"/>
      <c r="JL254" s="816"/>
      <c r="JM254" s="816"/>
      <c r="JN254" s="816"/>
      <c r="JO254" s="823"/>
      <c r="JP254" s="824"/>
      <c r="JQ254" s="825"/>
      <c r="JR254" s="825"/>
      <c r="JS254" s="816"/>
      <c r="JU254" s="834"/>
      <c r="JV254" s="834"/>
      <c r="JW254" s="826"/>
      <c r="JX254" s="834"/>
    </row>
    <row r="255" spans="2:284" s="780" customFormat="1">
      <c r="B255" s="609"/>
      <c r="C255" s="609"/>
      <c r="D255" s="609"/>
      <c r="E255" s="609"/>
      <c r="F255" s="609"/>
      <c r="G255" s="609"/>
      <c r="H255" s="609"/>
      <c r="I255" s="609"/>
      <c r="J255" s="609"/>
      <c r="K255" s="609"/>
      <c r="L255" s="609"/>
      <c r="M255" s="609"/>
      <c r="N255" s="609"/>
      <c r="O255" s="609"/>
      <c r="P255" s="609"/>
      <c r="Q255" s="609"/>
      <c r="R255" s="609"/>
      <c r="S255" s="609"/>
      <c r="T255" s="609"/>
      <c r="U255" s="609"/>
      <c r="V255" s="609"/>
      <c r="W255" s="609"/>
      <c r="X255" s="609"/>
      <c r="Y255" s="609"/>
      <c r="Z255" s="609"/>
      <c r="AA255" s="609"/>
      <c r="AB255" s="609"/>
      <c r="AC255" s="609"/>
      <c r="AD255" s="816"/>
      <c r="AE255" s="816"/>
      <c r="AF255" s="816"/>
      <c r="AG255" s="816"/>
      <c r="AH255" s="816"/>
      <c r="AI255" s="816"/>
      <c r="AJ255" s="609"/>
      <c r="AK255" s="609"/>
      <c r="AL255" s="816"/>
      <c r="AM255" s="816"/>
      <c r="AN255" s="609"/>
      <c r="AO255" s="609"/>
      <c r="AP255" s="816"/>
      <c r="AQ255" s="816"/>
      <c r="AR255" s="816"/>
      <c r="AS255" s="816"/>
      <c r="AT255" s="816"/>
      <c r="AU255" s="816"/>
      <c r="AV255" s="609"/>
      <c r="AW255" s="609"/>
      <c r="AX255" s="816"/>
      <c r="AY255" s="816"/>
      <c r="AZ255" s="817"/>
      <c r="BA255" s="609"/>
      <c r="BB255" s="609"/>
      <c r="BC255" s="816"/>
      <c r="BD255" s="816"/>
      <c r="BE255" s="816"/>
      <c r="BF255" s="816"/>
      <c r="BG255" s="816"/>
      <c r="BH255" s="816"/>
      <c r="BI255" s="816"/>
      <c r="BJ255" s="816"/>
      <c r="BK255" s="816"/>
      <c r="BL255" s="816"/>
      <c r="BM255" s="816"/>
      <c r="BN255" s="816"/>
      <c r="BO255" s="816"/>
      <c r="BP255" s="816"/>
      <c r="BQ255" s="816"/>
      <c r="BR255" s="816"/>
      <c r="BS255" s="816"/>
      <c r="BT255" s="816"/>
      <c r="BU255" s="816"/>
      <c r="BV255" s="816"/>
      <c r="BW255" s="816"/>
      <c r="BX255" s="609"/>
      <c r="BY255" s="609"/>
      <c r="BZ255" s="609"/>
      <c r="CA255" s="818"/>
      <c r="CB255" s="816"/>
      <c r="CC255" s="816"/>
      <c r="CD255" s="816"/>
      <c r="CE255" s="816"/>
      <c r="CF255" s="816"/>
      <c r="CG255" s="816"/>
      <c r="CH255" s="816"/>
      <c r="CI255" s="816"/>
      <c r="CJ255" s="819"/>
      <c r="CK255" s="819"/>
      <c r="CL255" s="820"/>
      <c r="CM255" s="820"/>
      <c r="CN255" s="820"/>
      <c r="CO255" s="820"/>
      <c r="CP255" s="820"/>
      <c r="CQ255" s="820"/>
      <c r="CR255" s="609"/>
      <c r="CS255" s="609"/>
      <c r="CT255" s="816"/>
      <c r="CU255" s="816"/>
      <c r="CV255" s="609"/>
      <c r="CW255" s="609"/>
      <c r="CX255" s="816"/>
      <c r="CY255" s="816"/>
      <c r="CZ255" s="609"/>
      <c r="DA255" s="609"/>
      <c r="DB255" s="816"/>
      <c r="DC255" s="816"/>
      <c r="DD255" s="609"/>
      <c r="DE255" s="609"/>
      <c r="DF255" s="816"/>
      <c r="DG255" s="816"/>
      <c r="DH255" s="816"/>
      <c r="DI255" s="816"/>
      <c r="DJ255" s="816"/>
      <c r="DK255" s="816"/>
      <c r="DL255" s="609"/>
      <c r="DM255" s="609"/>
      <c r="DN255" s="816"/>
      <c r="DO255" s="816"/>
      <c r="DP255" s="609"/>
      <c r="DQ255" s="609"/>
      <c r="DR255" s="816"/>
      <c r="DS255" s="816"/>
      <c r="DT255" s="816"/>
      <c r="DU255" s="816"/>
      <c r="DV255" s="816"/>
      <c r="DW255" s="816"/>
      <c r="DX255" s="816"/>
      <c r="DY255" s="816"/>
      <c r="DZ255" s="816"/>
      <c r="EA255" s="816"/>
      <c r="EB255" s="816"/>
      <c r="EC255" s="816"/>
      <c r="ED255" s="816"/>
      <c r="EE255" s="816"/>
      <c r="EF255" s="609"/>
      <c r="EG255" s="609"/>
      <c r="EH255" s="816"/>
      <c r="EI255" s="816"/>
      <c r="EJ255" s="816"/>
      <c r="EK255" s="816"/>
      <c r="EL255" s="816"/>
      <c r="EM255" s="816"/>
      <c r="EN255" s="816"/>
      <c r="EO255" s="816"/>
      <c r="EP255" s="816"/>
      <c r="EQ255" s="816"/>
      <c r="ER255" s="816"/>
      <c r="ES255" s="816"/>
      <c r="ET255" s="816"/>
      <c r="EU255" s="816"/>
      <c r="EV255" s="609"/>
      <c r="EW255" s="609"/>
      <c r="EX255" s="816"/>
      <c r="EY255" s="816"/>
      <c r="EZ255" s="816"/>
      <c r="FA255" s="816"/>
      <c r="FB255" s="816"/>
      <c r="FC255" s="816"/>
      <c r="FD255" s="816"/>
      <c r="FE255" s="816"/>
      <c r="FF255" s="816"/>
      <c r="FG255" s="816"/>
      <c r="FH255" s="816"/>
      <c r="FI255" s="816"/>
      <c r="FJ255" s="816"/>
      <c r="FK255" s="816"/>
      <c r="FL255" s="816"/>
      <c r="FM255" s="816"/>
      <c r="FN255" s="816"/>
      <c r="FO255" s="816"/>
      <c r="FP255" s="816"/>
      <c r="FQ255" s="816"/>
      <c r="FR255" s="816"/>
      <c r="FS255" s="816"/>
      <c r="FT255" s="816"/>
      <c r="FU255" s="816"/>
      <c r="FV255" s="816"/>
      <c r="FW255" s="816"/>
      <c r="FX255" s="816"/>
      <c r="FY255" s="816"/>
      <c r="FZ255" s="819"/>
      <c r="GA255" s="816"/>
      <c r="GB255" s="820"/>
      <c r="GC255" s="820"/>
      <c r="GD255" s="820"/>
      <c r="GE255" s="820"/>
      <c r="GF255" s="609"/>
      <c r="GG255" s="609"/>
      <c r="GH255" s="816"/>
      <c r="GI255" s="816"/>
      <c r="GJ255" s="816"/>
      <c r="GK255" s="816"/>
      <c r="GL255" s="816"/>
      <c r="GM255" s="816"/>
      <c r="GN255" s="816"/>
      <c r="GO255" s="816"/>
      <c r="GP255" s="816"/>
      <c r="GQ255" s="816"/>
      <c r="GR255" s="816"/>
      <c r="GS255" s="816"/>
      <c r="GT255" s="818"/>
      <c r="GU255" s="816"/>
      <c r="GV255" s="816"/>
      <c r="GW255" s="816"/>
      <c r="GX255" s="816"/>
      <c r="GY255" s="816"/>
      <c r="GZ255" s="816"/>
      <c r="HA255" s="816"/>
      <c r="HB255" s="609"/>
      <c r="HC255" s="609"/>
      <c r="HD255" s="816"/>
      <c r="HE255" s="816"/>
      <c r="HF255" s="816"/>
      <c r="HG255" s="816"/>
      <c r="HH255" s="816"/>
      <c r="HI255" s="816"/>
      <c r="HJ255" s="609"/>
      <c r="HK255" s="609"/>
      <c r="HL255" s="609"/>
      <c r="HM255" s="816"/>
      <c r="HN255" s="816"/>
      <c r="HO255" s="609"/>
      <c r="HP255" s="609"/>
      <c r="HQ255" s="816"/>
      <c r="HR255" s="816"/>
      <c r="HS255" s="816"/>
      <c r="HT255" s="816"/>
      <c r="HU255" s="816"/>
      <c r="HV255" s="816"/>
      <c r="HW255" s="609"/>
      <c r="HX255" s="609"/>
      <c r="HY255" s="816"/>
      <c r="HZ255" s="816"/>
      <c r="IA255" s="816"/>
      <c r="IB255" s="816"/>
      <c r="IC255" s="816"/>
      <c r="ID255" s="816"/>
      <c r="IE255" s="609"/>
      <c r="IF255" s="609"/>
      <c r="IG255" s="816"/>
      <c r="IH255" s="816"/>
      <c r="II255" s="609"/>
      <c r="IJ255" s="609"/>
      <c r="IK255" s="816"/>
      <c r="IL255" s="816"/>
      <c r="IM255" s="609"/>
      <c r="IN255" s="609"/>
      <c r="IO255" s="816"/>
      <c r="IP255" s="816"/>
      <c r="IQ255" s="816"/>
      <c r="IR255" s="816"/>
      <c r="IS255" s="816"/>
      <c r="IT255" s="816"/>
      <c r="IU255" s="821"/>
      <c r="IV255" s="609"/>
      <c r="IW255" s="816"/>
      <c r="IX255" s="816"/>
      <c r="IY255" s="822"/>
      <c r="IZ255" s="609"/>
      <c r="JA255" s="816"/>
      <c r="JB255" s="816"/>
      <c r="JC255" s="609"/>
      <c r="JD255" s="816"/>
      <c r="JE255" s="816"/>
      <c r="JF255" s="816"/>
      <c r="JG255" s="816"/>
      <c r="JH255" s="816"/>
      <c r="JI255" s="816"/>
      <c r="JJ255" s="816"/>
      <c r="JK255" s="816"/>
      <c r="JL255" s="816"/>
      <c r="JM255" s="816"/>
      <c r="JN255" s="816"/>
      <c r="JO255" s="823"/>
      <c r="JP255" s="824"/>
      <c r="JQ255" s="825"/>
      <c r="JR255" s="825"/>
      <c r="JS255" s="816"/>
      <c r="JU255" s="834"/>
      <c r="JV255" s="834"/>
      <c r="JW255" s="826"/>
      <c r="JX255" s="834"/>
    </row>
    <row r="256" spans="2:284" s="780" customFormat="1">
      <c r="B256" s="609"/>
      <c r="C256" s="609"/>
      <c r="D256" s="609"/>
      <c r="E256" s="609"/>
      <c r="F256" s="609"/>
      <c r="G256" s="609"/>
      <c r="H256" s="609"/>
      <c r="I256" s="609"/>
      <c r="J256" s="609"/>
      <c r="K256" s="609"/>
      <c r="L256" s="609"/>
      <c r="M256" s="609"/>
      <c r="N256" s="609"/>
      <c r="O256" s="609"/>
      <c r="P256" s="609"/>
      <c r="Q256" s="609"/>
      <c r="R256" s="609"/>
      <c r="S256" s="609"/>
      <c r="T256" s="609"/>
      <c r="U256" s="609"/>
      <c r="V256" s="609"/>
      <c r="W256" s="609"/>
      <c r="X256" s="609"/>
      <c r="Y256" s="609"/>
      <c r="Z256" s="609"/>
      <c r="AA256" s="609"/>
      <c r="AB256" s="609"/>
      <c r="AC256" s="609"/>
      <c r="AD256" s="816"/>
      <c r="AE256" s="816"/>
      <c r="AF256" s="816"/>
      <c r="AG256" s="816"/>
      <c r="AH256" s="816"/>
      <c r="AI256" s="816"/>
      <c r="AJ256" s="609"/>
      <c r="AK256" s="609"/>
      <c r="AL256" s="816"/>
      <c r="AM256" s="816"/>
      <c r="AN256" s="609"/>
      <c r="AO256" s="609"/>
      <c r="AP256" s="816"/>
      <c r="AQ256" s="816"/>
      <c r="AR256" s="816"/>
      <c r="AS256" s="816"/>
      <c r="AT256" s="816"/>
      <c r="AU256" s="816"/>
      <c r="AV256" s="609"/>
      <c r="AW256" s="609"/>
      <c r="AX256" s="816"/>
      <c r="AY256" s="816"/>
      <c r="AZ256" s="817"/>
      <c r="BA256" s="609"/>
      <c r="BB256" s="609"/>
      <c r="BC256" s="816"/>
      <c r="BD256" s="816"/>
      <c r="BE256" s="816"/>
      <c r="BF256" s="816"/>
      <c r="BG256" s="816"/>
      <c r="BH256" s="816"/>
      <c r="BI256" s="816"/>
      <c r="BJ256" s="816"/>
      <c r="BK256" s="816"/>
      <c r="BL256" s="816"/>
      <c r="BM256" s="816"/>
      <c r="BN256" s="816"/>
      <c r="BO256" s="816"/>
      <c r="BP256" s="816"/>
      <c r="BQ256" s="816"/>
      <c r="BR256" s="816"/>
      <c r="BS256" s="816"/>
      <c r="BT256" s="816"/>
      <c r="BU256" s="816"/>
      <c r="BV256" s="816"/>
      <c r="BW256" s="816"/>
      <c r="BX256" s="609"/>
      <c r="BY256" s="609"/>
      <c r="BZ256" s="609"/>
      <c r="CA256" s="818"/>
      <c r="CB256" s="816"/>
      <c r="CC256" s="816"/>
      <c r="CD256" s="816"/>
      <c r="CE256" s="816"/>
      <c r="CF256" s="816"/>
      <c r="CG256" s="816"/>
      <c r="CH256" s="816"/>
      <c r="CI256" s="816"/>
      <c r="CJ256" s="819"/>
      <c r="CK256" s="819"/>
      <c r="CL256" s="820"/>
      <c r="CM256" s="820"/>
      <c r="CN256" s="820"/>
      <c r="CO256" s="820"/>
      <c r="CP256" s="820"/>
      <c r="CQ256" s="820"/>
      <c r="CR256" s="609"/>
      <c r="CS256" s="609"/>
      <c r="CT256" s="816"/>
      <c r="CU256" s="816"/>
      <c r="CV256" s="609"/>
      <c r="CW256" s="609"/>
      <c r="CX256" s="816"/>
      <c r="CY256" s="816"/>
      <c r="CZ256" s="609"/>
      <c r="DA256" s="609"/>
      <c r="DB256" s="816"/>
      <c r="DC256" s="816"/>
      <c r="DD256" s="609"/>
      <c r="DE256" s="609"/>
      <c r="DF256" s="816"/>
      <c r="DG256" s="816"/>
      <c r="DH256" s="816"/>
      <c r="DI256" s="816"/>
      <c r="DJ256" s="816"/>
      <c r="DK256" s="816"/>
      <c r="DL256" s="609"/>
      <c r="DM256" s="609"/>
      <c r="DN256" s="816"/>
      <c r="DO256" s="816"/>
      <c r="DP256" s="609"/>
      <c r="DQ256" s="609"/>
      <c r="DR256" s="816"/>
      <c r="DS256" s="816"/>
      <c r="DT256" s="816"/>
      <c r="DU256" s="816"/>
      <c r="DV256" s="816"/>
      <c r="DW256" s="816"/>
      <c r="DX256" s="816"/>
      <c r="DY256" s="816"/>
      <c r="DZ256" s="816"/>
      <c r="EA256" s="816"/>
      <c r="EB256" s="816"/>
      <c r="EC256" s="816"/>
      <c r="ED256" s="816"/>
      <c r="EE256" s="816"/>
      <c r="EF256" s="609"/>
      <c r="EG256" s="609"/>
      <c r="EH256" s="816"/>
      <c r="EI256" s="816"/>
      <c r="EJ256" s="816"/>
      <c r="EK256" s="816"/>
      <c r="EL256" s="816"/>
      <c r="EM256" s="816"/>
      <c r="EN256" s="816"/>
      <c r="EO256" s="816"/>
      <c r="EP256" s="816"/>
      <c r="EQ256" s="816"/>
      <c r="ER256" s="816"/>
      <c r="ES256" s="816"/>
      <c r="ET256" s="816"/>
      <c r="EU256" s="816"/>
      <c r="EV256" s="609"/>
      <c r="EW256" s="609"/>
      <c r="EX256" s="816"/>
      <c r="EY256" s="816"/>
      <c r="EZ256" s="816"/>
      <c r="FA256" s="816"/>
      <c r="FB256" s="816"/>
      <c r="FC256" s="816"/>
      <c r="FD256" s="816"/>
      <c r="FE256" s="816"/>
      <c r="FF256" s="816"/>
      <c r="FG256" s="816"/>
      <c r="FH256" s="816"/>
      <c r="FI256" s="816"/>
      <c r="FJ256" s="816"/>
      <c r="FK256" s="816"/>
      <c r="FL256" s="816"/>
      <c r="FM256" s="816"/>
      <c r="FN256" s="816"/>
      <c r="FO256" s="816"/>
      <c r="FP256" s="816"/>
      <c r="FQ256" s="816"/>
      <c r="FR256" s="816"/>
      <c r="FS256" s="816"/>
      <c r="FT256" s="816"/>
      <c r="FU256" s="816"/>
      <c r="FV256" s="816"/>
      <c r="FW256" s="816"/>
      <c r="FX256" s="816"/>
      <c r="FY256" s="816"/>
      <c r="FZ256" s="819"/>
      <c r="GA256" s="816"/>
      <c r="GB256" s="820"/>
      <c r="GC256" s="820"/>
      <c r="GD256" s="820"/>
      <c r="GE256" s="820"/>
      <c r="GF256" s="609"/>
      <c r="GG256" s="609"/>
      <c r="GH256" s="816"/>
      <c r="GI256" s="816"/>
      <c r="GJ256" s="816"/>
      <c r="GK256" s="816"/>
      <c r="GL256" s="816"/>
      <c r="GM256" s="816"/>
      <c r="GN256" s="816"/>
      <c r="GO256" s="816"/>
      <c r="GP256" s="816"/>
      <c r="GQ256" s="816"/>
      <c r="GR256" s="816"/>
      <c r="GS256" s="816"/>
      <c r="GT256" s="818"/>
      <c r="GU256" s="816"/>
      <c r="GV256" s="816"/>
      <c r="GW256" s="816"/>
      <c r="GX256" s="816"/>
      <c r="GY256" s="816"/>
      <c r="GZ256" s="816"/>
      <c r="HA256" s="816"/>
      <c r="HB256" s="609"/>
      <c r="HC256" s="609"/>
      <c r="HD256" s="816"/>
      <c r="HE256" s="816"/>
      <c r="HF256" s="816"/>
      <c r="HG256" s="816"/>
      <c r="HH256" s="816"/>
      <c r="HI256" s="816"/>
      <c r="HJ256" s="609"/>
      <c r="HK256" s="609"/>
      <c r="HL256" s="609"/>
      <c r="HM256" s="816"/>
      <c r="HN256" s="816"/>
      <c r="HO256" s="609"/>
      <c r="HP256" s="609"/>
      <c r="HQ256" s="816"/>
      <c r="HR256" s="816"/>
      <c r="HS256" s="816"/>
      <c r="HT256" s="816"/>
      <c r="HU256" s="816"/>
      <c r="HV256" s="816"/>
      <c r="HW256" s="609"/>
      <c r="HX256" s="609"/>
      <c r="HY256" s="816"/>
      <c r="HZ256" s="816"/>
      <c r="IA256" s="816"/>
      <c r="IB256" s="816"/>
      <c r="IC256" s="816"/>
      <c r="ID256" s="816"/>
      <c r="IE256" s="609"/>
      <c r="IF256" s="609"/>
      <c r="IG256" s="816"/>
      <c r="IH256" s="816"/>
      <c r="II256" s="609"/>
      <c r="IJ256" s="609"/>
      <c r="IK256" s="816"/>
      <c r="IL256" s="816"/>
      <c r="IM256" s="609"/>
      <c r="IN256" s="609"/>
      <c r="IO256" s="816"/>
      <c r="IP256" s="816"/>
      <c r="IQ256" s="816"/>
      <c r="IR256" s="816"/>
      <c r="IS256" s="816"/>
      <c r="IT256" s="816"/>
      <c r="IU256" s="821"/>
      <c r="IV256" s="609"/>
      <c r="IW256" s="816"/>
      <c r="IX256" s="816"/>
      <c r="IY256" s="822"/>
      <c r="IZ256" s="609"/>
      <c r="JA256" s="816"/>
      <c r="JB256" s="816"/>
      <c r="JC256" s="609"/>
      <c r="JD256" s="816"/>
      <c r="JE256" s="816"/>
      <c r="JF256" s="816"/>
      <c r="JG256" s="816"/>
      <c r="JH256" s="816"/>
      <c r="JI256" s="816"/>
      <c r="JJ256" s="816"/>
      <c r="JK256" s="816"/>
      <c r="JL256" s="816"/>
      <c r="JM256" s="816"/>
      <c r="JN256" s="816"/>
      <c r="JO256" s="823"/>
      <c r="JP256" s="824"/>
      <c r="JQ256" s="825"/>
      <c r="JR256" s="825"/>
      <c r="JS256" s="816"/>
      <c r="JU256" s="834"/>
      <c r="JV256" s="834"/>
      <c r="JW256" s="826"/>
      <c r="JX256" s="834"/>
    </row>
    <row r="257" spans="2:284" s="780" customFormat="1">
      <c r="B257" s="609"/>
      <c r="C257" s="609"/>
      <c r="D257" s="609"/>
      <c r="E257" s="609"/>
      <c r="F257" s="609"/>
      <c r="G257" s="609"/>
      <c r="H257" s="609"/>
      <c r="I257" s="609"/>
      <c r="J257" s="609"/>
      <c r="K257" s="609"/>
      <c r="L257" s="609"/>
      <c r="M257" s="609"/>
      <c r="N257" s="609"/>
      <c r="O257" s="609"/>
      <c r="P257" s="609"/>
      <c r="Q257" s="609"/>
      <c r="R257" s="609"/>
      <c r="S257" s="609"/>
      <c r="T257" s="609"/>
      <c r="U257" s="609"/>
      <c r="V257" s="609"/>
      <c r="W257" s="609"/>
      <c r="X257" s="609"/>
      <c r="Y257" s="609"/>
      <c r="Z257" s="609"/>
      <c r="AA257" s="609"/>
      <c r="AB257" s="609"/>
      <c r="AC257" s="609"/>
      <c r="AD257" s="816"/>
      <c r="AE257" s="816"/>
      <c r="AF257" s="816"/>
      <c r="AG257" s="816"/>
      <c r="AH257" s="816"/>
      <c r="AI257" s="816"/>
      <c r="AJ257" s="609"/>
      <c r="AK257" s="609"/>
      <c r="AL257" s="816"/>
      <c r="AM257" s="816"/>
      <c r="AN257" s="609"/>
      <c r="AO257" s="609"/>
      <c r="AP257" s="816"/>
      <c r="AQ257" s="816"/>
      <c r="AR257" s="816"/>
      <c r="AS257" s="816"/>
      <c r="AT257" s="816"/>
      <c r="AU257" s="816"/>
      <c r="AV257" s="609"/>
      <c r="AW257" s="609"/>
      <c r="AX257" s="816"/>
      <c r="AY257" s="816"/>
      <c r="AZ257" s="817"/>
      <c r="BA257" s="609"/>
      <c r="BB257" s="609"/>
      <c r="BC257" s="816"/>
      <c r="BD257" s="816"/>
      <c r="BE257" s="816"/>
      <c r="BF257" s="816"/>
      <c r="BG257" s="816"/>
      <c r="BH257" s="816"/>
      <c r="BI257" s="816"/>
      <c r="BJ257" s="816"/>
      <c r="BK257" s="816"/>
      <c r="BL257" s="816"/>
      <c r="BM257" s="816"/>
      <c r="BN257" s="816"/>
      <c r="BO257" s="816"/>
      <c r="BP257" s="816"/>
      <c r="BQ257" s="816"/>
      <c r="BR257" s="816"/>
      <c r="BS257" s="816"/>
      <c r="BT257" s="816"/>
      <c r="BU257" s="816"/>
      <c r="BV257" s="816"/>
      <c r="BW257" s="816"/>
      <c r="BX257" s="609"/>
      <c r="BY257" s="609"/>
      <c r="BZ257" s="609"/>
      <c r="CA257" s="818"/>
      <c r="CB257" s="816"/>
      <c r="CC257" s="816"/>
      <c r="CD257" s="816"/>
      <c r="CE257" s="816"/>
      <c r="CF257" s="816"/>
      <c r="CG257" s="816"/>
      <c r="CH257" s="816"/>
      <c r="CI257" s="816"/>
      <c r="CJ257" s="819"/>
      <c r="CK257" s="819"/>
      <c r="CL257" s="820"/>
      <c r="CM257" s="820"/>
      <c r="CN257" s="820"/>
      <c r="CO257" s="820"/>
      <c r="CP257" s="820"/>
      <c r="CQ257" s="820"/>
      <c r="CR257" s="609"/>
      <c r="CS257" s="609"/>
      <c r="CT257" s="816"/>
      <c r="CU257" s="816"/>
      <c r="CV257" s="609"/>
      <c r="CW257" s="609"/>
      <c r="CX257" s="816"/>
      <c r="CY257" s="816"/>
      <c r="CZ257" s="609"/>
      <c r="DA257" s="609"/>
      <c r="DB257" s="816"/>
      <c r="DC257" s="816"/>
      <c r="DD257" s="609"/>
      <c r="DE257" s="609"/>
      <c r="DF257" s="816"/>
      <c r="DG257" s="816"/>
      <c r="DH257" s="816"/>
      <c r="DI257" s="816"/>
      <c r="DJ257" s="816"/>
      <c r="DK257" s="816"/>
      <c r="DL257" s="609"/>
      <c r="DM257" s="609"/>
      <c r="DN257" s="816"/>
      <c r="DO257" s="816"/>
      <c r="DP257" s="609"/>
      <c r="DQ257" s="609"/>
      <c r="DR257" s="816"/>
      <c r="DS257" s="816"/>
      <c r="DT257" s="816"/>
      <c r="DU257" s="816"/>
      <c r="DV257" s="816"/>
      <c r="DW257" s="816"/>
      <c r="DX257" s="816"/>
      <c r="DY257" s="816"/>
      <c r="DZ257" s="816"/>
      <c r="EA257" s="816"/>
      <c r="EB257" s="816"/>
      <c r="EC257" s="816"/>
      <c r="ED257" s="816"/>
      <c r="EE257" s="816"/>
      <c r="EF257" s="609"/>
      <c r="EG257" s="609"/>
      <c r="EH257" s="816"/>
      <c r="EI257" s="816"/>
      <c r="EJ257" s="816"/>
      <c r="EK257" s="816"/>
      <c r="EL257" s="816"/>
      <c r="EM257" s="816"/>
      <c r="EN257" s="816"/>
      <c r="EO257" s="816"/>
      <c r="EP257" s="816"/>
      <c r="EQ257" s="816"/>
      <c r="ER257" s="816"/>
      <c r="ES257" s="816"/>
      <c r="ET257" s="816"/>
      <c r="EU257" s="816"/>
      <c r="EV257" s="609"/>
      <c r="EW257" s="609"/>
      <c r="EX257" s="816"/>
      <c r="EY257" s="816"/>
      <c r="EZ257" s="816"/>
      <c r="FA257" s="816"/>
      <c r="FB257" s="816"/>
      <c r="FC257" s="816"/>
      <c r="FD257" s="816"/>
      <c r="FE257" s="816"/>
      <c r="FF257" s="816"/>
      <c r="FG257" s="816"/>
      <c r="FH257" s="816"/>
      <c r="FI257" s="816"/>
      <c r="FJ257" s="816"/>
      <c r="FK257" s="816"/>
      <c r="FL257" s="816"/>
      <c r="FM257" s="816"/>
      <c r="FN257" s="816"/>
      <c r="FO257" s="816"/>
      <c r="FP257" s="816"/>
      <c r="FQ257" s="816"/>
      <c r="FR257" s="816"/>
      <c r="FS257" s="816"/>
      <c r="FT257" s="816"/>
      <c r="FU257" s="816"/>
      <c r="FV257" s="816"/>
      <c r="FW257" s="816"/>
      <c r="FX257" s="816"/>
      <c r="FY257" s="816"/>
      <c r="FZ257" s="819"/>
      <c r="GA257" s="816"/>
      <c r="GB257" s="820"/>
      <c r="GC257" s="820"/>
      <c r="GD257" s="820"/>
      <c r="GE257" s="820"/>
      <c r="GF257" s="609"/>
      <c r="GG257" s="609"/>
      <c r="GH257" s="816"/>
      <c r="GI257" s="816"/>
      <c r="GJ257" s="816"/>
      <c r="GK257" s="816"/>
      <c r="GL257" s="816"/>
      <c r="GM257" s="816"/>
      <c r="GN257" s="816"/>
      <c r="GO257" s="816"/>
      <c r="GP257" s="816"/>
      <c r="GQ257" s="816"/>
      <c r="GR257" s="816"/>
      <c r="GS257" s="816"/>
      <c r="GT257" s="818"/>
      <c r="GU257" s="816"/>
      <c r="GV257" s="816"/>
      <c r="GW257" s="816"/>
      <c r="GX257" s="816"/>
      <c r="GY257" s="816"/>
      <c r="GZ257" s="816"/>
      <c r="HA257" s="816"/>
      <c r="HB257" s="609"/>
      <c r="HC257" s="609"/>
      <c r="HD257" s="816"/>
      <c r="HE257" s="816"/>
      <c r="HF257" s="816"/>
      <c r="HG257" s="816"/>
      <c r="HH257" s="816"/>
      <c r="HI257" s="816"/>
      <c r="HJ257" s="609"/>
      <c r="HK257" s="609"/>
      <c r="HL257" s="609"/>
      <c r="HM257" s="816"/>
      <c r="HN257" s="816"/>
      <c r="HO257" s="609"/>
      <c r="HP257" s="609"/>
      <c r="HQ257" s="816"/>
      <c r="HR257" s="816"/>
      <c r="HS257" s="816"/>
      <c r="HT257" s="816"/>
      <c r="HU257" s="816"/>
      <c r="HV257" s="816"/>
      <c r="HW257" s="609"/>
      <c r="HX257" s="609"/>
      <c r="HY257" s="816"/>
      <c r="HZ257" s="816"/>
      <c r="IA257" s="816"/>
      <c r="IB257" s="816"/>
      <c r="IC257" s="816"/>
      <c r="ID257" s="816"/>
      <c r="IE257" s="609"/>
      <c r="IF257" s="609"/>
      <c r="IG257" s="816"/>
      <c r="IH257" s="816"/>
      <c r="II257" s="609"/>
      <c r="IJ257" s="609"/>
      <c r="IK257" s="816"/>
      <c r="IL257" s="816"/>
      <c r="IM257" s="609"/>
      <c r="IN257" s="609"/>
      <c r="IO257" s="816"/>
      <c r="IP257" s="816"/>
      <c r="IQ257" s="816"/>
      <c r="IR257" s="816"/>
      <c r="IS257" s="816"/>
      <c r="IT257" s="816"/>
      <c r="IU257" s="821"/>
      <c r="IV257" s="609"/>
      <c r="IW257" s="816"/>
      <c r="IX257" s="816"/>
      <c r="IY257" s="822"/>
      <c r="IZ257" s="609"/>
      <c r="JA257" s="816"/>
      <c r="JB257" s="816"/>
      <c r="JC257" s="609"/>
      <c r="JD257" s="816"/>
      <c r="JE257" s="816"/>
      <c r="JF257" s="816"/>
      <c r="JG257" s="816"/>
      <c r="JH257" s="816"/>
      <c r="JI257" s="816"/>
      <c r="JJ257" s="816"/>
      <c r="JK257" s="816"/>
      <c r="JL257" s="816"/>
      <c r="JM257" s="816"/>
      <c r="JN257" s="816"/>
      <c r="JO257" s="823"/>
      <c r="JP257" s="824"/>
      <c r="JQ257" s="825"/>
      <c r="JR257" s="825"/>
      <c r="JS257" s="816"/>
      <c r="JU257" s="834"/>
      <c r="JV257" s="834"/>
      <c r="JW257" s="826"/>
      <c r="JX257" s="834"/>
    </row>
    <row r="258" spans="2:284" s="780" customFormat="1">
      <c r="B258" s="609"/>
      <c r="C258" s="609"/>
      <c r="D258" s="609"/>
      <c r="E258" s="609"/>
      <c r="F258" s="609"/>
      <c r="G258" s="609"/>
      <c r="H258" s="609"/>
      <c r="I258" s="609"/>
      <c r="J258" s="609"/>
      <c r="K258" s="609"/>
      <c r="L258" s="609"/>
      <c r="M258" s="609"/>
      <c r="N258" s="609"/>
      <c r="O258" s="609"/>
      <c r="P258" s="609"/>
      <c r="Q258" s="609"/>
      <c r="R258" s="609"/>
      <c r="S258" s="609"/>
      <c r="T258" s="609"/>
      <c r="U258" s="609"/>
      <c r="V258" s="609"/>
      <c r="W258" s="609"/>
      <c r="X258" s="609"/>
      <c r="Y258" s="609"/>
      <c r="Z258" s="609"/>
      <c r="AA258" s="609"/>
      <c r="AB258" s="609"/>
      <c r="AC258" s="609"/>
      <c r="AD258" s="816"/>
      <c r="AE258" s="816"/>
      <c r="AF258" s="816"/>
      <c r="AG258" s="816"/>
      <c r="AH258" s="816"/>
      <c r="AI258" s="816"/>
      <c r="AJ258" s="609"/>
      <c r="AK258" s="609"/>
      <c r="AL258" s="816"/>
      <c r="AM258" s="816"/>
      <c r="AN258" s="609"/>
      <c r="AO258" s="609"/>
      <c r="AP258" s="816"/>
      <c r="AQ258" s="816"/>
      <c r="AR258" s="816"/>
      <c r="AS258" s="816"/>
      <c r="AT258" s="816"/>
      <c r="AU258" s="816"/>
      <c r="AV258" s="609"/>
      <c r="AW258" s="609"/>
      <c r="AX258" s="816"/>
      <c r="AY258" s="816"/>
      <c r="AZ258" s="817"/>
      <c r="BA258" s="609"/>
      <c r="BB258" s="609"/>
      <c r="BC258" s="816"/>
      <c r="BD258" s="816"/>
      <c r="BE258" s="816"/>
      <c r="BF258" s="816"/>
      <c r="BG258" s="816"/>
      <c r="BH258" s="816"/>
      <c r="BI258" s="816"/>
      <c r="BJ258" s="816"/>
      <c r="BK258" s="816"/>
      <c r="BL258" s="816"/>
      <c r="BM258" s="816"/>
      <c r="BN258" s="816"/>
      <c r="BO258" s="816"/>
      <c r="BP258" s="816"/>
      <c r="BQ258" s="816"/>
      <c r="BR258" s="816"/>
      <c r="BS258" s="816"/>
      <c r="BT258" s="816"/>
      <c r="BU258" s="816"/>
      <c r="BV258" s="816"/>
      <c r="BW258" s="816"/>
      <c r="BX258" s="609"/>
      <c r="BY258" s="609"/>
      <c r="BZ258" s="609"/>
      <c r="CA258" s="818"/>
      <c r="CB258" s="816"/>
      <c r="CC258" s="816"/>
      <c r="CD258" s="816"/>
      <c r="CE258" s="816"/>
      <c r="CF258" s="816"/>
      <c r="CG258" s="816"/>
      <c r="CH258" s="816"/>
      <c r="CI258" s="816"/>
      <c r="CJ258" s="819"/>
      <c r="CK258" s="819"/>
      <c r="CL258" s="820"/>
      <c r="CM258" s="820"/>
      <c r="CN258" s="820"/>
      <c r="CO258" s="820"/>
      <c r="CP258" s="820"/>
      <c r="CQ258" s="820"/>
      <c r="CR258" s="609"/>
      <c r="CS258" s="609"/>
      <c r="CT258" s="816"/>
      <c r="CU258" s="816"/>
      <c r="CV258" s="609"/>
      <c r="CW258" s="609"/>
      <c r="CX258" s="816"/>
      <c r="CY258" s="816"/>
      <c r="CZ258" s="609"/>
      <c r="DA258" s="609"/>
      <c r="DB258" s="816"/>
      <c r="DC258" s="816"/>
      <c r="DD258" s="609"/>
      <c r="DE258" s="609"/>
      <c r="DF258" s="816"/>
      <c r="DG258" s="816"/>
      <c r="DH258" s="816"/>
      <c r="DI258" s="816"/>
      <c r="DJ258" s="816"/>
      <c r="DK258" s="816"/>
      <c r="DL258" s="609"/>
      <c r="DM258" s="609"/>
      <c r="DN258" s="816"/>
      <c r="DO258" s="816"/>
      <c r="DP258" s="609"/>
      <c r="DQ258" s="609"/>
      <c r="DR258" s="816"/>
      <c r="DS258" s="816"/>
      <c r="DT258" s="816"/>
      <c r="DU258" s="816"/>
      <c r="DV258" s="816"/>
      <c r="DW258" s="816"/>
      <c r="DX258" s="816"/>
      <c r="DY258" s="816"/>
      <c r="DZ258" s="816"/>
      <c r="EA258" s="816"/>
      <c r="EB258" s="816"/>
      <c r="EC258" s="816"/>
      <c r="ED258" s="816"/>
      <c r="EE258" s="816"/>
      <c r="EF258" s="609"/>
      <c r="EG258" s="609"/>
      <c r="EH258" s="816"/>
      <c r="EI258" s="816"/>
      <c r="EJ258" s="816"/>
      <c r="EK258" s="816"/>
      <c r="EL258" s="816"/>
      <c r="EM258" s="816"/>
      <c r="EN258" s="816"/>
      <c r="EO258" s="816"/>
      <c r="EP258" s="816"/>
      <c r="EQ258" s="816"/>
      <c r="ER258" s="816"/>
      <c r="ES258" s="816"/>
      <c r="ET258" s="816"/>
      <c r="EU258" s="816"/>
      <c r="EV258" s="609"/>
      <c r="EW258" s="609"/>
      <c r="EX258" s="816"/>
      <c r="EY258" s="816"/>
      <c r="EZ258" s="816"/>
      <c r="FA258" s="816"/>
      <c r="FB258" s="816"/>
      <c r="FC258" s="816"/>
      <c r="FD258" s="816"/>
      <c r="FE258" s="816"/>
      <c r="FF258" s="816"/>
      <c r="FG258" s="816"/>
      <c r="FH258" s="816"/>
      <c r="FI258" s="816"/>
      <c r="FJ258" s="816"/>
      <c r="FK258" s="816"/>
      <c r="FL258" s="816"/>
      <c r="FM258" s="816"/>
      <c r="FN258" s="816"/>
      <c r="FO258" s="816"/>
      <c r="FP258" s="816"/>
      <c r="FQ258" s="816"/>
      <c r="FR258" s="816"/>
      <c r="FS258" s="816"/>
      <c r="FT258" s="816"/>
      <c r="FU258" s="816"/>
      <c r="FV258" s="816"/>
      <c r="FW258" s="816"/>
      <c r="FX258" s="816"/>
      <c r="FY258" s="816"/>
      <c r="FZ258" s="819"/>
      <c r="GA258" s="816"/>
      <c r="GB258" s="820"/>
      <c r="GC258" s="820"/>
      <c r="GD258" s="820"/>
      <c r="GE258" s="820"/>
      <c r="GF258" s="609"/>
      <c r="GG258" s="609"/>
      <c r="GH258" s="816"/>
      <c r="GI258" s="816"/>
      <c r="GJ258" s="816"/>
      <c r="GK258" s="816"/>
      <c r="GL258" s="816"/>
      <c r="GM258" s="816"/>
      <c r="GN258" s="816"/>
      <c r="GO258" s="816"/>
      <c r="GP258" s="816"/>
      <c r="GQ258" s="816"/>
      <c r="GR258" s="816"/>
      <c r="GS258" s="816"/>
      <c r="GT258" s="818"/>
      <c r="GU258" s="816"/>
      <c r="GV258" s="816"/>
      <c r="GW258" s="816"/>
      <c r="GX258" s="816"/>
      <c r="GY258" s="816"/>
      <c r="GZ258" s="816"/>
      <c r="HA258" s="816"/>
      <c r="HB258" s="609"/>
      <c r="HC258" s="609"/>
      <c r="HD258" s="816"/>
      <c r="HE258" s="816"/>
      <c r="HF258" s="816"/>
      <c r="HG258" s="816"/>
      <c r="HH258" s="816"/>
      <c r="HI258" s="816"/>
      <c r="HJ258" s="609"/>
      <c r="HK258" s="609"/>
      <c r="HL258" s="609"/>
      <c r="HM258" s="816"/>
      <c r="HN258" s="816"/>
      <c r="HO258" s="609"/>
      <c r="HP258" s="609"/>
      <c r="HQ258" s="816"/>
      <c r="HR258" s="816"/>
      <c r="HS258" s="816"/>
      <c r="HT258" s="816"/>
      <c r="HU258" s="816"/>
      <c r="HV258" s="816"/>
      <c r="HW258" s="609"/>
      <c r="HX258" s="609"/>
      <c r="HY258" s="816"/>
      <c r="HZ258" s="816"/>
      <c r="IA258" s="816"/>
      <c r="IB258" s="816"/>
      <c r="IC258" s="816"/>
      <c r="ID258" s="816"/>
      <c r="IE258" s="609"/>
      <c r="IF258" s="609"/>
      <c r="IG258" s="816"/>
      <c r="IH258" s="816"/>
      <c r="II258" s="609"/>
      <c r="IJ258" s="609"/>
      <c r="IK258" s="816"/>
      <c r="IL258" s="816"/>
      <c r="IM258" s="609"/>
      <c r="IN258" s="609"/>
      <c r="IO258" s="816"/>
      <c r="IP258" s="816"/>
      <c r="IQ258" s="816"/>
      <c r="IR258" s="816"/>
      <c r="IS258" s="816"/>
      <c r="IT258" s="816"/>
      <c r="IU258" s="821"/>
      <c r="IV258" s="609"/>
      <c r="IW258" s="816"/>
      <c r="IX258" s="816"/>
      <c r="IY258" s="822"/>
      <c r="IZ258" s="609"/>
      <c r="JA258" s="816"/>
      <c r="JB258" s="816"/>
      <c r="JC258" s="609"/>
      <c r="JD258" s="816"/>
      <c r="JE258" s="816"/>
      <c r="JF258" s="816"/>
      <c r="JG258" s="816"/>
      <c r="JH258" s="816"/>
      <c r="JI258" s="816"/>
      <c r="JJ258" s="816"/>
      <c r="JK258" s="816"/>
      <c r="JL258" s="816"/>
      <c r="JM258" s="816"/>
      <c r="JN258" s="816"/>
      <c r="JO258" s="823"/>
      <c r="JP258" s="824"/>
      <c r="JQ258" s="825"/>
      <c r="JR258" s="825"/>
      <c r="JS258" s="816"/>
      <c r="JU258" s="834"/>
      <c r="JV258" s="834"/>
      <c r="JW258" s="826"/>
      <c r="JX258" s="834"/>
    </row>
    <row r="259" spans="2:284" s="780" customFormat="1">
      <c r="B259" s="609"/>
      <c r="C259" s="609"/>
      <c r="D259" s="609"/>
      <c r="E259" s="609"/>
      <c r="F259" s="609"/>
      <c r="G259" s="609"/>
      <c r="H259" s="609"/>
      <c r="I259" s="609"/>
      <c r="J259" s="609"/>
      <c r="K259" s="609"/>
      <c r="L259" s="609"/>
      <c r="M259" s="609"/>
      <c r="N259" s="609"/>
      <c r="O259" s="609"/>
      <c r="P259" s="609"/>
      <c r="Q259" s="609"/>
      <c r="R259" s="609"/>
      <c r="S259" s="609"/>
      <c r="T259" s="609"/>
      <c r="U259" s="609"/>
      <c r="V259" s="609"/>
      <c r="W259" s="609"/>
      <c r="X259" s="609"/>
      <c r="Y259" s="609"/>
      <c r="Z259" s="609"/>
      <c r="AA259" s="609"/>
      <c r="AB259" s="609"/>
      <c r="AC259" s="609"/>
      <c r="AD259" s="816"/>
      <c r="AE259" s="816"/>
      <c r="AF259" s="816"/>
      <c r="AG259" s="816"/>
      <c r="AH259" s="816"/>
      <c r="AI259" s="816"/>
      <c r="AJ259" s="609"/>
      <c r="AK259" s="609"/>
      <c r="AL259" s="816"/>
      <c r="AM259" s="816"/>
      <c r="AN259" s="609"/>
      <c r="AO259" s="609"/>
      <c r="AP259" s="816"/>
      <c r="AQ259" s="816"/>
      <c r="AR259" s="816"/>
      <c r="AS259" s="816"/>
      <c r="AT259" s="816"/>
      <c r="AU259" s="816"/>
      <c r="AV259" s="609"/>
      <c r="AW259" s="609"/>
      <c r="AX259" s="816"/>
      <c r="AY259" s="816"/>
      <c r="AZ259" s="817"/>
      <c r="BA259" s="609"/>
      <c r="BB259" s="609"/>
      <c r="BC259" s="816"/>
      <c r="BD259" s="816"/>
      <c r="BE259" s="816"/>
      <c r="BF259" s="816"/>
      <c r="BG259" s="816"/>
      <c r="BH259" s="816"/>
      <c r="BI259" s="816"/>
      <c r="BJ259" s="816"/>
      <c r="BK259" s="816"/>
      <c r="BL259" s="816"/>
      <c r="BM259" s="816"/>
      <c r="BN259" s="816"/>
      <c r="BO259" s="816"/>
      <c r="BP259" s="816"/>
      <c r="BQ259" s="816"/>
      <c r="BR259" s="816"/>
      <c r="BS259" s="816"/>
      <c r="BT259" s="816"/>
      <c r="BU259" s="816"/>
      <c r="BV259" s="816"/>
      <c r="BW259" s="816"/>
      <c r="BX259" s="609"/>
      <c r="BY259" s="609"/>
      <c r="BZ259" s="609"/>
      <c r="CA259" s="818"/>
      <c r="CB259" s="816"/>
      <c r="CC259" s="816"/>
      <c r="CD259" s="816"/>
      <c r="CE259" s="816"/>
      <c r="CF259" s="816"/>
      <c r="CG259" s="816"/>
      <c r="CH259" s="816"/>
      <c r="CI259" s="816"/>
      <c r="CJ259" s="819"/>
      <c r="CK259" s="819"/>
      <c r="CL259" s="820"/>
      <c r="CM259" s="820"/>
      <c r="CN259" s="820"/>
      <c r="CO259" s="820"/>
      <c r="CP259" s="820"/>
      <c r="CQ259" s="820"/>
      <c r="CR259" s="609"/>
      <c r="CS259" s="609"/>
      <c r="CT259" s="816"/>
      <c r="CU259" s="816"/>
      <c r="CV259" s="609"/>
      <c r="CW259" s="609"/>
      <c r="CX259" s="816"/>
      <c r="CY259" s="816"/>
      <c r="CZ259" s="609"/>
      <c r="DA259" s="609"/>
      <c r="DB259" s="816"/>
      <c r="DC259" s="816"/>
      <c r="DD259" s="609"/>
      <c r="DE259" s="609"/>
      <c r="DF259" s="816"/>
      <c r="DG259" s="816"/>
      <c r="DH259" s="816"/>
      <c r="DI259" s="816"/>
      <c r="DJ259" s="816"/>
      <c r="DK259" s="816"/>
      <c r="DL259" s="609"/>
      <c r="DM259" s="609"/>
      <c r="DN259" s="816"/>
      <c r="DO259" s="816"/>
      <c r="DP259" s="609"/>
      <c r="DQ259" s="609"/>
      <c r="DR259" s="816"/>
      <c r="DS259" s="816"/>
      <c r="DT259" s="816"/>
      <c r="DU259" s="816"/>
      <c r="DV259" s="816"/>
      <c r="DW259" s="816"/>
      <c r="DX259" s="816"/>
      <c r="DY259" s="816"/>
      <c r="DZ259" s="816"/>
      <c r="EA259" s="816"/>
      <c r="EB259" s="816"/>
      <c r="EC259" s="816"/>
      <c r="ED259" s="816"/>
      <c r="EE259" s="816"/>
      <c r="EF259" s="609"/>
      <c r="EG259" s="609"/>
      <c r="EH259" s="816"/>
      <c r="EI259" s="816"/>
      <c r="EJ259" s="816"/>
      <c r="EK259" s="816"/>
      <c r="EL259" s="816"/>
      <c r="EM259" s="816"/>
      <c r="EN259" s="816"/>
      <c r="EO259" s="816"/>
      <c r="EP259" s="816"/>
      <c r="EQ259" s="816"/>
      <c r="ER259" s="816"/>
      <c r="ES259" s="816"/>
      <c r="ET259" s="816"/>
      <c r="EU259" s="816"/>
      <c r="EV259" s="609"/>
      <c r="EW259" s="609"/>
      <c r="EX259" s="816"/>
      <c r="EY259" s="816"/>
      <c r="EZ259" s="816"/>
      <c r="FA259" s="816"/>
      <c r="FB259" s="816"/>
      <c r="FC259" s="816"/>
      <c r="FD259" s="816"/>
      <c r="FE259" s="816"/>
      <c r="FF259" s="816"/>
      <c r="FG259" s="816"/>
      <c r="FH259" s="816"/>
      <c r="FI259" s="816"/>
      <c r="FJ259" s="816"/>
      <c r="FK259" s="816"/>
      <c r="FL259" s="816"/>
      <c r="FM259" s="816"/>
      <c r="FN259" s="816"/>
      <c r="FO259" s="816"/>
      <c r="FP259" s="816"/>
      <c r="FQ259" s="816"/>
      <c r="FR259" s="816"/>
      <c r="FS259" s="816"/>
      <c r="FT259" s="816"/>
      <c r="FU259" s="816"/>
      <c r="FV259" s="816"/>
      <c r="FW259" s="816"/>
      <c r="FX259" s="816"/>
      <c r="FY259" s="816"/>
      <c r="FZ259" s="819"/>
      <c r="GA259" s="816"/>
      <c r="GB259" s="820"/>
      <c r="GC259" s="820"/>
      <c r="GD259" s="820"/>
      <c r="GE259" s="820"/>
      <c r="GF259" s="609"/>
      <c r="GG259" s="609"/>
      <c r="GH259" s="816"/>
      <c r="GI259" s="816"/>
      <c r="GJ259" s="816"/>
      <c r="GK259" s="816"/>
      <c r="GL259" s="816"/>
      <c r="GM259" s="816"/>
      <c r="GN259" s="816"/>
      <c r="GO259" s="816"/>
      <c r="GP259" s="816"/>
      <c r="GQ259" s="816"/>
      <c r="GR259" s="816"/>
      <c r="GS259" s="816"/>
      <c r="GT259" s="818"/>
      <c r="GU259" s="816"/>
      <c r="GV259" s="816"/>
      <c r="GW259" s="816"/>
      <c r="GX259" s="816"/>
      <c r="GY259" s="816"/>
      <c r="GZ259" s="816"/>
      <c r="HA259" s="816"/>
      <c r="HB259" s="609"/>
      <c r="HC259" s="609"/>
      <c r="HD259" s="816"/>
      <c r="HE259" s="816"/>
      <c r="HF259" s="816"/>
      <c r="HG259" s="816"/>
      <c r="HH259" s="816"/>
      <c r="HI259" s="816"/>
      <c r="HJ259" s="609"/>
      <c r="HK259" s="609"/>
      <c r="HL259" s="609"/>
      <c r="HM259" s="816"/>
      <c r="HN259" s="816"/>
      <c r="HO259" s="609"/>
      <c r="HP259" s="609"/>
      <c r="HQ259" s="816"/>
      <c r="HR259" s="816"/>
      <c r="HS259" s="816"/>
      <c r="HT259" s="816"/>
      <c r="HU259" s="816"/>
      <c r="HV259" s="816"/>
      <c r="HW259" s="609"/>
      <c r="HX259" s="609"/>
      <c r="HY259" s="816"/>
      <c r="HZ259" s="816"/>
      <c r="IA259" s="816"/>
      <c r="IB259" s="816"/>
      <c r="IC259" s="816"/>
      <c r="ID259" s="816"/>
      <c r="IE259" s="609"/>
      <c r="IF259" s="609"/>
      <c r="IG259" s="816"/>
      <c r="IH259" s="816"/>
      <c r="II259" s="609"/>
      <c r="IJ259" s="609"/>
      <c r="IK259" s="816"/>
      <c r="IL259" s="816"/>
      <c r="IM259" s="609"/>
      <c r="IN259" s="609"/>
      <c r="IO259" s="816"/>
      <c r="IP259" s="816"/>
      <c r="IQ259" s="816"/>
      <c r="IR259" s="816"/>
      <c r="IS259" s="816"/>
      <c r="IT259" s="816"/>
      <c r="IU259" s="821"/>
      <c r="IV259" s="609"/>
      <c r="IW259" s="816"/>
      <c r="IX259" s="816"/>
      <c r="IY259" s="822"/>
      <c r="IZ259" s="609"/>
      <c r="JA259" s="816"/>
      <c r="JB259" s="816"/>
      <c r="JC259" s="609"/>
      <c r="JD259" s="816"/>
      <c r="JE259" s="816"/>
      <c r="JF259" s="816"/>
      <c r="JG259" s="816"/>
      <c r="JH259" s="816"/>
      <c r="JI259" s="816"/>
      <c r="JJ259" s="816"/>
      <c r="JK259" s="816"/>
      <c r="JL259" s="816"/>
      <c r="JM259" s="816"/>
      <c r="JN259" s="816"/>
      <c r="JO259" s="823"/>
      <c r="JP259" s="824"/>
      <c r="JQ259" s="825"/>
      <c r="JR259" s="825"/>
      <c r="JS259" s="816"/>
      <c r="JU259" s="834"/>
      <c r="JV259" s="834"/>
      <c r="JW259" s="826"/>
      <c r="JX259" s="834"/>
    </row>
    <row r="260" spans="2:284" s="780" customFormat="1">
      <c r="B260" s="609"/>
      <c r="C260" s="609"/>
      <c r="D260" s="609"/>
      <c r="E260" s="609"/>
      <c r="F260" s="609"/>
      <c r="G260" s="609"/>
      <c r="H260" s="609"/>
      <c r="I260" s="609"/>
      <c r="J260" s="609"/>
      <c r="K260" s="609"/>
      <c r="L260" s="609"/>
      <c r="M260" s="609"/>
      <c r="N260" s="609"/>
      <c r="O260" s="609"/>
      <c r="P260" s="609"/>
      <c r="Q260" s="609"/>
      <c r="R260" s="609"/>
      <c r="S260" s="609"/>
      <c r="T260" s="609"/>
      <c r="U260" s="609"/>
      <c r="V260" s="609"/>
      <c r="W260" s="609"/>
      <c r="X260" s="609"/>
      <c r="Y260" s="609"/>
      <c r="Z260" s="609"/>
      <c r="AA260" s="609"/>
      <c r="AB260" s="609"/>
      <c r="AC260" s="609"/>
      <c r="AD260" s="816"/>
      <c r="AE260" s="816"/>
      <c r="AF260" s="816"/>
      <c r="AG260" s="816"/>
      <c r="AH260" s="816"/>
      <c r="AI260" s="816"/>
      <c r="AJ260" s="609"/>
      <c r="AK260" s="609"/>
      <c r="AL260" s="816"/>
      <c r="AM260" s="816"/>
      <c r="AN260" s="609"/>
      <c r="AO260" s="609"/>
      <c r="AP260" s="816"/>
      <c r="AQ260" s="816"/>
      <c r="AR260" s="816"/>
      <c r="AS260" s="816"/>
      <c r="AT260" s="816"/>
      <c r="AU260" s="816"/>
      <c r="AV260" s="609"/>
      <c r="AW260" s="609"/>
      <c r="AX260" s="816"/>
      <c r="AY260" s="816"/>
      <c r="AZ260" s="817"/>
      <c r="BA260" s="609"/>
      <c r="BB260" s="609"/>
      <c r="BC260" s="816"/>
      <c r="BD260" s="816"/>
      <c r="BE260" s="816"/>
      <c r="BF260" s="816"/>
      <c r="BG260" s="816"/>
      <c r="BH260" s="816"/>
      <c r="BI260" s="816"/>
      <c r="BJ260" s="816"/>
      <c r="BK260" s="816"/>
      <c r="BL260" s="816"/>
      <c r="BM260" s="816"/>
      <c r="BN260" s="816"/>
      <c r="BO260" s="816"/>
      <c r="BP260" s="816"/>
      <c r="BQ260" s="816"/>
      <c r="BR260" s="816"/>
      <c r="BS260" s="816"/>
      <c r="BT260" s="816"/>
      <c r="BU260" s="816"/>
      <c r="BV260" s="816"/>
      <c r="BW260" s="816"/>
      <c r="BX260" s="609"/>
      <c r="BY260" s="609"/>
      <c r="BZ260" s="609"/>
      <c r="CA260" s="818"/>
      <c r="CB260" s="816"/>
      <c r="CC260" s="816"/>
      <c r="CD260" s="816"/>
      <c r="CE260" s="816"/>
      <c r="CF260" s="816"/>
      <c r="CG260" s="816"/>
      <c r="CH260" s="816"/>
      <c r="CI260" s="816"/>
      <c r="CJ260" s="819"/>
      <c r="CK260" s="819"/>
      <c r="CL260" s="820"/>
      <c r="CM260" s="820"/>
      <c r="CN260" s="820"/>
      <c r="CO260" s="820"/>
      <c r="CP260" s="820"/>
      <c r="CQ260" s="820"/>
      <c r="CR260" s="609"/>
      <c r="CS260" s="609"/>
      <c r="CT260" s="816"/>
      <c r="CU260" s="816"/>
      <c r="CV260" s="609"/>
      <c r="CW260" s="609"/>
      <c r="CX260" s="816"/>
      <c r="CY260" s="816"/>
      <c r="CZ260" s="609"/>
      <c r="DA260" s="609"/>
      <c r="DB260" s="816"/>
      <c r="DC260" s="816"/>
      <c r="DD260" s="609"/>
      <c r="DE260" s="609"/>
      <c r="DF260" s="816"/>
      <c r="DG260" s="816"/>
      <c r="DH260" s="816"/>
      <c r="DI260" s="816"/>
      <c r="DJ260" s="816"/>
      <c r="DK260" s="816"/>
      <c r="DL260" s="609"/>
      <c r="DM260" s="609"/>
      <c r="DN260" s="816"/>
      <c r="DO260" s="816"/>
      <c r="DP260" s="609"/>
      <c r="DQ260" s="609"/>
      <c r="DR260" s="816"/>
      <c r="DS260" s="816"/>
      <c r="DT260" s="816"/>
      <c r="DU260" s="816"/>
      <c r="DV260" s="816"/>
      <c r="DW260" s="816"/>
      <c r="DX260" s="816"/>
      <c r="DY260" s="816"/>
      <c r="DZ260" s="816"/>
      <c r="EA260" s="816"/>
      <c r="EB260" s="816"/>
      <c r="EC260" s="816"/>
      <c r="ED260" s="816"/>
      <c r="EE260" s="816"/>
      <c r="EF260" s="609"/>
      <c r="EG260" s="609"/>
      <c r="EH260" s="816"/>
      <c r="EI260" s="816"/>
      <c r="EJ260" s="816"/>
      <c r="EK260" s="816"/>
      <c r="EL260" s="816"/>
      <c r="EM260" s="816"/>
      <c r="EN260" s="816"/>
      <c r="EO260" s="816"/>
      <c r="EP260" s="816"/>
      <c r="EQ260" s="816"/>
      <c r="ER260" s="816"/>
      <c r="ES260" s="816"/>
      <c r="ET260" s="816"/>
      <c r="EU260" s="816"/>
      <c r="EV260" s="609"/>
      <c r="EW260" s="609"/>
      <c r="EX260" s="816"/>
      <c r="EY260" s="816"/>
      <c r="EZ260" s="816"/>
      <c r="FA260" s="816"/>
      <c r="FB260" s="816"/>
      <c r="FC260" s="816"/>
      <c r="FD260" s="816"/>
      <c r="FE260" s="816"/>
      <c r="FF260" s="816"/>
      <c r="FG260" s="816"/>
      <c r="FH260" s="816"/>
      <c r="FI260" s="816"/>
      <c r="FJ260" s="816"/>
      <c r="FK260" s="816"/>
      <c r="FL260" s="816"/>
      <c r="FM260" s="816"/>
      <c r="FN260" s="816"/>
      <c r="FO260" s="816"/>
      <c r="FP260" s="816"/>
      <c r="FQ260" s="816"/>
      <c r="FR260" s="816"/>
      <c r="FS260" s="816"/>
      <c r="FT260" s="816"/>
      <c r="FU260" s="816"/>
      <c r="FV260" s="816"/>
      <c r="FW260" s="816"/>
      <c r="FX260" s="816"/>
      <c r="FY260" s="816"/>
      <c r="FZ260" s="819"/>
      <c r="GA260" s="816"/>
      <c r="GB260" s="820"/>
      <c r="GC260" s="820"/>
      <c r="GD260" s="820"/>
      <c r="GE260" s="820"/>
      <c r="GF260" s="609"/>
      <c r="GG260" s="609"/>
      <c r="GH260" s="816"/>
      <c r="GI260" s="816"/>
      <c r="GJ260" s="816"/>
      <c r="GK260" s="816"/>
      <c r="GL260" s="816"/>
      <c r="GM260" s="816"/>
      <c r="GN260" s="816"/>
      <c r="GO260" s="816"/>
      <c r="GP260" s="816"/>
      <c r="GQ260" s="816"/>
      <c r="GR260" s="816"/>
      <c r="GS260" s="816"/>
      <c r="GT260" s="818"/>
      <c r="GU260" s="816"/>
      <c r="GV260" s="816"/>
      <c r="GW260" s="816"/>
      <c r="GX260" s="816"/>
      <c r="GY260" s="816"/>
      <c r="GZ260" s="816"/>
      <c r="HA260" s="816"/>
      <c r="HB260" s="609"/>
      <c r="HC260" s="609"/>
      <c r="HD260" s="816"/>
      <c r="HE260" s="816"/>
      <c r="HF260" s="816"/>
      <c r="HG260" s="816"/>
      <c r="HH260" s="816"/>
      <c r="HI260" s="816"/>
      <c r="HJ260" s="609"/>
      <c r="HK260" s="609"/>
      <c r="HL260" s="609"/>
      <c r="HM260" s="816"/>
      <c r="HN260" s="816"/>
      <c r="HO260" s="609"/>
      <c r="HP260" s="609"/>
      <c r="HQ260" s="816"/>
      <c r="HR260" s="816"/>
      <c r="HS260" s="816"/>
      <c r="HT260" s="816"/>
      <c r="HU260" s="816"/>
      <c r="HV260" s="816"/>
      <c r="HW260" s="609"/>
      <c r="HX260" s="609"/>
      <c r="HY260" s="816"/>
      <c r="HZ260" s="816"/>
      <c r="IA260" s="816"/>
      <c r="IB260" s="816"/>
      <c r="IC260" s="816"/>
      <c r="ID260" s="816"/>
      <c r="IE260" s="609"/>
      <c r="IF260" s="609"/>
      <c r="IG260" s="816"/>
      <c r="IH260" s="816"/>
      <c r="II260" s="609"/>
      <c r="IJ260" s="609"/>
      <c r="IK260" s="816"/>
      <c r="IL260" s="816"/>
      <c r="IM260" s="609"/>
      <c r="IN260" s="609"/>
      <c r="IO260" s="816"/>
      <c r="IP260" s="816"/>
      <c r="IQ260" s="816"/>
      <c r="IR260" s="816"/>
      <c r="IS260" s="816"/>
      <c r="IT260" s="816"/>
      <c r="IU260" s="821"/>
      <c r="IV260" s="609"/>
      <c r="IW260" s="816"/>
      <c r="IX260" s="816"/>
      <c r="IY260" s="822"/>
      <c r="IZ260" s="609"/>
      <c r="JA260" s="816"/>
      <c r="JB260" s="816"/>
      <c r="JC260" s="609"/>
      <c r="JD260" s="816"/>
      <c r="JE260" s="816"/>
      <c r="JF260" s="816"/>
      <c r="JG260" s="816"/>
      <c r="JH260" s="816"/>
      <c r="JI260" s="816"/>
      <c r="JJ260" s="816"/>
      <c r="JK260" s="816"/>
      <c r="JL260" s="816"/>
      <c r="JM260" s="816"/>
      <c r="JN260" s="816"/>
      <c r="JO260" s="823"/>
      <c r="JP260" s="824"/>
      <c r="JQ260" s="825"/>
      <c r="JR260" s="825"/>
      <c r="JS260" s="816"/>
      <c r="JU260" s="834"/>
      <c r="JV260" s="834"/>
      <c r="JW260" s="826"/>
      <c r="JX260" s="834"/>
    </row>
    <row r="261" spans="2:284" s="780" customFormat="1">
      <c r="B261" s="609"/>
      <c r="C261" s="609"/>
      <c r="D261" s="609"/>
      <c r="E261" s="609"/>
      <c r="F261" s="609"/>
      <c r="G261" s="609"/>
      <c r="H261" s="609"/>
      <c r="I261" s="609"/>
      <c r="J261" s="609"/>
      <c r="K261" s="609"/>
      <c r="L261" s="609"/>
      <c r="M261" s="609"/>
      <c r="N261" s="609"/>
      <c r="O261" s="609"/>
      <c r="P261" s="609"/>
      <c r="Q261" s="609"/>
      <c r="R261" s="609"/>
      <c r="S261" s="609"/>
      <c r="T261" s="609"/>
      <c r="U261" s="609"/>
      <c r="V261" s="609"/>
      <c r="W261" s="609"/>
      <c r="X261" s="609"/>
      <c r="Y261" s="609"/>
      <c r="Z261" s="609"/>
      <c r="AA261" s="609"/>
      <c r="AB261" s="609"/>
      <c r="AC261" s="609"/>
      <c r="AD261" s="816"/>
      <c r="AE261" s="816"/>
      <c r="AF261" s="816"/>
      <c r="AG261" s="816"/>
      <c r="AH261" s="816"/>
      <c r="AI261" s="816"/>
      <c r="AJ261" s="609"/>
      <c r="AK261" s="609"/>
      <c r="AL261" s="816"/>
      <c r="AM261" s="816"/>
      <c r="AN261" s="609"/>
      <c r="AO261" s="609"/>
      <c r="AP261" s="816"/>
      <c r="AQ261" s="816"/>
      <c r="AR261" s="816"/>
      <c r="AS261" s="816"/>
      <c r="AT261" s="816"/>
      <c r="AU261" s="816"/>
      <c r="AV261" s="609"/>
      <c r="AW261" s="609"/>
      <c r="AX261" s="816"/>
      <c r="AY261" s="816"/>
      <c r="AZ261" s="817"/>
      <c r="BA261" s="609"/>
      <c r="BB261" s="609"/>
      <c r="BC261" s="816"/>
      <c r="BD261" s="816"/>
      <c r="BE261" s="816"/>
      <c r="BF261" s="816"/>
      <c r="BG261" s="816"/>
      <c r="BH261" s="816"/>
      <c r="BI261" s="816"/>
      <c r="BJ261" s="816"/>
      <c r="BK261" s="816"/>
      <c r="BL261" s="816"/>
      <c r="BM261" s="816"/>
      <c r="BN261" s="816"/>
      <c r="BO261" s="816"/>
      <c r="BP261" s="816"/>
      <c r="BQ261" s="816"/>
      <c r="BR261" s="816"/>
      <c r="BS261" s="816"/>
      <c r="BT261" s="816"/>
      <c r="BU261" s="816"/>
      <c r="BV261" s="816"/>
      <c r="BW261" s="816"/>
      <c r="BX261" s="609"/>
      <c r="BY261" s="609"/>
      <c r="BZ261" s="609"/>
      <c r="CA261" s="818"/>
      <c r="CB261" s="816"/>
      <c r="CC261" s="816"/>
      <c r="CD261" s="816"/>
      <c r="CE261" s="816"/>
      <c r="CF261" s="816"/>
      <c r="CG261" s="816"/>
      <c r="CH261" s="816"/>
      <c r="CI261" s="816"/>
      <c r="CJ261" s="819"/>
      <c r="CK261" s="819"/>
      <c r="CL261" s="820"/>
      <c r="CM261" s="820"/>
      <c r="CN261" s="820"/>
      <c r="CO261" s="820"/>
      <c r="CP261" s="820"/>
      <c r="CQ261" s="820"/>
      <c r="CR261" s="609"/>
      <c r="CS261" s="609"/>
      <c r="CT261" s="816"/>
      <c r="CU261" s="816"/>
      <c r="CV261" s="609"/>
      <c r="CW261" s="609"/>
      <c r="CX261" s="816"/>
      <c r="CY261" s="816"/>
      <c r="CZ261" s="609"/>
      <c r="DA261" s="609"/>
      <c r="DB261" s="816"/>
      <c r="DC261" s="816"/>
      <c r="DD261" s="609"/>
      <c r="DE261" s="609"/>
      <c r="DF261" s="816"/>
      <c r="DG261" s="816"/>
      <c r="DH261" s="816"/>
      <c r="DI261" s="816"/>
      <c r="DJ261" s="816"/>
      <c r="DK261" s="816"/>
      <c r="DL261" s="609"/>
      <c r="DM261" s="609"/>
      <c r="DN261" s="816"/>
      <c r="DO261" s="816"/>
      <c r="DP261" s="609"/>
      <c r="DQ261" s="609"/>
      <c r="DR261" s="816"/>
      <c r="DS261" s="816"/>
      <c r="DT261" s="816"/>
      <c r="DU261" s="816"/>
      <c r="DV261" s="816"/>
      <c r="DW261" s="816"/>
      <c r="DX261" s="816"/>
      <c r="DY261" s="816"/>
      <c r="DZ261" s="816"/>
      <c r="EA261" s="816"/>
      <c r="EB261" s="816"/>
      <c r="EC261" s="816"/>
      <c r="ED261" s="816"/>
      <c r="EE261" s="816"/>
      <c r="EF261" s="609"/>
      <c r="EG261" s="609"/>
      <c r="EH261" s="816"/>
      <c r="EI261" s="816"/>
      <c r="EJ261" s="816"/>
      <c r="EK261" s="816"/>
      <c r="EL261" s="816"/>
      <c r="EM261" s="816"/>
      <c r="EN261" s="816"/>
      <c r="EO261" s="816"/>
      <c r="EP261" s="816"/>
      <c r="EQ261" s="816"/>
      <c r="ER261" s="816"/>
      <c r="ES261" s="816"/>
      <c r="ET261" s="816"/>
      <c r="EU261" s="816"/>
      <c r="EV261" s="609"/>
      <c r="EW261" s="609"/>
      <c r="EX261" s="816"/>
      <c r="EY261" s="816"/>
      <c r="EZ261" s="816"/>
      <c r="FA261" s="816"/>
      <c r="FB261" s="816"/>
      <c r="FC261" s="816"/>
      <c r="FD261" s="816"/>
      <c r="FE261" s="816"/>
      <c r="FF261" s="816"/>
      <c r="FG261" s="816"/>
      <c r="FH261" s="816"/>
      <c r="FI261" s="816"/>
      <c r="FJ261" s="816"/>
      <c r="FK261" s="816"/>
      <c r="FL261" s="816"/>
      <c r="FM261" s="816"/>
      <c r="FN261" s="816"/>
      <c r="FO261" s="816"/>
      <c r="FP261" s="816"/>
      <c r="FQ261" s="816"/>
      <c r="FR261" s="816"/>
      <c r="FS261" s="816"/>
      <c r="FT261" s="816"/>
      <c r="FU261" s="816"/>
      <c r="FV261" s="816"/>
      <c r="FW261" s="816"/>
      <c r="FX261" s="816"/>
      <c r="FY261" s="816"/>
      <c r="FZ261" s="819"/>
      <c r="GA261" s="816"/>
      <c r="GB261" s="820"/>
      <c r="GC261" s="820"/>
      <c r="GD261" s="820"/>
      <c r="GE261" s="820"/>
      <c r="GF261" s="609"/>
      <c r="GG261" s="609"/>
      <c r="GH261" s="816"/>
      <c r="GI261" s="816"/>
      <c r="GJ261" s="816"/>
      <c r="GK261" s="816"/>
      <c r="GL261" s="816"/>
      <c r="GM261" s="816"/>
      <c r="GN261" s="816"/>
      <c r="GO261" s="816"/>
      <c r="GP261" s="816"/>
      <c r="GQ261" s="816"/>
      <c r="GR261" s="816"/>
      <c r="GS261" s="816"/>
      <c r="GT261" s="818"/>
      <c r="GU261" s="816"/>
      <c r="GV261" s="816"/>
      <c r="GW261" s="816"/>
      <c r="GX261" s="816"/>
      <c r="GY261" s="816"/>
      <c r="GZ261" s="816"/>
      <c r="HA261" s="816"/>
      <c r="HB261" s="609"/>
      <c r="HC261" s="609"/>
      <c r="HD261" s="816"/>
      <c r="HE261" s="816"/>
      <c r="HF261" s="816"/>
      <c r="HG261" s="816"/>
      <c r="HH261" s="816"/>
      <c r="HI261" s="816"/>
      <c r="HJ261" s="609"/>
      <c r="HK261" s="609"/>
      <c r="HL261" s="609"/>
      <c r="HM261" s="816"/>
      <c r="HN261" s="816"/>
      <c r="HO261" s="609"/>
      <c r="HP261" s="609"/>
      <c r="HQ261" s="816"/>
      <c r="HR261" s="816"/>
      <c r="HS261" s="816"/>
      <c r="HT261" s="816"/>
      <c r="HU261" s="816"/>
      <c r="HV261" s="816"/>
      <c r="HW261" s="609"/>
      <c r="HX261" s="609"/>
      <c r="HY261" s="816"/>
      <c r="HZ261" s="816"/>
      <c r="IA261" s="816"/>
      <c r="IB261" s="816"/>
      <c r="IC261" s="816"/>
      <c r="ID261" s="816"/>
      <c r="IE261" s="609"/>
      <c r="IF261" s="609"/>
      <c r="IG261" s="816"/>
      <c r="IH261" s="816"/>
      <c r="II261" s="609"/>
      <c r="IJ261" s="609"/>
      <c r="IK261" s="816"/>
      <c r="IL261" s="816"/>
      <c r="IM261" s="609"/>
      <c r="IN261" s="609"/>
      <c r="IO261" s="816"/>
      <c r="IP261" s="816"/>
      <c r="IQ261" s="816"/>
      <c r="IR261" s="816"/>
      <c r="IS261" s="816"/>
      <c r="IT261" s="816"/>
      <c r="IU261" s="821"/>
      <c r="IV261" s="609"/>
      <c r="IW261" s="816"/>
      <c r="IX261" s="816"/>
      <c r="IY261" s="822"/>
      <c r="IZ261" s="609"/>
      <c r="JA261" s="816"/>
      <c r="JB261" s="816"/>
      <c r="JC261" s="609"/>
      <c r="JD261" s="816"/>
      <c r="JE261" s="816"/>
      <c r="JF261" s="816"/>
      <c r="JG261" s="816"/>
      <c r="JH261" s="816"/>
      <c r="JI261" s="816"/>
      <c r="JJ261" s="816"/>
      <c r="JK261" s="816"/>
      <c r="JL261" s="816"/>
      <c r="JM261" s="816"/>
      <c r="JN261" s="816"/>
      <c r="JO261" s="823"/>
      <c r="JP261" s="824"/>
      <c r="JQ261" s="825"/>
      <c r="JR261" s="825"/>
      <c r="JS261" s="816"/>
      <c r="JU261" s="834"/>
      <c r="JV261" s="834"/>
      <c r="JW261" s="826"/>
      <c r="JX261" s="834"/>
    </row>
    <row r="262" spans="2:284" s="780" customFormat="1">
      <c r="B262" s="609"/>
      <c r="C262" s="609"/>
      <c r="D262" s="609"/>
      <c r="E262" s="609"/>
      <c r="F262" s="609"/>
      <c r="G262" s="609"/>
      <c r="H262" s="609"/>
      <c r="I262" s="609"/>
      <c r="J262" s="609"/>
      <c r="K262" s="609"/>
      <c r="L262" s="609"/>
      <c r="M262" s="609"/>
      <c r="N262" s="609"/>
      <c r="O262" s="609"/>
      <c r="P262" s="609"/>
      <c r="Q262" s="609"/>
      <c r="R262" s="609"/>
      <c r="S262" s="609"/>
      <c r="T262" s="609"/>
      <c r="U262" s="609"/>
      <c r="V262" s="609"/>
      <c r="W262" s="609"/>
      <c r="X262" s="609"/>
      <c r="Y262" s="609"/>
      <c r="Z262" s="609"/>
      <c r="AA262" s="609"/>
      <c r="AB262" s="609"/>
      <c r="AC262" s="609"/>
      <c r="AD262" s="816"/>
      <c r="AE262" s="816"/>
      <c r="AF262" s="816"/>
      <c r="AG262" s="816"/>
      <c r="AH262" s="816"/>
      <c r="AI262" s="816"/>
      <c r="AJ262" s="609"/>
      <c r="AK262" s="609"/>
      <c r="AL262" s="816"/>
      <c r="AM262" s="816"/>
      <c r="AN262" s="609"/>
      <c r="AO262" s="609"/>
      <c r="AP262" s="816"/>
      <c r="AQ262" s="816"/>
      <c r="AR262" s="816"/>
      <c r="AS262" s="816"/>
      <c r="AT262" s="816"/>
      <c r="AU262" s="816"/>
      <c r="AV262" s="609"/>
      <c r="AW262" s="609"/>
      <c r="AX262" s="816"/>
      <c r="AY262" s="816"/>
      <c r="AZ262" s="817"/>
      <c r="BA262" s="609"/>
      <c r="BB262" s="609"/>
      <c r="BC262" s="816"/>
      <c r="BD262" s="816"/>
      <c r="BE262" s="816"/>
      <c r="BF262" s="816"/>
      <c r="BG262" s="816"/>
      <c r="BH262" s="816"/>
      <c r="BI262" s="816"/>
      <c r="BJ262" s="816"/>
      <c r="BK262" s="816"/>
      <c r="BL262" s="816"/>
      <c r="BM262" s="816"/>
      <c r="BN262" s="816"/>
      <c r="BO262" s="816"/>
      <c r="BP262" s="816"/>
      <c r="BQ262" s="816"/>
      <c r="BR262" s="816"/>
      <c r="BS262" s="816"/>
      <c r="BT262" s="816"/>
      <c r="BU262" s="816"/>
      <c r="BV262" s="816"/>
      <c r="BW262" s="816"/>
      <c r="BX262" s="609"/>
      <c r="BY262" s="609"/>
      <c r="BZ262" s="609"/>
      <c r="CA262" s="818"/>
      <c r="CB262" s="816"/>
      <c r="CC262" s="816"/>
      <c r="CD262" s="816"/>
      <c r="CE262" s="816"/>
      <c r="CF262" s="816"/>
      <c r="CG262" s="816"/>
      <c r="CH262" s="816"/>
      <c r="CI262" s="816"/>
      <c r="CJ262" s="819"/>
      <c r="CK262" s="819"/>
      <c r="CL262" s="820"/>
      <c r="CM262" s="820"/>
      <c r="CN262" s="820"/>
      <c r="CO262" s="820"/>
      <c r="CP262" s="820"/>
      <c r="CQ262" s="820"/>
      <c r="CR262" s="609"/>
      <c r="CS262" s="609"/>
      <c r="CT262" s="816"/>
      <c r="CU262" s="816"/>
      <c r="CV262" s="609"/>
      <c r="CW262" s="609"/>
      <c r="CX262" s="816"/>
      <c r="CY262" s="816"/>
      <c r="CZ262" s="609"/>
      <c r="DA262" s="609"/>
      <c r="DB262" s="816"/>
      <c r="DC262" s="816"/>
      <c r="DD262" s="609"/>
      <c r="DE262" s="609"/>
      <c r="DF262" s="816"/>
      <c r="DG262" s="816"/>
      <c r="DH262" s="816"/>
      <c r="DI262" s="816"/>
      <c r="DJ262" s="816"/>
      <c r="DK262" s="816"/>
      <c r="DL262" s="609"/>
      <c r="DM262" s="609"/>
      <c r="DN262" s="816"/>
      <c r="DO262" s="816"/>
      <c r="DP262" s="609"/>
      <c r="DQ262" s="609"/>
      <c r="DR262" s="816"/>
      <c r="DS262" s="816"/>
      <c r="DT262" s="816"/>
      <c r="DU262" s="816"/>
      <c r="DV262" s="816"/>
      <c r="DW262" s="816"/>
      <c r="DX262" s="816"/>
      <c r="DY262" s="816"/>
      <c r="DZ262" s="816"/>
      <c r="EA262" s="816"/>
      <c r="EB262" s="816"/>
      <c r="EC262" s="816"/>
      <c r="ED262" s="816"/>
      <c r="EE262" s="816"/>
      <c r="EF262" s="609"/>
      <c r="EG262" s="609"/>
      <c r="EH262" s="816"/>
      <c r="EI262" s="816"/>
      <c r="EJ262" s="816"/>
      <c r="EK262" s="816"/>
      <c r="EL262" s="816"/>
      <c r="EM262" s="816"/>
      <c r="EN262" s="816"/>
      <c r="EO262" s="816"/>
      <c r="EP262" s="816"/>
      <c r="EQ262" s="816"/>
      <c r="ER262" s="816"/>
      <c r="ES262" s="816"/>
      <c r="ET262" s="816"/>
      <c r="EU262" s="816"/>
      <c r="EV262" s="609"/>
      <c r="EW262" s="609"/>
      <c r="EX262" s="816"/>
      <c r="EY262" s="816"/>
      <c r="EZ262" s="816"/>
      <c r="FA262" s="816"/>
      <c r="FB262" s="816"/>
      <c r="FC262" s="816"/>
      <c r="FD262" s="816"/>
      <c r="FE262" s="816"/>
      <c r="FF262" s="816"/>
      <c r="FG262" s="816"/>
      <c r="FH262" s="816"/>
      <c r="FI262" s="816"/>
      <c r="FJ262" s="816"/>
      <c r="FK262" s="816"/>
      <c r="FL262" s="816"/>
      <c r="FM262" s="816"/>
      <c r="FN262" s="816"/>
      <c r="FO262" s="816"/>
      <c r="FP262" s="816"/>
      <c r="FQ262" s="816"/>
      <c r="FR262" s="816"/>
      <c r="FS262" s="816"/>
      <c r="FT262" s="816"/>
      <c r="FU262" s="816"/>
      <c r="FV262" s="816"/>
      <c r="FW262" s="816"/>
      <c r="FX262" s="816"/>
      <c r="FY262" s="816"/>
      <c r="FZ262" s="819"/>
      <c r="GA262" s="816"/>
      <c r="GB262" s="820"/>
      <c r="GC262" s="820"/>
      <c r="GD262" s="820"/>
      <c r="GE262" s="820"/>
      <c r="GF262" s="609"/>
      <c r="GG262" s="609"/>
      <c r="GH262" s="816"/>
      <c r="GI262" s="816"/>
      <c r="GJ262" s="816"/>
      <c r="GK262" s="816"/>
      <c r="GL262" s="816"/>
      <c r="GM262" s="816"/>
      <c r="GN262" s="816"/>
      <c r="GO262" s="816"/>
      <c r="GP262" s="816"/>
      <c r="GQ262" s="816"/>
      <c r="GR262" s="816"/>
      <c r="GS262" s="816"/>
      <c r="GT262" s="818"/>
      <c r="GU262" s="816"/>
      <c r="GV262" s="816"/>
      <c r="GW262" s="816"/>
      <c r="GX262" s="816"/>
      <c r="GY262" s="816"/>
      <c r="GZ262" s="816"/>
      <c r="HA262" s="816"/>
      <c r="HB262" s="609"/>
      <c r="HC262" s="609"/>
      <c r="HD262" s="816"/>
      <c r="HE262" s="816"/>
      <c r="HF262" s="816"/>
      <c r="HG262" s="816"/>
      <c r="HH262" s="816"/>
      <c r="HI262" s="816"/>
      <c r="HJ262" s="609"/>
      <c r="HK262" s="609"/>
      <c r="HL262" s="609"/>
      <c r="HM262" s="816"/>
      <c r="HN262" s="816"/>
      <c r="HO262" s="609"/>
      <c r="HP262" s="609"/>
      <c r="HQ262" s="816"/>
      <c r="HR262" s="816"/>
      <c r="HS262" s="816"/>
      <c r="HT262" s="816"/>
      <c r="HU262" s="816"/>
      <c r="HV262" s="816"/>
      <c r="HW262" s="609"/>
      <c r="HX262" s="609"/>
      <c r="HY262" s="816"/>
      <c r="HZ262" s="816"/>
      <c r="IA262" s="816"/>
      <c r="IB262" s="816"/>
      <c r="IC262" s="816"/>
      <c r="ID262" s="816"/>
      <c r="IE262" s="609"/>
      <c r="IF262" s="609"/>
      <c r="IG262" s="816"/>
      <c r="IH262" s="816"/>
      <c r="II262" s="609"/>
      <c r="IJ262" s="609"/>
      <c r="IK262" s="816"/>
      <c r="IL262" s="816"/>
      <c r="IM262" s="609"/>
      <c r="IN262" s="609"/>
      <c r="IO262" s="816"/>
      <c r="IP262" s="816"/>
      <c r="IQ262" s="816"/>
      <c r="IR262" s="816"/>
      <c r="IS262" s="816"/>
      <c r="IT262" s="816"/>
      <c r="IU262" s="821"/>
      <c r="IV262" s="609"/>
      <c r="IW262" s="816"/>
      <c r="IX262" s="816"/>
      <c r="IY262" s="822"/>
      <c r="IZ262" s="609"/>
      <c r="JA262" s="816"/>
      <c r="JB262" s="816"/>
      <c r="JC262" s="609"/>
      <c r="JD262" s="816"/>
      <c r="JE262" s="816"/>
      <c r="JF262" s="816"/>
      <c r="JG262" s="816"/>
      <c r="JH262" s="816"/>
      <c r="JI262" s="816"/>
      <c r="JJ262" s="816"/>
      <c r="JK262" s="816"/>
      <c r="JL262" s="816"/>
      <c r="JM262" s="816"/>
      <c r="JN262" s="816"/>
      <c r="JO262" s="823"/>
      <c r="JP262" s="824"/>
      <c r="JQ262" s="825"/>
      <c r="JR262" s="825"/>
      <c r="JS262" s="816"/>
      <c r="JU262" s="834"/>
      <c r="JV262" s="834"/>
      <c r="JW262" s="826"/>
      <c r="JX262" s="834"/>
    </row>
    <row r="263" spans="2:284" s="780" customFormat="1">
      <c r="B263" s="609"/>
      <c r="C263" s="609"/>
      <c r="D263" s="609"/>
      <c r="E263" s="609"/>
      <c r="F263" s="609"/>
      <c r="G263" s="609"/>
      <c r="H263" s="609"/>
      <c r="I263" s="609"/>
      <c r="J263" s="609"/>
      <c r="K263" s="609"/>
      <c r="L263" s="609"/>
      <c r="M263" s="609"/>
      <c r="N263" s="609"/>
      <c r="O263" s="609"/>
      <c r="P263" s="609"/>
      <c r="Q263" s="609"/>
      <c r="R263" s="609"/>
      <c r="S263" s="609"/>
      <c r="T263" s="609"/>
      <c r="U263" s="609"/>
      <c r="V263" s="609"/>
      <c r="W263" s="609"/>
      <c r="X263" s="609"/>
      <c r="Y263" s="609"/>
      <c r="Z263" s="609"/>
      <c r="AA263" s="609"/>
      <c r="AB263" s="609"/>
      <c r="AC263" s="609"/>
      <c r="AD263" s="816"/>
      <c r="AE263" s="816"/>
      <c r="AF263" s="816"/>
      <c r="AG263" s="816"/>
      <c r="AH263" s="816"/>
      <c r="AI263" s="816"/>
      <c r="AJ263" s="609"/>
      <c r="AK263" s="609"/>
      <c r="AL263" s="816"/>
      <c r="AM263" s="816"/>
      <c r="AN263" s="609"/>
      <c r="AO263" s="609"/>
      <c r="AP263" s="816"/>
      <c r="AQ263" s="816"/>
      <c r="AR263" s="816"/>
      <c r="AS263" s="816"/>
      <c r="AT263" s="816"/>
      <c r="AU263" s="816"/>
      <c r="AV263" s="609"/>
      <c r="AW263" s="609"/>
      <c r="AX263" s="816"/>
      <c r="AY263" s="816"/>
      <c r="AZ263" s="817"/>
      <c r="BA263" s="609"/>
      <c r="BB263" s="609"/>
      <c r="BC263" s="816"/>
      <c r="BD263" s="816"/>
      <c r="BE263" s="816"/>
      <c r="BF263" s="816"/>
      <c r="BG263" s="816"/>
      <c r="BH263" s="816"/>
      <c r="BI263" s="816"/>
      <c r="BJ263" s="816"/>
      <c r="BK263" s="816"/>
      <c r="BL263" s="816"/>
      <c r="BM263" s="816"/>
      <c r="BN263" s="816"/>
      <c r="BO263" s="816"/>
      <c r="BP263" s="816"/>
      <c r="BQ263" s="816"/>
      <c r="BR263" s="816"/>
      <c r="BS263" s="816"/>
      <c r="BT263" s="816"/>
      <c r="BU263" s="816"/>
      <c r="BV263" s="816"/>
      <c r="BW263" s="816"/>
      <c r="BX263" s="609"/>
      <c r="BY263" s="609"/>
      <c r="BZ263" s="609"/>
      <c r="CA263" s="818"/>
      <c r="CB263" s="816"/>
      <c r="CC263" s="816"/>
      <c r="CD263" s="816"/>
      <c r="CE263" s="816"/>
      <c r="CF263" s="816"/>
      <c r="CG263" s="816"/>
      <c r="CH263" s="816"/>
      <c r="CI263" s="816"/>
      <c r="CJ263" s="819"/>
      <c r="CK263" s="819"/>
      <c r="CL263" s="820"/>
      <c r="CM263" s="820"/>
      <c r="CN263" s="820"/>
      <c r="CO263" s="820"/>
      <c r="CP263" s="820"/>
      <c r="CQ263" s="820"/>
      <c r="CR263" s="609"/>
      <c r="CS263" s="609"/>
      <c r="CT263" s="816"/>
      <c r="CU263" s="816"/>
      <c r="CV263" s="609"/>
      <c r="CW263" s="609"/>
      <c r="CX263" s="816"/>
      <c r="CY263" s="816"/>
      <c r="CZ263" s="609"/>
      <c r="DA263" s="609"/>
      <c r="DB263" s="816"/>
      <c r="DC263" s="816"/>
      <c r="DD263" s="609"/>
      <c r="DE263" s="609"/>
      <c r="DF263" s="816"/>
      <c r="DG263" s="816"/>
      <c r="DH263" s="816"/>
      <c r="DI263" s="816"/>
      <c r="DJ263" s="816"/>
      <c r="DK263" s="816"/>
      <c r="DL263" s="609"/>
      <c r="DM263" s="609"/>
      <c r="DN263" s="816"/>
      <c r="DO263" s="816"/>
      <c r="DP263" s="609"/>
      <c r="DQ263" s="609"/>
      <c r="DR263" s="816"/>
      <c r="DS263" s="816"/>
      <c r="DT263" s="816"/>
      <c r="DU263" s="816"/>
      <c r="DV263" s="816"/>
      <c r="DW263" s="816"/>
      <c r="DX263" s="816"/>
      <c r="DY263" s="816"/>
      <c r="DZ263" s="816"/>
      <c r="EA263" s="816"/>
      <c r="EB263" s="816"/>
      <c r="EC263" s="816"/>
      <c r="ED263" s="816"/>
      <c r="EE263" s="816"/>
      <c r="EF263" s="609"/>
      <c r="EG263" s="609"/>
      <c r="EH263" s="816"/>
      <c r="EI263" s="816"/>
      <c r="EJ263" s="816"/>
      <c r="EK263" s="816"/>
      <c r="EL263" s="816"/>
      <c r="EM263" s="816"/>
      <c r="EN263" s="816"/>
      <c r="EO263" s="816"/>
      <c r="EP263" s="816"/>
      <c r="EQ263" s="816"/>
      <c r="ER263" s="816"/>
      <c r="ES263" s="816"/>
      <c r="ET263" s="816"/>
      <c r="EU263" s="816"/>
      <c r="EV263" s="609"/>
      <c r="EW263" s="609"/>
      <c r="EX263" s="816"/>
      <c r="EY263" s="816"/>
      <c r="EZ263" s="816"/>
      <c r="FA263" s="816"/>
      <c r="FB263" s="816"/>
      <c r="FC263" s="816"/>
      <c r="FD263" s="816"/>
      <c r="FE263" s="816"/>
      <c r="FF263" s="816"/>
      <c r="FG263" s="816"/>
      <c r="FH263" s="816"/>
      <c r="FI263" s="816"/>
      <c r="FJ263" s="816"/>
      <c r="FK263" s="816"/>
      <c r="FL263" s="816"/>
      <c r="FM263" s="816"/>
      <c r="FN263" s="816"/>
      <c r="FO263" s="816"/>
      <c r="FP263" s="816"/>
      <c r="FQ263" s="816"/>
      <c r="FR263" s="816"/>
      <c r="FS263" s="816"/>
      <c r="FT263" s="816"/>
      <c r="FU263" s="816"/>
      <c r="FV263" s="816"/>
      <c r="FW263" s="816"/>
      <c r="FX263" s="816"/>
      <c r="FY263" s="816"/>
      <c r="FZ263" s="819"/>
      <c r="GA263" s="816"/>
      <c r="GB263" s="820"/>
      <c r="GC263" s="820"/>
      <c r="GD263" s="820"/>
      <c r="GE263" s="820"/>
      <c r="GF263" s="609"/>
      <c r="GG263" s="609"/>
      <c r="GH263" s="816"/>
      <c r="GI263" s="816"/>
      <c r="GJ263" s="816"/>
      <c r="GK263" s="816"/>
      <c r="GL263" s="816"/>
      <c r="GM263" s="816"/>
      <c r="GN263" s="816"/>
      <c r="GO263" s="816"/>
      <c r="GP263" s="816"/>
      <c r="GQ263" s="816"/>
      <c r="GR263" s="816"/>
      <c r="GS263" s="816"/>
      <c r="GT263" s="818"/>
      <c r="GU263" s="816"/>
      <c r="GV263" s="816"/>
      <c r="GW263" s="816"/>
      <c r="GX263" s="816"/>
      <c r="GY263" s="816"/>
      <c r="GZ263" s="816"/>
      <c r="HA263" s="816"/>
      <c r="HB263" s="609"/>
      <c r="HC263" s="609"/>
      <c r="HD263" s="816"/>
      <c r="HE263" s="816"/>
      <c r="HF263" s="816"/>
      <c r="HG263" s="816"/>
      <c r="HH263" s="816"/>
      <c r="HI263" s="816"/>
      <c r="HJ263" s="609"/>
      <c r="HK263" s="609"/>
      <c r="HL263" s="609"/>
      <c r="HM263" s="816"/>
      <c r="HN263" s="816"/>
      <c r="HO263" s="609"/>
      <c r="HP263" s="609"/>
      <c r="HQ263" s="816"/>
      <c r="HR263" s="816"/>
      <c r="HS263" s="816"/>
      <c r="HT263" s="816"/>
      <c r="HU263" s="816"/>
      <c r="HV263" s="816"/>
      <c r="HW263" s="609"/>
      <c r="HX263" s="609"/>
      <c r="HY263" s="816"/>
      <c r="HZ263" s="816"/>
      <c r="IA263" s="816"/>
      <c r="IB263" s="816"/>
      <c r="IC263" s="816"/>
      <c r="ID263" s="816"/>
      <c r="IE263" s="609"/>
      <c r="IF263" s="609"/>
      <c r="IG263" s="816"/>
      <c r="IH263" s="816"/>
      <c r="II263" s="609"/>
      <c r="IJ263" s="609"/>
      <c r="IK263" s="816"/>
      <c r="IL263" s="816"/>
      <c r="IM263" s="609"/>
      <c r="IN263" s="609"/>
      <c r="IO263" s="816"/>
      <c r="IP263" s="816"/>
      <c r="IQ263" s="816"/>
      <c r="IR263" s="816"/>
      <c r="IS263" s="816"/>
      <c r="IT263" s="816"/>
      <c r="IU263" s="821"/>
      <c r="IV263" s="609"/>
      <c r="IW263" s="816"/>
      <c r="IX263" s="816"/>
      <c r="IY263" s="822"/>
      <c r="IZ263" s="609"/>
      <c r="JA263" s="816"/>
      <c r="JB263" s="816"/>
      <c r="JC263" s="609"/>
      <c r="JD263" s="816"/>
      <c r="JE263" s="816"/>
      <c r="JF263" s="816"/>
      <c r="JG263" s="816"/>
      <c r="JH263" s="816"/>
      <c r="JI263" s="816"/>
      <c r="JJ263" s="816"/>
      <c r="JK263" s="816"/>
      <c r="JL263" s="816"/>
      <c r="JM263" s="816"/>
      <c r="JN263" s="816"/>
      <c r="JO263" s="823"/>
      <c r="JP263" s="824"/>
      <c r="JQ263" s="825"/>
      <c r="JR263" s="825"/>
      <c r="JS263" s="816"/>
      <c r="JU263" s="834"/>
      <c r="JV263" s="834"/>
      <c r="JW263" s="826"/>
      <c r="JX263" s="834"/>
    </row>
    <row r="264" spans="2:284" s="780" customFormat="1">
      <c r="B264" s="609"/>
      <c r="C264" s="609"/>
      <c r="D264" s="609"/>
      <c r="E264" s="609"/>
      <c r="F264" s="609"/>
      <c r="G264" s="609"/>
      <c r="H264" s="609"/>
      <c r="I264" s="609"/>
      <c r="J264" s="609"/>
      <c r="K264" s="609"/>
      <c r="L264" s="609"/>
      <c r="M264" s="609"/>
      <c r="N264" s="609"/>
      <c r="O264" s="609"/>
      <c r="P264" s="609"/>
      <c r="Q264" s="609"/>
      <c r="R264" s="609"/>
      <c r="S264" s="609"/>
      <c r="T264" s="609"/>
      <c r="U264" s="609"/>
      <c r="V264" s="609"/>
      <c r="W264" s="609"/>
      <c r="X264" s="609"/>
      <c r="Y264" s="609"/>
      <c r="Z264" s="609"/>
      <c r="AA264" s="609"/>
      <c r="AB264" s="609"/>
      <c r="AC264" s="609"/>
      <c r="AD264" s="816"/>
      <c r="AE264" s="816"/>
      <c r="AF264" s="816"/>
      <c r="AG264" s="816"/>
      <c r="AH264" s="816"/>
      <c r="AI264" s="816"/>
      <c r="AJ264" s="609"/>
      <c r="AK264" s="609"/>
      <c r="AL264" s="816"/>
      <c r="AM264" s="816"/>
      <c r="AN264" s="609"/>
      <c r="AO264" s="609"/>
      <c r="AP264" s="816"/>
      <c r="AQ264" s="816"/>
      <c r="AR264" s="816"/>
      <c r="AS264" s="816"/>
      <c r="AT264" s="816"/>
      <c r="AU264" s="816"/>
      <c r="AV264" s="609"/>
      <c r="AW264" s="609"/>
      <c r="AX264" s="816"/>
      <c r="AY264" s="816"/>
      <c r="AZ264" s="817"/>
      <c r="BA264" s="609"/>
      <c r="BB264" s="609"/>
      <c r="BC264" s="816"/>
      <c r="BD264" s="816"/>
      <c r="BE264" s="816"/>
      <c r="BF264" s="816"/>
      <c r="BG264" s="816"/>
      <c r="BH264" s="816"/>
      <c r="BI264" s="816"/>
      <c r="BJ264" s="816"/>
      <c r="BK264" s="816"/>
      <c r="BL264" s="816"/>
      <c r="BM264" s="816"/>
      <c r="BN264" s="816"/>
      <c r="BO264" s="816"/>
      <c r="BP264" s="816"/>
      <c r="BQ264" s="816"/>
      <c r="BR264" s="816"/>
      <c r="BS264" s="816"/>
      <c r="BT264" s="816"/>
      <c r="BU264" s="816"/>
      <c r="BV264" s="816"/>
      <c r="BW264" s="816"/>
      <c r="BX264" s="609"/>
      <c r="BY264" s="609"/>
      <c r="BZ264" s="609"/>
      <c r="CA264" s="818"/>
      <c r="CB264" s="816"/>
      <c r="CC264" s="816"/>
      <c r="CD264" s="816"/>
      <c r="CE264" s="816"/>
      <c r="CF264" s="816"/>
      <c r="CG264" s="816"/>
      <c r="CH264" s="816"/>
      <c r="CI264" s="816"/>
      <c r="CJ264" s="819"/>
      <c r="CK264" s="819"/>
      <c r="CL264" s="820"/>
      <c r="CM264" s="820"/>
      <c r="CN264" s="820"/>
      <c r="CO264" s="820"/>
      <c r="CP264" s="820"/>
      <c r="CQ264" s="820"/>
      <c r="CR264" s="609"/>
      <c r="CS264" s="609"/>
      <c r="CT264" s="816"/>
      <c r="CU264" s="816"/>
      <c r="CV264" s="609"/>
      <c r="CW264" s="609"/>
      <c r="CX264" s="816"/>
      <c r="CY264" s="816"/>
      <c r="CZ264" s="609"/>
      <c r="DA264" s="609"/>
      <c r="DB264" s="816"/>
      <c r="DC264" s="816"/>
      <c r="DD264" s="609"/>
      <c r="DE264" s="609"/>
      <c r="DF264" s="816"/>
      <c r="DG264" s="816"/>
      <c r="DH264" s="816"/>
      <c r="DI264" s="816"/>
      <c r="DJ264" s="816"/>
      <c r="DK264" s="816"/>
      <c r="DL264" s="609"/>
      <c r="DM264" s="609"/>
      <c r="DN264" s="816"/>
      <c r="DO264" s="816"/>
      <c r="DP264" s="609"/>
      <c r="DQ264" s="609"/>
      <c r="DR264" s="816"/>
      <c r="DS264" s="816"/>
      <c r="DT264" s="816"/>
      <c r="DU264" s="816"/>
      <c r="DV264" s="816"/>
      <c r="DW264" s="816"/>
      <c r="DX264" s="816"/>
      <c r="DY264" s="816"/>
      <c r="DZ264" s="816"/>
      <c r="EA264" s="816"/>
      <c r="EB264" s="816"/>
      <c r="EC264" s="816"/>
      <c r="ED264" s="816"/>
      <c r="EE264" s="816"/>
      <c r="EF264" s="609"/>
      <c r="EG264" s="609"/>
      <c r="EH264" s="816"/>
      <c r="EI264" s="816"/>
      <c r="EJ264" s="816"/>
      <c r="EK264" s="816"/>
      <c r="EL264" s="816"/>
      <c r="EM264" s="816"/>
      <c r="EN264" s="816"/>
      <c r="EO264" s="816"/>
      <c r="EP264" s="816"/>
      <c r="EQ264" s="816"/>
      <c r="ER264" s="816"/>
      <c r="ES264" s="816"/>
      <c r="ET264" s="816"/>
      <c r="EU264" s="816"/>
      <c r="EV264" s="609"/>
      <c r="EW264" s="609"/>
      <c r="EX264" s="816"/>
      <c r="EY264" s="816"/>
      <c r="EZ264" s="816"/>
      <c r="FA264" s="816"/>
      <c r="FB264" s="816"/>
      <c r="FC264" s="816"/>
      <c r="FD264" s="816"/>
      <c r="FE264" s="816"/>
      <c r="FF264" s="816"/>
      <c r="FG264" s="816"/>
      <c r="FH264" s="816"/>
      <c r="FI264" s="816"/>
      <c r="FJ264" s="816"/>
      <c r="FK264" s="816"/>
      <c r="FL264" s="816"/>
      <c r="FM264" s="816"/>
      <c r="FN264" s="816"/>
      <c r="FO264" s="816"/>
      <c r="FP264" s="816"/>
      <c r="FQ264" s="816"/>
      <c r="FR264" s="816"/>
      <c r="FS264" s="816"/>
      <c r="FT264" s="816"/>
      <c r="FU264" s="816"/>
      <c r="FV264" s="816"/>
      <c r="FW264" s="816"/>
      <c r="FX264" s="816"/>
      <c r="FY264" s="816"/>
      <c r="FZ264" s="819"/>
      <c r="GA264" s="816"/>
      <c r="GB264" s="820"/>
      <c r="GC264" s="820"/>
      <c r="GD264" s="820"/>
      <c r="GE264" s="820"/>
      <c r="GF264" s="609"/>
      <c r="GG264" s="609"/>
      <c r="GH264" s="816"/>
      <c r="GI264" s="816"/>
      <c r="GJ264" s="816"/>
      <c r="GK264" s="816"/>
      <c r="GL264" s="816"/>
      <c r="GM264" s="816"/>
      <c r="GN264" s="816"/>
      <c r="GO264" s="816"/>
      <c r="GP264" s="816"/>
      <c r="GQ264" s="816"/>
      <c r="GR264" s="816"/>
      <c r="GS264" s="816"/>
      <c r="GT264" s="818"/>
      <c r="GU264" s="816"/>
      <c r="GV264" s="816"/>
      <c r="GW264" s="816"/>
      <c r="GX264" s="816"/>
      <c r="GY264" s="816"/>
      <c r="GZ264" s="816"/>
      <c r="HA264" s="816"/>
      <c r="HB264" s="609"/>
      <c r="HC264" s="609"/>
      <c r="HD264" s="816"/>
      <c r="HE264" s="816"/>
      <c r="HF264" s="816"/>
      <c r="HG264" s="816"/>
      <c r="HH264" s="816"/>
      <c r="HI264" s="816"/>
      <c r="HJ264" s="609"/>
      <c r="HK264" s="609"/>
      <c r="HL264" s="609"/>
      <c r="HM264" s="816"/>
      <c r="HN264" s="816"/>
      <c r="HO264" s="609"/>
      <c r="HP264" s="609"/>
      <c r="HQ264" s="816"/>
      <c r="HR264" s="816"/>
      <c r="HS264" s="816"/>
      <c r="HT264" s="816"/>
      <c r="HU264" s="816"/>
      <c r="HV264" s="816"/>
      <c r="HW264" s="609"/>
      <c r="HX264" s="609"/>
      <c r="HY264" s="816"/>
      <c r="HZ264" s="816"/>
      <c r="IA264" s="816"/>
      <c r="IB264" s="816"/>
      <c r="IC264" s="816"/>
      <c r="ID264" s="816"/>
      <c r="IE264" s="609"/>
      <c r="IF264" s="609"/>
      <c r="IG264" s="816"/>
      <c r="IH264" s="816"/>
      <c r="II264" s="609"/>
      <c r="IJ264" s="609"/>
      <c r="IK264" s="816"/>
      <c r="IL264" s="816"/>
      <c r="IM264" s="609"/>
      <c r="IN264" s="609"/>
      <c r="IO264" s="816"/>
      <c r="IP264" s="816"/>
      <c r="IQ264" s="816"/>
      <c r="IR264" s="816"/>
      <c r="IS264" s="816"/>
      <c r="IT264" s="816"/>
      <c r="IU264" s="821"/>
      <c r="IV264" s="609"/>
      <c r="IW264" s="816"/>
      <c r="IX264" s="816"/>
      <c r="IY264" s="822"/>
      <c r="IZ264" s="609"/>
      <c r="JA264" s="816"/>
      <c r="JB264" s="816"/>
      <c r="JC264" s="609"/>
      <c r="JD264" s="816"/>
      <c r="JE264" s="816"/>
      <c r="JF264" s="816"/>
      <c r="JG264" s="816"/>
      <c r="JH264" s="816"/>
      <c r="JI264" s="816"/>
      <c r="JJ264" s="816"/>
      <c r="JK264" s="816"/>
      <c r="JL264" s="816"/>
      <c r="JM264" s="816"/>
      <c r="JN264" s="816"/>
      <c r="JO264" s="823"/>
      <c r="JP264" s="824"/>
      <c r="JQ264" s="825"/>
      <c r="JR264" s="825"/>
      <c r="JS264" s="816"/>
      <c r="JU264" s="834"/>
      <c r="JV264" s="834"/>
      <c r="JW264" s="826"/>
      <c r="JX264" s="834"/>
    </row>
    <row r="265" spans="2:284" s="780" customFormat="1">
      <c r="B265" s="609"/>
      <c r="C265" s="609"/>
      <c r="D265" s="609"/>
      <c r="E265" s="609"/>
      <c r="F265" s="609"/>
      <c r="G265" s="609"/>
      <c r="H265" s="609"/>
      <c r="I265" s="609"/>
      <c r="J265" s="609"/>
      <c r="K265" s="609"/>
      <c r="L265" s="609"/>
      <c r="M265" s="609"/>
      <c r="N265" s="609"/>
      <c r="O265" s="609"/>
      <c r="P265" s="609"/>
      <c r="Q265" s="609"/>
      <c r="R265" s="609"/>
      <c r="S265" s="609"/>
      <c r="T265" s="609"/>
      <c r="U265" s="609"/>
      <c r="V265" s="609"/>
      <c r="W265" s="609"/>
      <c r="X265" s="609"/>
      <c r="Y265" s="609"/>
      <c r="Z265" s="609"/>
      <c r="AA265" s="609"/>
      <c r="AB265" s="609"/>
      <c r="AC265" s="609"/>
      <c r="AD265" s="816"/>
      <c r="AE265" s="816"/>
      <c r="AF265" s="816"/>
      <c r="AG265" s="816"/>
      <c r="AH265" s="816"/>
      <c r="AI265" s="816"/>
      <c r="AJ265" s="609"/>
      <c r="AK265" s="609"/>
      <c r="AL265" s="816"/>
      <c r="AM265" s="816"/>
      <c r="AN265" s="609"/>
      <c r="AO265" s="609"/>
      <c r="AP265" s="816"/>
      <c r="AQ265" s="816"/>
      <c r="AR265" s="816"/>
      <c r="AS265" s="816"/>
      <c r="AT265" s="816"/>
      <c r="AU265" s="816"/>
      <c r="AV265" s="609"/>
      <c r="AW265" s="609"/>
      <c r="AX265" s="816"/>
      <c r="AY265" s="816"/>
      <c r="AZ265" s="817"/>
      <c r="BA265" s="609"/>
      <c r="BB265" s="609"/>
      <c r="BC265" s="816"/>
      <c r="BD265" s="816"/>
      <c r="BE265" s="816"/>
      <c r="BF265" s="816"/>
      <c r="BG265" s="816"/>
      <c r="BH265" s="816"/>
      <c r="BI265" s="816"/>
      <c r="BJ265" s="816"/>
      <c r="BK265" s="816"/>
      <c r="BL265" s="816"/>
      <c r="BM265" s="816"/>
      <c r="BN265" s="816"/>
      <c r="BO265" s="816"/>
      <c r="BP265" s="816"/>
      <c r="BQ265" s="816"/>
      <c r="BR265" s="816"/>
      <c r="BS265" s="816"/>
      <c r="BT265" s="816"/>
      <c r="BU265" s="816"/>
      <c r="BV265" s="816"/>
      <c r="BW265" s="816"/>
      <c r="BX265" s="609"/>
      <c r="BY265" s="609"/>
      <c r="BZ265" s="609"/>
      <c r="CA265" s="818"/>
      <c r="CB265" s="816"/>
      <c r="CC265" s="816"/>
      <c r="CD265" s="816"/>
      <c r="CE265" s="816"/>
      <c r="CF265" s="816"/>
      <c r="CG265" s="816"/>
      <c r="CH265" s="816"/>
      <c r="CI265" s="816"/>
      <c r="CJ265" s="819"/>
      <c r="CK265" s="819"/>
      <c r="CL265" s="820"/>
      <c r="CM265" s="820"/>
      <c r="CN265" s="820"/>
      <c r="CO265" s="820"/>
      <c r="CP265" s="820"/>
      <c r="CQ265" s="820"/>
      <c r="CR265" s="609"/>
      <c r="CS265" s="609"/>
      <c r="CT265" s="816"/>
      <c r="CU265" s="816"/>
      <c r="CV265" s="609"/>
      <c r="CW265" s="609"/>
      <c r="CX265" s="816"/>
      <c r="CY265" s="816"/>
      <c r="CZ265" s="609"/>
      <c r="DA265" s="609"/>
      <c r="DB265" s="816"/>
      <c r="DC265" s="816"/>
      <c r="DD265" s="609"/>
      <c r="DE265" s="609"/>
      <c r="DF265" s="816"/>
      <c r="DG265" s="816"/>
      <c r="DH265" s="816"/>
      <c r="DI265" s="816"/>
      <c r="DJ265" s="816"/>
      <c r="DK265" s="816"/>
      <c r="DL265" s="609"/>
      <c r="DM265" s="609"/>
      <c r="DN265" s="816"/>
      <c r="DO265" s="816"/>
      <c r="DP265" s="609"/>
      <c r="DQ265" s="609"/>
      <c r="DR265" s="816"/>
      <c r="DS265" s="816"/>
      <c r="DT265" s="816"/>
      <c r="DU265" s="816"/>
      <c r="DV265" s="816"/>
      <c r="DW265" s="816"/>
      <c r="DX265" s="816"/>
      <c r="DY265" s="816"/>
      <c r="DZ265" s="816"/>
      <c r="EA265" s="816"/>
      <c r="EB265" s="816"/>
      <c r="EC265" s="816"/>
      <c r="ED265" s="816"/>
      <c r="EE265" s="816"/>
      <c r="EF265" s="609"/>
      <c r="EG265" s="609"/>
      <c r="EH265" s="816"/>
      <c r="EI265" s="816"/>
      <c r="EJ265" s="816"/>
      <c r="EK265" s="816"/>
      <c r="EL265" s="816"/>
      <c r="EM265" s="816"/>
      <c r="EN265" s="816"/>
      <c r="EO265" s="816"/>
      <c r="EP265" s="816"/>
      <c r="EQ265" s="816"/>
      <c r="ER265" s="816"/>
      <c r="ES265" s="816"/>
      <c r="ET265" s="816"/>
      <c r="EU265" s="816"/>
      <c r="EV265" s="609"/>
      <c r="EW265" s="609"/>
      <c r="EX265" s="816"/>
      <c r="EY265" s="816"/>
      <c r="EZ265" s="816"/>
      <c r="FA265" s="816"/>
      <c r="FB265" s="816"/>
      <c r="FC265" s="816"/>
      <c r="FD265" s="816"/>
      <c r="FE265" s="816"/>
      <c r="FF265" s="816"/>
      <c r="FG265" s="816"/>
      <c r="FH265" s="816"/>
      <c r="FI265" s="816"/>
      <c r="FJ265" s="816"/>
      <c r="FK265" s="816"/>
      <c r="FL265" s="816"/>
      <c r="FM265" s="816"/>
      <c r="FN265" s="816"/>
      <c r="FO265" s="816"/>
      <c r="FP265" s="816"/>
      <c r="FQ265" s="816"/>
      <c r="FR265" s="816"/>
      <c r="FS265" s="816"/>
      <c r="FT265" s="816"/>
      <c r="FU265" s="816"/>
      <c r="FV265" s="816"/>
      <c r="FW265" s="816"/>
      <c r="FX265" s="816"/>
      <c r="FY265" s="816"/>
      <c r="FZ265" s="819"/>
      <c r="GA265" s="816"/>
      <c r="GB265" s="820"/>
      <c r="GC265" s="820"/>
      <c r="GD265" s="820"/>
      <c r="GE265" s="820"/>
      <c r="GF265" s="609"/>
      <c r="GG265" s="609"/>
      <c r="GH265" s="816"/>
      <c r="GI265" s="816"/>
      <c r="GJ265" s="816"/>
      <c r="GK265" s="816"/>
      <c r="GL265" s="816"/>
      <c r="GM265" s="816"/>
      <c r="GN265" s="816"/>
      <c r="GO265" s="816"/>
      <c r="GP265" s="816"/>
      <c r="GQ265" s="816"/>
      <c r="GR265" s="816"/>
      <c r="GS265" s="816"/>
      <c r="GT265" s="818"/>
      <c r="GU265" s="816"/>
      <c r="GV265" s="816"/>
      <c r="GW265" s="816"/>
      <c r="GX265" s="816"/>
      <c r="GY265" s="816"/>
      <c r="GZ265" s="816"/>
      <c r="HA265" s="816"/>
      <c r="HB265" s="609"/>
      <c r="HC265" s="609"/>
      <c r="HD265" s="816"/>
      <c r="HE265" s="816"/>
      <c r="HF265" s="816"/>
      <c r="HG265" s="816"/>
      <c r="HH265" s="816"/>
      <c r="HI265" s="816"/>
      <c r="HJ265" s="609"/>
      <c r="HK265" s="609"/>
      <c r="HL265" s="609"/>
      <c r="HM265" s="816"/>
      <c r="HN265" s="816"/>
      <c r="HO265" s="609"/>
      <c r="HP265" s="609"/>
      <c r="HQ265" s="816"/>
      <c r="HR265" s="816"/>
      <c r="HS265" s="816"/>
      <c r="HT265" s="816"/>
      <c r="HU265" s="816"/>
      <c r="HV265" s="816"/>
      <c r="HW265" s="609"/>
      <c r="HX265" s="609"/>
      <c r="HY265" s="816"/>
      <c r="HZ265" s="816"/>
      <c r="IA265" s="816"/>
      <c r="IB265" s="816"/>
      <c r="IC265" s="816"/>
      <c r="ID265" s="816"/>
      <c r="IE265" s="609"/>
      <c r="IF265" s="609"/>
      <c r="IG265" s="816"/>
      <c r="IH265" s="816"/>
      <c r="II265" s="609"/>
      <c r="IJ265" s="609"/>
      <c r="IK265" s="816"/>
      <c r="IL265" s="816"/>
      <c r="IM265" s="609"/>
      <c r="IN265" s="609"/>
      <c r="IO265" s="816"/>
      <c r="IP265" s="816"/>
      <c r="IQ265" s="816"/>
      <c r="IR265" s="816"/>
      <c r="IS265" s="816"/>
      <c r="IT265" s="816"/>
      <c r="IU265" s="821"/>
      <c r="IV265" s="609"/>
      <c r="IW265" s="816"/>
      <c r="IX265" s="816"/>
      <c r="IY265" s="822"/>
      <c r="IZ265" s="609"/>
      <c r="JA265" s="816"/>
      <c r="JB265" s="816"/>
      <c r="JC265" s="609"/>
      <c r="JD265" s="816"/>
      <c r="JE265" s="816"/>
      <c r="JF265" s="816"/>
      <c r="JG265" s="816"/>
      <c r="JH265" s="816"/>
      <c r="JI265" s="816"/>
      <c r="JJ265" s="816"/>
      <c r="JK265" s="816"/>
      <c r="JL265" s="816"/>
      <c r="JM265" s="816"/>
      <c r="JN265" s="816"/>
      <c r="JO265" s="823"/>
      <c r="JP265" s="824"/>
      <c r="JQ265" s="825"/>
      <c r="JR265" s="825"/>
      <c r="JS265" s="816"/>
      <c r="JU265" s="834"/>
      <c r="JV265" s="834"/>
      <c r="JW265" s="826"/>
      <c r="JX265" s="834"/>
    </row>
    <row r="266" spans="2:284" s="780" customFormat="1">
      <c r="B266" s="609"/>
      <c r="C266" s="609"/>
      <c r="D266" s="609"/>
      <c r="E266" s="609"/>
      <c r="F266" s="609"/>
      <c r="G266" s="609"/>
      <c r="H266" s="609"/>
      <c r="I266" s="609"/>
      <c r="J266" s="609"/>
      <c r="K266" s="609"/>
      <c r="L266" s="609"/>
      <c r="M266" s="609"/>
      <c r="N266" s="609"/>
      <c r="O266" s="609"/>
      <c r="P266" s="609"/>
      <c r="Q266" s="609"/>
      <c r="R266" s="609"/>
      <c r="S266" s="609"/>
      <c r="T266" s="609"/>
      <c r="U266" s="609"/>
      <c r="V266" s="609"/>
      <c r="W266" s="609"/>
      <c r="X266" s="609"/>
      <c r="Y266" s="609"/>
      <c r="Z266" s="609"/>
      <c r="AA266" s="609"/>
      <c r="AB266" s="609"/>
      <c r="AC266" s="609"/>
      <c r="AD266" s="816"/>
      <c r="AE266" s="816"/>
      <c r="AF266" s="816"/>
      <c r="AG266" s="816"/>
      <c r="AH266" s="816"/>
      <c r="AI266" s="816"/>
      <c r="AJ266" s="609"/>
      <c r="AK266" s="609"/>
      <c r="AL266" s="816"/>
      <c r="AM266" s="816"/>
      <c r="AN266" s="609"/>
      <c r="AO266" s="609"/>
      <c r="AP266" s="816"/>
      <c r="AQ266" s="816"/>
      <c r="AR266" s="816"/>
      <c r="AS266" s="816"/>
      <c r="AT266" s="816"/>
      <c r="AU266" s="816"/>
      <c r="AV266" s="609"/>
      <c r="AW266" s="609"/>
      <c r="AX266" s="816"/>
      <c r="AY266" s="816"/>
      <c r="AZ266" s="817"/>
      <c r="BA266" s="609"/>
      <c r="BB266" s="609"/>
      <c r="BC266" s="816"/>
      <c r="BD266" s="816"/>
      <c r="BE266" s="816"/>
      <c r="BF266" s="816"/>
      <c r="BG266" s="816"/>
      <c r="BH266" s="816"/>
      <c r="BI266" s="816"/>
      <c r="BJ266" s="816"/>
      <c r="BK266" s="816"/>
      <c r="BL266" s="816"/>
      <c r="BM266" s="816"/>
      <c r="BN266" s="816"/>
      <c r="BO266" s="816"/>
      <c r="BP266" s="816"/>
      <c r="BQ266" s="816"/>
      <c r="BR266" s="816"/>
      <c r="BS266" s="816"/>
      <c r="BT266" s="816"/>
      <c r="BU266" s="816"/>
      <c r="BV266" s="816"/>
      <c r="BW266" s="816"/>
      <c r="BX266" s="609"/>
      <c r="BY266" s="609"/>
      <c r="BZ266" s="609"/>
      <c r="CA266" s="818"/>
      <c r="CB266" s="816"/>
      <c r="CC266" s="816"/>
      <c r="CD266" s="816"/>
      <c r="CE266" s="816"/>
      <c r="CF266" s="816"/>
      <c r="CG266" s="816"/>
      <c r="CH266" s="816"/>
      <c r="CI266" s="816"/>
      <c r="CJ266" s="819"/>
      <c r="CK266" s="819"/>
      <c r="CL266" s="820"/>
      <c r="CM266" s="820"/>
      <c r="CN266" s="820"/>
      <c r="CO266" s="820"/>
      <c r="CP266" s="820"/>
      <c r="CQ266" s="820"/>
      <c r="CR266" s="609"/>
      <c r="CS266" s="609"/>
      <c r="CT266" s="816"/>
      <c r="CU266" s="816"/>
      <c r="CV266" s="609"/>
      <c r="CW266" s="609"/>
      <c r="CX266" s="816"/>
      <c r="CY266" s="816"/>
      <c r="CZ266" s="609"/>
      <c r="DA266" s="609"/>
      <c r="DB266" s="816"/>
      <c r="DC266" s="816"/>
      <c r="DD266" s="609"/>
      <c r="DE266" s="609"/>
      <c r="DF266" s="816"/>
      <c r="DG266" s="816"/>
      <c r="DH266" s="816"/>
      <c r="DI266" s="816"/>
      <c r="DJ266" s="816"/>
      <c r="DK266" s="816"/>
      <c r="DL266" s="609"/>
      <c r="DM266" s="609"/>
      <c r="DN266" s="816"/>
      <c r="DO266" s="816"/>
      <c r="DP266" s="609"/>
      <c r="DQ266" s="609"/>
      <c r="DR266" s="816"/>
      <c r="DS266" s="816"/>
      <c r="DT266" s="816"/>
      <c r="DU266" s="816"/>
      <c r="DV266" s="816"/>
      <c r="DW266" s="816"/>
      <c r="DX266" s="816"/>
      <c r="DY266" s="816"/>
      <c r="DZ266" s="816"/>
      <c r="EA266" s="816"/>
      <c r="EB266" s="816"/>
      <c r="EC266" s="816"/>
      <c r="ED266" s="816"/>
      <c r="EE266" s="816"/>
      <c r="EF266" s="609"/>
      <c r="EG266" s="609"/>
      <c r="EH266" s="816"/>
      <c r="EI266" s="816"/>
      <c r="EJ266" s="816"/>
      <c r="EK266" s="816"/>
      <c r="EL266" s="816"/>
      <c r="EM266" s="816"/>
      <c r="EN266" s="816"/>
      <c r="EO266" s="816"/>
      <c r="EP266" s="816"/>
      <c r="EQ266" s="816"/>
      <c r="ER266" s="816"/>
      <c r="ES266" s="816"/>
      <c r="ET266" s="816"/>
      <c r="EU266" s="816"/>
      <c r="EV266" s="609"/>
      <c r="EW266" s="609"/>
      <c r="EX266" s="816"/>
      <c r="EY266" s="816"/>
      <c r="EZ266" s="816"/>
      <c r="FA266" s="816"/>
      <c r="FB266" s="816"/>
      <c r="FC266" s="816"/>
      <c r="FD266" s="816"/>
      <c r="FE266" s="816"/>
      <c r="FF266" s="816"/>
      <c r="FG266" s="816"/>
      <c r="FH266" s="816"/>
      <c r="FI266" s="816"/>
      <c r="FJ266" s="816"/>
      <c r="FK266" s="816"/>
      <c r="FL266" s="816"/>
      <c r="FM266" s="816"/>
      <c r="FN266" s="816"/>
      <c r="FO266" s="816"/>
      <c r="FP266" s="816"/>
      <c r="FQ266" s="816"/>
      <c r="FR266" s="816"/>
      <c r="FS266" s="816"/>
      <c r="FT266" s="816"/>
      <c r="FU266" s="816"/>
      <c r="FV266" s="816"/>
      <c r="FW266" s="816"/>
      <c r="FX266" s="816"/>
      <c r="FY266" s="816"/>
      <c r="FZ266" s="819"/>
      <c r="GA266" s="816"/>
      <c r="GB266" s="820"/>
      <c r="GC266" s="820"/>
      <c r="GD266" s="820"/>
      <c r="GE266" s="820"/>
      <c r="GF266" s="609"/>
      <c r="GG266" s="609"/>
      <c r="GH266" s="816"/>
      <c r="GI266" s="816"/>
      <c r="GJ266" s="816"/>
      <c r="GK266" s="816"/>
      <c r="GL266" s="816"/>
      <c r="GM266" s="816"/>
      <c r="GN266" s="816"/>
      <c r="GO266" s="816"/>
      <c r="GP266" s="816"/>
      <c r="GQ266" s="816"/>
      <c r="GR266" s="816"/>
      <c r="GS266" s="816"/>
      <c r="GT266" s="818"/>
      <c r="GU266" s="816"/>
      <c r="GV266" s="816"/>
      <c r="GW266" s="816"/>
      <c r="GX266" s="816"/>
      <c r="GY266" s="816"/>
      <c r="GZ266" s="816"/>
      <c r="HA266" s="816"/>
      <c r="HB266" s="609"/>
      <c r="HC266" s="609"/>
      <c r="HD266" s="816"/>
      <c r="HE266" s="816"/>
      <c r="HF266" s="816"/>
      <c r="HG266" s="816"/>
      <c r="HH266" s="816"/>
      <c r="HI266" s="816"/>
      <c r="HJ266" s="609"/>
      <c r="HK266" s="609"/>
      <c r="HL266" s="609"/>
      <c r="HM266" s="816"/>
      <c r="HN266" s="816"/>
      <c r="HO266" s="609"/>
      <c r="HP266" s="609"/>
      <c r="HQ266" s="816"/>
      <c r="HR266" s="816"/>
      <c r="HS266" s="816"/>
      <c r="HT266" s="816"/>
      <c r="HU266" s="816"/>
      <c r="HV266" s="816"/>
      <c r="HW266" s="609"/>
      <c r="HX266" s="609"/>
      <c r="HY266" s="816"/>
      <c r="HZ266" s="816"/>
      <c r="IA266" s="816"/>
      <c r="IB266" s="816"/>
      <c r="IC266" s="816"/>
      <c r="ID266" s="816"/>
      <c r="IE266" s="609"/>
      <c r="IF266" s="609"/>
      <c r="IG266" s="816"/>
      <c r="IH266" s="816"/>
      <c r="II266" s="609"/>
      <c r="IJ266" s="609"/>
      <c r="IK266" s="816"/>
      <c r="IL266" s="816"/>
      <c r="IM266" s="609"/>
      <c r="IN266" s="609"/>
      <c r="IO266" s="816"/>
      <c r="IP266" s="816"/>
      <c r="IQ266" s="816"/>
      <c r="IR266" s="816"/>
      <c r="IS266" s="816"/>
      <c r="IT266" s="816"/>
      <c r="IU266" s="821"/>
      <c r="IV266" s="609"/>
      <c r="IW266" s="816"/>
      <c r="IX266" s="816"/>
      <c r="IY266" s="822"/>
      <c r="IZ266" s="609"/>
      <c r="JA266" s="816"/>
      <c r="JB266" s="816"/>
      <c r="JC266" s="609"/>
      <c r="JD266" s="816"/>
      <c r="JE266" s="816"/>
      <c r="JF266" s="816"/>
      <c r="JG266" s="816"/>
      <c r="JH266" s="816"/>
      <c r="JI266" s="816"/>
      <c r="JJ266" s="816"/>
      <c r="JK266" s="816"/>
      <c r="JL266" s="816"/>
      <c r="JM266" s="816"/>
      <c r="JN266" s="816"/>
      <c r="JO266" s="823"/>
      <c r="JP266" s="824"/>
      <c r="JQ266" s="825"/>
      <c r="JR266" s="825"/>
      <c r="JS266" s="816"/>
      <c r="JU266" s="834"/>
      <c r="JV266" s="834"/>
      <c r="JW266" s="826"/>
      <c r="JX266" s="834"/>
    </row>
    <row r="267" spans="2:284" s="780" customFormat="1">
      <c r="B267" s="609"/>
      <c r="C267" s="609"/>
      <c r="D267" s="609"/>
      <c r="E267" s="609"/>
      <c r="F267" s="609"/>
      <c r="G267" s="609"/>
      <c r="H267" s="609"/>
      <c r="I267" s="609"/>
      <c r="J267" s="609"/>
      <c r="K267" s="609"/>
      <c r="L267" s="609"/>
      <c r="M267" s="609"/>
      <c r="N267" s="609"/>
      <c r="O267" s="609"/>
      <c r="P267" s="609"/>
      <c r="Q267" s="609"/>
      <c r="R267" s="609"/>
      <c r="S267" s="609"/>
      <c r="T267" s="609"/>
      <c r="U267" s="609"/>
      <c r="V267" s="609"/>
      <c r="W267" s="609"/>
      <c r="X267" s="609"/>
      <c r="Y267" s="609"/>
      <c r="Z267" s="609"/>
      <c r="AA267" s="609"/>
      <c r="AB267" s="609"/>
      <c r="AC267" s="609"/>
      <c r="AD267" s="816"/>
      <c r="AE267" s="816"/>
      <c r="AF267" s="816"/>
      <c r="AG267" s="816"/>
      <c r="AH267" s="816"/>
      <c r="AI267" s="816"/>
      <c r="AJ267" s="609"/>
      <c r="AK267" s="609"/>
      <c r="AL267" s="816"/>
      <c r="AM267" s="816"/>
      <c r="AN267" s="609"/>
      <c r="AO267" s="609"/>
      <c r="AP267" s="816"/>
      <c r="AQ267" s="816"/>
      <c r="AR267" s="816"/>
      <c r="AS267" s="816"/>
      <c r="AT267" s="816"/>
      <c r="AU267" s="816"/>
      <c r="AV267" s="609"/>
      <c r="AW267" s="609"/>
      <c r="AX267" s="816"/>
      <c r="AY267" s="816"/>
      <c r="AZ267" s="817"/>
      <c r="BA267" s="609"/>
      <c r="BB267" s="609"/>
      <c r="BC267" s="816"/>
      <c r="BD267" s="816"/>
      <c r="BE267" s="816"/>
      <c r="BF267" s="816"/>
      <c r="BG267" s="816"/>
      <c r="BH267" s="816"/>
      <c r="BI267" s="816"/>
      <c r="BJ267" s="816"/>
      <c r="BK267" s="816"/>
      <c r="BL267" s="816"/>
      <c r="BM267" s="816"/>
      <c r="BN267" s="816"/>
      <c r="BO267" s="816"/>
      <c r="BP267" s="816"/>
      <c r="BQ267" s="816"/>
      <c r="BR267" s="816"/>
      <c r="BS267" s="816"/>
      <c r="BT267" s="816"/>
      <c r="BU267" s="816"/>
      <c r="BV267" s="816"/>
      <c r="BW267" s="816"/>
      <c r="BX267" s="609"/>
      <c r="BY267" s="609"/>
      <c r="BZ267" s="609"/>
      <c r="CA267" s="818"/>
      <c r="CB267" s="816"/>
      <c r="CC267" s="816"/>
      <c r="CD267" s="816"/>
      <c r="CE267" s="816"/>
      <c r="CF267" s="816"/>
      <c r="CG267" s="816"/>
      <c r="CH267" s="816"/>
      <c r="CI267" s="816"/>
      <c r="CJ267" s="819"/>
      <c r="CK267" s="819"/>
      <c r="CL267" s="820"/>
      <c r="CM267" s="820"/>
      <c r="CN267" s="820"/>
      <c r="CO267" s="820"/>
      <c r="CP267" s="820"/>
      <c r="CQ267" s="820"/>
      <c r="CR267" s="609"/>
      <c r="CS267" s="609"/>
      <c r="CT267" s="816"/>
      <c r="CU267" s="816"/>
      <c r="CV267" s="609"/>
      <c r="CW267" s="609"/>
      <c r="CX267" s="816"/>
      <c r="CY267" s="816"/>
      <c r="CZ267" s="609"/>
      <c r="DA267" s="609"/>
      <c r="DB267" s="816"/>
      <c r="DC267" s="816"/>
      <c r="DD267" s="609"/>
      <c r="DE267" s="609"/>
      <c r="DF267" s="816"/>
      <c r="DG267" s="816"/>
      <c r="DH267" s="816"/>
      <c r="DI267" s="816"/>
      <c r="DJ267" s="816"/>
      <c r="DK267" s="816"/>
      <c r="DL267" s="609"/>
      <c r="DM267" s="609"/>
      <c r="DN267" s="816"/>
      <c r="DO267" s="816"/>
      <c r="DP267" s="609"/>
      <c r="DQ267" s="609"/>
      <c r="DR267" s="816"/>
      <c r="DS267" s="816"/>
      <c r="DT267" s="816"/>
      <c r="DU267" s="816"/>
      <c r="DV267" s="816"/>
      <c r="DW267" s="816"/>
      <c r="DX267" s="816"/>
      <c r="DY267" s="816"/>
      <c r="DZ267" s="816"/>
      <c r="EA267" s="816"/>
      <c r="EB267" s="816"/>
      <c r="EC267" s="816"/>
      <c r="ED267" s="816"/>
      <c r="EE267" s="816"/>
      <c r="EF267" s="609"/>
      <c r="EG267" s="609"/>
      <c r="EH267" s="816"/>
      <c r="EI267" s="816"/>
      <c r="EJ267" s="816"/>
      <c r="EK267" s="816"/>
      <c r="EL267" s="816"/>
      <c r="EM267" s="816"/>
      <c r="EN267" s="816"/>
      <c r="EO267" s="816"/>
      <c r="EP267" s="816"/>
      <c r="EQ267" s="816"/>
      <c r="ER267" s="816"/>
      <c r="ES267" s="816"/>
      <c r="ET267" s="816"/>
      <c r="EU267" s="816"/>
      <c r="EV267" s="609"/>
      <c r="EW267" s="609"/>
      <c r="EX267" s="816"/>
      <c r="EY267" s="816"/>
      <c r="EZ267" s="816"/>
      <c r="FA267" s="816"/>
      <c r="FB267" s="816"/>
      <c r="FC267" s="816"/>
      <c r="FD267" s="816"/>
      <c r="FE267" s="816"/>
      <c r="FF267" s="816"/>
      <c r="FG267" s="816"/>
      <c r="FH267" s="816"/>
      <c r="FI267" s="816"/>
      <c r="FJ267" s="816"/>
      <c r="FK267" s="816"/>
      <c r="FL267" s="816"/>
      <c r="FM267" s="816"/>
      <c r="FN267" s="816"/>
      <c r="FO267" s="816"/>
      <c r="FP267" s="816"/>
      <c r="FQ267" s="816"/>
      <c r="FR267" s="816"/>
      <c r="FS267" s="816"/>
      <c r="FT267" s="816"/>
      <c r="FU267" s="816"/>
      <c r="FV267" s="816"/>
      <c r="FW267" s="816"/>
      <c r="FX267" s="816"/>
      <c r="FY267" s="816"/>
      <c r="FZ267" s="819"/>
      <c r="GA267" s="816"/>
      <c r="GB267" s="820"/>
      <c r="GC267" s="820"/>
      <c r="GD267" s="820"/>
      <c r="GE267" s="820"/>
      <c r="GF267" s="609"/>
      <c r="GG267" s="609"/>
      <c r="GH267" s="816"/>
      <c r="GI267" s="816"/>
      <c r="GJ267" s="816"/>
      <c r="GK267" s="816"/>
      <c r="GL267" s="816"/>
      <c r="GM267" s="816"/>
      <c r="GN267" s="816"/>
      <c r="GO267" s="816"/>
      <c r="GP267" s="816"/>
      <c r="GQ267" s="816"/>
      <c r="GR267" s="816"/>
      <c r="GS267" s="816"/>
      <c r="GT267" s="818"/>
      <c r="GU267" s="816"/>
      <c r="GV267" s="816"/>
      <c r="GW267" s="816"/>
      <c r="GX267" s="816"/>
      <c r="GY267" s="816"/>
      <c r="GZ267" s="816"/>
      <c r="HA267" s="816"/>
      <c r="HB267" s="609"/>
      <c r="HC267" s="609"/>
      <c r="HD267" s="816"/>
      <c r="HE267" s="816"/>
      <c r="HF267" s="816"/>
      <c r="HG267" s="816"/>
      <c r="HH267" s="816"/>
      <c r="HI267" s="816"/>
      <c r="HJ267" s="609"/>
      <c r="HK267" s="609"/>
      <c r="HL267" s="609"/>
      <c r="HM267" s="816"/>
      <c r="HN267" s="816"/>
      <c r="HO267" s="609"/>
      <c r="HP267" s="609"/>
      <c r="HQ267" s="816"/>
      <c r="HR267" s="816"/>
      <c r="HS267" s="816"/>
      <c r="HT267" s="816"/>
      <c r="HU267" s="816"/>
      <c r="HV267" s="816"/>
      <c r="HW267" s="609"/>
      <c r="HX267" s="609"/>
      <c r="HY267" s="816"/>
      <c r="HZ267" s="816"/>
      <c r="IA267" s="816"/>
      <c r="IB267" s="816"/>
      <c r="IC267" s="816"/>
      <c r="ID267" s="816"/>
      <c r="IE267" s="609"/>
      <c r="IF267" s="609"/>
      <c r="IG267" s="816"/>
      <c r="IH267" s="816"/>
      <c r="II267" s="609"/>
      <c r="IJ267" s="609"/>
      <c r="IK267" s="816"/>
      <c r="IL267" s="816"/>
      <c r="IM267" s="609"/>
      <c r="IN267" s="609"/>
      <c r="IO267" s="816"/>
      <c r="IP267" s="816"/>
      <c r="IQ267" s="816"/>
      <c r="IR267" s="816"/>
      <c r="IS267" s="816"/>
      <c r="IT267" s="816"/>
      <c r="IU267" s="821"/>
      <c r="IV267" s="609"/>
      <c r="IW267" s="816"/>
      <c r="IX267" s="816"/>
      <c r="IY267" s="822"/>
      <c r="IZ267" s="609"/>
      <c r="JA267" s="816"/>
      <c r="JB267" s="816"/>
      <c r="JC267" s="609"/>
      <c r="JD267" s="816"/>
      <c r="JE267" s="816"/>
      <c r="JF267" s="816"/>
      <c r="JG267" s="816"/>
      <c r="JH267" s="816"/>
      <c r="JI267" s="816"/>
      <c r="JJ267" s="816"/>
      <c r="JK267" s="816"/>
      <c r="JL267" s="816"/>
      <c r="JM267" s="816"/>
      <c r="JN267" s="816"/>
      <c r="JO267" s="823"/>
      <c r="JP267" s="824"/>
      <c r="JQ267" s="825"/>
      <c r="JR267" s="825"/>
      <c r="JS267" s="816"/>
      <c r="JU267" s="834"/>
      <c r="JV267" s="834"/>
      <c r="JW267" s="826"/>
      <c r="JX267" s="834"/>
    </row>
    <row r="268" spans="2:284" s="780" customFormat="1">
      <c r="B268" s="609"/>
      <c r="C268" s="609"/>
      <c r="D268" s="609"/>
      <c r="E268" s="609"/>
      <c r="F268" s="609"/>
      <c r="G268" s="609"/>
      <c r="H268" s="609"/>
      <c r="I268" s="609"/>
      <c r="J268" s="609"/>
      <c r="K268" s="609"/>
      <c r="L268" s="609"/>
      <c r="M268" s="609"/>
      <c r="N268" s="609"/>
      <c r="O268" s="609"/>
      <c r="P268" s="609"/>
      <c r="Q268" s="609"/>
      <c r="R268" s="609"/>
      <c r="S268" s="609"/>
      <c r="T268" s="609"/>
      <c r="U268" s="609"/>
      <c r="V268" s="609"/>
      <c r="W268" s="609"/>
      <c r="X268" s="609"/>
      <c r="Y268" s="609"/>
      <c r="Z268" s="609"/>
      <c r="AA268" s="609"/>
      <c r="AB268" s="609"/>
      <c r="AC268" s="609"/>
      <c r="AD268" s="816"/>
      <c r="AE268" s="816"/>
      <c r="AF268" s="816"/>
      <c r="AG268" s="816"/>
      <c r="AH268" s="816"/>
      <c r="AI268" s="816"/>
      <c r="AJ268" s="609"/>
      <c r="AK268" s="609"/>
      <c r="AL268" s="816"/>
      <c r="AM268" s="816"/>
      <c r="AN268" s="609"/>
      <c r="AO268" s="609"/>
      <c r="AP268" s="816"/>
      <c r="AQ268" s="816"/>
      <c r="AR268" s="816"/>
      <c r="AS268" s="816"/>
      <c r="AT268" s="816"/>
      <c r="AU268" s="816"/>
      <c r="AV268" s="609"/>
      <c r="AW268" s="609"/>
      <c r="AX268" s="816"/>
      <c r="AY268" s="816"/>
      <c r="AZ268" s="817"/>
      <c r="BA268" s="609"/>
      <c r="BB268" s="609"/>
      <c r="BC268" s="816"/>
      <c r="BD268" s="816"/>
      <c r="BE268" s="816"/>
      <c r="BF268" s="816"/>
      <c r="BG268" s="816"/>
      <c r="BH268" s="816"/>
      <c r="BI268" s="816"/>
      <c r="BJ268" s="816"/>
      <c r="BK268" s="816"/>
      <c r="BL268" s="816"/>
      <c r="BM268" s="816"/>
      <c r="BN268" s="816"/>
      <c r="BO268" s="816"/>
      <c r="BP268" s="816"/>
      <c r="BQ268" s="816"/>
      <c r="BR268" s="816"/>
      <c r="BS268" s="816"/>
      <c r="BT268" s="816"/>
      <c r="BU268" s="816"/>
      <c r="BV268" s="816"/>
      <c r="BW268" s="816"/>
      <c r="BX268" s="609"/>
      <c r="BY268" s="609"/>
      <c r="BZ268" s="609"/>
      <c r="CA268" s="818"/>
      <c r="CB268" s="816"/>
      <c r="CC268" s="816"/>
      <c r="CD268" s="816"/>
      <c r="CE268" s="816"/>
      <c r="CF268" s="816"/>
      <c r="CG268" s="816"/>
      <c r="CH268" s="816"/>
      <c r="CI268" s="816"/>
      <c r="CJ268" s="819"/>
      <c r="CK268" s="819"/>
      <c r="CL268" s="820"/>
      <c r="CM268" s="820"/>
      <c r="CN268" s="820"/>
      <c r="CO268" s="820"/>
      <c r="CP268" s="820"/>
      <c r="CQ268" s="820"/>
      <c r="CR268" s="609"/>
      <c r="CS268" s="609"/>
      <c r="CT268" s="816"/>
      <c r="CU268" s="816"/>
      <c r="CV268" s="609"/>
      <c r="CW268" s="609"/>
      <c r="CX268" s="816"/>
      <c r="CY268" s="816"/>
      <c r="CZ268" s="609"/>
      <c r="DA268" s="609"/>
      <c r="DB268" s="816"/>
      <c r="DC268" s="816"/>
      <c r="DD268" s="609"/>
      <c r="DE268" s="609"/>
      <c r="DF268" s="816"/>
      <c r="DG268" s="816"/>
      <c r="DH268" s="816"/>
      <c r="DI268" s="816"/>
      <c r="DJ268" s="816"/>
      <c r="DK268" s="816"/>
      <c r="DL268" s="609"/>
      <c r="DM268" s="609"/>
      <c r="DN268" s="816"/>
      <c r="DO268" s="816"/>
      <c r="DP268" s="609"/>
      <c r="DQ268" s="609"/>
      <c r="DR268" s="816"/>
      <c r="DS268" s="816"/>
      <c r="DT268" s="816"/>
      <c r="DU268" s="816"/>
      <c r="DV268" s="816"/>
      <c r="DW268" s="816"/>
      <c r="DX268" s="816"/>
      <c r="DY268" s="816"/>
      <c r="DZ268" s="816"/>
      <c r="EA268" s="816"/>
      <c r="EB268" s="816"/>
      <c r="EC268" s="816"/>
      <c r="ED268" s="816"/>
      <c r="EE268" s="816"/>
      <c r="EF268" s="609"/>
      <c r="EG268" s="609"/>
      <c r="EH268" s="816"/>
      <c r="EI268" s="816"/>
      <c r="EJ268" s="816"/>
      <c r="EK268" s="816"/>
      <c r="EL268" s="816"/>
      <c r="EM268" s="816"/>
      <c r="EN268" s="816"/>
      <c r="EO268" s="816"/>
      <c r="EP268" s="816"/>
      <c r="EQ268" s="816"/>
      <c r="ER268" s="816"/>
      <c r="ES268" s="816"/>
      <c r="ET268" s="816"/>
      <c r="EU268" s="816"/>
      <c r="EV268" s="609"/>
      <c r="EW268" s="609"/>
      <c r="EX268" s="816"/>
      <c r="EY268" s="816"/>
      <c r="EZ268" s="816"/>
      <c r="FA268" s="816"/>
      <c r="FB268" s="816"/>
      <c r="FC268" s="816"/>
      <c r="FD268" s="816"/>
      <c r="FE268" s="816"/>
      <c r="FF268" s="816"/>
      <c r="FG268" s="816"/>
      <c r="FH268" s="816"/>
      <c r="FI268" s="816"/>
      <c r="FJ268" s="816"/>
      <c r="FK268" s="816"/>
      <c r="FL268" s="816"/>
      <c r="FM268" s="816"/>
      <c r="FN268" s="816"/>
      <c r="FO268" s="816"/>
      <c r="FP268" s="816"/>
      <c r="FQ268" s="816"/>
      <c r="FR268" s="816"/>
      <c r="FS268" s="816"/>
      <c r="FT268" s="816"/>
      <c r="FU268" s="816"/>
      <c r="FV268" s="816"/>
      <c r="FW268" s="816"/>
      <c r="FX268" s="816"/>
      <c r="FY268" s="816"/>
      <c r="FZ268" s="819"/>
      <c r="GA268" s="816"/>
      <c r="GB268" s="820"/>
      <c r="GC268" s="820"/>
      <c r="GD268" s="820"/>
      <c r="GE268" s="820"/>
      <c r="GF268" s="609"/>
      <c r="GG268" s="609"/>
      <c r="GH268" s="816"/>
      <c r="GI268" s="816"/>
      <c r="GJ268" s="816"/>
      <c r="GK268" s="816"/>
      <c r="GL268" s="816"/>
      <c r="GM268" s="816"/>
      <c r="GN268" s="816"/>
      <c r="GO268" s="816"/>
      <c r="GP268" s="816"/>
      <c r="GQ268" s="816"/>
      <c r="GR268" s="816"/>
      <c r="GS268" s="816"/>
      <c r="GT268" s="818"/>
      <c r="GU268" s="816"/>
      <c r="GV268" s="816"/>
      <c r="GW268" s="816"/>
      <c r="GX268" s="816"/>
      <c r="GY268" s="816"/>
      <c r="GZ268" s="816"/>
      <c r="HA268" s="816"/>
      <c r="HB268" s="609"/>
      <c r="HC268" s="609"/>
      <c r="HD268" s="816"/>
      <c r="HE268" s="816"/>
      <c r="HF268" s="816"/>
      <c r="HG268" s="816"/>
      <c r="HH268" s="816"/>
      <c r="HI268" s="816"/>
      <c r="HJ268" s="609"/>
      <c r="HK268" s="609"/>
      <c r="HL268" s="609"/>
      <c r="HM268" s="816"/>
      <c r="HN268" s="816"/>
      <c r="HO268" s="609"/>
      <c r="HP268" s="609"/>
      <c r="HQ268" s="816"/>
      <c r="HR268" s="816"/>
      <c r="HS268" s="816"/>
      <c r="HT268" s="816"/>
      <c r="HU268" s="816"/>
      <c r="HV268" s="816"/>
      <c r="HW268" s="609"/>
      <c r="HX268" s="609"/>
      <c r="HY268" s="816"/>
      <c r="HZ268" s="816"/>
      <c r="IA268" s="816"/>
      <c r="IB268" s="816"/>
      <c r="IC268" s="816"/>
      <c r="ID268" s="816"/>
      <c r="IE268" s="609"/>
      <c r="IF268" s="609"/>
      <c r="IG268" s="816"/>
      <c r="IH268" s="816"/>
      <c r="II268" s="609"/>
      <c r="IJ268" s="609"/>
      <c r="IK268" s="816"/>
      <c r="IL268" s="816"/>
      <c r="IM268" s="609"/>
      <c r="IN268" s="609"/>
      <c r="IO268" s="816"/>
      <c r="IP268" s="816"/>
      <c r="IQ268" s="816"/>
      <c r="IR268" s="816"/>
      <c r="IS268" s="816"/>
      <c r="IT268" s="816"/>
      <c r="IU268" s="821"/>
      <c r="IV268" s="609"/>
      <c r="IW268" s="816"/>
      <c r="IX268" s="816"/>
      <c r="IY268" s="822"/>
      <c r="IZ268" s="609"/>
      <c r="JA268" s="816"/>
      <c r="JB268" s="816"/>
      <c r="JC268" s="609"/>
      <c r="JD268" s="816"/>
      <c r="JE268" s="816"/>
      <c r="JF268" s="816"/>
      <c r="JG268" s="816"/>
      <c r="JH268" s="816"/>
      <c r="JI268" s="816"/>
      <c r="JJ268" s="816"/>
      <c r="JK268" s="816"/>
      <c r="JL268" s="816"/>
      <c r="JM268" s="816"/>
      <c r="JN268" s="816"/>
      <c r="JO268" s="823"/>
      <c r="JP268" s="824"/>
      <c r="JQ268" s="825"/>
      <c r="JR268" s="825"/>
      <c r="JS268" s="816"/>
      <c r="JU268" s="834"/>
      <c r="JV268" s="834"/>
      <c r="JW268" s="826"/>
      <c r="JX268" s="834"/>
    </row>
    <row r="269" spans="2:284" s="780" customFormat="1">
      <c r="B269" s="609"/>
      <c r="C269" s="609"/>
      <c r="D269" s="609"/>
      <c r="E269" s="609"/>
      <c r="F269" s="609"/>
      <c r="G269" s="609"/>
      <c r="H269" s="609"/>
      <c r="I269" s="609"/>
      <c r="J269" s="609"/>
      <c r="K269" s="609"/>
      <c r="L269" s="609"/>
      <c r="M269" s="609"/>
      <c r="N269" s="609"/>
      <c r="O269" s="609"/>
      <c r="P269" s="609"/>
      <c r="Q269" s="609"/>
      <c r="R269" s="609"/>
      <c r="S269" s="609"/>
      <c r="T269" s="609"/>
      <c r="U269" s="609"/>
      <c r="V269" s="609"/>
      <c r="W269" s="609"/>
      <c r="X269" s="609"/>
      <c r="Y269" s="609"/>
      <c r="Z269" s="609"/>
      <c r="AA269" s="609"/>
      <c r="AB269" s="609"/>
      <c r="AC269" s="609"/>
      <c r="AD269" s="816"/>
      <c r="AE269" s="816"/>
      <c r="AF269" s="816"/>
      <c r="AG269" s="816"/>
      <c r="AH269" s="816"/>
      <c r="AI269" s="816"/>
      <c r="AJ269" s="609"/>
      <c r="AK269" s="609"/>
      <c r="AL269" s="816"/>
      <c r="AM269" s="816"/>
      <c r="AN269" s="609"/>
      <c r="AO269" s="609"/>
      <c r="AP269" s="816"/>
      <c r="AQ269" s="816"/>
      <c r="AR269" s="816"/>
      <c r="AS269" s="816"/>
      <c r="AT269" s="816"/>
      <c r="AU269" s="816"/>
      <c r="AV269" s="609"/>
      <c r="AW269" s="609"/>
      <c r="AX269" s="816"/>
      <c r="AY269" s="816"/>
      <c r="AZ269" s="817"/>
      <c r="BA269" s="609"/>
      <c r="BB269" s="609"/>
      <c r="BC269" s="816"/>
      <c r="BD269" s="816"/>
      <c r="BE269" s="816"/>
      <c r="BF269" s="816"/>
      <c r="BG269" s="816"/>
      <c r="BH269" s="816"/>
      <c r="BI269" s="816"/>
      <c r="BJ269" s="816"/>
      <c r="BK269" s="816"/>
      <c r="BL269" s="816"/>
      <c r="BM269" s="816"/>
      <c r="BN269" s="816"/>
      <c r="BO269" s="816"/>
      <c r="BP269" s="816"/>
      <c r="BQ269" s="816"/>
      <c r="BR269" s="816"/>
      <c r="BS269" s="816"/>
      <c r="BT269" s="816"/>
      <c r="BU269" s="816"/>
      <c r="BV269" s="816"/>
      <c r="BW269" s="816"/>
      <c r="BX269" s="609"/>
      <c r="BY269" s="609"/>
      <c r="BZ269" s="609"/>
      <c r="CA269" s="818"/>
      <c r="CB269" s="816"/>
      <c r="CC269" s="816"/>
      <c r="CD269" s="816"/>
      <c r="CE269" s="816"/>
      <c r="CF269" s="816"/>
      <c r="CG269" s="816"/>
      <c r="CH269" s="816"/>
      <c r="CI269" s="816"/>
      <c r="CJ269" s="819"/>
      <c r="CK269" s="819"/>
      <c r="CL269" s="820"/>
      <c r="CM269" s="820"/>
      <c r="CN269" s="820"/>
      <c r="CO269" s="820"/>
      <c r="CP269" s="820"/>
      <c r="CQ269" s="820"/>
      <c r="CR269" s="609"/>
      <c r="CS269" s="609"/>
      <c r="CT269" s="816"/>
      <c r="CU269" s="816"/>
      <c r="CV269" s="609"/>
      <c r="CW269" s="609"/>
      <c r="CX269" s="816"/>
      <c r="CY269" s="816"/>
      <c r="CZ269" s="609"/>
      <c r="DA269" s="609"/>
      <c r="DB269" s="816"/>
      <c r="DC269" s="816"/>
      <c r="DD269" s="609"/>
      <c r="DE269" s="609"/>
      <c r="DF269" s="816"/>
      <c r="DG269" s="816"/>
      <c r="DH269" s="816"/>
      <c r="DI269" s="816"/>
      <c r="DJ269" s="816"/>
      <c r="DK269" s="816"/>
      <c r="DL269" s="609"/>
      <c r="DM269" s="609"/>
      <c r="DN269" s="816"/>
      <c r="DO269" s="816"/>
      <c r="DP269" s="609"/>
      <c r="DQ269" s="609"/>
      <c r="DR269" s="816"/>
      <c r="DS269" s="816"/>
      <c r="DT269" s="816"/>
      <c r="DU269" s="816"/>
      <c r="DV269" s="816"/>
      <c r="DW269" s="816"/>
      <c r="DX269" s="816"/>
      <c r="DY269" s="816"/>
      <c r="DZ269" s="816"/>
      <c r="EA269" s="816"/>
      <c r="EB269" s="816"/>
      <c r="EC269" s="816"/>
      <c r="ED269" s="816"/>
      <c r="EE269" s="816"/>
      <c r="EF269" s="609"/>
      <c r="EG269" s="609"/>
      <c r="EH269" s="816"/>
      <c r="EI269" s="816"/>
      <c r="EJ269" s="816"/>
      <c r="EK269" s="816"/>
      <c r="EL269" s="816"/>
      <c r="EM269" s="816"/>
      <c r="EN269" s="816"/>
      <c r="EO269" s="816"/>
      <c r="EP269" s="816"/>
      <c r="EQ269" s="816"/>
      <c r="ER269" s="816"/>
      <c r="ES269" s="816"/>
      <c r="ET269" s="816"/>
      <c r="EU269" s="816"/>
      <c r="EV269" s="609"/>
      <c r="EW269" s="609"/>
      <c r="EX269" s="816"/>
      <c r="EY269" s="816"/>
      <c r="EZ269" s="816"/>
      <c r="FA269" s="816"/>
      <c r="FB269" s="816"/>
      <c r="FC269" s="816"/>
      <c r="FD269" s="816"/>
      <c r="FE269" s="816"/>
      <c r="FF269" s="816"/>
      <c r="FG269" s="816"/>
      <c r="FH269" s="816"/>
      <c r="FI269" s="816"/>
      <c r="FJ269" s="816"/>
      <c r="FK269" s="816"/>
      <c r="FL269" s="816"/>
      <c r="FM269" s="816"/>
      <c r="FN269" s="816"/>
      <c r="FO269" s="816"/>
      <c r="FP269" s="816"/>
      <c r="FQ269" s="816"/>
      <c r="FR269" s="816"/>
      <c r="FS269" s="816"/>
      <c r="FT269" s="816"/>
      <c r="FU269" s="816"/>
      <c r="FV269" s="816"/>
      <c r="FW269" s="816"/>
      <c r="FX269" s="816"/>
      <c r="FY269" s="816"/>
      <c r="FZ269" s="819"/>
      <c r="GA269" s="816"/>
      <c r="GB269" s="820"/>
      <c r="GC269" s="820"/>
      <c r="GD269" s="820"/>
      <c r="GE269" s="820"/>
      <c r="GF269" s="609"/>
      <c r="GG269" s="609"/>
      <c r="GH269" s="816"/>
      <c r="GI269" s="816"/>
      <c r="GJ269" s="816"/>
      <c r="GK269" s="816"/>
      <c r="GL269" s="816"/>
      <c r="GM269" s="816"/>
      <c r="GN269" s="816"/>
      <c r="GO269" s="816"/>
      <c r="GP269" s="816"/>
      <c r="GQ269" s="816"/>
      <c r="GR269" s="816"/>
      <c r="GS269" s="816"/>
      <c r="GT269" s="818"/>
      <c r="GU269" s="816"/>
      <c r="GV269" s="816"/>
      <c r="GW269" s="816"/>
      <c r="GX269" s="816"/>
      <c r="GY269" s="816"/>
      <c r="GZ269" s="816"/>
      <c r="HA269" s="816"/>
      <c r="HB269" s="609"/>
      <c r="HC269" s="609"/>
      <c r="HD269" s="816"/>
      <c r="HE269" s="816"/>
      <c r="HF269" s="816"/>
      <c r="HG269" s="816"/>
      <c r="HH269" s="816"/>
      <c r="HI269" s="816"/>
      <c r="HJ269" s="609"/>
      <c r="HK269" s="609"/>
      <c r="HL269" s="609"/>
      <c r="HM269" s="816"/>
      <c r="HN269" s="816"/>
      <c r="HO269" s="609"/>
      <c r="HP269" s="609"/>
      <c r="HQ269" s="816"/>
      <c r="HR269" s="816"/>
      <c r="HS269" s="816"/>
      <c r="HT269" s="816"/>
      <c r="HU269" s="816"/>
      <c r="HV269" s="816"/>
      <c r="HW269" s="609"/>
      <c r="HX269" s="609"/>
      <c r="HY269" s="816"/>
      <c r="HZ269" s="816"/>
      <c r="IA269" s="816"/>
      <c r="IB269" s="816"/>
      <c r="IC269" s="816"/>
      <c r="ID269" s="816"/>
      <c r="IE269" s="609"/>
      <c r="IF269" s="609"/>
      <c r="IG269" s="816"/>
      <c r="IH269" s="816"/>
      <c r="II269" s="609"/>
      <c r="IJ269" s="609"/>
      <c r="IK269" s="816"/>
      <c r="IL269" s="816"/>
      <c r="IM269" s="609"/>
      <c r="IN269" s="609"/>
      <c r="IO269" s="816"/>
      <c r="IP269" s="816"/>
      <c r="IQ269" s="816"/>
      <c r="IR269" s="816"/>
      <c r="IS269" s="816"/>
      <c r="IT269" s="816"/>
      <c r="IU269" s="821"/>
      <c r="IV269" s="609"/>
      <c r="IW269" s="816"/>
      <c r="IX269" s="816"/>
      <c r="IY269" s="822"/>
      <c r="IZ269" s="609"/>
      <c r="JA269" s="816"/>
      <c r="JB269" s="816"/>
      <c r="JC269" s="609"/>
      <c r="JD269" s="816"/>
      <c r="JE269" s="816"/>
      <c r="JF269" s="816"/>
      <c r="JG269" s="816"/>
      <c r="JH269" s="816"/>
      <c r="JI269" s="816"/>
      <c r="JJ269" s="816"/>
      <c r="JK269" s="816"/>
      <c r="JL269" s="816"/>
      <c r="JM269" s="816"/>
      <c r="JN269" s="816"/>
      <c r="JO269" s="823"/>
      <c r="JP269" s="824"/>
      <c r="JQ269" s="825"/>
      <c r="JR269" s="825"/>
      <c r="JS269" s="816"/>
      <c r="JU269" s="834"/>
      <c r="JV269" s="834"/>
      <c r="JW269" s="826"/>
      <c r="JX269" s="834"/>
    </row>
    <row r="270" spans="2:284" s="780" customFormat="1">
      <c r="B270" s="609"/>
      <c r="C270" s="609"/>
      <c r="D270" s="609"/>
      <c r="E270" s="609"/>
      <c r="F270" s="609"/>
      <c r="G270" s="609"/>
      <c r="H270" s="609"/>
      <c r="I270" s="609"/>
      <c r="J270" s="609"/>
      <c r="K270" s="609"/>
      <c r="L270" s="609"/>
      <c r="M270" s="609"/>
      <c r="N270" s="609"/>
      <c r="O270" s="609"/>
      <c r="P270" s="609"/>
      <c r="Q270" s="609"/>
      <c r="R270" s="609"/>
      <c r="S270" s="609"/>
      <c r="T270" s="609"/>
      <c r="U270" s="609"/>
      <c r="V270" s="609"/>
      <c r="W270" s="609"/>
      <c r="X270" s="609"/>
      <c r="Y270" s="609"/>
      <c r="Z270" s="609"/>
      <c r="AA270" s="609"/>
      <c r="AB270" s="609"/>
      <c r="AC270" s="609"/>
      <c r="AD270" s="816"/>
      <c r="AE270" s="816"/>
      <c r="AF270" s="816"/>
      <c r="AG270" s="816"/>
      <c r="AH270" s="816"/>
      <c r="AI270" s="816"/>
      <c r="AJ270" s="609"/>
      <c r="AK270" s="609"/>
      <c r="AL270" s="816"/>
      <c r="AM270" s="816"/>
      <c r="AN270" s="609"/>
      <c r="AO270" s="609"/>
      <c r="AP270" s="816"/>
      <c r="AQ270" s="816"/>
      <c r="AR270" s="816"/>
      <c r="AS270" s="816"/>
      <c r="AT270" s="816"/>
      <c r="AU270" s="816"/>
      <c r="AV270" s="609"/>
      <c r="AW270" s="609"/>
      <c r="AX270" s="816"/>
      <c r="AY270" s="816"/>
      <c r="AZ270" s="817"/>
      <c r="BA270" s="609"/>
      <c r="BB270" s="609"/>
      <c r="BC270" s="816"/>
      <c r="BD270" s="816"/>
      <c r="BE270" s="816"/>
      <c r="BF270" s="816"/>
      <c r="BG270" s="816"/>
      <c r="BH270" s="816"/>
      <c r="BI270" s="816"/>
      <c r="BJ270" s="816"/>
      <c r="BK270" s="816"/>
      <c r="BL270" s="816"/>
      <c r="BM270" s="816"/>
      <c r="BN270" s="816"/>
      <c r="BO270" s="816"/>
      <c r="BP270" s="816"/>
      <c r="BQ270" s="816"/>
      <c r="BR270" s="816"/>
      <c r="BS270" s="816"/>
      <c r="BT270" s="816"/>
      <c r="BU270" s="816"/>
      <c r="BV270" s="816"/>
      <c r="BW270" s="816"/>
      <c r="BX270" s="609"/>
      <c r="BY270" s="609"/>
      <c r="BZ270" s="609"/>
      <c r="CA270" s="818"/>
      <c r="CB270" s="816"/>
      <c r="CC270" s="816"/>
      <c r="CD270" s="816"/>
      <c r="CE270" s="816"/>
      <c r="CF270" s="816"/>
      <c r="CG270" s="816"/>
      <c r="CH270" s="816"/>
      <c r="CI270" s="816"/>
      <c r="CJ270" s="819"/>
      <c r="CK270" s="819"/>
      <c r="CL270" s="820"/>
      <c r="CM270" s="820"/>
      <c r="CN270" s="820"/>
      <c r="CO270" s="820"/>
      <c r="CP270" s="820"/>
      <c r="CQ270" s="820"/>
      <c r="CR270" s="609"/>
      <c r="CS270" s="609"/>
      <c r="CT270" s="816"/>
      <c r="CU270" s="816"/>
      <c r="CV270" s="609"/>
      <c r="CW270" s="609"/>
      <c r="CX270" s="816"/>
      <c r="CY270" s="816"/>
      <c r="CZ270" s="609"/>
      <c r="DA270" s="609"/>
      <c r="DB270" s="816"/>
      <c r="DC270" s="816"/>
      <c r="DD270" s="609"/>
      <c r="DE270" s="609"/>
      <c r="DF270" s="816"/>
      <c r="DG270" s="816"/>
      <c r="DH270" s="816"/>
      <c r="DI270" s="816"/>
      <c r="DJ270" s="816"/>
      <c r="DK270" s="816"/>
      <c r="DL270" s="609"/>
      <c r="DM270" s="609"/>
      <c r="DN270" s="816"/>
      <c r="DO270" s="816"/>
      <c r="DP270" s="609"/>
      <c r="DQ270" s="609"/>
      <c r="DR270" s="816"/>
      <c r="DS270" s="816"/>
      <c r="DT270" s="816"/>
      <c r="DU270" s="816"/>
      <c r="DV270" s="816"/>
      <c r="DW270" s="816"/>
      <c r="DX270" s="816"/>
      <c r="DY270" s="816"/>
      <c r="DZ270" s="816"/>
      <c r="EA270" s="816"/>
      <c r="EB270" s="816"/>
      <c r="EC270" s="816"/>
      <c r="ED270" s="816"/>
      <c r="EE270" s="816"/>
      <c r="EF270" s="609"/>
      <c r="EG270" s="609"/>
      <c r="EH270" s="816"/>
      <c r="EI270" s="816"/>
      <c r="EJ270" s="816"/>
      <c r="EK270" s="816"/>
      <c r="EL270" s="816"/>
      <c r="EM270" s="816"/>
      <c r="EN270" s="816"/>
      <c r="EO270" s="816"/>
      <c r="EP270" s="816"/>
      <c r="EQ270" s="816"/>
      <c r="ER270" s="816"/>
      <c r="ES270" s="816"/>
      <c r="ET270" s="816"/>
      <c r="EU270" s="816"/>
      <c r="EV270" s="609"/>
      <c r="EW270" s="609"/>
      <c r="EX270" s="816"/>
      <c r="EY270" s="816"/>
      <c r="EZ270" s="816"/>
      <c r="FA270" s="816"/>
      <c r="FB270" s="816"/>
      <c r="FC270" s="816"/>
      <c r="FD270" s="816"/>
      <c r="FE270" s="816"/>
      <c r="FF270" s="816"/>
      <c r="FG270" s="816"/>
      <c r="FH270" s="816"/>
      <c r="FI270" s="816"/>
      <c r="FJ270" s="816"/>
      <c r="FK270" s="816"/>
      <c r="FL270" s="816"/>
      <c r="FM270" s="816"/>
      <c r="FN270" s="816"/>
      <c r="FO270" s="816"/>
      <c r="FP270" s="816"/>
      <c r="FQ270" s="816"/>
      <c r="FR270" s="816"/>
      <c r="FS270" s="816"/>
      <c r="FT270" s="816"/>
      <c r="FU270" s="816"/>
      <c r="FV270" s="816"/>
      <c r="FW270" s="816"/>
      <c r="FX270" s="816"/>
      <c r="FY270" s="816"/>
      <c r="FZ270" s="819"/>
      <c r="GA270" s="816"/>
      <c r="GB270" s="820"/>
      <c r="GC270" s="820"/>
      <c r="GD270" s="820"/>
      <c r="GE270" s="820"/>
      <c r="GF270" s="609"/>
      <c r="GG270" s="609"/>
      <c r="GH270" s="816"/>
      <c r="GI270" s="816"/>
      <c r="GJ270" s="816"/>
      <c r="GK270" s="816"/>
      <c r="GL270" s="816"/>
      <c r="GM270" s="816"/>
      <c r="GN270" s="816"/>
      <c r="GO270" s="816"/>
      <c r="GP270" s="816"/>
      <c r="GQ270" s="816"/>
      <c r="GR270" s="816"/>
      <c r="GS270" s="816"/>
      <c r="GT270" s="818"/>
      <c r="GU270" s="816"/>
      <c r="GV270" s="816"/>
      <c r="GW270" s="816"/>
      <c r="GX270" s="816"/>
      <c r="GY270" s="816"/>
      <c r="GZ270" s="816"/>
      <c r="HA270" s="816"/>
      <c r="HB270" s="609"/>
      <c r="HC270" s="609"/>
      <c r="HD270" s="816"/>
      <c r="HE270" s="816"/>
      <c r="HF270" s="816"/>
      <c r="HG270" s="816"/>
      <c r="HH270" s="816"/>
      <c r="HI270" s="816"/>
      <c r="HJ270" s="609"/>
      <c r="HK270" s="609"/>
      <c r="HL270" s="609"/>
      <c r="HM270" s="816"/>
      <c r="HN270" s="816"/>
      <c r="HO270" s="609"/>
      <c r="HP270" s="609"/>
      <c r="HQ270" s="816"/>
      <c r="HR270" s="816"/>
      <c r="HS270" s="816"/>
      <c r="HT270" s="816"/>
      <c r="HU270" s="816"/>
      <c r="HV270" s="816"/>
      <c r="HW270" s="609"/>
      <c r="HX270" s="609"/>
      <c r="HY270" s="816"/>
      <c r="HZ270" s="816"/>
      <c r="IA270" s="816"/>
      <c r="IB270" s="816"/>
      <c r="IC270" s="816"/>
      <c r="ID270" s="816"/>
      <c r="IE270" s="609"/>
      <c r="IF270" s="609"/>
      <c r="IG270" s="816"/>
      <c r="IH270" s="816"/>
      <c r="II270" s="609"/>
      <c r="IJ270" s="609"/>
      <c r="IK270" s="816"/>
      <c r="IL270" s="816"/>
      <c r="IM270" s="609"/>
      <c r="IN270" s="609"/>
      <c r="IO270" s="816"/>
      <c r="IP270" s="816"/>
      <c r="IQ270" s="816"/>
      <c r="IR270" s="816"/>
      <c r="IS270" s="816"/>
      <c r="IT270" s="816"/>
      <c r="IU270" s="821"/>
      <c r="IV270" s="609"/>
      <c r="IW270" s="816"/>
      <c r="IX270" s="816"/>
      <c r="IY270" s="822"/>
      <c r="IZ270" s="609"/>
      <c r="JA270" s="816"/>
      <c r="JB270" s="816"/>
      <c r="JC270" s="609"/>
      <c r="JD270" s="816"/>
      <c r="JE270" s="816"/>
      <c r="JF270" s="816"/>
      <c r="JG270" s="816"/>
      <c r="JH270" s="816"/>
      <c r="JI270" s="816"/>
      <c r="JJ270" s="816"/>
      <c r="JK270" s="816"/>
      <c r="JL270" s="816"/>
      <c r="JM270" s="816"/>
      <c r="JN270" s="816"/>
      <c r="JO270" s="823"/>
      <c r="JP270" s="824"/>
      <c r="JQ270" s="825"/>
      <c r="JR270" s="825"/>
      <c r="JS270" s="816"/>
      <c r="JU270" s="834"/>
      <c r="JV270" s="834"/>
      <c r="JW270" s="826"/>
      <c r="JX270" s="834"/>
    </row>
    <row r="271" spans="2:284" s="780" customFormat="1">
      <c r="B271" s="609"/>
      <c r="C271" s="609"/>
      <c r="D271" s="609"/>
      <c r="E271" s="609"/>
      <c r="F271" s="609"/>
      <c r="G271" s="609"/>
      <c r="H271" s="609"/>
      <c r="I271" s="609"/>
      <c r="J271" s="609"/>
      <c r="K271" s="609"/>
      <c r="L271" s="609"/>
      <c r="M271" s="609"/>
      <c r="N271" s="609"/>
      <c r="O271" s="609"/>
      <c r="P271" s="609"/>
      <c r="Q271" s="609"/>
      <c r="R271" s="609"/>
      <c r="S271" s="609"/>
      <c r="T271" s="609"/>
      <c r="U271" s="609"/>
      <c r="V271" s="609"/>
      <c r="W271" s="609"/>
      <c r="X271" s="609"/>
      <c r="Y271" s="609"/>
      <c r="Z271" s="609"/>
      <c r="AA271" s="609"/>
      <c r="AB271" s="609"/>
      <c r="AC271" s="609"/>
      <c r="AD271" s="816"/>
      <c r="AE271" s="816"/>
      <c r="AF271" s="816"/>
      <c r="AG271" s="816"/>
      <c r="AH271" s="816"/>
      <c r="AI271" s="816"/>
      <c r="AJ271" s="609"/>
      <c r="AK271" s="609"/>
      <c r="AL271" s="816"/>
      <c r="AM271" s="816"/>
      <c r="AN271" s="609"/>
      <c r="AO271" s="609"/>
      <c r="AP271" s="816"/>
      <c r="AQ271" s="816"/>
      <c r="AR271" s="816"/>
      <c r="AS271" s="816"/>
      <c r="AT271" s="816"/>
      <c r="AU271" s="816"/>
      <c r="AV271" s="609"/>
      <c r="AW271" s="609"/>
      <c r="AX271" s="816"/>
      <c r="AY271" s="816"/>
      <c r="AZ271" s="817"/>
      <c r="BA271" s="609"/>
      <c r="BB271" s="609"/>
      <c r="BC271" s="816"/>
      <c r="BD271" s="816"/>
      <c r="BE271" s="816"/>
      <c r="BF271" s="816"/>
      <c r="BG271" s="816"/>
      <c r="BH271" s="816"/>
      <c r="BI271" s="816"/>
      <c r="BJ271" s="816"/>
      <c r="BK271" s="816"/>
      <c r="BL271" s="816"/>
      <c r="BM271" s="816"/>
      <c r="BN271" s="816"/>
      <c r="BO271" s="816"/>
      <c r="BP271" s="816"/>
      <c r="BQ271" s="816"/>
      <c r="BR271" s="816"/>
      <c r="BS271" s="816"/>
      <c r="BT271" s="816"/>
      <c r="BU271" s="816"/>
      <c r="BV271" s="816"/>
      <c r="BW271" s="816"/>
      <c r="BX271" s="609"/>
      <c r="BY271" s="609"/>
      <c r="BZ271" s="609"/>
      <c r="CA271" s="818"/>
      <c r="CB271" s="816"/>
      <c r="CC271" s="816"/>
      <c r="CD271" s="816"/>
      <c r="CE271" s="816"/>
      <c r="CF271" s="816"/>
      <c r="CG271" s="816"/>
      <c r="CH271" s="816"/>
      <c r="CI271" s="816"/>
      <c r="CJ271" s="819"/>
      <c r="CK271" s="819"/>
      <c r="CL271" s="820"/>
      <c r="CM271" s="820"/>
      <c r="CN271" s="820"/>
      <c r="CO271" s="820"/>
      <c r="CP271" s="820"/>
      <c r="CQ271" s="820"/>
      <c r="CR271" s="609"/>
      <c r="CS271" s="609"/>
      <c r="CT271" s="816"/>
      <c r="CU271" s="816"/>
      <c r="CV271" s="609"/>
      <c r="CW271" s="609"/>
      <c r="CX271" s="816"/>
      <c r="CY271" s="816"/>
      <c r="CZ271" s="609"/>
      <c r="DA271" s="609"/>
      <c r="DB271" s="816"/>
      <c r="DC271" s="816"/>
      <c r="DD271" s="609"/>
      <c r="DE271" s="609"/>
      <c r="DF271" s="816"/>
      <c r="DG271" s="816"/>
      <c r="DH271" s="816"/>
      <c r="DI271" s="816"/>
      <c r="DJ271" s="816"/>
      <c r="DK271" s="816"/>
      <c r="DL271" s="609"/>
      <c r="DM271" s="609"/>
      <c r="DN271" s="816"/>
      <c r="DO271" s="816"/>
      <c r="DP271" s="609"/>
      <c r="DQ271" s="609"/>
      <c r="DR271" s="816"/>
      <c r="DS271" s="816"/>
      <c r="DT271" s="816"/>
      <c r="DU271" s="816"/>
      <c r="DV271" s="816"/>
      <c r="DW271" s="816"/>
      <c r="DX271" s="816"/>
      <c r="DY271" s="816"/>
      <c r="DZ271" s="816"/>
      <c r="EA271" s="816"/>
      <c r="EB271" s="816"/>
      <c r="EC271" s="816"/>
      <c r="ED271" s="816"/>
      <c r="EE271" s="816"/>
      <c r="EF271" s="609"/>
      <c r="EG271" s="609"/>
      <c r="EH271" s="816"/>
      <c r="EI271" s="816"/>
      <c r="EJ271" s="816"/>
      <c r="EK271" s="816"/>
      <c r="EL271" s="816"/>
      <c r="EM271" s="816"/>
      <c r="EN271" s="816"/>
      <c r="EO271" s="816"/>
      <c r="EP271" s="816"/>
      <c r="EQ271" s="816"/>
      <c r="ER271" s="816"/>
      <c r="ES271" s="816"/>
      <c r="ET271" s="816"/>
      <c r="EU271" s="816"/>
      <c r="EV271" s="609"/>
      <c r="EW271" s="609"/>
      <c r="EX271" s="816"/>
      <c r="EY271" s="816"/>
      <c r="EZ271" s="816"/>
      <c r="FA271" s="816"/>
      <c r="FB271" s="816"/>
      <c r="FC271" s="816"/>
      <c r="FD271" s="816"/>
      <c r="FE271" s="816"/>
      <c r="FF271" s="816"/>
      <c r="FG271" s="816"/>
      <c r="FH271" s="816"/>
      <c r="FI271" s="816"/>
      <c r="FJ271" s="816"/>
      <c r="FK271" s="816"/>
      <c r="FL271" s="816"/>
      <c r="FM271" s="816"/>
      <c r="FN271" s="816"/>
      <c r="FO271" s="816"/>
      <c r="FP271" s="816"/>
      <c r="FQ271" s="816"/>
      <c r="FR271" s="816"/>
      <c r="FS271" s="816"/>
      <c r="FT271" s="816"/>
      <c r="FU271" s="816"/>
      <c r="FV271" s="816"/>
      <c r="FW271" s="816"/>
      <c r="FX271" s="816"/>
      <c r="FY271" s="816"/>
      <c r="FZ271" s="819"/>
      <c r="GA271" s="816"/>
      <c r="GB271" s="820"/>
      <c r="GC271" s="820"/>
      <c r="GD271" s="820"/>
      <c r="GE271" s="820"/>
      <c r="GF271" s="609"/>
      <c r="GG271" s="609"/>
      <c r="GH271" s="816"/>
      <c r="GI271" s="816"/>
      <c r="GJ271" s="816"/>
      <c r="GK271" s="816"/>
      <c r="GL271" s="816"/>
      <c r="GM271" s="816"/>
      <c r="GN271" s="816"/>
      <c r="GO271" s="816"/>
      <c r="GP271" s="816"/>
      <c r="GQ271" s="816"/>
      <c r="GR271" s="816"/>
      <c r="GS271" s="816"/>
      <c r="GT271" s="818"/>
      <c r="GU271" s="816"/>
      <c r="GV271" s="816"/>
      <c r="GW271" s="816"/>
      <c r="GX271" s="816"/>
      <c r="GY271" s="816"/>
      <c r="GZ271" s="816"/>
      <c r="HA271" s="816"/>
      <c r="HB271" s="609"/>
      <c r="HC271" s="609"/>
      <c r="HD271" s="816"/>
      <c r="HE271" s="816"/>
      <c r="HF271" s="816"/>
      <c r="HG271" s="816"/>
      <c r="HH271" s="816"/>
      <c r="HI271" s="816"/>
      <c r="HJ271" s="609"/>
      <c r="HK271" s="609"/>
      <c r="HL271" s="609"/>
      <c r="HM271" s="816"/>
      <c r="HN271" s="816"/>
      <c r="HO271" s="609"/>
      <c r="HP271" s="609"/>
      <c r="HQ271" s="816"/>
      <c r="HR271" s="816"/>
      <c r="HS271" s="816"/>
      <c r="HT271" s="816"/>
      <c r="HU271" s="816"/>
      <c r="HV271" s="816"/>
      <c r="HW271" s="609"/>
      <c r="HX271" s="609"/>
      <c r="HY271" s="816"/>
      <c r="HZ271" s="816"/>
      <c r="IA271" s="816"/>
      <c r="IB271" s="816"/>
      <c r="IC271" s="816"/>
      <c r="ID271" s="816"/>
      <c r="IE271" s="609"/>
      <c r="IF271" s="609"/>
      <c r="IG271" s="816"/>
      <c r="IH271" s="816"/>
      <c r="II271" s="609"/>
      <c r="IJ271" s="609"/>
      <c r="IK271" s="816"/>
      <c r="IL271" s="816"/>
      <c r="IM271" s="609"/>
      <c r="IN271" s="609"/>
      <c r="IO271" s="816"/>
      <c r="IP271" s="816"/>
      <c r="IQ271" s="816"/>
      <c r="IR271" s="816"/>
      <c r="IS271" s="816"/>
      <c r="IT271" s="816"/>
      <c r="IU271" s="821"/>
      <c r="IV271" s="609"/>
      <c r="IW271" s="816"/>
      <c r="IX271" s="816"/>
      <c r="IY271" s="822"/>
      <c r="IZ271" s="609"/>
      <c r="JA271" s="816"/>
      <c r="JB271" s="816"/>
      <c r="JC271" s="609"/>
      <c r="JD271" s="816"/>
      <c r="JE271" s="816"/>
      <c r="JF271" s="816"/>
      <c r="JG271" s="816"/>
      <c r="JH271" s="816"/>
      <c r="JI271" s="816"/>
      <c r="JJ271" s="816"/>
      <c r="JK271" s="816"/>
      <c r="JL271" s="816"/>
      <c r="JM271" s="816"/>
      <c r="JN271" s="816"/>
      <c r="JO271" s="823"/>
      <c r="JP271" s="824"/>
      <c r="JQ271" s="825"/>
      <c r="JR271" s="825"/>
      <c r="JS271" s="816"/>
      <c r="JU271" s="834"/>
      <c r="JV271" s="834"/>
      <c r="JW271" s="826"/>
      <c r="JX271" s="834"/>
    </row>
    <row r="272" spans="2:284" s="780" customFormat="1">
      <c r="AD272" s="835"/>
      <c r="AE272" s="836"/>
      <c r="AF272" s="836"/>
      <c r="AG272" s="836"/>
      <c r="AH272" s="836"/>
      <c r="AI272" s="836"/>
      <c r="AJ272" s="817"/>
      <c r="AK272" s="817"/>
      <c r="AL272" s="836"/>
      <c r="AM272" s="836"/>
      <c r="AN272" s="817"/>
      <c r="AO272" s="817"/>
      <c r="AP272" s="836"/>
      <c r="AQ272" s="836"/>
      <c r="AR272" s="836"/>
      <c r="AS272" s="836"/>
      <c r="AT272" s="836"/>
      <c r="AU272" s="836"/>
      <c r="AV272" s="817"/>
      <c r="AW272" s="817"/>
      <c r="AX272" s="836"/>
      <c r="AY272" s="836"/>
      <c r="AZ272" s="817"/>
      <c r="BA272" s="817"/>
      <c r="BB272" s="817"/>
      <c r="BC272" s="836"/>
      <c r="BD272" s="836"/>
      <c r="BE272" s="836"/>
      <c r="BF272" s="836"/>
      <c r="BG272" s="836"/>
      <c r="BH272" s="836"/>
      <c r="BI272" s="836"/>
      <c r="BJ272" s="836"/>
      <c r="BK272" s="836"/>
      <c r="BL272" s="836"/>
      <c r="BM272" s="836"/>
      <c r="BN272" s="836"/>
      <c r="BO272" s="836"/>
      <c r="BP272" s="836"/>
      <c r="BQ272" s="836"/>
      <c r="BR272" s="836"/>
      <c r="BS272" s="836"/>
      <c r="BT272" s="836"/>
      <c r="BU272" s="836"/>
      <c r="BV272" s="836"/>
      <c r="BW272" s="836"/>
      <c r="BX272" s="817"/>
      <c r="BY272" s="817"/>
      <c r="BZ272" s="817"/>
      <c r="CA272" s="817"/>
      <c r="CB272" s="836"/>
      <c r="CC272" s="836"/>
      <c r="CD272" s="836"/>
      <c r="CE272" s="836"/>
      <c r="CF272" s="836"/>
      <c r="CG272" s="836"/>
      <c r="CH272" s="836"/>
      <c r="CI272" s="836"/>
      <c r="CJ272" s="817"/>
      <c r="CK272" s="817"/>
      <c r="CL272" s="836"/>
      <c r="CM272" s="836"/>
      <c r="CN272" s="836"/>
      <c r="CO272" s="836"/>
      <c r="CP272" s="836"/>
      <c r="CQ272" s="836"/>
      <c r="CR272" s="817"/>
      <c r="CS272" s="817"/>
      <c r="CT272" s="836"/>
      <c r="CU272" s="836"/>
      <c r="CV272" s="817"/>
      <c r="CW272" s="817"/>
      <c r="CX272" s="836"/>
      <c r="CY272" s="836"/>
      <c r="CZ272" s="817"/>
      <c r="DA272" s="817"/>
      <c r="DB272" s="836"/>
      <c r="DC272" s="836"/>
      <c r="DD272" s="817"/>
      <c r="DE272" s="817"/>
      <c r="DF272" s="836"/>
      <c r="DG272" s="836"/>
      <c r="DH272" s="836"/>
      <c r="DI272" s="836"/>
      <c r="DJ272" s="836"/>
      <c r="DK272" s="836"/>
      <c r="DL272" s="817"/>
      <c r="DM272" s="817"/>
      <c r="DN272" s="836"/>
      <c r="DO272" s="836"/>
      <c r="DP272" s="817"/>
      <c r="DQ272" s="817"/>
      <c r="DR272" s="836"/>
      <c r="DS272" s="836"/>
      <c r="DT272" s="836"/>
      <c r="DU272" s="836"/>
      <c r="DV272" s="836"/>
      <c r="DW272" s="836"/>
      <c r="DX272" s="836"/>
      <c r="DY272" s="836"/>
      <c r="DZ272" s="836"/>
      <c r="EA272" s="836"/>
      <c r="EB272" s="836"/>
      <c r="EC272" s="836"/>
      <c r="ED272" s="836"/>
      <c r="EE272" s="836"/>
      <c r="EF272" s="817"/>
      <c r="EG272" s="817"/>
      <c r="EH272" s="836"/>
      <c r="EI272" s="836"/>
      <c r="EJ272" s="836"/>
      <c r="EK272" s="836"/>
      <c r="EL272" s="836"/>
      <c r="EM272" s="836"/>
      <c r="EN272" s="836"/>
      <c r="EO272" s="836"/>
      <c r="EP272" s="836"/>
      <c r="EQ272" s="836"/>
      <c r="ER272" s="836"/>
      <c r="ES272" s="836"/>
      <c r="ET272" s="836"/>
      <c r="EU272" s="836"/>
      <c r="EV272" s="817"/>
      <c r="EW272" s="817"/>
      <c r="EX272" s="836"/>
      <c r="EY272" s="836"/>
      <c r="EZ272" s="836"/>
      <c r="FA272" s="836"/>
      <c r="FB272" s="836"/>
      <c r="FC272" s="836"/>
      <c r="FD272" s="836"/>
      <c r="FE272" s="836"/>
      <c r="FF272" s="836"/>
      <c r="FG272" s="836"/>
      <c r="FH272" s="836"/>
      <c r="FI272" s="836"/>
      <c r="FJ272" s="836"/>
      <c r="FK272" s="836"/>
      <c r="FL272" s="836"/>
      <c r="FM272" s="836"/>
      <c r="FN272" s="836"/>
      <c r="FO272" s="836"/>
      <c r="FP272" s="836"/>
      <c r="FQ272" s="836"/>
      <c r="FR272" s="836"/>
      <c r="FS272" s="836"/>
      <c r="FT272" s="836"/>
      <c r="FU272" s="836"/>
      <c r="FV272" s="836"/>
      <c r="FW272" s="836"/>
      <c r="FX272" s="836"/>
      <c r="FY272" s="836"/>
      <c r="FZ272" s="817"/>
      <c r="GA272" s="836"/>
      <c r="GB272" s="836"/>
      <c r="GC272" s="836"/>
      <c r="GD272" s="836"/>
      <c r="GE272" s="836"/>
      <c r="GF272" s="817"/>
      <c r="GG272" s="817"/>
      <c r="GH272" s="836"/>
      <c r="GI272" s="836"/>
      <c r="GJ272" s="836"/>
      <c r="GK272" s="836"/>
      <c r="GL272" s="836"/>
      <c r="GM272" s="836"/>
      <c r="GN272" s="836"/>
      <c r="GO272" s="836"/>
      <c r="GP272" s="836"/>
      <c r="GQ272" s="836"/>
      <c r="GR272" s="836"/>
      <c r="GS272" s="836"/>
      <c r="GT272" s="817"/>
      <c r="GU272" s="836"/>
      <c r="GV272" s="836"/>
      <c r="GW272" s="836"/>
      <c r="GX272" s="836"/>
      <c r="GY272" s="836"/>
      <c r="GZ272" s="836"/>
      <c r="HA272" s="836"/>
      <c r="HB272" s="817"/>
      <c r="HC272" s="817"/>
      <c r="HD272" s="836"/>
      <c r="HE272" s="836"/>
      <c r="HF272" s="836"/>
      <c r="HG272" s="836"/>
      <c r="HH272" s="836"/>
      <c r="HI272" s="836"/>
      <c r="HJ272" s="817"/>
      <c r="HK272" s="817"/>
      <c r="HL272" s="817"/>
      <c r="HM272" s="836"/>
      <c r="HN272" s="836"/>
      <c r="HO272" s="817"/>
      <c r="HP272" s="817"/>
      <c r="HQ272" s="836"/>
      <c r="HR272" s="836"/>
      <c r="HS272" s="836"/>
      <c r="HT272" s="836"/>
      <c r="HU272" s="836"/>
      <c r="HV272" s="836"/>
      <c r="HW272" s="817"/>
      <c r="HX272" s="817"/>
      <c r="HY272" s="836"/>
      <c r="HZ272" s="836"/>
      <c r="IA272" s="836"/>
      <c r="IB272" s="836"/>
      <c r="IC272" s="836"/>
      <c r="ID272" s="836"/>
      <c r="IE272" s="817"/>
      <c r="IF272" s="817"/>
      <c r="IG272" s="836"/>
      <c r="IH272" s="836"/>
      <c r="II272" s="817"/>
      <c r="IJ272" s="817"/>
      <c r="IK272" s="836"/>
      <c r="IL272" s="836"/>
      <c r="IM272" s="817"/>
      <c r="IN272" s="817"/>
      <c r="IO272" s="836"/>
      <c r="IP272" s="836"/>
      <c r="IQ272" s="836"/>
      <c r="IR272" s="836"/>
      <c r="IS272" s="836"/>
      <c r="IT272" s="836"/>
      <c r="IU272" s="817"/>
      <c r="IV272" s="817"/>
      <c r="IW272" s="836"/>
      <c r="IX272" s="836"/>
      <c r="IY272" s="817"/>
      <c r="IZ272" s="817"/>
      <c r="JA272" s="836"/>
      <c r="JB272" s="836"/>
      <c r="JC272" s="817"/>
      <c r="JD272" s="836"/>
      <c r="JE272" s="836"/>
      <c r="JF272" s="836"/>
      <c r="JG272" s="836"/>
      <c r="JH272" s="836"/>
      <c r="JI272" s="836"/>
      <c r="JJ272" s="836"/>
      <c r="JK272" s="836"/>
      <c r="JL272" s="836"/>
      <c r="JM272" s="836"/>
      <c r="JN272" s="836"/>
      <c r="JO272" s="837"/>
      <c r="JP272" s="836"/>
      <c r="JQ272" s="838"/>
      <c r="JR272" s="838"/>
      <c r="JS272" s="836"/>
      <c r="JU272" s="834"/>
      <c r="JV272" s="834"/>
      <c r="JW272" s="826"/>
      <c r="JX272" s="834"/>
    </row>
    <row r="273" spans="30:284" s="780" customFormat="1">
      <c r="AD273" s="835"/>
      <c r="AE273" s="836"/>
      <c r="AF273" s="836"/>
      <c r="AG273" s="836"/>
      <c r="AH273" s="836"/>
      <c r="AI273" s="836"/>
      <c r="AJ273" s="817"/>
      <c r="AK273" s="817"/>
      <c r="AL273" s="836"/>
      <c r="AM273" s="836"/>
      <c r="AN273" s="817"/>
      <c r="AO273" s="817"/>
      <c r="AP273" s="836"/>
      <c r="AQ273" s="836"/>
      <c r="AR273" s="836"/>
      <c r="AS273" s="836"/>
      <c r="AT273" s="836"/>
      <c r="AU273" s="836"/>
      <c r="AV273" s="817"/>
      <c r="AW273" s="817"/>
      <c r="AX273" s="836"/>
      <c r="AY273" s="836"/>
      <c r="AZ273" s="817"/>
      <c r="BA273" s="817"/>
      <c r="BB273" s="817"/>
      <c r="BC273" s="836"/>
      <c r="BD273" s="836"/>
      <c r="BE273" s="836"/>
      <c r="BF273" s="836"/>
      <c r="BG273" s="836"/>
      <c r="BH273" s="836"/>
      <c r="BI273" s="836"/>
      <c r="BJ273" s="836"/>
      <c r="BK273" s="836"/>
      <c r="BL273" s="836"/>
      <c r="BM273" s="836"/>
      <c r="BN273" s="836"/>
      <c r="BO273" s="836"/>
      <c r="BP273" s="836"/>
      <c r="BQ273" s="836"/>
      <c r="BR273" s="836"/>
      <c r="BS273" s="836"/>
      <c r="BT273" s="836"/>
      <c r="BU273" s="836"/>
      <c r="BV273" s="836"/>
      <c r="BW273" s="836"/>
      <c r="BX273" s="817"/>
      <c r="BY273" s="817"/>
      <c r="BZ273" s="817"/>
      <c r="CA273" s="817"/>
      <c r="CB273" s="836"/>
      <c r="CC273" s="836"/>
      <c r="CD273" s="836"/>
      <c r="CE273" s="836"/>
      <c r="CF273" s="836"/>
      <c r="CG273" s="836"/>
      <c r="CH273" s="836"/>
      <c r="CI273" s="836"/>
      <c r="CJ273" s="817"/>
      <c r="CK273" s="817"/>
      <c r="CL273" s="836"/>
      <c r="CM273" s="820"/>
      <c r="CN273" s="820"/>
      <c r="CO273" s="820"/>
      <c r="CP273" s="820"/>
      <c r="CQ273" s="820"/>
      <c r="CR273" s="817"/>
      <c r="CS273" s="817"/>
      <c r="CT273" s="836"/>
      <c r="CU273" s="836"/>
      <c r="CV273" s="817"/>
      <c r="CW273" s="817"/>
      <c r="CX273" s="836"/>
      <c r="CY273" s="836"/>
      <c r="CZ273" s="817"/>
      <c r="DA273" s="817"/>
      <c r="DB273" s="836"/>
      <c r="DC273" s="836"/>
      <c r="DD273" s="817"/>
      <c r="DE273" s="817"/>
      <c r="DF273" s="836"/>
      <c r="DG273" s="836"/>
      <c r="DH273" s="836"/>
      <c r="DI273" s="836"/>
      <c r="DJ273" s="836"/>
      <c r="DK273" s="836"/>
      <c r="DL273" s="817"/>
      <c r="DM273" s="817"/>
      <c r="DN273" s="836"/>
      <c r="DO273" s="836"/>
      <c r="DP273" s="817"/>
      <c r="DQ273" s="817"/>
      <c r="DR273" s="836"/>
      <c r="DS273" s="836"/>
      <c r="DT273" s="836"/>
      <c r="DU273" s="836"/>
      <c r="DV273" s="836"/>
      <c r="DW273" s="836"/>
      <c r="DX273" s="836"/>
      <c r="DY273" s="836"/>
      <c r="DZ273" s="836"/>
      <c r="EA273" s="836"/>
      <c r="EB273" s="836"/>
      <c r="EC273" s="836"/>
      <c r="ED273" s="836"/>
      <c r="EE273" s="836"/>
      <c r="EF273" s="817"/>
      <c r="EG273" s="817"/>
      <c r="EH273" s="836"/>
      <c r="EI273" s="836"/>
      <c r="EJ273" s="836"/>
      <c r="EK273" s="836"/>
      <c r="EL273" s="836"/>
      <c r="EM273" s="836"/>
      <c r="EN273" s="836"/>
      <c r="EO273" s="836"/>
      <c r="EP273" s="836"/>
      <c r="EQ273" s="836"/>
      <c r="ER273" s="836"/>
      <c r="ES273" s="836"/>
      <c r="ET273" s="836"/>
      <c r="EU273" s="836"/>
      <c r="EV273" s="817"/>
      <c r="EW273" s="817"/>
      <c r="EX273" s="836"/>
      <c r="EY273" s="836"/>
      <c r="EZ273" s="836"/>
      <c r="FA273" s="836"/>
      <c r="FB273" s="836"/>
      <c r="FC273" s="836"/>
      <c r="FD273" s="836"/>
      <c r="FE273" s="836"/>
      <c r="FF273" s="836"/>
      <c r="FG273" s="836"/>
      <c r="FH273" s="836"/>
      <c r="FI273" s="836"/>
      <c r="FJ273" s="836"/>
      <c r="FK273" s="836"/>
      <c r="FL273" s="836"/>
      <c r="FM273" s="836"/>
      <c r="FN273" s="836"/>
      <c r="FO273" s="836"/>
      <c r="FP273" s="836"/>
      <c r="FQ273" s="836"/>
      <c r="FR273" s="836"/>
      <c r="FS273" s="836"/>
      <c r="FT273" s="836"/>
      <c r="FU273" s="836"/>
      <c r="FV273" s="836"/>
      <c r="FW273" s="836"/>
      <c r="FX273" s="836"/>
      <c r="FY273" s="836"/>
      <c r="FZ273" s="817"/>
      <c r="GA273" s="836"/>
      <c r="GB273" s="836"/>
      <c r="GC273" s="836"/>
      <c r="GD273" s="836"/>
      <c r="GE273" s="836"/>
      <c r="GF273" s="817"/>
      <c r="GG273" s="817"/>
      <c r="GH273" s="836"/>
      <c r="GI273" s="836"/>
      <c r="GJ273" s="836"/>
      <c r="GK273" s="836"/>
      <c r="GL273" s="836"/>
      <c r="GM273" s="836"/>
      <c r="GN273" s="836"/>
      <c r="GO273" s="836"/>
      <c r="GP273" s="836"/>
      <c r="GQ273" s="836"/>
      <c r="GR273" s="836"/>
      <c r="GS273" s="836"/>
      <c r="GT273" s="817"/>
      <c r="GU273" s="836"/>
      <c r="GV273" s="836"/>
      <c r="GW273" s="836"/>
      <c r="GX273" s="836"/>
      <c r="GY273" s="836"/>
      <c r="GZ273" s="836"/>
      <c r="HA273" s="836"/>
      <c r="HB273" s="817"/>
      <c r="HC273" s="817"/>
      <c r="HD273" s="836"/>
      <c r="HE273" s="836"/>
      <c r="HF273" s="836"/>
      <c r="HG273" s="836"/>
      <c r="HH273" s="836"/>
      <c r="HI273" s="836"/>
      <c r="HJ273" s="817"/>
      <c r="HK273" s="817"/>
      <c r="HL273" s="817"/>
      <c r="HM273" s="836"/>
      <c r="HN273" s="836"/>
      <c r="HO273" s="817"/>
      <c r="HP273" s="817"/>
      <c r="HQ273" s="836"/>
      <c r="HR273" s="836"/>
      <c r="HS273" s="836"/>
      <c r="HT273" s="836"/>
      <c r="HU273" s="836"/>
      <c r="HV273" s="836"/>
      <c r="HW273" s="817"/>
      <c r="HX273" s="817"/>
      <c r="HY273" s="836"/>
      <c r="HZ273" s="836"/>
      <c r="IA273" s="836"/>
      <c r="IB273" s="836"/>
      <c r="IC273" s="836"/>
      <c r="ID273" s="836"/>
      <c r="IE273" s="817"/>
      <c r="IF273" s="817"/>
      <c r="IG273" s="836"/>
      <c r="IH273" s="836"/>
      <c r="II273" s="817"/>
      <c r="IJ273" s="817"/>
      <c r="IK273" s="836"/>
      <c r="IL273" s="836"/>
      <c r="IM273" s="817"/>
      <c r="IN273" s="817"/>
      <c r="IO273" s="836"/>
      <c r="IP273" s="836"/>
      <c r="IQ273" s="836"/>
      <c r="IR273" s="836"/>
      <c r="IS273" s="836"/>
      <c r="IT273" s="836"/>
      <c r="IU273" s="817"/>
      <c r="IV273" s="817"/>
      <c r="IW273" s="836"/>
      <c r="IX273" s="836"/>
      <c r="IY273" s="817"/>
      <c r="IZ273" s="817"/>
      <c r="JA273" s="836"/>
      <c r="JB273" s="836"/>
      <c r="JC273" s="817"/>
      <c r="JD273" s="836"/>
      <c r="JE273" s="836"/>
      <c r="JF273" s="836"/>
      <c r="JG273" s="836"/>
      <c r="JH273" s="836"/>
      <c r="JI273" s="836"/>
      <c r="JJ273" s="836"/>
      <c r="JK273" s="836"/>
      <c r="JL273" s="836"/>
      <c r="JM273" s="836"/>
      <c r="JN273" s="836"/>
      <c r="JO273" s="836"/>
      <c r="JP273" s="836"/>
      <c r="JQ273" s="839"/>
      <c r="JR273" s="839"/>
      <c r="JS273" s="836"/>
      <c r="JU273" s="834"/>
      <c r="JV273" s="834"/>
      <c r="JW273" s="826"/>
      <c r="JX273" s="834"/>
    </row>
    <row r="274" spans="30:284">
      <c r="AE274" s="840"/>
      <c r="AF274" s="840"/>
      <c r="AG274" s="840"/>
      <c r="AH274" s="840"/>
      <c r="AI274" s="840"/>
      <c r="AJ274" s="841"/>
      <c r="AK274" s="841"/>
      <c r="AL274" s="840"/>
      <c r="AM274" s="840"/>
      <c r="AN274" s="841"/>
      <c r="AO274" s="841"/>
      <c r="AP274" s="840"/>
      <c r="AQ274" s="840"/>
      <c r="AR274" s="840"/>
      <c r="AS274" s="840"/>
      <c r="AT274" s="840"/>
      <c r="AU274" s="840"/>
      <c r="AV274" s="841"/>
      <c r="AW274" s="841"/>
      <c r="AX274" s="840"/>
      <c r="AY274" s="840"/>
      <c r="AZ274" s="841"/>
      <c r="BA274" s="841"/>
      <c r="BB274" s="841"/>
      <c r="BC274" s="840"/>
      <c r="BD274" s="840"/>
      <c r="BE274" s="840"/>
      <c r="BF274" s="840"/>
      <c r="BG274" s="840"/>
      <c r="BH274" s="840"/>
      <c r="BI274" s="840"/>
      <c r="BJ274" s="840"/>
      <c r="BK274" s="840"/>
      <c r="BL274" s="840"/>
      <c r="BM274" s="840"/>
      <c r="BN274" s="840"/>
      <c r="BO274" s="840"/>
      <c r="BP274" s="840"/>
      <c r="BQ274" s="840"/>
      <c r="BR274" s="840"/>
      <c r="BS274" s="840"/>
      <c r="BT274" s="840"/>
      <c r="BU274" s="840"/>
      <c r="BV274" s="840"/>
      <c r="BW274" s="840"/>
      <c r="BX274" s="841"/>
      <c r="BY274" s="841"/>
      <c r="BZ274" s="841"/>
      <c r="CA274" s="841"/>
      <c r="CB274" s="840"/>
      <c r="CC274" s="840"/>
      <c r="CD274" s="840"/>
      <c r="CE274" s="840"/>
      <c r="CF274" s="840"/>
      <c r="CG274" s="840"/>
      <c r="CH274" s="840"/>
      <c r="CI274" s="840"/>
      <c r="CJ274" s="841"/>
      <c r="CK274" s="841"/>
      <c r="CL274" s="840"/>
      <c r="CM274" s="840"/>
      <c r="CN274" s="840"/>
      <c r="CO274" s="840"/>
      <c r="CP274" s="840"/>
      <c r="CQ274" s="840"/>
      <c r="CR274" s="841"/>
      <c r="CS274" s="841"/>
      <c r="CT274" s="840"/>
      <c r="CU274" s="840"/>
      <c r="CV274" s="841"/>
      <c r="CW274" s="841"/>
      <c r="CX274" s="840"/>
      <c r="CY274" s="840"/>
      <c r="CZ274" s="841"/>
      <c r="DA274" s="841"/>
      <c r="DB274" s="840"/>
      <c r="DC274" s="840"/>
      <c r="DD274" s="841"/>
      <c r="DE274" s="841"/>
      <c r="DF274" s="840"/>
      <c r="DG274" s="840"/>
      <c r="DH274" s="840"/>
      <c r="DI274" s="840"/>
      <c r="DJ274" s="840"/>
      <c r="DK274" s="840"/>
      <c r="DL274" s="841"/>
      <c r="DM274" s="841"/>
      <c r="DN274" s="840"/>
      <c r="DO274" s="840"/>
      <c r="DP274" s="841"/>
      <c r="DQ274" s="841"/>
      <c r="DR274" s="840"/>
      <c r="DS274" s="840"/>
      <c r="DT274" s="840"/>
      <c r="DU274" s="840"/>
      <c r="DV274" s="840"/>
      <c r="DW274" s="840"/>
      <c r="DX274" s="840"/>
      <c r="DY274" s="840"/>
      <c r="DZ274" s="840"/>
      <c r="EA274" s="840"/>
      <c r="EB274" s="840"/>
      <c r="EC274" s="840"/>
      <c r="ED274" s="840"/>
      <c r="EE274" s="840"/>
      <c r="EF274" s="841"/>
      <c r="EG274" s="841"/>
      <c r="EH274" s="840"/>
      <c r="EI274" s="840"/>
      <c r="EJ274" s="840"/>
      <c r="EK274" s="840"/>
      <c r="EL274" s="840"/>
      <c r="EM274" s="840"/>
      <c r="EN274" s="840"/>
      <c r="EO274" s="840"/>
      <c r="EP274" s="840"/>
      <c r="EQ274" s="840"/>
      <c r="ER274" s="840"/>
      <c r="ES274" s="840"/>
      <c r="ET274" s="840"/>
      <c r="EU274" s="840"/>
      <c r="EV274" s="841"/>
      <c r="EW274" s="841"/>
      <c r="EX274" s="840"/>
      <c r="EY274" s="840"/>
      <c r="EZ274" s="840"/>
      <c r="FA274" s="840"/>
      <c r="FB274" s="840"/>
      <c r="FC274" s="840"/>
      <c r="FD274" s="840"/>
      <c r="FE274" s="840"/>
      <c r="FF274" s="840"/>
      <c r="FG274" s="840"/>
      <c r="FH274" s="840"/>
      <c r="FI274" s="840"/>
      <c r="FJ274" s="840"/>
      <c r="FK274" s="840"/>
      <c r="FL274" s="840"/>
      <c r="FM274" s="840"/>
      <c r="FN274" s="840"/>
      <c r="FO274" s="840"/>
      <c r="FP274" s="840"/>
      <c r="FQ274" s="840"/>
      <c r="FR274" s="840"/>
      <c r="FS274" s="840"/>
      <c r="FT274" s="840"/>
      <c r="FU274" s="840"/>
      <c r="FV274" s="840"/>
      <c r="FW274" s="840"/>
      <c r="FX274" s="840"/>
      <c r="FY274" s="840"/>
      <c r="FZ274" s="841"/>
      <c r="GA274" s="840"/>
      <c r="GB274" s="840"/>
      <c r="GC274" s="840"/>
      <c r="GD274" s="840"/>
      <c r="GE274" s="840"/>
      <c r="GF274" s="841"/>
      <c r="GG274" s="841"/>
      <c r="GH274" s="840"/>
      <c r="GI274" s="840"/>
      <c r="GJ274" s="840"/>
      <c r="GK274" s="840"/>
      <c r="GL274" s="840"/>
      <c r="GM274" s="840"/>
      <c r="GN274" s="840"/>
      <c r="GO274" s="840"/>
      <c r="GP274" s="840"/>
      <c r="GQ274" s="840"/>
      <c r="GR274" s="840"/>
      <c r="GS274" s="840"/>
      <c r="GT274" s="841"/>
      <c r="GU274" s="840"/>
      <c r="GV274" s="840"/>
      <c r="GW274" s="840"/>
      <c r="GX274" s="840"/>
      <c r="GY274" s="840"/>
      <c r="GZ274" s="840"/>
      <c r="HA274" s="840"/>
      <c r="HB274" s="841"/>
      <c r="HC274" s="841"/>
      <c r="HD274" s="840"/>
      <c r="HE274" s="840"/>
      <c r="HF274" s="840"/>
      <c r="HG274" s="840"/>
      <c r="HH274" s="840"/>
      <c r="HI274" s="840"/>
      <c r="HJ274" s="841"/>
      <c r="HK274" s="841"/>
      <c r="HL274" s="841"/>
      <c r="HM274" s="840"/>
      <c r="HN274" s="840"/>
      <c r="HO274" s="841"/>
      <c r="HP274" s="841"/>
      <c r="HQ274" s="840"/>
      <c r="HR274" s="840"/>
      <c r="HS274" s="840"/>
      <c r="HT274" s="840"/>
      <c r="HU274" s="840"/>
      <c r="HV274" s="840"/>
      <c r="HW274" s="841"/>
      <c r="HX274" s="841"/>
      <c r="HY274" s="840"/>
      <c r="HZ274" s="840"/>
      <c r="IA274" s="840"/>
      <c r="IB274" s="840"/>
      <c r="IC274" s="840"/>
      <c r="ID274" s="840"/>
      <c r="IE274" s="841"/>
      <c r="IF274" s="841"/>
      <c r="IG274" s="840"/>
      <c r="IH274" s="840"/>
      <c r="II274" s="841"/>
      <c r="IJ274" s="841"/>
      <c r="IK274" s="840"/>
      <c r="IL274" s="840"/>
      <c r="IM274" s="841"/>
      <c r="IN274" s="841"/>
      <c r="IO274" s="840"/>
      <c r="IP274" s="840"/>
      <c r="IQ274" s="840"/>
      <c r="IR274" s="840"/>
      <c r="IS274" s="840"/>
      <c r="IT274" s="840"/>
      <c r="IU274" s="841"/>
      <c r="IV274" s="841"/>
      <c r="IW274" s="840"/>
      <c r="IX274" s="840"/>
      <c r="IY274" s="841"/>
      <c r="IZ274" s="841"/>
      <c r="JA274" s="840"/>
      <c r="JB274" s="840"/>
      <c r="JC274" s="841"/>
      <c r="JD274" s="840"/>
      <c r="JE274" s="840"/>
      <c r="JF274" s="840"/>
      <c r="JG274" s="840"/>
      <c r="JH274" s="840"/>
      <c r="JI274" s="840"/>
      <c r="JJ274" s="840"/>
      <c r="JK274" s="840"/>
      <c r="JL274" s="840"/>
      <c r="JM274" s="840"/>
      <c r="JN274" s="840"/>
      <c r="JO274" s="619"/>
      <c r="JP274" s="840"/>
      <c r="JQ274" s="842"/>
      <c r="JR274" s="842"/>
      <c r="JS274" s="840"/>
    </row>
    <row r="275" spans="30:284">
      <c r="AE275" s="840"/>
      <c r="AF275" s="840"/>
      <c r="AG275" s="840"/>
      <c r="AH275" s="840"/>
      <c r="AI275" s="840"/>
      <c r="AJ275" s="841"/>
      <c r="AK275" s="841"/>
      <c r="AL275" s="840"/>
      <c r="AM275" s="840"/>
      <c r="AN275" s="841"/>
      <c r="AO275" s="841"/>
      <c r="AP275" s="840"/>
      <c r="AQ275" s="840"/>
      <c r="AR275" s="840"/>
      <c r="AS275" s="840"/>
      <c r="AT275" s="840"/>
      <c r="AU275" s="840"/>
      <c r="AV275" s="841"/>
      <c r="AW275" s="841"/>
      <c r="AX275" s="840"/>
      <c r="AY275" s="840"/>
      <c r="AZ275" s="841"/>
      <c r="BA275" s="841"/>
      <c r="BB275" s="841"/>
      <c r="BC275" s="840"/>
      <c r="BD275" s="840"/>
      <c r="BE275" s="840"/>
      <c r="BF275" s="840"/>
      <c r="BG275" s="840"/>
      <c r="BH275" s="840"/>
      <c r="BI275" s="840"/>
      <c r="BJ275" s="840"/>
      <c r="BK275" s="840"/>
      <c r="BL275" s="840"/>
      <c r="BM275" s="840"/>
      <c r="BN275" s="840"/>
      <c r="BO275" s="840"/>
      <c r="BP275" s="840"/>
      <c r="BQ275" s="840"/>
      <c r="BR275" s="840"/>
      <c r="BS275" s="840"/>
      <c r="BT275" s="840"/>
      <c r="BU275" s="840"/>
      <c r="BV275" s="840"/>
      <c r="BW275" s="840"/>
      <c r="BX275" s="841"/>
      <c r="BY275" s="841"/>
      <c r="BZ275" s="841"/>
      <c r="CA275" s="841"/>
      <c r="CB275" s="840"/>
      <c r="CC275" s="840"/>
      <c r="CD275" s="840"/>
      <c r="CE275" s="840"/>
      <c r="CF275" s="840"/>
      <c r="CG275" s="840"/>
      <c r="CH275" s="840"/>
      <c r="CI275" s="840"/>
      <c r="CJ275" s="841"/>
      <c r="CK275" s="841"/>
      <c r="CL275" s="840"/>
      <c r="CM275" s="840"/>
      <c r="CN275" s="840"/>
      <c r="CO275" s="840"/>
      <c r="CP275" s="840"/>
      <c r="CQ275" s="840"/>
      <c r="CR275" s="841"/>
      <c r="CS275" s="841"/>
      <c r="CT275" s="840"/>
      <c r="CU275" s="840"/>
      <c r="CV275" s="841"/>
      <c r="CW275" s="841"/>
      <c r="CX275" s="840"/>
      <c r="CY275" s="840"/>
      <c r="CZ275" s="841"/>
      <c r="DA275" s="841"/>
      <c r="DB275" s="840"/>
      <c r="DC275" s="840"/>
      <c r="DD275" s="841"/>
      <c r="DE275" s="841"/>
      <c r="DF275" s="840"/>
      <c r="DG275" s="840"/>
      <c r="DH275" s="840"/>
      <c r="DI275" s="840"/>
      <c r="DJ275" s="840"/>
      <c r="DK275" s="840"/>
      <c r="DL275" s="841"/>
      <c r="DM275" s="841"/>
      <c r="DN275" s="840"/>
      <c r="DO275" s="840"/>
      <c r="DP275" s="841"/>
      <c r="DQ275" s="841"/>
      <c r="DR275" s="840"/>
      <c r="DS275" s="840"/>
      <c r="DT275" s="840"/>
      <c r="DU275" s="840"/>
      <c r="DV275" s="840"/>
      <c r="DW275" s="840"/>
      <c r="DX275" s="840"/>
      <c r="DY275" s="840"/>
      <c r="DZ275" s="840"/>
      <c r="EA275" s="840"/>
      <c r="EB275" s="840"/>
      <c r="EC275" s="840"/>
      <c r="ED275" s="840"/>
      <c r="EE275" s="840"/>
      <c r="EF275" s="841"/>
      <c r="EG275" s="841"/>
      <c r="EH275" s="840"/>
      <c r="EI275" s="840"/>
      <c r="EJ275" s="840"/>
      <c r="EK275" s="840"/>
      <c r="EL275" s="840"/>
      <c r="EM275" s="840"/>
      <c r="EN275" s="840"/>
      <c r="EO275" s="840"/>
      <c r="EP275" s="840"/>
      <c r="EQ275" s="840"/>
      <c r="ER275" s="840"/>
      <c r="ES275" s="840"/>
      <c r="ET275" s="840"/>
      <c r="EU275" s="840"/>
      <c r="EV275" s="841"/>
      <c r="EW275" s="841"/>
      <c r="EX275" s="840"/>
      <c r="EY275" s="840"/>
      <c r="EZ275" s="840"/>
      <c r="FA275" s="840"/>
      <c r="FB275" s="840"/>
      <c r="FC275" s="840"/>
      <c r="FD275" s="840"/>
      <c r="FE275" s="840"/>
      <c r="FF275" s="840"/>
      <c r="FG275" s="840"/>
      <c r="FH275" s="840"/>
      <c r="FI275" s="840"/>
      <c r="FJ275" s="840"/>
      <c r="FK275" s="840"/>
      <c r="FL275" s="840"/>
      <c r="FM275" s="840"/>
      <c r="FN275" s="840"/>
      <c r="FO275" s="840"/>
      <c r="FP275" s="840"/>
      <c r="FQ275" s="840"/>
      <c r="FR275" s="840"/>
      <c r="FS275" s="840"/>
      <c r="FT275" s="840"/>
      <c r="FU275" s="840"/>
      <c r="FV275" s="840"/>
      <c r="FW275" s="840"/>
      <c r="FX275" s="840"/>
      <c r="FY275" s="840"/>
      <c r="FZ275" s="841"/>
      <c r="GA275" s="840"/>
      <c r="GB275" s="840"/>
      <c r="GC275" s="840"/>
      <c r="GD275" s="840"/>
      <c r="GE275" s="840"/>
      <c r="GF275" s="841"/>
      <c r="GG275" s="841"/>
      <c r="GH275" s="840"/>
      <c r="GI275" s="840"/>
      <c r="GJ275" s="840"/>
      <c r="GK275" s="840"/>
      <c r="GL275" s="840"/>
      <c r="GM275" s="840"/>
      <c r="GN275" s="840"/>
      <c r="GO275" s="840"/>
      <c r="GP275" s="840"/>
      <c r="GQ275" s="840"/>
      <c r="GR275" s="840"/>
      <c r="GS275" s="840"/>
      <c r="GT275" s="841"/>
      <c r="GU275" s="840"/>
      <c r="GV275" s="840"/>
      <c r="GW275" s="840"/>
      <c r="GX275" s="840"/>
      <c r="GY275" s="840"/>
      <c r="GZ275" s="840"/>
      <c r="HA275" s="840"/>
      <c r="HB275" s="841"/>
      <c r="HC275" s="841"/>
      <c r="HD275" s="840"/>
      <c r="HE275" s="840"/>
      <c r="HF275" s="840"/>
      <c r="HG275" s="840"/>
      <c r="HH275" s="840"/>
      <c r="HI275" s="840"/>
      <c r="HJ275" s="841"/>
      <c r="HK275" s="841"/>
      <c r="HL275" s="841"/>
      <c r="HM275" s="840"/>
      <c r="HN275" s="840"/>
      <c r="HO275" s="841"/>
      <c r="HP275" s="841"/>
      <c r="HQ275" s="840"/>
      <c r="HR275" s="840"/>
      <c r="HS275" s="840"/>
      <c r="HT275" s="840"/>
      <c r="HU275" s="840"/>
      <c r="HV275" s="840"/>
      <c r="HW275" s="841"/>
      <c r="HX275" s="841"/>
      <c r="HY275" s="840"/>
      <c r="HZ275" s="840"/>
      <c r="IA275" s="840"/>
      <c r="IB275" s="840"/>
      <c r="IC275" s="840"/>
      <c r="ID275" s="840"/>
      <c r="IE275" s="841"/>
      <c r="IF275" s="841"/>
      <c r="IG275" s="840"/>
      <c r="IH275" s="840"/>
      <c r="II275" s="841"/>
      <c r="IJ275" s="841"/>
      <c r="IK275" s="840"/>
      <c r="IL275" s="840"/>
      <c r="IM275" s="841"/>
      <c r="IN275" s="841"/>
      <c r="IO275" s="840"/>
      <c r="IP275" s="840"/>
      <c r="IQ275" s="840"/>
      <c r="IR275" s="840"/>
      <c r="IS275" s="840"/>
      <c r="IT275" s="840"/>
      <c r="IU275" s="841"/>
      <c r="IV275" s="841"/>
      <c r="IW275" s="840"/>
      <c r="IX275" s="840"/>
      <c r="IY275" s="841"/>
      <c r="IZ275" s="841"/>
      <c r="JA275" s="840"/>
      <c r="JB275" s="840"/>
      <c r="JC275" s="841"/>
      <c r="JD275" s="840"/>
      <c r="JE275" s="840"/>
      <c r="JF275" s="840"/>
      <c r="JG275" s="840"/>
      <c r="JH275" s="840"/>
      <c r="JI275" s="840"/>
      <c r="JJ275" s="840"/>
      <c r="JK275" s="840"/>
      <c r="JL275" s="840"/>
      <c r="JM275" s="840"/>
      <c r="JN275" s="840"/>
      <c r="JO275" s="619"/>
      <c r="JP275" s="840"/>
      <c r="JQ275" s="843"/>
      <c r="JR275" s="843"/>
      <c r="JS275" s="840"/>
    </row>
    <row r="276" spans="30:284">
      <c r="AE276" s="840"/>
      <c r="AF276" s="840"/>
      <c r="AG276" s="840"/>
      <c r="AH276" s="840"/>
      <c r="AI276" s="840"/>
      <c r="AJ276" s="841"/>
      <c r="AK276" s="841"/>
      <c r="AL276" s="840"/>
      <c r="AM276" s="840"/>
      <c r="AN276" s="841"/>
      <c r="AO276" s="841"/>
      <c r="AP276" s="840"/>
      <c r="AQ276" s="840"/>
      <c r="AR276" s="840"/>
      <c r="AS276" s="840"/>
      <c r="AT276" s="840"/>
      <c r="AU276" s="840"/>
      <c r="AV276" s="841"/>
      <c r="AW276" s="841"/>
      <c r="AX276" s="840"/>
      <c r="AY276" s="840"/>
      <c r="AZ276" s="841"/>
      <c r="BA276" s="841"/>
      <c r="BB276" s="841"/>
      <c r="BC276" s="840"/>
      <c r="BD276" s="840"/>
      <c r="BE276" s="840"/>
      <c r="BF276" s="840"/>
      <c r="BG276" s="840"/>
      <c r="BH276" s="840"/>
      <c r="BI276" s="840"/>
      <c r="BJ276" s="840"/>
      <c r="BK276" s="840"/>
      <c r="BL276" s="840"/>
      <c r="BM276" s="840"/>
      <c r="BN276" s="840"/>
      <c r="BO276" s="840"/>
      <c r="BP276" s="840"/>
      <c r="BQ276" s="840"/>
      <c r="BR276" s="840"/>
      <c r="BS276" s="840"/>
      <c r="BT276" s="840"/>
      <c r="BU276" s="840"/>
      <c r="BV276" s="840"/>
      <c r="BW276" s="840"/>
      <c r="BX276" s="841"/>
      <c r="BY276" s="841"/>
      <c r="BZ276" s="841"/>
      <c r="CA276" s="841"/>
      <c r="CB276" s="840"/>
      <c r="CC276" s="840"/>
      <c r="CD276" s="840"/>
      <c r="CE276" s="840"/>
      <c r="CF276" s="840"/>
      <c r="CG276" s="840"/>
      <c r="CH276" s="840"/>
      <c r="CI276" s="840"/>
      <c r="CJ276" s="841"/>
      <c r="CK276" s="841"/>
      <c r="CL276" s="840"/>
      <c r="CM276" s="840"/>
      <c r="CN276" s="840"/>
      <c r="CO276" s="840"/>
      <c r="CP276" s="840"/>
      <c r="CQ276" s="840"/>
      <c r="CR276" s="841"/>
      <c r="CS276" s="841"/>
      <c r="CT276" s="840"/>
      <c r="CU276" s="840"/>
      <c r="CV276" s="841"/>
      <c r="CW276" s="841"/>
      <c r="CX276" s="840"/>
      <c r="CY276" s="840"/>
      <c r="CZ276" s="841"/>
      <c r="DA276" s="841"/>
      <c r="DB276" s="840"/>
      <c r="DC276" s="840"/>
      <c r="DD276" s="841"/>
      <c r="DE276" s="841"/>
      <c r="DF276" s="840"/>
      <c r="DG276" s="840"/>
      <c r="DH276" s="840"/>
      <c r="DI276" s="840"/>
      <c r="DJ276" s="840"/>
      <c r="DK276" s="840"/>
      <c r="DL276" s="841"/>
      <c r="DM276" s="841"/>
      <c r="DN276" s="840"/>
      <c r="DO276" s="840"/>
      <c r="DP276" s="841"/>
      <c r="DQ276" s="841"/>
      <c r="DR276" s="840"/>
      <c r="DS276" s="840"/>
      <c r="DT276" s="840"/>
      <c r="DU276" s="840"/>
      <c r="DV276" s="840"/>
      <c r="DW276" s="840"/>
      <c r="DX276" s="840"/>
      <c r="DY276" s="840"/>
      <c r="DZ276" s="840"/>
      <c r="EA276" s="840"/>
      <c r="EB276" s="840"/>
      <c r="EC276" s="840"/>
      <c r="ED276" s="840"/>
      <c r="EE276" s="840"/>
      <c r="EF276" s="841"/>
      <c r="EG276" s="841"/>
      <c r="EH276" s="840"/>
      <c r="EI276" s="840"/>
      <c r="EJ276" s="840"/>
      <c r="EK276" s="840"/>
      <c r="EL276" s="840"/>
      <c r="EM276" s="840"/>
      <c r="EN276" s="840"/>
      <c r="EO276" s="840"/>
      <c r="EP276" s="840"/>
      <c r="EQ276" s="840"/>
      <c r="ER276" s="840"/>
      <c r="ES276" s="840"/>
      <c r="ET276" s="840"/>
      <c r="EU276" s="840"/>
      <c r="EV276" s="841"/>
      <c r="EW276" s="841"/>
      <c r="EX276" s="840"/>
      <c r="EY276" s="840"/>
      <c r="EZ276" s="840"/>
      <c r="FA276" s="840"/>
      <c r="FB276" s="840"/>
      <c r="FC276" s="840"/>
      <c r="FD276" s="840"/>
      <c r="FE276" s="840"/>
      <c r="FF276" s="840"/>
      <c r="FG276" s="840"/>
      <c r="FH276" s="840"/>
      <c r="FI276" s="840"/>
      <c r="FJ276" s="840"/>
      <c r="FK276" s="840"/>
      <c r="FL276" s="840"/>
      <c r="FM276" s="840"/>
      <c r="FN276" s="840"/>
      <c r="FO276" s="840"/>
      <c r="FP276" s="840"/>
      <c r="FQ276" s="840"/>
      <c r="FR276" s="840"/>
      <c r="FS276" s="840"/>
      <c r="FT276" s="840"/>
      <c r="FU276" s="840"/>
      <c r="FV276" s="840"/>
      <c r="FW276" s="840"/>
      <c r="FX276" s="840"/>
      <c r="FY276" s="840"/>
      <c r="FZ276" s="841"/>
      <c r="GA276" s="840"/>
      <c r="GB276" s="840"/>
      <c r="GC276" s="840"/>
      <c r="GD276" s="840"/>
      <c r="GE276" s="840"/>
      <c r="GF276" s="841"/>
      <c r="GG276" s="841"/>
      <c r="GH276" s="840"/>
      <c r="GI276" s="840"/>
      <c r="GJ276" s="840"/>
      <c r="GK276" s="840"/>
      <c r="GL276" s="840"/>
      <c r="GM276" s="840"/>
      <c r="GN276" s="840"/>
      <c r="GO276" s="840"/>
      <c r="GP276" s="840"/>
      <c r="GQ276" s="840"/>
      <c r="GR276" s="840"/>
      <c r="GS276" s="840"/>
      <c r="GT276" s="841"/>
      <c r="GU276" s="840"/>
      <c r="GV276" s="840"/>
      <c r="GW276" s="840"/>
      <c r="GX276" s="840"/>
      <c r="GY276" s="840"/>
      <c r="GZ276" s="840"/>
      <c r="HA276" s="840"/>
      <c r="HB276" s="841"/>
      <c r="HC276" s="841"/>
      <c r="HD276" s="840"/>
      <c r="HE276" s="840"/>
      <c r="HF276" s="840"/>
      <c r="HG276" s="840"/>
      <c r="HH276" s="840"/>
      <c r="HI276" s="840"/>
      <c r="HJ276" s="841"/>
      <c r="HK276" s="841"/>
      <c r="HL276" s="841"/>
      <c r="HM276" s="840"/>
      <c r="HN276" s="840"/>
      <c r="HO276" s="841"/>
      <c r="HP276" s="841"/>
      <c r="HQ276" s="840"/>
      <c r="HR276" s="840"/>
      <c r="HS276" s="840"/>
      <c r="HT276" s="840"/>
      <c r="HU276" s="840"/>
      <c r="HV276" s="840"/>
      <c r="HW276" s="841"/>
      <c r="HX276" s="841"/>
      <c r="HY276" s="840"/>
      <c r="HZ276" s="840"/>
      <c r="IA276" s="840"/>
      <c r="IB276" s="840"/>
      <c r="IC276" s="840"/>
      <c r="ID276" s="840"/>
      <c r="IE276" s="841"/>
      <c r="IF276" s="841"/>
      <c r="IG276" s="840"/>
      <c r="IH276" s="840"/>
      <c r="II276" s="841"/>
      <c r="IJ276" s="841"/>
      <c r="IK276" s="840"/>
      <c r="IL276" s="840"/>
      <c r="IM276" s="841"/>
      <c r="IN276" s="841"/>
      <c r="IO276" s="840"/>
      <c r="IP276" s="840"/>
      <c r="IQ276" s="840"/>
      <c r="IR276" s="840"/>
      <c r="IS276" s="840"/>
      <c r="IT276" s="840"/>
      <c r="IU276" s="841"/>
      <c r="IV276" s="841"/>
      <c r="IW276" s="840"/>
      <c r="IX276" s="840"/>
      <c r="IY276" s="841"/>
      <c r="IZ276" s="841"/>
      <c r="JA276" s="840"/>
      <c r="JB276" s="840"/>
      <c r="JC276" s="841"/>
      <c r="JD276" s="840"/>
      <c r="JE276" s="840"/>
      <c r="JF276" s="840"/>
      <c r="JG276" s="840"/>
      <c r="JH276" s="840"/>
      <c r="JI276" s="840"/>
      <c r="JJ276" s="840"/>
      <c r="JK276" s="840"/>
      <c r="JL276" s="840"/>
      <c r="JM276" s="840"/>
      <c r="JN276" s="840"/>
      <c r="JO276" s="619"/>
      <c r="JP276" s="840"/>
      <c r="JQ276" s="843"/>
      <c r="JR276" s="843"/>
      <c r="JS276" s="840"/>
    </row>
    <row r="277" spans="30:284">
      <c r="AE277" s="840"/>
      <c r="AF277" s="840"/>
      <c r="AG277" s="840"/>
      <c r="AH277" s="840"/>
      <c r="AI277" s="840"/>
      <c r="AJ277" s="841"/>
      <c r="AK277" s="841"/>
      <c r="AL277" s="840"/>
      <c r="AM277" s="840"/>
      <c r="AN277" s="841"/>
      <c r="AO277" s="841"/>
      <c r="AP277" s="840"/>
      <c r="AQ277" s="840"/>
      <c r="AR277" s="840"/>
      <c r="AS277" s="840"/>
      <c r="AT277" s="840"/>
      <c r="AU277" s="840"/>
      <c r="AV277" s="841"/>
      <c r="AW277" s="841"/>
      <c r="AX277" s="840"/>
      <c r="AY277" s="840"/>
      <c r="AZ277" s="841"/>
      <c r="BA277" s="841"/>
      <c r="BB277" s="841"/>
      <c r="BC277" s="840"/>
      <c r="BD277" s="840"/>
      <c r="BE277" s="840"/>
      <c r="BF277" s="840"/>
      <c r="BG277" s="840"/>
      <c r="BH277" s="840"/>
      <c r="BI277" s="840"/>
      <c r="BJ277" s="840"/>
      <c r="BK277" s="840"/>
      <c r="BL277" s="840"/>
      <c r="BM277" s="840"/>
      <c r="BN277" s="840"/>
      <c r="BO277" s="840"/>
      <c r="BP277" s="840"/>
      <c r="BQ277" s="840"/>
      <c r="BR277" s="840"/>
      <c r="BS277" s="840"/>
      <c r="BT277" s="840"/>
      <c r="BU277" s="840"/>
      <c r="BV277" s="840"/>
      <c r="BW277" s="840"/>
      <c r="BX277" s="841"/>
      <c r="BY277" s="841"/>
      <c r="BZ277" s="841"/>
      <c r="CA277" s="841"/>
      <c r="CB277" s="840"/>
      <c r="CC277" s="840"/>
      <c r="CD277" s="840"/>
      <c r="CE277" s="840"/>
      <c r="CF277" s="840"/>
      <c r="CG277" s="840"/>
      <c r="CH277" s="840"/>
      <c r="CI277" s="840"/>
      <c r="CJ277" s="841"/>
      <c r="CK277" s="841"/>
      <c r="CL277" s="840"/>
      <c r="CM277" s="840"/>
      <c r="CN277" s="840"/>
      <c r="CO277" s="840"/>
      <c r="CP277" s="840"/>
      <c r="CQ277" s="840"/>
      <c r="CR277" s="841"/>
      <c r="CS277" s="841"/>
      <c r="CT277" s="840"/>
      <c r="CU277" s="840"/>
      <c r="CV277" s="841"/>
      <c r="CW277" s="841"/>
      <c r="CX277" s="840"/>
      <c r="CY277" s="840"/>
      <c r="CZ277" s="841"/>
      <c r="DA277" s="841"/>
      <c r="DB277" s="840"/>
      <c r="DC277" s="840"/>
      <c r="DD277" s="841"/>
      <c r="DE277" s="841"/>
      <c r="DF277" s="840"/>
      <c r="DG277" s="840"/>
      <c r="DH277" s="840"/>
      <c r="DI277" s="840"/>
      <c r="DJ277" s="840"/>
      <c r="DK277" s="840"/>
      <c r="DL277" s="841"/>
      <c r="DM277" s="841"/>
      <c r="DN277" s="840"/>
      <c r="DO277" s="840"/>
      <c r="DP277" s="841"/>
      <c r="DQ277" s="841"/>
      <c r="DR277" s="840"/>
      <c r="DS277" s="840"/>
      <c r="DT277" s="840"/>
      <c r="DU277" s="840"/>
      <c r="DV277" s="840"/>
      <c r="DW277" s="840"/>
      <c r="DX277" s="840"/>
      <c r="DY277" s="840"/>
      <c r="DZ277" s="840"/>
      <c r="EA277" s="840"/>
      <c r="EB277" s="840"/>
      <c r="EC277" s="840"/>
      <c r="ED277" s="840"/>
      <c r="EE277" s="840"/>
      <c r="EF277" s="841"/>
      <c r="EG277" s="841"/>
      <c r="EH277" s="840"/>
      <c r="EI277" s="840"/>
      <c r="EJ277" s="840"/>
      <c r="EK277" s="840"/>
      <c r="EL277" s="840"/>
      <c r="EM277" s="840"/>
      <c r="EN277" s="840"/>
      <c r="EO277" s="840"/>
      <c r="EP277" s="840"/>
      <c r="EQ277" s="840"/>
      <c r="ER277" s="840"/>
      <c r="ES277" s="840"/>
      <c r="ET277" s="840"/>
      <c r="EU277" s="840"/>
      <c r="EV277" s="841"/>
      <c r="EW277" s="841"/>
      <c r="EX277" s="840"/>
      <c r="EY277" s="840"/>
      <c r="EZ277" s="840"/>
      <c r="FA277" s="840"/>
      <c r="FB277" s="840"/>
      <c r="FC277" s="840"/>
      <c r="FD277" s="840"/>
      <c r="FE277" s="840"/>
      <c r="FF277" s="840"/>
      <c r="FG277" s="840"/>
      <c r="FH277" s="840"/>
      <c r="FI277" s="840"/>
      <c r="FJ277" s="840"/>
      <c r="FK277" s="840"/>
      <c r="FL277" s="840"/>
      <c r="FM277" s="840"/>
      <c r="FN277" s="840"/>
      <c r="FO277" s="840"/>
      <c r="FP277" s="840"/>
      <c r="FQ277" s="840"/>
      <c r="FR277" s="840"/>
      <c r="FS277" s="840"/>
      <c r="FT277" s="840"/>
      <c r="FU277" s="840"/>
      <c r="FV277" s="840"/>
      <c r="FW277" s="840"/>
      <c r="FX277" s="840"/>
      <c r="FY277" s="840"/>
      <c r="FZ277" s="841"/>
      <c r="GA277" s="840"/>
      <c r="GB277" s="840"/>
      <c r="GC277" s="840"/>
      <c r="GD277" s="840"/>
      <c r="GE277" s="840"/>
      <c r="GF277" s="609"/>
      <c r="GG277" s="841"/>
      <c r="GH277" s="840"/>
      <c r="GI277" s="840"/>
      <c r="GJ277" s="840"/>
      <c r="GK277" s="840"/>
      <c r="GL277" s="840"/>
      <c r="GM277" s="840"/>
      <c r="GN277" s="840"/>
      <c r="GO277" s="840"/>
      <c r="GP277" s="840"/>
      <c r="GQ277" s="840"/>
      <c r="GR277" s="840"/>
      <c r="GS277" s="840"/>
      <c r="GT277" s="841"/>
      <c r="GU277" s="840"/>
      <c r="GV277" s="840"/>
      <c r="GW277" s="840"/>
      <c r="GX277" s="840"/>
      <c r="GY277" s="840"/>
      <c r="GZ277" s="840"/>
      <c r="HA277" s="840"/>
      <c r="HB277" s="841"/>
      <c r="HC277" s="841"/>
      <c r="HD277" s="840"/>
      <c r="HE277" s="840"/>
      <c r="HF277" s="840"/>
      <c r="HG277" s="840"/>
      <c r="HH277" s="840"/>
      <c r="HI277" s="840"/>
      <c r="HJ277" s="841"/>
      <c r="HK277" s="841"/>
      <c r="HL277" s="841"/>
      <c r="HM277" s="840"/>
      <c r="HN277" s="840"/>
      <c r="HO277" s="841"/>
      <c r="HP277" s="841"/>
      <c r="HQ277" s="840"/>
      <c r="HR277" s="840"/>
      <c r="HS277" s="840"/>
      <c r="HT277" s="840"/>
      <c r="HU277" s="840"/>
      <c r="HV277" s="840"/>
      <c r="HW277" s="841"/>
      <c r="HX277" s="841"/>
      <c r="HY277" s="840"/>
      <c r="HZ277" s="840"/>
      <c r="IA277" s="840"/>
      <c r="IB277" s="840"/>
      <c r="IC277" s="840"/>
      <c r="ID277" s="840"/>
      <c r="IE277" s="841"/>
      <c r="IF277" s="841"/>
      <c r="IG277" s="840"/>
      <c r="IH277" s="840"/>
      <c r="II277" s="841"/>
      <c r="IJ277" s="841"/>
      <c r="IK277" s="840"/>
      <c r="IL277" s="840"/>
      <c r="IM277" s="841"/>
      <c r="IN277" s="841"/>
      <c r="IO277" s="840"/>
      <c r="IP277" s="840"/>
      <c r="IQ277" s="840"/>
      <c r="IR277" s="840"/>
      <c r="IS277" s="840"/>
      <c r="IT277" s="840"/>
      <c r="IU277" s="841"/>
      <c r="IV277" s="841"/>
      <c r="IW277" s="840"/>
      <c r="IX277" s="840"/>
      <c r="IY277" s="841"/>
      <c r="IZ277" s="841"/>
      <c r="JA277" s="840"/>
      <c r="JB277" s="840"/>
      <c r="JC277" s="841"/>
      <c r="JD277" s="840"/>
      <c r="JE277" s="840"/>
      <c r="JF277" s="840"/>
      <c r="JG277" s="840"/>
      <c r="JH277" s="840"/>
      <c r="JI277" s="840"/>
      <c r="JJ277" s="840"/>
      <c r="JK277" s="840"/>
      <c r="JL277" s="840"/>
      <c r="JM277" s="840"/>
      <c r="JN277" s="840"/>
      <c r="JO277" s="619"/>
      <c r="JP277" s="840"/>
      <c r="JQ277" s="843"/>
      <c r="JR277" s="843"/>
      <c r="JS277" s="840"/>
    </row>
    <row r="278" spans="30:284">
      <c r="AE278" s="840"/>
      <c r="AF278" s="840"/>
      <c r="AG278" s="840"/>
      <c r="AH278" s="840"/>
      <c r="AI278" s="840"/>
      <c r="AJ278" s="841"/>
      <c r="AK278" s="841"/>
      <c r="AL278" s="840"/>
      <c r="AM278" s="840"/>
      <c r="AN278" s="841"/>
      <c r="AO278" s="841"/>
      <c r="AP278" s="840"/>
      <c r="AQ278" s="840"/>
      <c r="AR278" s="840"/>
      <c r="AS278" s="840"/>
      <c r="AT278" s="840"/>
      <c r="AU278" s="840"/>
      <c r="AV278" s="841"/>
      <c r="AW278" s="841"/>
      <c r="AX278" s="840"/>
      <c r="AY278" s="840"/>
      <c r="AZ278" s="841"/>
      <c r="BA278" s="841"/>
      <c r="BB278" s="841"/>
      <c r="BC278" s="840"/>
      <c r="BD278" s="840"/>
      <c r="BE278" s="840"/>
      <c r="BF278" s="840"/>
      <c r="BG278" s="840"/>
      <c r="BH278" s="840"/>
      <c r="BI278" s="840"/>
      <c r="BJ278" s="840"/>
      <c r="BK278" s="840"/>
      <c r="BL278" s="840"/>
      <c r="BM278" s="840"/>
      <c r="BN278" s="840"/>
      <c r="BO278" s="840"/>
      <c r="BP278" s="840"/>
      <c r="BQ278" s="840"/>
      <c r="BR278" s="840"/>
      <c r="BS278" s="840"/>
      <c r="BT278" s="840"/>
      <c r="BU278" s="840"/>
      <c r="BV278" s="840"/>
      <c r="BW278" s="840"/>
      <c r="BX278" s="841"/>
      <c r="BY278" s="841"/>
      <c r="BZ278" s="841"/>
      <c r="CA278" s="841"/>
      <c r="CB278" s="840"/>
      <c r="CC278" s="840"/>
      <c r="CD278" s="840"/>
      <c r="CE278" s="840"/>
      <c r="CF278" s="840"/>
      <c r="CG278" s="840"/>
      <c r="CH278" s="840"/>
      <c r="CI278" s="840"/>
      <c r="CJ278" s="841"/>
      <c r="CK278" s="841"/>
      <c r="CL278" s="840"/>
      <c r="CM278" s="840"/>
      <c r="CN278" s="840"/>
      <c r="CO278" s="840"/>
      <c r="CP278" s="840"/>
      <c r="CQ278" s="840"/>
      <c r="CR278" s="841"/>
      <c r="CS278" s="841"/>
      <c r="CT278" s="840"/>
      <c r="CU278" s="840"/>
      <c r="CV278" s="841"/>
      <c r="CW278" s="841"/>
      <c r="CX278" s="840"/>
      <c r="CY278" s="840"/>
      <c r="CZ278" s="841"/>
      <c r="DA278" s="841"/>
      <c r="DB278" s="840"/>
      <c r="DC278" s="840"/>
      <c r="DD278" s="841"/>
      <c r="DE278" s="841"/>
      <c r="DF278" s="840"/>
      <c r="DG278" s="840"/>
      <c r="DH278" s="840"/>
      <c r="DI278" s="840"/>
      <c r="DJ278" s="840"/>
      <c r="DK278" s="840"/>
      <c r="DL278" s="841"/>
      <c r="DM278" s="841"/>
      <c r="DN278" s="840"/>
      <c r="DO278" s="840"/>
      <c r="DP278" s="841"/>
      <c r="DQ278" s="841"/>
      <c r="DR278" s="840"/>
      <c r="DS278" s="840"/>
      <c r="DT278" s="840"/>
      <c r="DU278" s="840"/>
      <c r="DV278" s="840"/>
      <c r="DW278" s="840"/>
      <c r="DX278" s="840"/>
      <c r="DY278" s="840"/>
      <c r="DZ278" s="840"/>
      <c r="EA278" s="840"/>
      <c r="EB278" s="840"/>
      <c r="EC278" s="840"/>
      <c r="ED278" s="840"/>
      <c r="EE278" s="840"/>
      <c r="EF278" s="841"/>
      <c r="EG278" s="841"/>
      <c r="EH278" s="840"/>
      <c r="EI278" s="840"/>
      <c r="EJ278" s="840"/>
      <c r="EK278" s="840"/>
      <c r="EL278" s="840"/>
      <c r="EM278" s="840"/>
      <c r="EN278" s="840"/>
      <c r="EO278" s="840"/>
      <c r="EP278" s="840"/>
      <c r="EQ278" s="840"/>
      <c r="ER278" s="840"/>
      <c r="ES278" s="840"/>
      <c r="ET278" s="840"/>
      <c r="EU278" s="840"/>
      <c r="EV278" s="841"/>
      <c r="EW278" s="841"/>
      <c r="EX278" s="840"/>
      <c r="EY278" s="840"/>
      <c r="EZ278" s="840"/>
      <c r="FA278" s="840"/>
      <c r="FB278" s="840"/>
      <c r="FC278" s="840"/>
      <c r="FD278" s="840"/>
      <c r="FE278" s="840"/>
      <c r="FF278" s="840"/>
      <c r="FG278" s="840"/>
      <c r="FH278" s="840"/>
      <c r="FI278" s="840"/>
      <c r="FJ278" s="840"/>
      <c r="FK278" s="840"/>
      <c r="FL278" s="840"/>
      <c r="FM278" s="840"/>
      <c r="FN278" s="840"/>
      <c r="FO278" s="840"/>
      <c r="FP278" s="840"/>
      <c r="FQ278" s="840"/>
      <c r="FR278" s="840"/>
      <c r="FS278" s="840"/>
      <c r="FT278" s="840"/>
      <c r="FU278" s="840"/>
      <c r="FV278" s="840"/>
      <c r="FW278" s="840"/>
      <c r="FX278" s="840"/>
      <c r="FY278" s="840"/>
      <c r="FZ278" s="841"/>
      <c r="GA278" s="840"/>
      <c r="GB278" s="840"/>
      <c r="GC278" s="840"/>
      <c r="GD278" s="840"/>
      <c r="GE278" s="840"/>
      <c r="GF278" s="841"/>
      <c r="GG278" s="841"/>
      <c r="GH278" s="840"/>
      <c r="GI278" s="840"/>
      <c r="GJ278" s="840"/>
      <c r="GK278" s="840"/>
      <c r="GL278" s="840"/>
      <c r="GM278" s="840"/>
      <c r="GN278" s="840"/>
      <c r="GO278" s="840"/>
      <c r="GP278" s="840"/>
      <c r="GQ278" s="840"/>
      <c r="GR278" s="840"/>
      <c r="GS278" s="840"/>
      <c r="GT278" s="841"/>
      <c r="GU278" s="840"/>
      <c r="GV278" s="840"/>
      <c r="GW278" s="840"/>
      <c r="GX278" s="840"/>
      <c r="GY278" s="840"/>
      <c r="GZ278" s="840"/>
      <c r="HA278" s="840"/>
      <c r="HB278" s="841"/>
      <c r="HC278" s="841"/>
      <c r="HD278" s="840"/>
      <c r="HE278" s="840"/>
      <c r="HF278" s="840"/>
      <c r="HG278" s="840"/>
      <c r="HH278" s="840"/>
      <c r="HI278" s="840"/>
      <c r="HJ278" s="841"/>
      <c r="HK278" s="841"/>
      <c r="HL278" s="841"/>
      <c r="HM278" s="840"/>
      <c r="HN278" s="840"/>
      <c r="HO278" s="841"/>
      <c r="HP278" s="841"/>
      <c r="HQ278" s="840"/>
      <c r="HR278" s="840"/>
      <c r="HS278" s="840"/>
      <c r="HT278" s="840"/>
      <c r="HU278" s="840"/>
      <c r="HV278" s="840"/>
      <c r="HW278" s="841"/>
      <c r="HX278" s="841"/>
      <c r="HY278" s="840"/>
      <c r="HZ278" s="840"/>
      <c r="IA278" s="840"/>
      <c r="IB278" s="840"/>
      <c r="IC278" s="840"/>
      <c r="ID278" s="840"/>
      <c r="IE278" s="841"/>
      <c r="IF278" s="841"/>
      <c r="IG278" s="840"/>
      <c r="IH278" s="840"/>
      <c r="II278" s="841"/>
      <c r="IJ278" s="841"/>
      <c r="IK278" s="840"/>
      <c r="IL278" s="840"/>
      <c r="IM278" s="841"/>
      <c r="IN278" s="841"/>
      <c r="IO278" s="840"/>
      <c r="IP278" s="840"/>
      <c r="IQ278" s="840"/>
      <c r="IR278" s="840"/>
      <c r="IS278" s="840"/>
      <c r="IT278" s="840"/>
      <c r="IU278" s="841"/>
      <c r="IV278" s="841"/>
      <c r="IW278" s="840"/>
      <c r="IX278" s="840"/>
      <c r="IY278" s="841"/>
      <c r="IZ278" s="841"/>
      <c r="JA278" s="840"/>
      <c r="JB278" s="840"/>
      <c r="JC278" s="841"/>
      <c r="JD278" s="840"/>
      <c r="JE278" s="840"/>
      <c r="JF278" s="840"/>
      <c r="JG278" s="840"/>
      <c r="JH278" s="840"/>
      <c r="JI278" s="840"/>
      <c r="JJ278" s="840"/>
      <c r="JK278" s="840"/>
      <c r="JL278" s="840"/>
      <c r="JM278" s="840"/>
      <c r="JN278" s="840"/>
      <c r="JO278" s="619"/>
      <c r="JP278" s="840"/>
      <c r="JQ278" s="843"/>
      <c r="JR278" s="843"/>
      <c r="JS278" s="840"/>
    </row>
    <row r="279" spans="30:284">
      <c r="AE279" s="840"/>
      <c r="AF279" s="840"/>
      <c r="AG279" s="840"/>
      <c r="AH279" s="840"/>
      <c r="AI279" s="840"/>
      <c r="AJ279" s="841"/>
      <c r="AK279" s="841"/>
      <c r="AL279" s="840"/>
      <c r="AM279" s="840"/>
      <c r="AN279" s="841"/>
      <c r="AO279" s="841"/>
      <c r="AP279" s="840"/>
      <c r="AQ279" s="840"/>
      <c r="AR279" s="840"/>
      <c r="AS279" s="840"/>
      <c r="AT279" s="840"/>
      <c r="AU279" s="840"/>
      <c r="AV279" s="841"/>
      <c r="AW279" s="841"/>
      <c r="AX279" s="840"/>
      <c r="AY279" s="840"/>
      <c r="AZ279" s="841"/>
      <c r="BA279" s="841"/>
      <c r="BB279" s="841"/>
      <c r="BC279" s="840"/>
      <c r="BD279" s="840"/>
      <c r="BE279" s="840"/>
      <c r="BF279" s="840"/>
      <c r="BG279" s="840"/>
      <c r="BH279" s="840"/>
      <c r="BI279" s="840"/>
      <c r="BJ279" s="840"/>
      <c r="BK279" s="840"/>
      <c r="BL279" s="840"/>
      <c r="BM279" s="840"/>
      <c r="BN279" s="840"/>
      <c r="BO279" s="840"/>
      <c r="BP279" s="840"/>
      <c r="BQ279" s="840"/>
      <c r="BR279" s="840"/>
      <c r="BS279" s="840"/>
      <c r="BT279" s="840"/>
      <c r="BU279" s="840"/>
      <c r="BV279" s="840"/>
      <c r="BW279" s="840"/>
      <c r="BX279" s="841"/>
      <c r="BY279" s="841"/>
      <c r="BZ279" s="841"/>
      <c r="CA279" s="841"/>
      <c r="CB279" s="840"/>
      <c r="CC279" s="840"/>
      <c r="CD279" s="840"/>
      <c r="CE279" s="840"/>
      <c r="CF279" s="840"/>
      <c r="CG279" s="840"/>
      <c r="CH279" s="840"/>
      <c r="CI279" s="840"/>
      <c r="CJ279" s="841"/>
      <c r="CK279" s="841"/>
      <c r="CL279" s="840"/>
      <c r="CM279" s="840"/>
      <c r="CN279" s="840"/>
      <c r="CO279" s="840"/>
      <c r="CP279" s="840"/>
      <c r="CQ279" s="840"/>
      <c r="CR279" s="841"/>
      <c r="CS279" s="841"/>
      <c r="CT279" s="840"/>
      <c r="CU279" s="840"/>
      <c r="CV279" s="841"/>
      <c r="CW279" s="841"/>
      <c r="CX279" s="840"/>
      <c r="CY279" s="840"/>
      <c r="CZ279" s="841"/>
      <c r="DA279" s="841"/>
      <c r="DB279" s="840"/>
      <c r="DC279" s="840"/>
      <c r="DD279" s="841"/>
      <c r="DE279" s="841"/>
      <c r="DF279" s="840"/>
      <c r="DG279" s="840"/>
      <c r="DH279" s="840"/>
      <c r="DI279" s="840"/>
      <c r="DJ279" s="840"/>
      <c r="DK279" s="840"/>
      <c r="DL279" s="841"/>
      <c r="DM279" s="841"/>
      <c r="DN279" s="840"/>
      <c r="DO279" s="840"/>
      <c r="DP279" s="841"/>
      <c r="DQ279" s="841"/>
      <c r="DR279" s="840"/>
      <c r="DS279" s="840"/>
      <c r="DT279" s="840"/>
      <c r="DU279" s="840"/>
      <c r="DV279" s="840"/>
      <c r="DW279" s="840"/>
      <c r="DX279" s="840"/>
      <c r="DY279" s="840"/>
      <c r="DZ279" s="840"/>
      <c r="EA279" s="840"/>
      <c r="EB279" s="840"/>
      <c r="EC279" s="840"/>
      <c r="ED279" s="840"/>
      <c r="EE279" s="840"/>
      <c r="EF279" s="841"/>
      <c r="EG279" s="841"/>
      <c r="EH279" s="840"/>
      <c r="EI279" s="840"/>
      <c r="EJ279" s="840"/>
      <c r="EK279" s="840"/>
      <c r="EL279" s="840"/>
      <c r="EM279" s="840"/>
      <c r="EN279" s="840"/>
      <c r="EO279" s="840"/>
      <c r="EP279" s="840"/>
      <c r="EQ279" s="840"/>
      <c r="ER279" s="840"/>
      <c r="ES279" s="840"/>
      <c r="ET279" s="840"/>
      <c r="EU279" s="840"/>
      <c r="EV279" s="841"/>
      <c r="EW279" s="841"/>
      <c r="EX279" s="840"/>
      <c r="EY279" s="840"/>
      <c r="EZ279" s="840"/>
      <c r="FA279" s="840"/>
      <c r="FB279" s="840"/>
      <c r="FC279" s="840"/>
      <c r="FD279" s="840"/>
      <c r="FE279" s="840"/>
      <c r="FF279" s="840"/>
      <c r="FG279" s="840"/>
      <c r="FH279" s="840"/>
      <c r="FI279" s="840"/>
      <c r="FJ279" s="840"/>
      <c r="FK279" s="840"/>
      <c r="FL279" s="840"/>
      <c r="FM279" s="840"/>
      <c r="FN279" s="840"/>
      <c r="FO279" s="840"/>
      <c r="FP279" s="840"/>
      <c r="FQ279" s="840"/>
      <c r="FR279" s="840"/>
      <c r="FS279" s="840"/>
      <c r="FT279" s="840"/>
      <c r="FU279" s="840"/>
      <c r="FV279" s="840"/>
      <c r="FW279" s="840"/>
      <c r="FX279" s="840"/>
      <c r="FY279" s="840"/>
      <c r="FZ279" s="841"/>
      <c r="GA279" s="840"/>
      <c r="GB279" s="840"/>
      <c r="GC279" s="840"/>
      <c r="GD279" s="840"/>
      <c r="GE279" s="840"/>
      <c r="GF279" s="841"/>
      <c r="GG279" s="841"/>
      <c r="GH279" s="840"/>
      <c r="GI279" s="840"/>
      <c r="GJ279" s="840"/>
      <c r="GK279" s="840"/>
      <c r="GL279" s="840"/>
      <c r="GM279" s="840"/>
      <c r="GN279" s="840"/>
      <c r="GO279" s="840"/>
      <c r="GP279" s="840"/>
      <c r="GQ279" s="840"/>
      <c r="GR279" s="840"/>
      <c r="GS279" s="840"/>
      <c r="GT279" s="841"/>
      <c r="GU279" s="840"/>
      <c r="GV279" s="840"/>
      <c r="GW279" s="840"/>
      <c r="GX279" s="840"/>
      <c r="GY279" s="840"/>
      <c r="GZ279" s="840"/>
      <c r="HA279" s="840"/>
      <c r="HB279" s="841"/>
      <c r="HC279" s="841"/>
      <c r="HD279" s="840"/>
      <c r="HE279" s="840"/>
      <c r="HF279" s="840"/>
      <c r="HG279" s="840"/>
      <c r="HH279" s="840"/>
      <c r="HI279" s="840"/>
      <c r="HJ279" s="841"/>
      <c r="HK279" s="841"/>
      <c r="HL279" s="841"/>
      <c r="HM279" s="840"/>
      <c r="HN279" s="840"/>
      <c r="HO279" s="841"/>
      <c r="HP279" s="841"/>
      <c r="HQ279" s="840"/>
      <c r="HR279" s="840"/>
      <c r="HS279" s="840"/>
      <c r="HT279" s="840"/>
      <c r="HU279" s="840"/>
      <c r="HV279" s="840"/>
      <c r="HW279" s="841"/>
      <c r="HX279" s="841"/>
      <c r="HY279" s="840"/>
      <c r="HZ279" s="840"/>
      <c r="IA279" s="840"/>
      <c r="IB279" s="840"/>
      <c r="IC279" s="840"/>
      <c r="ID279" s="840"/>
      <c r="IE279" s="841"/>
      <c r="IF279" s="841"/>
      <c r="IG279" s="840"/>
      <c r="IH279" s="840"/>
      <c r="II279" s="841"/>
      <c r="IJ279" s="841"/>
      <c r="IK279" s="840"/>
      <c r="IL279" s="840"/>
      <c r="IM279" s="841"/>
      <c r="IN279" s="841"/>
      <c r="IO279" s="840"/>
      <c r="IP279" s="840"/>
      <c r="IQ279" s="840"/>
      <c r="IR279" s="840"/>
      <c r="IS279" s="840"/>
      <c r="IT279" s="840"/>
      <c r="IU279" s="841"/>
      <c r="IV279" s="841"/>
      <c r="IW279" s="840"/>
      <c r="IX279" s="840"/>
      <c r="IY279" s="841"/>
      <c r="IZ279" s="841"/>
      <c r="JA279" s="840"/>
      <c r="JB279" s="840"/>
      <c r="JC279" s="841"/>
      <c r="JD279" s="840"/>
      <c r="JE279" s="840"/>
      <c r="JF279" s="840"/>
      <c r="JG279" s="840"/>
      <c r="JH279" s="840"/>
      <c r="JI279" s="840"/>
      <c r="JJ279" s="840"/>
      <c r="JK279" s="840"/>
      <c r="JL279" s="840"/>
      <c r="JM279" s="840"/>
      <c r="JN279" s="840"/>
      <c r="JO279" s="619"/>
      <c r="JP279" s="840"/>
      <c r="JQ279" s="843"/>
      <c r="JR279" s="843"/>
      <c r="JS279" s="840"/>
    </row>
    <row r="280" spans="30:284">
      <c r="AE280" s="840"/>
      <c r="AF280" s="840"/>
      <c r="AG280" s="840"/>
      <c r="AH280" s="840"/>
      <c r="AI280" s="840"/>
      <c r="AJ280" s="841"/>
      <c r="AK280" s="841"/>
      <c r="AL280" s="840"/>
      <c r="AM280" s="840"/>
      <c r="AN280" s="841"/>
      <c r="AO280" s="841"/>
      <c r="AP280" s="840"/>
      <c r="AQ280" s="840"/>
      <c r="AR280" s="840"/>
      <c r="AS280" s="840"/>
      <c r="AT280" s="840"/>
      <c r="AU280" s="840"/>
      <c r="AV280" s="841"/>
      <c r="AW280" s="841"/>
      <c r="AX280" s="840"/>
      <c r="AY280" s="840"/>
      <c r="AZ280" s="841"/>
      <c r="BA280" s="841"/>
      <c r="BB280" s="841"/>
      <c r="BC280" s="840"/>
      <c r="BD280" s="840"/>
      <c r="BE280" s="840"/>
      <c r="BF280" s="840"/>
      <c r="BG280" s="840"/>
      <c r="BH280" s="840"/>
      <c r="BI280" s="840"/>
      <c r="BJ280" s="840"/>
      <c r="BK280" s="840"/>
      <c r="BL280" s="840"/>
      <c r="BM280" s="840"/>
      <c r="BN280" s="840"/>
      <c r="BO280" s="840"/>
      <c r="BP280" s="840"/>
      <c r="BQ280" s="840"/>
      <c r="BR280" s="840"/>
      <c r="BS280" s="840"/>
      <c r="BT280" s="840"/>
      <c r="BU280" s="840"/>
      <c r="BV280" s="840"/>
      <c r="BW280" s="840"/>
      <c r="BX280" s="841"/>
      <c r="BY280" s="841"/>
      <c r="BZ280" s="841"/>
      <c r="CA280" s="841"/>
      <c r="CB280" s="840"/>
      <c r="CC280" s="840"/>
      <c r="CD280" s="840"/>
      <c r="CE280" s="840"/>
      <c r="CF280" s="840"/>
      <c r="CG280" s="840"/>
      <c r="CH280" s="840"/>
      <c r="CI280" s="840"/>
      <c r="CJ280" s="841"/>
      <c r="CK280" s="841"/>
      <c r="CL280" s="840"/>
      <c r="CM280" s="840"/>
      <c r="CN280" s="840"/>
      <c r="CO280" s="840"/>
      <c r="CP280" s="840"/>
      <c r="CQ280" s="840"/>
      <c r="CR280" s="841"/>
      <c r="CS280" s="841"/>
      <c r="CT280" s="840"/>
      <c r="CU280" s="840"/>
      <c r="CV280" s="841"/>
      <c r="CW280" s="841"/>
      <c r="CX280" s="840"/>
      <c r="CY280" s="840"/>
      <c r="CZ280" s="841"/>
      <c r="DA280" s="841"/>
      <c r="DB280" s="840"/>
      <c r="DC280" s="840"/>
      <c r="DD280" s="841"/>
      <c r="DE280" s="841"/>
      <c r="DF280" s="840"/>
      <c r="DG280" s="840"/>
      <c r="DH280" s="840"/>
      <c r="DI280" s="840"/>
      <c r="DJ280" s="840"/>
      <c r="DK280" s="840"/>
      <c r="DL280" s="841"/>
      <c r="DM280" s="841"/>
      <c r="DN280" s="840"/>
      <c r="DO280" s="840"/>
      <c r="DP280" s="841"/>
      <c r="DQ280" s="841"/>
      <c r="DR280" s="840"/>
      <c r="DS280" s="840"/>
      <c r="DT280" s="840"/>
      <c r="DU280" s="840"/>
      <c r="DV280" s="840"/>
      <c r="DW280" s="840"/>
      <c r="DX280" s="840"/>
      <c r="DY280" s="840"/>
      <c r="DZ280" s="840"/>
      <c r="EA280" s="840"/>
      <c r="EB280" s="840"/>
      <c r="EC280" s="840"/>
      <c r="ED280" s="840"/>
      <c r="EE280" s="840"/>
      <c r="EF280" s="841"/>
      <c r="EG280" s="841"/>
      <c r="EH280" s="840"/>
      <c r="EI280" s="840"/>
      <c r="EJ280" s="840"/>
      <c r="EK280" s="840"/>
      <c r="EL280" s="840"/>
      <c r="EM280" s="840"/>
      <c r="EN280" s="840"/>
      <c r="EO280" s="840"/>
      <c r="EP280" s="840"/>
      <c r="EQ280" s="840"/>
      <c r="ER280" s="840"/>
      <c r="ES280" s="840"/>
      <c r="ET280" s="840"/>
      <c r="EU280" s="840"/>
      <c r="EV280" s="841"/>
      <c r="EW280" s="841"/>
      <c r="EX280" s="840"/>
      <c r="EY280" s="840"/>
      <c r="EZ280" s="840"/>
      <c r="FA280" s="840"/>
      <c r="FB280" s="840"/>
      <c r="FC280" s="840"/>
      <c r="FD280" s="840"/>
      <c r="FE280" s="840"/>
      <c r="FF280" s="840"/>
      <c r="FG280" s="840"/>
      <c r="FH280" s="840"/>
      <c r="FI280" s="840"/>
      <c r="FJ280" s="840"/>
      <c r="FK280" s="840"/>
      <c r="FL280" s="840"/>
      <c r="FM280" s="840"/>
      <c r="FN280" s="840"/>
      <c r="FO280" s="840"/>
      <c r="FP280" s="840"/>
      <c r="FQ280" s="840"/>
      <c r="FR280" s="840"/>
      <c r="FS280" s="840"/>
      <c r="FT280" s="840"/>
      <c r="FU280" s="840"/>
      <c r="FV280" s="840"/>
      <c r="FW280" s="840"/>
      <c r="FX280" s="840"/>
      <c r="FY280" s="840"/>
      <c r="FZ280" s="841"/>
      <c r="GA280" s="840"/>
      <c r="GB280" s="840"/>
      <c r="GC280" s="840"/>
      <c r="GD280" s="840"/>
      <c r="GE280" s="840"/>
      <c r="GF280" s="841"/>
      <c r="GG280" s="841"/>
      <c r="GH280" s="840"/>
      <c r="GI280" s="840"/>
      <c r="GJ280" s="840"/>
      <c r="GK280" s="840"/>
      <c r="GL280" s="840"/>
      <c r="GM280" s="840"/>
      <c r="GN280" s="840"/>
      <c r="GO280" s="840"/>
      <c r="GP280" s="840"/>
      <c r="GQ280" s="840"/>
      <c r="GR280" s="840"/>
      <c r="GS280" s="840"/>
      <c r="GT280" s="841"/>
      <c r="GU280" s="840"/>
      <c r="GV280" s="840"/>
      <c r="GW280" s="840"/>
      <c r="GX280" s="840"/>
      <c r="GY280" s="840"/>
      <c r="GZ280" s="840"/>
      <c r="HA280" s="840"/>
      <c r="HB280" s="841"/>
      <c r="HC280" s="841"/>
      <c r="HD280" s="840"/>
      <c r="HE280" s="840"/>
      <c r="HF280" s="840"/>
      <c r="HG280" s="840"/>
      <c r="HH280" s="840"/>
      <c r="HI280" s="840"/>
      <c r="HJ280" s="841"/>
      <c r="HK280" s="841"/>
      <c r="HL280" s="841"/>
      <c r="HM280" s="840"/>
      <c r="HN280" s="840"/>
      <c r="HO280" s="841"/>
      <c r="HP280" s="841"/>
      <c r="HQ280" s="840"/>
      <c r="HR280" s="840"/>
      <c r="HS280" s="840"/>
      <c r="HT280" s="840"/>
      <c r="HU280" s="840"/>
      <c r="HV280" s="840"/>
      <c r="HW280" s="841"/>
      <c r="HX280" s="841"/>
      <c r="HY280" s="840"/>
      <c r="HZ280" s="840"/>
      <c r="IA280" s="840"/>
      <c r="IB280" s="840"/>
      <c r="IC280" s="840"/>
      <c r="ID280" s="840"/>
      <c r="IE280" s="841"/>
      <c r="IF280" s="841"/>
      <c r="IG280" s="840"/>
      <c r="IH280" s="840"/>
      <c r="II280" s="841"/>
      <c r="IJ280" s="841"/>
      <c r="IK280" s="840"/>
      <c r="IL280" s="840"/>
      <c r="IM280" s="841"/>
      <c r="IN280" s="841"/>
      <c r="IO280" s="840"/>
      <c r="IP280" s="840"/>
      <c r="IQ280" s="840"/>
      <c r="IR280" s="840"/>
      <c r="IS280" s="840"/>
      <c r="IT280" s="840"/>
      <c r="IU280" s="841"/>
      <c r="IV280" s="841"/>
      <c r="IW280" s="840"/>
      <c r="IX280" s="840"/>
      <c r="IY280" s="841"/>
      <c r="IZ280" s="841"/>
      <c r="JA280" s="840"/>
      <c r="JB280" s="840"/>
      <c r="JC280" s="841"/>
      <c r="JD280" s="840"/>
      <c r="JE280" s="840"/>
      <c r="JF280" s="840"/>
      <c r="JG280" s="840"/>
      <c r="JH280" s="840"/>
      <c r="JI280" s="840"/>
      <c r="JJ280" s="840"/>
      <c r="JK280" s="840"/>
      <c r="JL280" s="840"/>
      <c r="JM280" s="840"/>
      <c r="JN280" s="840"/>
      <c r="JO280" s="619"/>
      <c r="JP280" s="840"/>
      <c r="JQ280" s="843"/>
      <c r="JR280" s="843"/>
      <c r="JS280" s="840"/>
    </row>
    <row r="281" spans="30:284">
      <c r="AE281" s="840"/>
      <c r="AF281" s="840"/>
      <c r="AG281" s="840"/>
      <c r="AH281" s="840"/>
      <c r="AI281" s="840"/>
      <c r="AJ281" s="841"/>
      <c r="AK281" s="841"/>
      <c r="AL281" s="840"/>
      <c r="AM281" s="840"/>
      <c r="AN281" s="841"/>
      <c r="AO281" s="841"/>
      <c r="AP281" s="840"/>
      <c r="AQ281" s="840"/>
      <c r="AR281" s="840"/>
      <c r="AS281" s="840"/>
      <c r="AT281" s="840"/>
      <c r="AU281" s="840"/>
      <c r="AV281" s="841"/>
      <c r="AW281" s="841"/>
      <c r="AX281" s="840"/>
      <c r="AY281" s="840"/>
      <c r="AZ281" s="841"/>
      <c r="BA281" s="841"/>
      <c r="BB281" s="841"/>
      <c r="BC281" s="840"/>
      <c r="BD281" s="840"/>
      <c r="BE281" s="840"/>
      <c r="BF281" s="840"/>
      <c r="BG281" s="840"/>
      <c r="BH281" s="840"/>
      <c r="BI281" s="840"/>
      <c r="BJ281" s="840"/>
      <c r="BK281" s="840"/>
      <c r="BL281" s="840"/>
      <c r="BM281" s="840"/>
      <c r="BN281" s="840"/>
      <c r="BO281" s="840"/>
      <c r="BP281" s="840"/>
      <c r="BQ281" s="840"/>
      <c r="BR281" s="840"/>
      <c r="BS281" s="840"/>
      <c r="BT281" s="840"/>
      <c r="BU281" s="840"/>
      <c r="BV281" s="840"/>
      <c r="BW281" s="840"/>
      <c r="BX281" s="841"/>
      <c r="BY281" s="841"/>
      <c r="BZ281" s="841"/>
      <c r="CA281" s="841"/>
      <c r="CB281" s="840"/>
      <c r="CC281" s="840"/>
      <c r="CD281" s="840"/>
      <c r="CE281" s="840"/>
      <c r="CF281" s="840"/>
      <c r="CG281" s="840"/>
      <c r="CH281" s="840"/>
      <c r="CI281" s="840"/>
      <c r="CJ281" s="841"/>
      <c r="CK281" s="841"/>
      <c r="CL281" s="840"/>
      <c r="CM281" s="840"/>
      <c r="CN281" s="840"/>
      <c r="CO281" s="840"/>
      <c r="CP281" s="840"/>
      <c r="CQ281" s="840"/>
      <c r="CR281" s="841"/>
      <c r="CS281" s="841"/>
      <c r="CT281" s="840"/>
      <c r="CU281" s="840"/>
      <c r="CV281" s="841"/>
      <c r="CW281" s="841"/>
      <c r="CX281" s="840"/>
      <c r="CY281" s="840"/>
      <c r="CZ281" s="841"/>
      <c r="DA281" s="841"/>
      <c r="DB281" s="840"/>
      <c r="DC281" s="840"/>
      <c r="DD281" s="841"/>
      <c r="DE281" s="841"/>
      <c r="DF281" s="840"/>
      <c r="DG281" s="840"/>
      <c r="DH281" s="840"/>
      <c r="DI281" s="840"/>
      <c r="DJ281" s="840"/>
      <c r="DK281" s="840"/>
      <c r="DL281" s="841"/>
      <c r="DM281" s="841"/>
      <c r="DN281" s="840"/>
      <c r="DO281" s="840"/>
      <c r="DP281" s="841"/>
      <c r="DQ281" s="841"/>
      <c r="DR281" s="840"/>
      <c r="DS281" s="840"/>
      <c r="DT281" s="840"/>
      <c r="DU281" s="840"/>
      <c r="DV281" s="840"/>
      <c r="DW281" s="840"/>
      <c r="DX281" s="840"/>
      <c r="DY281" s="840"/>
      <c r="DZ281" s="840"/>
      <c r="EA281" s="840"/>
      <c r="EB281" s="840"/>
      <c r="EC281" s="840"/>
      <c r="ED281" s="840"/>
      <c r="EE281" s="840"/>
      <c r="EF281" s="841"/>
      <c r="EG281" s="841"/>
      <c r="EH281" s="840"/>
      <c r="EI281" s="840"/>
      <c r="EJ281" s="840"/>
      <c r="EK281" s="840"/>
      <c r="EL281" s="840"/>
      <c r="EM281" s="840"/>
      <c r="EN281" s="840"/>
      <c r="EO281" s="840"/>
      <c r="EP281" s="840"/>
      <c r="EQ281" s="840"/>
      <c r="ER281" s="840"/>
      <c r="ES281" s="840"/>
      <c r="ET281" s="840"/>
      <c r="EU281" s="840"/>
      <c r="EV281" s="841"/>
      <c r="EW281" s="841"/>
      <c r="EX281" s="840"/>
      <c r="EY281" s="840"/>
      <c r="EZ281" s="840"/>
      <c r="FA281" s="840"/>
      <c r="FB281" s="840"/>
      <c r="FC281" s="840"/>
      <c r="FD281" s="840"/>
      <c r="FE281" s="840"/>
      <c r="FF281" s="840"/>
      <c r="FG281" s="840"/>
      <c r="FH281" s="840"/>
      <c r="FI281" s="840"/>
      <c r="FJ281" s="840"/>
      <c r="FK281" s="840"/>
      <c r="FL281" s="840"/>
      <c r="FM281" s="840"/>
      <c r="FN281" s="840"/>
      <c r="FO281" s="840"/>
      <c r="FP281" s="840"/>
      <c r="FQ281" s="840"/>
      <c r="FR281" s="840"/>
      <c r="FS281" s="840"/>
      <c r="FT281" s="840"/>
      <c r="FU281" s="840"/>
      <c r="FV281" s="840"/>
      <c r="FW281" s="840"/>
      <c r="FX281" s="840"/>
      <c r="FY281" s="840"/>
      <c r="FZ281" s="841"/>
      <c r="GA281" s="840"/>
      <c r="GB281" s="840"/>
      <c r="GC281" s="840"/>
      <c r="GD281" s="840"/>
      <c r="GE281" s="840"/>
      <c r="GF281" s="841"/>
      <c r="GG281" s="841"/>
      <c r="GH281" s="840"/>
      <c r="GI281" s="840"/>
      <c r="GJ281" s="840"/>
      <c r="GK281" s="840"/>
      <c r="GL281" s="840"/>
      <c r="GM281" s="840"/>
      <c r="GN281" s="840"/>
      <c r="GO281" s="840"/>
      <c r="GP281" s="840"/>
      <c r="GQ281" s="840"/>
      <c r="GR281" s="840"/>
      <c r="GS281" s="840"/>
      <c r="GT281" s="841"/>
      <c r="GU281" s="840"/>
      <c r="GV281" s="840"/>
      <c r="GW281" s="840"/>
      <c r="GX281" s="840"/>
      <c r="GY281" s="840"/>
      <c r="GZ281" s="840"/>
      <c r="HA281" s="840"/>
      <c r="HB281" s="841"/>
      <c r="HC281" s="841"/>
      <c r="HD281" s="840"/>
      <c r="HE281" s="840"/>
      <c r="HF281" s="840"/>
      <c r="HG281" s="840"/>
      <c r="HH281" s="840"/>
      <c r="HI281" s="840"/>
      <c r="HJ281" s="841"/>
      <c r="HK281" s="841"/>
      <c r="HL281" s="841"/>
      <c r="HM281" s="840"/>
      <c r="HN281" s="840"/>
      <c r="HO281" s="841"/>
      <c r="HP281" s="841"/>
      <c r="HQ281" s="840"/>
      <c r="HR281" s="840"/>
      <c r="HS281" s="840"/>
      <c r="HT281" s="840"/>
      <c r="HU281" s="840"/>
      <c r="HV281" s="840"/>
      <c r="HW281" s="841"/>
      <c r="HX281" s="841"/>
      <c r="HY281" s="840"/>
      <c r="HZ281" s="840"/>
      <c r="IA281" s="840"/>
      <c r="IB281" s="840"/>
      <c r="IC281" s="840"/>
      <c r="ID281" s="840"/>
      <c r="IE281" s="841"/>
      <c r="IF281" s="841"/>
      <c r="IG281" s="840"/>
      <c r="IH281" s="840"/>
      <c r="II281" s="841"/>
      <c r="IJ281" s="841"/>
      <c r="IK281" s="840"/>
      <c r="IL281" s="840"/>
      <c r="IM281" s="841"/>
      <c r="IN281" s="841"/>
      <c r="IO281" s="840"/>
      <c r="IP281" s="840"/>
      <c r="IQ281" s="840"/>
      <c r="IR281" s="840"/>
      <c r="IS281" s="840"/>
      <c r="IT281" s="840"/>
      <c r="IU281" s="841"/>
      <c r="IV281" s="841"/>
      <c r="IW281" s="840"/>
      <c r="IX281" s="840"/>
      <c r="IY281" s="841"/>
      <c r="IZ281" s="841"/>
      <c r="JA281" s="840"/>
      <c r="JB281" s="840"/>
      <c r="JC281" s="841"/>
      <c r="JD281" s="840"/>
      <c r="JE281" s="840"/>
      <c r="JF281" s="840"/>
      <c r="JG281" s="840"/>
      <c r="JH281" s="840"/>
      <c r="JI281" s="840"/>
      <c r="JJ281" s="840"/>
      <c r="JK281" s="840"/>
      <c r="JL281" s="840"/>
      <c r="JM281" s="840"/>
      <c r="JN281" s="840"/>
      <c r="JO281" s="619"/>
      <c r="JP281" s="840"/>
      <c r="JQ281" s="843"/>
      <c r="JR281" s="843"/>
      <c r="JS281" s="840"/>
    </row>
    <row r="282" spans="30:284">
      <c r="AE282" s="840"/>
      <c r="AF282" s="840"/>
      <c r="AG282" s="840"/>
      <c r="AH282" s="840"/>
      <c r="AI282" s="840"/>
      <c r="AJ282" s="841"/>
      <c r="AK282" s="841"/>
      <c r="AL282" s="840"/>
      <c r="AM282" s="840"/>
      <c r="AN282" s="841"/>
      <c r="AO282" s="841"/>
      <c r="AP282" s="840"/>
      <c r="AQ282" s="840"/>
      <c r="AR282" s="840"/>
      <c r="AS282" s="840"/>
      <c r="AT282" s="840"/>
      <c r="AU282" s="840"/>
      <c r="AV282" s="841"/>
      <c r="AW282" s="841"/>
      <c r="AX282" s="840"/>
      <c r="AY282" s="840"/>
      <c r="AZ282" s="841"/>
      <c r="BA282" s="841"/>
      <c r="BB282" s="841"/>
      <c r="BC282" s="840"/>
      <c r="BD282" s="840"/>
      <c r="BE282" s="840"/>
      <c r="BF282" s="840"/>
      <c r="BG282" s="840"/>
      <c r="BH282" s="840"/>
      <c r="BI282" s="840"/>
      <c r="BJ282" s="840"/>
      <c r="BK282" s="840"/>
      <c r="BL282" s="840"/>
      <c r="BM282" s="840"/>
      <c r="BN282" s="840"/>
      <c r="BO282" s="840"/>
      <c r="BP282" s="840"/>
      <c r="BQ282" s="840"/>
      <c r="BR282" s="840"/>
      <c r="BS282" s="840"/>
      <c r="BT282" s="840"/>
      <c r="BU282" s="840"/>
      <c r="BV282" s="840"/>
      <c r="BW282" s="840"/>
      <c r="BX282" s="841"/>
      <c r="BY282" s="841"/>
      <c r="BZ282" s="841"/>
      <c r="CA282" s="841"/>
      <c r="CB282" s="840"/>
      <c r="CC282" s="840"/>
      <c r="CD282" s="840"/>
      <c r="CE282" s="840"/>
      <c r="CF282" s="840"/>
      <c r="CG282" s="840"/>
      <c r="CH282" s="840"/>
      <c r="CI282" s="840"/>
      <c r="CJ282" s="841"/>
      <c r="CK282" s="841"/>
      <c r="CL282" s="840"/>
      <c r="CM282" s="840"/>
      <c r="CN282" s="840"/>
      <c r="CO282" s="840"/>
      <c r="CP282" s="840"/>
      <c r="CQ282" s="840"/>
      <c r="CR282" s="841"/>
      <c r="CS282" s="841"/>
      <c r="CT282" s="840"/>
      <c r="CU282" s="840"/>
      <c r="CV282" s="841"/>
      <c r="CW282" s="841"/>
      <c r="CX282" s="840"/>
      <c r="CY282" s="840"/>
      <c r="CZ282" s="841"/>
      <c r="DA282" s="841"/>
      <c r="DB282" s="840"/>
      <c r="DC282" s="840"/>
      <c r="DD282" s="841"/>
      <c r="DE282" s="841"/>
      <c r="DF282" s="840"/>
      <c r="DG282" s="840"/>
      <c r="DH282" s="840"/>
      <c r="DI282" s="840"/>
      <c r="DJ282" s="840"/>
      <c r="DK282" s="840"/>
      <c r="DL282" s="841"/>
      <c r="DM282" s="841"/>
      <c r="DN282" s="840"/>
      <c r="DO282" s="840"/>
      <c r="DP282" s="841"/>
      <c r="DQ282" s="841"/>
      <c r="DR282" s="840"/>
      <c r="DS282" s="840"/>
      <c r="DT282" s="840"/>
      <c r="DU282" s="840"/>
      <c r="DV282" s="840"/>
      <c r="DW282" s="840"/>
      <c r="DX282" s="840"/>
      <c r="DY282" s="840"/>
      <c r="DZ282" s="840"/>
      <c r="EA282" s="840"/>
      <c r="EB282" s="840"/>
      <c r="EC282" s="840"/>
      <c r="ED282" s="840"/>
      <c r="EE282" s="840"/>
      <c r="EF282" s="841"/>
      <c r="EG282" s="841"/>
      <c r="EH282" s="840"/>
      <c r="EI282" s="840"/>
      <c r="EJ282" s="840"/>
      <c r="EK282" s="840"/>
      <c r="EL282" s="840"/>
      <c r="EM282" s="840"/>
      <c r="EN282" s="840"/>
      <c r="EO282" s="840"/>
      <c r="EP282" s="840"/>
      <c r="EQ282" s="840"/>
      <c r="ER282" s="840"/>
      <c r="ES282" s="840"/>
      <c r="ET282" s="840"/>
      <c r="EU282" s="840"/>
      <c r="EV282" s="841"/>
      <c r="EW282" s="841"/>
      <c r="EX282" s="840"/>
      <c r="EY282" s="840"/>
      <c r="EZ282" s="840"/>
      <c r="FA282" s="840"/>
      <c r="FB282" s="840"/>
      <c r="FC282" s="840"/>
      <c r="FD282" s="840"/>
      <c r="FE282" s="840"/>
      <c r="FF282" s="840"/>
      <c r="FG282" s="840"/>
      <c r="FH282" s="840"/>
      <c r="FI282" s="840"/>
      <c r="FJ282" s="840"/>
      <c r="FK282" s="840"/>
      <c r="FL282" s="840"/>
      <c r="FM282" s="840"/>
      <c r="FN282" s="840"/>
      <c r="FO282" s="840"/>
      <c r="FP282" s="840"/>
      <c r="FQ282" s="840"/>
      <c r="FR282" s="840"/>
      <c r="FS282" s="840"/>
      <c r="FT282" s="840"/>
      <c r="FU282" s="840"/>
      <c r="FV282" s="840"/>
      <c r="FW282" s="840"/>
      <c r="FX282" s="840"/>
      <c r="FY282" s="840"/>
      <c r="FZ282" s="841"/>
      <c r="GA282" s="840"/>
      <c r="GB282" s="840"/>
      <c r="GC282" s="840"/>
      <c r="GD282" s="840"/>
      <c r="GE282" s="840"/>
      <c r="GF282" s="841"/>
      <c r="GG282" s="841"/>
      <c r="GH282" s="840"/>
      <c r="GI282" s="840"/>
      <c r="GJ282" s="840"/>
      <c r="GK282" s="840"/>
      <c r="GL282" s="840"/>
      <c r="GM282" s="840"/>
      <c r="GN282" s="840"/>
      <c r="GO282" s="840"/>
      <c r="GP282" s="840"/>
      <c r="GQ282" s="840"/>
      <c r="GR282" s="840"/>
      <c r="GS282" s="840"/>
      <c r="GT282" s="841"/>
      <c r="GU282" s="840"/>
      <c r="GV282" s="840"/>
      <c r="GW282" s="840"/>
      <c r="GX282" s="840"/>
      <c r="GY282" s="840"/>
      <c r="GZ282" s="840"/>
      <c r="HA282" s="840"/>
      <c r="HB282" s="841"/>
      <c r="HC282" s="841"/>
      <c r="HD282" s="840"/>
      <c r="HE282" s="840"/>
      <c r="HF282" s="840"/>
      <c r="HG282" s="840"/>
      <c r="HH282" s="840"/>
      <c r="HI282" s="840"/>
      <c r="HJ282" s="841"/>
      <c r="HK282" s="841"/>
      <c r="HL282" s="841"/>
      <c r="HM282" s="840"/>
      <c r="HN282" s="840"/>
      <c r="HO282" s="841"/>
      <c r="HP282" s="841"/>
      <c r="HQ282" s="840"/>
      <c r="HR282" s="840"/>
      <c r="HS282" s="840"/>
      <c r="HT282" s="840"/>
      <c r="HU282" s="840"/>
      <c r="HV282" s="840"/>
      <c r="HW282" s="841"/>
      <c r="HX282" s="841"/>
      <c r="HY282" s="840"/>
      <c r="HZ282" s="840"/>
      <c r="IA282" s="840"/>
      <c r="IB282" s="840"/>
      <c r="IC282" s="840"/>
      <c r="ID282" s="840"/>
      <c r="IE282" s="841"/>
      <c r="IF282" s="841"/>
      <c r="IG282" s="840"/>
      <c r="IH282" s="840"/>
      <c r="II282" s="841"/>
      <c r="IJ282" s="841"/>
      <c r="IK282" s="840"/>
      <c r="IL282" s="840"/>
      <c r="IM282" s="841"/>
      <c r="IN282" s="841"/>
      <c r="IO282" s="840"/>
      <c r="IP282" s="840"/>
      <c r="IQ282" s="840"/>
      <c r="IR282" s="840"/>
      <c r="IS282" s="840"/>
      <c r="IT282" s="840"/>
      <c r="IU282" s="841"/>
      <c r="IV282" s="841"/>
      <c r="IW282" s="840"/>
      <c r="IX282" s="840"/>
      <c r="IY282" s="841"/>
      <c r="IZ282" s="841"/>
      <c r="JA282" s="840"/>
      <c r="JB282" s="840"/>
      <c r="JC282" s="841"/>
      <c r="JD282" s="840"/>
      <c r="JE282" s="840"/>
      <c r="JF282" s="840"/>
      <c r="JG282" s="840"/>
      <c r="JH282" s="840"/>
      <c r="JI282" s="840"/>
      <c r="JJ282" s="840"/>
      <c r="JK282" s="840"/>
      <c r="JL282" s="840"/>
      <c r="JM282" s="840"/>
      <c r="JN282" s="840"/>
      <c r="JO282" s="619"/>
      <c r="JP282" s="840"/>
      <c r="JQ282" s="843"/>
      <c r="JR282" s="843"/>
      <c r="JS282" s="840"/>
    </row>
    <row r="283" spans="30:284">
      <c r="AE283" s="840"/>
      <c r="AF283" s="840"/>
      <c r="AG283" s="840"/>
      <c r="AH283" s="840"/>
      <c r="AI283" s="840"/>
      <c r="AJ283" s="841"/>
      <c r="AK283" s="841"/>
      <c r="AL283" s="840"/>
      <c r="AM283" s="840"/>
      <c r="AN283" s="841"/>
      <c r="AO283" s="841"/>
      <c r="AP283" s="840"/>
      <c r="AQ283" s="840"/>
      <c r="AR283" s="840"/>
      <c r="AS283" s="840"/>
      <c r="AT283" s="840"/>
      <c r="AU283" s="840"/>
      <c r="AV283" s="841"/>
      <c r="AW283" s="841"/>
      <c r="AX283" s="840"/>
      <c r="AY283" s="840"/>
      <c r="AZ283" s="841"/>
      <c r="BA283" s="841"/>
      <c r="BB283" s="841"/>
      <c r="BC283" s="840"/>
      <c r="BD283" s="840"/>
      <c r="BE283" s="840"/>
      <c r="BF283" s="840"/>
      <c r="BG283" s="840"/>
      <c r="BH283" s="840"/>
      <c r="BI283" s="840"/>
      <c r="BJ283" s="840"/>
      <c r="BK283" s="840"/>
      <c r="BL283" s="840"/>
      <c r="BM283" s="840"/>
      <c r="BN283" s="840"/>
      <c r="BO283" s="840"/>
      <c r="BP283" s="840"/>
      <c r="BQ283" s="840"/>
      <c r="BR283" s="840"/>
      <c r="BS283" s="840"/>
      <c r="BT283" s="840"/>
      <c r="BU283" s="840"/>
      <c r="BV283" s="840"/>
      <c r="BW283" s="840"/>
      <c r="BX283" s="841"/>
      <c r="BY283" s="841"/>
      <c r="BZ283" s="841"/>
      <c r="CA283" s="841"/>
      <c r="CB283" s="840"/>
      <c r="CC283" s="840"/>
      <c r="CD283" s="840"/>
      <c r="CE283" s="840"/>
      <c r="CF283" s="840"/>
      <c r="CG283" s="840"/>
      <c r="CH283" s="840"/>
      <c r="CI283" s="840"/>
      <c r="CJ283" s="841"/>
      <c r="CK283" s="841"/>
      <c r="CL283" s="840"/>
      <c r="CM283" s="840"/>
      <c r="CN283" s="840"/>
      <c r="CO283" s="840"/>
      <c r="CP283" s="840"/>
      <c r="CQ283" s="840"/>
      <c r="CR283" s="841"/>
      <c r="CS283" s="841"/>
      <c r="CT283" s="840"/>
      <c r="CU283" s="840"/>
      <c r="CV283" s="841"/>
      <c r="CW283" s="841"/>
      <c r="CX283" s="840"/>
      <c r="CY283" s="840"/>
      <c r="CZ283" s="841"/>
      <c r="DA283" s="841"/>
      <c r="DB283" s="840"/>
      <c r="DC283" s="840"/>
      <c r="DD283" s="841"/>
      <c r="DE283" s="841"/>
      <c r="DF283" s="840"/>
      <c r="DG283" s="840"/>
      <c r="DH283" s="840"/>
      <c r="DI283" s="840"/>
      <c r="DJ283" s="840"/>
      <c r="DK283" s="840"/>
      <c r="DL283" s="841"/>
      <c r="DM283" s="841"/>
      <c r="DN283" s="840"/>
      <c r="DO283" s="840"/>
      <c r="DP283" s="841"/>
      <c r="DQ283" s="841"/>
      <c r="DR283" s="840"/>
      <c r="DS283" s="840"/>
      <c r="DT283" s="840"/>
      <c r="DU283" s="840"/>
      <c r="DV283" s="840"/>
      <c r="DW283" s="840"/>
      <c r="DX283" s="840"/>
      <c r="DY283" s="840"/>
      <c r="DZ283" s="840"/>
      <c r="EA283" s="840"/>
      <c r="EB283" s="840"/>
      <c r="EC283" s="840"/>
      <c r="ED283" s="840"/>
      <c r="EE283" s="840"/>
      <c r="EF283" s="841"/>
      <c r="EG283" s="841"/>
      <c r="EH283" s="840"/>
      <c r="EI283" s="840"/>
      <c r="EJ283" s="840"/>
      <c r="EK283" s="840"/>
      <c r="EL283" s="840"/>
      <c r="EM283" s="840"/>
      <c r="EN283" s="840"/>
      <c r="EO283" s="840"/>
      <c r="EP283" s="840"/>
      <c r="EQ283" s="840"/>
      <c r="ER283" s="840"/>
      <c r="ES283" s="840"/>
      <c r="ET283" s="840"/>
      <c r="EU283" s="840"/>
      <c r="EV283" s="841"/>
      <c r="EW283" s="841"/>
      <c r="EX283" s="840"/>
      <c r="EY283" s="840"/>
      <c r="EZ283" s="840"/>
      <c r="FA283" s="840"/>
      <c r="FB283" s="840"/>
      <c r="FC283" s="840"/>
      <c r="FD283" s="840"/>
      <c r="FE283" s="840"/>
      <c r="FF283" s="840"/>
      <c r="FG283" s="840"/>
      <c r="FH283" s="840"/>
      <c r="FI283" s="840"/>
      <c r="FJ283" s="840"/>
      <c r="FK283" s="840"/>
      <c r="FL283" s="840"/>
      <c r="FM283" s="840"/>
      <c r="FN283" s="840"/>
      <c r="FO283" s="840"/>
      <c r="FP283" s="840"/>
      <c r="FQ283" s="840"/>
      <c r="FR283" s="840"/>
      <c r="FS283" s="840"/>
      <c r="FT283" s="840"/>
      <c r="FU283" s="840"/>
      <c r="FV283" s="840"/>
      <c r="FW283" s="840"/>
      <c r="FX283" s="840"/>
      <c r="FY283" s="840"/>
      <c r="FZ283" s="841"/>
      <c r="GA283" s="840"/>
      <c r="GB283" s="840"/>
      <c r="GC283" s="840"/>
      <c r="GD283" s="840"/>
      <c r="GE283" s="840"/>
      <c r="GF283" s="841"/>
      <c r="GG283" s="841"/>
      <c r="GH283" s="840"/>
      <c r="GI283" s="840"/>
      <c r="GJ283" s="840"/>
      <c r="GK283" s="840"/>
      <c r="GL283" s="840"/>
      <c r="GM283" s="840"/>
      <c r="GN283" s="840"/>
      <c r="GO283" s="840"/>
      <c r="GP283" s="840"/>
      <c r="GQ283" s="840"/>
      <c r="GR283" s="840"/>
      <c r="GS283" s="840"/>
      <c r="GT283" s="841"/>
      <c r="GU283" s="840"/>
      <c r="GV283" s="840"/>
      <c r="GW283" s="840"/>
      <c r="GX283" s="840"/>
      <c r="GY283" s="840"/>
      <c r="GZ283" s="840"/>
      <c r="HA283" s="840"/>
      <c r="HB283" s="841"/>
      <c r="HC283" s="841"/>
      <c r="HD283" s="840"/>
      <c r="HE283" s="840"/>
      <c r="HF283" s="840"/>
      <c r="HG283" s="840"/>
      <c r="HH283" s="840"/>
      <c r="HI283" s="840"/>
      <c r="HJ283" s="841"/>
      <c r="HK283" s="841"/>
      <c r="HL283" s="841"/>
      <c r="HM283" s="840"/>
      <c r="HN283" s="840"/>
      <c r="HO283" s="841"/>
      <c r="HP283" s="841"/>
      <c r="HQ283" s="840"/>
      <c r="HR283" s="840"/>
      <c r="HS283" s="840"/>
      <c r="HT283" s="840"/>
      <c r="HU283" s="840"/>
      <c r="HV283" s="840"/>
      <c r="HW283" s="841"/>
      <c r="HX283" s="841"/>
      <c r="HY283" s="840"/>
      <c r="HZ283" s="840"/>
      <c r="IA283" s="840"/>
      <c r="IB283" s="840"/>
      <c r="IC283" s="840"/>
      <c r="ID283" s="840"/>
      <c r="IE283" s="841"/>
      <c r="IF283" s="841"/>
      <c r="IG283" s="840"/>
      <c r="IH283" s="840"/>
      <c r="II283" s="841"/>
      <c r="IJ283" s="841"/>
      <c r="IK283" s="840"/>
      <c r="IL283" s="840"/>
      <c r="IM283" s="841"/>
      <c r="IN283" s="841"/>
      <c r="IO283" s="840"/>
      <c r="IP283" s="840"/>
      <c r="IQ283" s="840"/>
      <c r="IR283" s="840"/>
      <c r="IS283" s="840"/>
      <c r="IT283" s="840"/>
      <c r="IU283" s="841"/>
      <c r="IV283" s="841"/>
      <c r="IW283" s="840"/>
      <c r="IX283" s="840"/>
      <c r="IY283" s="841"/>
      <c r="IZ283" s="841"/>
      <c r="JA283" s="840"/>
      <c r="JB283" s="840"/>
      <c r="JC283" s="841"/>
      <c r="JD283" s="840"/>
      <c r="JE283" s="840"/>
      <c r="JF283" s="840"/>
      <c r="JG283" s="840"/>
      <c r="JH283" s="840"/>
      <c r="JI283" s="840"/>
      <c r="JJ283" s="840"/>
      <c r="JK283" s="840"/>
      <c r="JL283" s="840"/>
      <c r="JM283" s="840"/>
      <c r="JN283" s="840"/>
      <c r="JO283" s="619"/>
      <c r="JP283" s="840"/>
      <c r="JQ283" s="843"/>
      <c r="JR283" s="843"/>
      <c r="JS283" s="840"/>
    </row>
  </sheetData>
  <autoFilter ref="A7:JZ40">
    <filterColumn colId="2" showButton="0"/>
  </autoFilter>
  <mergeCells count="146">
    <mergeCell ref="IY5:IY6"/>
    <mergeCell ref="IQ5:IQ6"/>
    <mergeCell ref="EB3:EE3"/>
    <mergeCell ref="EB5:EB6"/>
    <mergeCell ref="BS3:BW3"/>
    <mergeCell ref="BS5:BS6"/>
    <mergeCell ref="BT5:BT6"/>
    <mergeCell ref="GQ5:GQ6"/>
    <mergeCell ref="GR5:GR6"/>
    <mergeCell ref="GS5:GS6"/>
    <mergeCell ref="GQ3:GV3"/>
    <mergeCell ref="DH5:DH6"/>
    <mergeCell ref="DH3:DK3"/>
    <mergeCell ref="FP5:FP6"/>
    <mergeCell ref="FT3:FW3"/>
    <mergeCell ref="EF5:EF6"/>
    <mergeCell ref="EV5:EV6"/>
    <mergeCell ref="FY5:FY6"/>
    <mergeCell ref="GM5:GM6"/>
    <mergeCell ref="GW3:HA3"/>
    <mergeCell ref="GW5:GW6"/>
    <mergeCell ref="IU5:IU6"/>
    <mergeCell ref="HJ3:HN3"/>
    <mergeCell ref="HB3:HE3"/>
    <mergeCell ref="HS5:HS6"/>
    <mergeCell ref="IA3:ID3"/>
    <mergeCell ref="AF3:AI3"/>
    <mergeCell ref="AF5:AF6"/>
    <mergeCell ref="T4:T5"/>
    <mergeCell ref="U4:U5"/>
    <mergeCell ref="W4:W5"/>
    <mergeCell ref="X4:X5"/>
    <mergeCell ref="Y4:Y5"/>
    <mergeCell ref="Z4:Z5"/>
    <mergeCell ref="BN3:BR3"/>
    <mergeCell ref="CD3:CI3"/>
    <mergeCell ref="DP3:DS3"/>
    <mergeCell ref="EF3:EI3"/>
    <mergeCell ref="HK5:HK6"/>
    <mergeCell ref="HJ5:HJ6"/>
    <mergeCell ref="DT3:DW3"/>
    <mergeCell ref="DX3:EA3"/>
    <mergeCell ref="ER3:EU3"/>
    <mergeCell ref="EZ3:FC3"/>
    <mergeCell ref="FX3:GB3"/>
    <mergeCell ref="FD3:FG3"/>
    <mergeCell ref="FH3:FK3"/>
    <mergeCell ref="FL3:FO3"/>
    <mergeCell ref="T3:W3"/>
    <mergeCell ref="F3:S3"/>
    <mergeCell ref="IQ3:IT3"/>
    <mergeCell ref="IU3:IX3"/>
    <mergeCell ref="HO3:HR3"/>
    <mergeCell ref="HW3:HZ3"/>
    <mergeCell ref="IE3:IH3"/>
    <mergeCell ref="II3:IL3"/>
    <mergeCell ref="IM3:IP3"/>
    <mergeCell ref="HS3:HV3"/>
    <mergeCell ref="HF3:HI3"/>
    <mergeCell ref="BX3:CC3"/>
    <mergeCell ref="CZ3:DC3"/>
    <mergeCell ref="DD3:DG3"/>
    <mergeCell ref="FP3:FS3"/>
    <mergeCell ref="DL3:DO3"/>
    <mergeCell ref="CN3:CQ3"/>
    <mergeCell ref="BJ3:BM3"/>
    <mergeCell ref="BE3:BI3"/>
    <mergeCell ref="X3:AA3"/>
    <mergeCell ref="AB3:AE3"/>
    <mergeCell ref="AJ3:AM3"/>
    <mergeCell ref="AN3:AQ3"/>
    <mergeCell ref="H4:H5"/>
    <mergeCell ref="J4:J5"/>
    <mergeCell ref="N4:N5"/>
    <mergeCell ref="F4:F5"/>
    <mergeCell ref="G4:G5"/>
    <mergeCell ref="IY3:JB3"/>
    <mergeCell ref="DD5:DD6"/>
    <mergeCell ref="DL5:DL6"/>
    <mergeCell ref="DP5:DP6"/>
    <mergeCell ref="CF5:CF6"/>
    <mergeCell ref="BN5:BN6"/>
    <mergeCell ref="BO5:BO6"/>
    <mergeCell ref="AR5:AR6"/>
    <mergeCell ref="BY5:BY6"/>
    <mergeCell ref="BX5:BX6"/>
    <mergeCell ref="BX4:BY4"/>
    <mergeCell ref="R4:R5"/>
    <mergeCell ref="S4:S5"/>
    <mergeCell ref="BE5:BE6"/>
    <mergeCell ref="BF5:BF6"/>
    <mergeCell ref="V4:V5"/>
    <mergeCell ref="AA4:AA5"/>
    <mergeCell ref="CD4:CE4"/>
    <mergeCell ref="BZ5:BZ6"/>
    <mergeCell ref="HO5:HO6"/>
    <mergeCell ref="CR5:CR6"/>
    <mergeCell ref="HB5:HB6"/>
    <mergeCell ref="I4:I5"/>
    <mergeCell ref="K4:K5"/>
    <mergeCell ref="L4:L5"/>
    <mergeCell ref="M4:M5"/>
    <mergeCell ref="DT5:DT6"/>
    <mergeCell ref="ER5:ER6"/>
    <mergeCell ref="EZ5:EZ6"/>
    <mergeCell ref="FX5:FX6"/>
    <mergeCell ref="FD5:FD6"/>
    <mergeCell ref="FH5:FH6"/>
    <mergeCell ref="FL5:FL6"/>
    <mergeCell ref="O4:O5"/>
    <mergeCell ref="P4:P5"/>
    <mergeCell ref="Q4:Q5"/>
    <mergeCell ref="CD5:CD6"/>
    <mergeCell ref="CE5:CE6"/>
    <mergeCell ref="HF5:HF6"/>
    <mergeCell ref="GX5:GX6"/>
    <mergeCell ref="GF5:GF6"/>
    <mergeCell ref="BA5:BA6"/>
    <mergeCell ref="AB5:AB6"/>
    <mergeCell ref="AJ5:AJ6"/>
    <mergeCell ref="AN5:AN6"/>
    <mergeCell ref="AR3:AU3"/>
    <mergeCell ref="AV3:AY3"/>
    <mergeCell ref="AZ3:BD3"/>
    <mergeCell ref="AZ5:AZ6"/>
    <mergeCell ref="FT5:FT6"/>
    <mergeCell ref="CV5:CV6"/>
    <mergeCell ref="CZ5:CZ6"/>
    <mergeCell ref="CJ3:CM3"/>
    <mergeCell ref="CR3:CU3"/>
    <mergeCell ref="DX5:DX6"/>
    <mergeCell ref="EJ3:EM3"/>
    <mergeCell ref="EJ5:EJ6"/>
    <mergeCell ref="EN3:EQ3"/>
    <mergeCell ref="EN5:EN6"/>
    <mergeCell ref="EV3:EY3"/>
    <mergeCell ref="CV3:CY3"/>
    <mergeCell ref="GC4:GF4"/>
    <mergeCell ref="GC5:GC6"/>
    <mergeCell ref="GD5:GD6"/>
    <mergeCell ref="GE5:GE6"/>
    <mergeCell ref="GC3:GI3"/>
    <mergeCell ref="GJ3:GP3"/>
    <mergeCell ref="GJ5:GJ6"/>
    <mergeCell ref="GK5:GK6"/>
    <mergeCell ref="GL5:GL6"/>
  </mergeCells>
  <pageMargins left="0.70866141732283472" right="0.70866141732283472" top="0.55118110236220474" bottom="0.35433070866141736" header="0.31496062992125984" footer="0.31496062992125984"/>
  <pageSetup paperSize="8" scale="10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tabColor theme="5" tint="0.59999389629810485"/>
    <pageSetUpPr fitToPage="1"/>
  </sheetPr>
  <dimension ref="A1:IN283"/>
  <sheetViews>
    <sheetView tabSelected="1" zoomScale="85" zoomScaleNormal="85" workbookViewId="0">
      <selection activeCell="C20" sqref="C20"/>
    </sheetView>
  </sheetViews>
  <sheetFormatPr defaultRowHeight="12"/>
  <cols>
    <col min="1" max="2" width="9.140625" style="610"/>
    <col min="3" max="3" width="52.140625" style="610" customWidth="1"/>
    <col min="4" max="6" width="9.85546875" style="610" hidden="1" customWidth="1"/>
    <col min="7" max="7" width="5.85546875" style="610" hidden="1" customWidth="1"/>
    <col min="8" max="8" width="11.85546875" style="610" hidden="1" customWidth="1"/>
    <col min="9" max="9" width="6" style="610" hidden="1" customWidth="1"/>
    <col min="10" max="10" width="12.42578125" style="610" hidden="1" customWidth="1"/>
    <col min="11" max="11" width="6.28515625" style="610" hidden="1" customWidth="1"/>
    <col min="12" max="12" width="10.5703125" style="610" hidden="1" customWidth="1"/>
    <col min="13" max="13" width="6.85546875" style="610" hidden="1" customWidth="1"/>
    <col min="14" max="14" width="11.140625" style="610" hidden="1" customWidth="1"/>
    <col min="15" max="15" width="6.42578125" style="610" hidden="1" customWidth="1"/>
    <col min="16" max="16" width="14" style="610" hidden="1" customWidth="1"/>
    <col min="17" max="19" width="7.7109375" style="610" hidden="1" customWidth="1"/>
    <col min="20" max="20" width="11.42578125" style="610" hidden="1" customWidth="1"/>
    <col min="21" max="22" width="10.85546875" style="610" hidden="1" customWidth="1"/>
    <col min="23" max="23" width="8.85546875" style="610" hidden="1" customWidth="1"/>
    <col min="24" max="25" width="7.28515625" style="610" customWidth="1"/>
    <col min="26" max="26" width="8.42578125" style="611" customWidth="1"/>
    <col min="27" max="31" width="9.140625" style="611" customWidth="1"/>
    <col min="32" max="33" width="7.140625" style="610" customWidth="1"/>
    <col min="34" max="34" width="8.28515625" style="611" customWidth="1"/>
    <col min="35" max="35" width="9.28515625" style="611" customWidth="1"/>
    <col min="36" max="37" width="6.7109375" style="610" customWidth="1"/>
    <col min="38" max="38" width="8.28515625" style="611" customWidth="1"/>
    <col min="39" max="43" width="10.5703125" style="611" customWidth="1"/>
    <col min="44" max="45" width="8.140625" style="610" customWidth="1"/>
    <col min="46" max="46" width="9" style="611" customWidth="1"/>
    <col min="47" max="47" width="19.7109375" style="611" customWidth="1"/>
    <col min="48" max="48" width="11.140625" style="610" customWidth="1"/>
    <col min="49" max="50" width="7.85546875" style="610" customWidth="1"/>
    <col min="51" max="52" width="8.85546875" style="611" customWidth="1"/>
    <col min="53" max="53" width="10.42578125" style="611" customWidth="1"/>
    <col min="54" max="56" width="8.85546875" style="611" customWidth="1"/>
    <col min="57" max="57" width="19" style="611" customWidth="1"/>
    <col min="58" max="58" width="10.28515625" style="611" customWidth="1"/>
    <col min="59" max="60" width="8.85546875" style="611" customWidth="1"/>
    <col min="61" max="61" width="18.140625" style="611" customWidth="1"/>
    <col min="62" max="70" width="10.42578125" style="611" customWidth="1"/>
    <col min="71" max="71" width="15.7109375" style="611" customWidth="1"/>
    <col min="72" max="73" width="10.140625" style="610" customWidth="1"/>
    <col min="74" max="74" width="7" style="610" customWidth="1"/>
    <col min="75" max="75" width="7.7109375" style="610" customWidth="1"/>
    <col min="76" max="76" width="9" style="611" customWidth="1"/>
    <col min="77" max="78" width="8.7109375" style="611" customWidth="1"/>
    <col min="79" max="79" width="9.5703125" style="611" customWidth="1"/>
    <col min="80" max="83" width="8.7109375" style="611" customWidth="1"/>
    <col min="84" max="84" width="28.140625" style="611" customWidth="1"/>
    <col min="85" max="87" width="10.7109375" style="611" customWidth="1"/>
    <col min="88" max="89" width="9.5703125" style="610" customWidth="1"/>
    <col min="90" max="90" width="9.5703125" style="611" customWidth="1"/>
    <col min="91" max="91" width="10.42578125" style="611" customWidth="1"/>
    <col min="92" max="92" width="10.28515625" style="610" customWidth="1"/>
    <col min="93" max="93" width="10" style="610" customWidth="1"/>
    <col min="94" max="94" width="10" style="611" customWidth="1"/>
    <col min="95" max="95" width="16.140625" style="611" customWidth="1"/>
    <col min="96" max="96" width="12.42578125" style="610" customWidth="1"/>
    <col min="97" max="97" width="8.85546875" style="610" customWidth="1"/>
    <col min="98" max="98" width="8.85546875" style="611" customWidth="1"/>
    <col min="99" max="99" width="16.42578125" style="611" customWidth="1"/>
    <col min="100" max="100" width="10.28515625" style="610" customWidth="1"/>
    <col min="101" max="101" width="9.42578125" style="610" customWidth="1"/>
    <col min="102" max="103" width="9.42578125" style="611" customWidth="1"/>
    <col min="104" max="115" width="8.5703125" style="611" customWidth="1"/>
    <col min="116" max="117" width="6.5703125" style="610" customWidth="1"/>
    <col min="118" max="118" width="8.42578125" style="611" customWidth="1"/>
    <col min="119" max="119" width="8.140625" style="611" customWidth="1"/>
    <col min="120" max="120" width="6.42578125" style="611" customWidth="1"/>
    <col min="121" max="121" width="6.5703125" style="611" customWidth="1"/>
    <col min="122" max="122" width="8.85546875" style="611" customWidth="1"/>
    <col min="123" max="123" width="9.5703125" style="611" customWidth="1"/>
    <col min="124" max="124" width="7.140625" style="611" customWidth="1"/>
    <col min="125" max="125" width="8" style="611" customWidth="1"/>
    <col min="126" max="131" width="9.5703125" style="611" customWidth="1"/>
    <col min="132" max="133" width="6.85546875" style="610" customWidth="1"/>
    <col min="134" max="134" width="8.5703125" style="611" customWidth="1"/>
    <col min="135" max="155" width="9.140625" style="611" customWidth="1"/>
    <col min="156" max="156" width="11.28515625" style="611" customWidth="1"/>
    <col min="157" max="157" width="7.7109375" style="611" customWidth="1"/>
    <col min="158" max="158" width="6.85546875" style="610" customWidth="1"/>
    <col min="159" max="159" width="9" style="611" customWidth="1"/>
    <col min="160" max="161" width="8.5703125" style="611" customWidth="1"/>
    <col min="162" max="162" width="9.5703125" style="611" customWidth="1"/>
    <col min="163" max="163" width="8.5703125" style="611" customWidth="1"/>
    <col min="164" max="164" width="29.5703125" style="610" customWidth="1"/>
    <col min="165" max="165" width="6.7109375" style="610" customWidth="1"/>
    <col min="166" max="166" width="8.42578125" style="611" customWidth="1"/>
    <col min="167" max="168" width="8.85546875" style="611" customWidth="1"/>
    <col min="169" max="169" width="10.42578125" style="611" customWidth="1"/>
    <col min="170" max="170" width="8.85546875" style="611" customWidth="1"/>
    <col min="171" max="171" width="36.42578125" style="611" customWidth="1"/>
    <col min="172" max="174" width="8.85546875" style="611" customWidth="1"/>
    <col min="175" max="175" width="11" style="611" customWidth="1"/>
    <col min="176" max="179" width="9" style="611" customWidth="1"/>
    <col min="180" max="180" width="8" style="610" customWidth="1"/>
    <col min="181" max="181" width="6.85546875" style="610" customWidth="1"/>
    <col min="182" max="182" width="8.42578125" style="611" customWidth="1"/>
    <col min="183" max="183" width="8.7109375" style="611" customWidth="1"/>
    <col min="184" max="185" width="10" style="610" customWidth="1"/>
    <col min="186" max="186" width="7.7109375" style="610" customWidth="1"/>
    <col min="187" max="188" width="9" style="611" customWidth="1"/>
    <col min="189" max="189" width="6.85546875" style="610" customWidth="1"/>
    <col min="190" max="190" width="8.5703125" style="610" customWidth="1"/>
    <col min="191" max="191" width="8.5703125" style="611" customWidth="1"/>
    <col min="192" max="192" width="8.7109375" style="611" customWidth="1"/>
    <col min="193" max="193" width="12" style="610" customWidth="1"/>
    <col min="194" max="194" width="6.7109375" style="610" customWidth="1"/>
    <col min="195" max="195" width="8.28515625" style="611" customWidth="1"/>
    <col min="196" max="196" width="10.7109375" style="611" customWidth="1"/>
    <col min="197" max="197" width="11.7109375" style="611" customWidth="1"/>
    <col min="198" max="199" width="8.7109375" style="611" customWidth="1"/>
    <col min="200" max="200" width="10" style="611" customWidth="1"/>
    <col min="201" max="201" width="14" style="610" customWidth="1"/>
    <col min="202" max="202" width="9.28515625" style="610" customWidth="1"/>
    <col min="203" max="203" width="9.5703125" style="611" customWidth="1"/>
    <col min="204" max="204" width="10.42578125" style="611" customWidth="1"/>
    <col min="205" max="205" width="13.42578125" style="610" customWidth="1"/>
    <col min="206" max="206" width="6.7109375" style="610" customWidth="1"/>
    <col min="207" max="207" width="9" style="611" customWidth="1"/>
    <col min="208" max="208" width="10.42578125" style="611" customWidth="1"/>
    <col min="209" max="209" width="13.5703125" style="610" customWidth="1"/>
    <col min="210" max="210" width="7" style="610" customWidth="1"/>
    <col min="211" max="211" width="8.85546875" style="611" customWidth="1"/>
    <col min="212" max="216" width="9.28515625" style="611" customWidth="1"/>
    <col min="217" max="217" width="8.7109375" style="610" customWidth="1"/>
    <col min="218" max="218" width="7.140625" style="610" customWidth="1"/>
    <col min="219" max="220" width="9.140625" style="611" customWidth="1"/>
    <col min="221" max="222" width="9.140625" style="610" customWidth="1"/>
    <col min="223" max="224" width="9.140625" style="611" customWidth="1"/>
    <col min="225" max="225" width="4.140625" style="610" customWidth="1"/>
    <col min="226" max="226" width="20.7109375" style="611" customWidth="1"/>
    <col min="227" max="228" width="24.28515625" style="611" bestFit="1" customWidth="1"/>
    <col min="229" max="229" width="18.7109375" style="611" customWidth="1"/>
    <col min="230" max="230" width="17.140625" style="611" bestFit="1" customWidth="1"/>
    <col min="231" max="231" width="15.140625" style="611" bestFit="1" customWidth="1"/>
    <col min="232" max="232" width="18" style="611" bestFit="1" customWidth="1"/>
    <col min="233" max="233" width="18.85546875" style="611" bestFit="1" customWidth="1"/>
    <col min="234" max="235" width="16.7109375" style="611" bestFit="1" customWidth="1"/>
    <col min="236" max="236" width="11.42578125" style="611" bestFit="1" customWidth="1"/>
    <col min="237" max="237" width="18.85546875" style="844" bestFit="1" customWidth="1"/>
    <col min="238" max="238" width="10.5703125" style="611" bestFit="1" customWidth="1"/>
    <col min="239" max="239" width="9.140625" style="621" customWidth="1"/>
    <col min="240" max="240" width="10.42578125" style="621" bestFit="1" customWidth="1"/>
    <col min="241" max="241" width="17.28515625" style="611" bestFit="1" customWidth="1"/>
    <col min="242" max="242" width="3.28515625" style="610" customWidth="1"/>
    <col min="243" max="243" width="15.28515625" style="615" hidden="1" customWidth="1"/>
    <col min="244" max="244" width="16.28515625" style="615" hidden="1" customWidth="1"/>
    <col min="245" max="245" width="12.85546875" style="616" hidden="1" customWidth="1"/>
    <col min="246" max="246" width="13.140625" style="615" hidden="1" customWidth="1"/>
    <col min="247" max="247" width="2.7109375" style="610" hidden="1" customWidth="1"/>
    <col min="248" max="248" width="0" style="610" hidden="1" customWidth="1"/>
    <col min="249" max="16384" width="9.140625" style="610"/>
  </cols>
  <sheetData>
    <row r="1" spans="1:246">
      <c r="HS1" s="612"/>
      <c r="HT1" s="612"/>
      <c r="IC1" s="853">
        <f>'Таблиця цін схема №1'!JO1</f>
        <v>7.0000000000000007E-2</v>
      </c>
      <c r="ID1" s="854">
        <f>'Таблиця цін схема №1'!JP1</f>
        <v>0.1</v>
      </c>
      <c r="IE1" s="614">
        <f>'Таблиця цін схема №1'!JQ1</f>
        <v>1.0147029780510892</v>
      </c>
      <c r="IF1" s="614"/>
    </row>
    <row r="2" spans="1:246" ht="12.75" thickBot="1"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8"/>
      <c r="DA2" s="618"/>
      <c r="DB2" s="618"/>
      <c r="DC2" s="618"/>
      <c r="DD2" s="618"/>
      <c r="DE2" s="618"/>
      <c r="DF2" s="618"/>
      <c r="DG2" s="618"/>
      <c r="DH2" s="618"/>
      <c r="DI2" s="618"/>
      <c r="DJ2" s="618"/>
      <c r="DK2" s="618"/>
      <c r="DL2" s="617"/>
      <c r="DM2" s="617"/>
      <c r="DN2" s="618"/>
      <c r="DO2" s="618"/>
      <c r="DP2" s="618"/>
      <c r="DQ2" s="618"/>
      <c r="DR2" s="618"/>
      <c r="DS2" s="618"/>
      <c r="DT2" s="618"/>
      <c r="DU2" s="618"/>
      <c r="DV2" s="618"/>
      <c r="DW2" s="618"/>
      <c r="DX2" s="618"/>
      <c r="DY2" s="618"/>
      <c r="DZ2" s="618"/>
      <c r="EA2" s="618"/>
      <c r="EB2" s="617"/>
      <c r="EC2" s="617"/>
      <c r="ED2" s="618"/>
      <c r="EE2" s="618"/>
      <c r="EF2" s="618"/>
      <c r="EG2" s="618"/>
      <c r="EH2" s="618"/>
      <c r="EI2" s="618"/>
      <c r="EJ2" s="618"/>
      <c r="EK2" s="618"/>
      <c r="EL2" s="618"/>
      <c r="EM2" s="618"/>
      <c r="EN2" s="618"/>
      <c r="EO2" s="618"/>
      <c r="EP2" s="618"/>
      <c r="EQ2" s="618"/>
      <c r="ER2" s="618"/>
      <c r="ES2" s="618"/>
      <c r="ET2" s="618"/>
      <c r="EU2" s="618"/>
      <c r="EV2" s="618"/>
      <c r="EW2" s="618"/>
      <c r="EX2" s="618"/>
      <c r="EY2" s="618"/>
      <c r="EZ2" s="618"/>
      <c r="FA2" s="618"/>
      <c r="FB2" s="617"/>
      <c r="FC2" s="618"/>
      <c r="FD2" s="618"/>
      <c r="FE2" s="618"/>
      <c r="FF2" s="618"/>
      <c r="FG2" s="618"/>
      <c r="FH2" s="617"/>
      <c r="FI2" s="617"/>
      <c r="FJ2" s="618"/>
      <c r="FK2" s="618"/>
      <c r="FL2" s="618"/>
      <c r="FM2" s="618"/>
      <c r="FN2" s="618"/>
      <c r="FO2" s="618"/>
      <c r="FP2" s="618"/>
      <c r="FQ2" s="618"/>
      <c r="FR2" s="618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U2" s="611" t="s">
        <v>664</v>
      </c>
      <c r="IC2" s="619"/>
      <c r="ID2" s="620">
        <f>ID1</f>
        <v>0.1</v>
      </c>
    </row>
    <row r="3" spans="1:246" ht="53.25" customHeight="1" thickBot="1">
      <c r="B3" s="1062" t="s">
        <v>15</v>
      </c>
      <c r="C3" s="1061" t="s">
        <v>1003</v>
      </c>
      <c r="D3" s="855" t="s">
        <v>800</v>
      </c>
      <c r="E3" s="856" t="s">
        <v>801</v>
      </c>
      <c r="F3" s="1379" t="s">
        <v>808</v>
      </c>
      <c r="G3" s="1380"/>
      <c r="H3" s="1380"/>
      <c r="I3" s="1380"/>
      <c r="J3" s="1380"/>
      <c r="K3" s="1380"/>
      <c r="L3" s="1380"/>
      <c r="M3" s="1380"/>
      <c r="N3" s="1380"/>
      <c r="O3" s="1380"/>
      <c r="P3" s="1380"/>
      <c r="Q3" s="1380"/>
      <c r="R3" s="1380"/>
      <c r="S3" s="1381"/>
      <c r="T3" s="1379" t="s">
        <v>839</v>
      </c>
      <c r="U3" s="1380"/>
      <c r="V3" s="1380"/>
      <c r="W3" s="1381"/>
      <c r="X3" s="1347" t="s">
        <v>953</v>
      </c>
      <c r="Y3" s="1348"/>
      <c r="Z3" s="1348"/>
      <c r="AA3" s="1349"/>
      <c r="AB3" s="1419" t="s">
        <v>1126</v>
      </c>
      <c r="AC3" s="1420"/>
      <c r="AD3" s="1420"/>
      <c r="AE3" s="1421"/>
      <c r="AF3" s="1347" t="s">
        <v>952</v>
      </c>
      <c r="AG3" s="1348"/>
      <c r="AH3" s="1348"/>
      <c r="AI3" s="1349"/>
      <c r="AJ3" s="1347" t="s">
        <v>954</v>
      </c>
      <c r="AK3" s="1348"/>
      <c r="AL3" s="1348"/>
      <c r="AM3" s="1349"/>
      <c r="AN3" s="1347" t="s">
        <v>955</v>
      </c>
      <c r="AO3" s="1348"/>
      <c r="AP3" s="1348"/>
      <c r="AQ3" s="1349"/>
      <c r="AR3" s="1347" t="s">
        <v>1023</v>
      </c>
      <c r="AS3" s="1348"/>
      <c r="AT3" s="1348"/>
      <c r="AU3" s="1349"/>
      <c r="AV3" s="1347" t="s">
        <v>1022</v>
      </c>
      <c r="AW3" s="1348"/>
      <c r="AX3" s="1348"/>
      <c r="AY3" s="1348"/>
      <c r="AZ3" s="1349"/>
      <c r="BA3" s="1388" t="s">
        <v>1388</v>
      </c>
      <c r="BB3" s="1389"/>
      <c r="BC3" s="1389"/>
      <c r="BD3" s="1389"/>
      <c r="BE3" s="1390"/>
      <c r="BF3" s="1347" t="s">
        <v>1018</v>
      </c>
      <c r="BG3" s="1348"/>
      <c r="BH3" s="1348"/>
      <c r="BI3" s="1349"/>
      <c r="BJ3" s="1397" t="s">
        <v>956</v>
      </c>
      <c r="BK3" s="1398"/>
      <c r="BL3" s="1398"/>
      <c r="BM3" s="1398"/>
      <c r="BN3" s="1399"/>
      <c r="BO3" s="1405" t="s">
        <v>1020</v>
      </c>
      <c r="BP3" s="1406"/>
      <c r="BQ3" s="1406"/>
      <c r="BR3" s="1406"/>
      <c r="BS3" s="1407"/>
      <c r="BT3" s="1341" t="s">
        <v>1004</v>
      </c>
      <c r="BU3" s="1351"/>
      <c r="BV3" s="1351"/>
      <c r="BW3" s="1351"/>
      <c r="BX3" s="1351"/>
      <c r="BY3" s="1352"/>
      <c r="BZ3" s="1386" t="s">
        <v>957</v>
      </c>
      <c r="CA3" s="1367"/>
      <c r="CB3" s="1351"/>
      <c r="CC3" s="1351"/>
      <c r="CD3" s="1351"/>
      <c r="CE3" s="1352"/>
      <c r="CF3" s="1341" t="s">
        <v>959</v>
      </c>
      <c r="CG3" s="1351"/>
      <c r="CH3" s="1351"/>
      <c r="CI3" s="1352"/>
      <c r="CJ3" s="1347" t="s">
        <v>961</v>
      </c>
      <c r="CK3" s="1348"/>
      <c r="CL3" s="1348"/>
      <c r="CM3" s="1349"/>
      <c r="CN3" s="1347" t="s">
        <v>960</v>
      </c>
      <c r="CO3" s="1348"/>
      <c r="CP3" s="1348"/>
      <c r="CQ3" s="1349"/>
      <c r="CR3" s="1347" t="s">
        <v>960</v>
      </c>
      <c r="CS3" s="1348"/>
      <c r="CT3" s="1348"/>
      <c r="CU3" s="1349"/>
      <c r="CV3" s="1347" t="s">
        <v>961</v>
      </c>
      <c r="CW3" s="1348"/>
      <c r="CX3" s="1348"/>
      <c r="CY3" s="1349"/>
      <c r="CZ3" s="1387" t="s">
        <v>963</v>
      </c>
      <c r="DA3" s="1384"/>
      <c r="DB3" s="1384"/>
      <c r="DC3" s="1385"/>
      <c r="DD3" s="1347" t="s">
        <v>964</v>
      </c>
      <c r="DE3" s="1348"/>
      <c r="DF3" s="1348"/>
      <c r="DG3" s="1349"/>
      <c r="DH3" s="1347" t="s">
        <v>965</v>
      </c>
      <c r="DI3" s="1384"/>
      <c r="DJ3" s="1384"/>
      <c r="DK3" s="1385"/>
      <c r="DL3" s="1347" t="s">
        <v>966</v>
      </c>
      <c r="DM3" s="1348"/>
      <c r="DN3" s="1353"/>
      <c r="DO3" s="1354"/>
      <c r="DP3" s="1347" t="s">
        <v>966</v>
      </c>
      <c r="DQ3" s="1348"/>
      <c r="DR3" s="1353"/>
      <c r="DS3" s="1354"/>
      <c r="DT3" s="1387" t="s">
        <v>966</v>
      </c>
      <c r="DU3" s="1384"/>
      <c r="DV3" s="1384"/>
      <c r="DW3" s="1385"/>
      <c r="DX3" s="1347" t="s">
        <v>968</v>
      </c>
      <c r="DY3" s="1348"/>
      <c r="DZ3" s="1353"/>
      <c r="EA3" s="1354"/>
      <c r="EB3" s="1347" t="s">
        <v>968</v>
      </c>
      <c r="EC3" s="1348"/>
      <c r="ED3" s="1353"/>
      <c r="EE3" s="1354"/>
      <c r="EF3" s="1347" t="s">
        <v>968</v>
      </c>
      <c r="EG3" s="1348"/>
      <c r="EH3" s="1353"/>
      <c r="EI3" s="1354"/>
      <c r="EJ3" s="1387" t="s">
        <v>968</v>
      </c>
      <c r="EK3" s="1384"/>
      <c r="EL3" s="1384"/>
      <c r="EM3" s="1385"/>
      <c r="EN3" s="1387" t="s">
        <v>970</v>
      </c>
      <c r="EO3" s="1384"/>
      <c r="EP3" s="1384"/>
      <c r="EQ3" s="1385"/>
      <c r="ER3" s="1387" t="s">
        <v>970</v>
      </c>
      <c r="ES3" s="1384"/>
      <c r="ET3" s="1384"/>
      <c r="EU3" s="1385"/>
      <c r="EV3" s="1387" t="s">
        <v>970</v>
      </c>
      <c r="EW3" s="1384"/>
      <c r="EX3" s="1384"/>
      <c r="EY3" s="1385"/>
      <c r="EZ3" s="1386" t="s">
        <v>971</v>
      </c>
      <c r="FA3" s="1351"/>
      <c r="FB3" s="1351"/>
      <c r="FC3" s="1351"/>
      <c r="FD3" s="1352"/>
      <c r="FE3" s="1341" t="s">
        <v>972</v>
      </c>
      <c r="FF3" s="1342"/>
      <c r="FG3" s="1342"/>
      <c r="FH3" s="1342"/>
      <c r="FI3" s="1342"/>
      <c r="FJ3" s="1342"/>
      <c r="FK3" s="1343"/>
      <c r="FL3" s="1341" t="s">
        <v>973</v>
      </c>
      <c r="FM3" s="1342"/>
      <c r="FN3" s="1342"/>
      <c r="FO3" s="1342"/>
      <c r="FP3" s="1342"/>
      <c r="FQ3" s="1342"/>
      <c r="FR3" s="1343"/>
      <c r="FS3" s="1347" t="s">
        <v>975</v>
      </c>
      <c r="FT3" s="1348"/>
      <c r="FU3" s="1348"/>
      <c r="FV3" s="1348"/>
      <c r="FW3" s="1349"/>
      <c r="FX3" s="1341" t="s">
        <v>976</v>
      </c>
      <c r="FY3" s="1351"/>
      <c r="FZ3" s="1351"/>
      <c r="GA3" s="1352"/>
      <c r="GB3" s="1347" t="s">
        <v>978</v>
      </c>
      <c r="GC3" s="1348"/>
      <c r="GD3" s="1348"/>
      <c r="GE3" s="1348"/>
      <c r="GF3" s="1349"/>
      <c r="GG3" s="1347" t="s">
        <v>979</v>
      </c>
      <c r="GH3" s="1348"/>
      <c r="GI3" s="1348"/>
      <c r="GJ3" s="1349"/>
      <c r="GK3" s="1341" t="s">
        <v>1011</v>
      </c>
      <c r="GL3" s="1351"/>
      <c r="GM3" s="1351"/>
      <c r="GN3" s="1352"/>
      <c r="GO3" s="1341" t="s">
        <v>980</v>
      </c>
      <c r="GP3" s="1351"/>
      <c r="GQ3" s="1351"/>
      <c r="GR3" s="1352"/>
      <c r="GS3" s="1341" t="s">
        <v>981</v>
      </c>
      <c r="GT3" s="1351"/>
      <c r="GU3" s="1351"/>
      <c r="GV3" s="1352"/>
      <c r="GW3" s="1341" t="s">
        <v>982</v>
      </c>
      <c r="GX3" s="1351"/>
      <c r="GY3" s="1351"/>
      <c r="GZ3" s="1352"/>
      <c r="HA3" s="1347" t="s">
        <v>1012</v>
      </c>
      <c r="HB3" s="1348"/>
      <c r="HC3" s="1348"/>
      <c r="HD3" s="1349"/>
      <c r="HE3" s="1382" t="s">
        <v>1103</v>
      </c>
      <c r="HF3" s="1348"/>
      <c r="HG3" s="1348"/>
      <c r="HH3" s="1349"/>
      <c r="HI3" s="1386" t="s">
        <v>746</v>
      </c>
      <c r="HJ3" s="1351"/>
      <c r="HK3" s="1351"/>
      <c r="HL3" s="1351"/>
      <c r="HM3" s="1386" t="s">
        <v>745</v>
      </c>
      <c r="HN3" s="1351"/>
      <c r="HO3" s="1351"/>
      <c r="HP3" s="1352"/>
      <c r="HQ3" s="623" t="s">
        <v>15</v>
      </c>
      <c r="HR3" s="624" t="s">
        <v>385</v>
      </c>
      <c r="HS3" s="624" t="s">
        <v>374</v>
      </c>
      <c r="HT3" s="624" t="s">
        <v>374</v>
      </c>
      <c r="HU3" s="624" t="s">
        <v>374</v>
      </c>
      <c r="HV3" s="625" t="s">
        <v>1156</v>
      </c>
      <c r="HW3" s="624" t="s">
        <v>374</v>
      </c>
      <c r="HX3" s="624" t="s">
        <v>374</v>
      </c>
      <c r="HY3" s="626" t="s">
        <v>1149</v>
      </c>
      <c r="HZ3" s="627" t="s">
        <v>1150</v>
      </c>
      <c r="IA3" s="626" t="s">
        <v>1151</v>
      </c>
      <c r="IB3" s="624" t="s">
        <v>667</v>
      </c>
      <c r="IC3" s="628" t="s">
        <v>692</v>
      </c>
      <c r="ID3" s="629" t="s">
        <v>693</v>
      </c>
      <c r="IE3" s="630" t="s">
        <v>690</v>
      </c>
      <c r="IF3" s="631" t="s">
        <v>1148</v>
      </c>
      <c r="IG3" s="624" t="s">
        <v>385</v>
      </c>
      <c r="II3" s="632" t="s">
        <v>758</v>
      </c>
      <c r="IJ3" s="632" t="s">
        <v>756</v>
      </c>
      <c r="IK3" s="633" t="s">
        <v>757</v>
      </c>
      <c r="IL3" s="632"/>
    </row>
    <row r="4" spans="1:246" ht="13.5" customHeight="1">
      <c r="B4" s="1063"/>
      <c r="C4" s="1059"/>
      <c r="D4" s="634"/>
      <c r="E4" s="701"/>
      <c r="F4" s="1365" t="s">
        <v>804</v>
      </c>
      <c r="G4" s="1355" t="s">
        <v>22</v>
      </c>
      <c r="H4" s="1355" t="s">
        <v>805</v>
      </c>
      <c r="I4" s="1355" t="s">
        <v>22</v>
      </c>
      <c r="J4" s="1355" t="s">
        <v>802</v>
      </c>
      <c r="K4" s="1355" t="s">
        <v>22</v>
      </c>
      <c r="L4" s="1355" t="s">
        <v>806</v>
      </c>
      <c r="M4" s="1355" t="s">
        <v>22</v>
      </c>
      <c r="N4" s="1355" t="s">
        <v>803</v>
      </c>
      <c r="O4" s="1355" t="s">
        <v>22</v>
      </c>
      <c r="P4" s="1359" t="s">
        <v>807</v>
      </c>
      <c r="Q4" s="1356" t="s">
        <v>22</v>
      </c>
      <c r="R4" s="1356" t="s">
        <v>816</v>
      </c>
      <c r="S4" s="1371" t="s">
        <v>817</v>
      </c>
      <c r="T4" s="1394" t="s">
        <v>840</v>
      </c>
      <c r="U4" s="1395" t="s">
        <v>841</v>
      </c>
      <c r="V4" s="1356" t="s">
        <v>94</v>
      </c>
      <c r="W4" s="1396" t="s">
        <v>842</v>
      </c>
      <c r="X4" s="635">
        <v>1</v>
      </c>
      <c r="Y4" s="636"/>
      <c r="Z4" s="637" t="s">
        <v>374</v>
      </c>
      <c r="AA4" s="638" t="s">
        <v>10</v>
      </c>
      <c r="AB4" s="635">
        <v>3</v>
      </c>
      <c r="AC4" s="639"/>
      <c r="AD4" s="637" t="s">
        <v>374</v>
      </c>
      <c r="AE4" s="638" t="s">
        <v>10</v>
      </c>
      <c r="AF4" s="635">
        <v>2</v>
      </c>
      <c r="AG4" s="636"/>
      <c r="AH4" s="637" t="s">
        <v>374</v>
      </c>
      <c r="AI4" s="638" t="s">
        <v>10</v>
      </c>
      <c r="AJ4" s="640">
        <v>4</v>
      </c>
      <c r="AK4" s="636"/>
      <c r="AL4" s="637" t="s">
        <v>374</v>
      </c>
      <c r="AM4" s="638" t="s">
        <v>10</v>
      </c>
      <c r="AN4" s="857">
        <v>18</v>
      </c>
      <c r="AO4" s="636"/>
      <c r="AP4" s="637" t="s">
        <v>374</v>
      </c>
      <c r="AQ4" s="638" t="s">
        <v>10</v>
      </c>
      <c r="AR4" s="641" t="s">
        <v>68</v>
      </c>
      <c r="AS4" s="636"/>
      <c r="AT4" s="637" t="s">
        <v>374</v>
      </c>
      <c r="AU4" s="638" t="s">
        <v>10</v>
      </c>
      <c r="AV4" s="642" t="s">
        <v>85</v>
      </c>
      <c r="AW4" s="636"/>
      <c r="AX4" s="636"/>
      <c r="AY4" s="637" t="s">
        <v>374</v>
      </c>
      <c r="AZ4" s="638" t="s">
        <v>10</v>
      </c>
      <c r="BA4" s="643">
        <v>6</v>
      </c>
      <c r="BB4" s="644"/>
      <c r="BC4" s="644"/>
      <c r="BD4" s="645" t="s">
        <v>374</v>
      </c>
      <c r="BE4" s="644" t="s">
        <v>10</v>
      </c>
      <c r="BF4" s="641" t="s">
        <v>946</v>
      </c>
      <c r="BG4" s="639"/>
      <c r="BH4" s="637" t="s">
        <v>374</v>
      </c>
      <c r="BI4" s="638" t="s">
        <v>10</v>
      </c>
      <c r="BJ4" s="858" t="s">
        <v>947</v>
      </c>
      <c r="BK4" s="859"/>
      <c r="BL4" s="859"/>
      <c r="BM4" s="859" t="s">
        <v>374</v>
      </c>
      <c r="BN4" s="860" t="s">
        <v>10</v>
      </c>
      <c r="BO4" s="861" t="s">
        <v>948</v>
      </c>
      <c r="BP4" s="859"/>
      <c r="BQ4" s="859"/>
      <c r="BR4" s="859" t="s">
        <v>374</v>
      </c>
      <c r="BS4" s="860" t="s">
        <v>10</v>
      </c>
      <c r="BT4" s="1416" t="s">
        <v>871</v>
      </c>
      <c r="BU4" s="1378"/>
      <c r="BV4" s="862" t="s">
        <v>1007</v>
      </c>
      <c r="BW4" s="708"/>
      <c r="BX4" s="709" t="s">
        <v>374</v>
      </c>
      <c r="BY4" s="710" t="s">
        <v>10</v>
      </c>
      <c r="BZ4" s="1369" t="s">
        <v>949</v>
      </c>
      <c r="CA4" s="1370"/>
      <c r="CB4" s="863" t="s">
        <v>1009</v>
      </c>
      <c r="CC4" s="636"/>
      <c r="CD4" s="637" t="s">
        <v>374</v>
      </c>
      <c r="CE4" s="638" t="s">
        <v>10</v>
      </c>
      <c r="CF4" s="864">
        <v>32</v>
      </c>
      <c r="CG4" s="636"/>
      <c r="CH4" s="637" t="s">
        <v>374</v>
      </c>
      <c r="CI4" s="638" t="s">
        <v>10</v>
      </c>
      <c r="CJ4" s="640">
        <v>9</v>
      </c>
      <c r="CK4" s="636"/>
      <c r="CL4" s="637" t="s">
        <v>374</v>
      </c>
      <c r="CM4" s="638" t="s">
        <v>10</v>
      </c>
      <c r="CN4" s="640">
        <v>22</v>
      </c>
      <c r="CO4" s="636"/>
      <c r="CP4" s="637" t="s">
        <v>374</v>
      </c>
      <c r="CQ4" s="638" t="s">
        <v>10</v>
      </c>
      <c r="CR4" s="640">
        <v>23</v>
      </c>
      <c r="CS4" s="636"/>
      <c r="CT4" s="637" t="s">
        <v>374</v>
      </c>
      <c r="CU4" s="638" t="s">
        <v>10</v>
      </c>
      <c r="CV4" s="640">
        <v>10</v>
      </c>
      <c r="CW4" s="636"/>
      <c r="CX4" s="637" t="s">
        <v>374</v>
      </c>
      <c r="CY4" s="638" t="s">
        <v>10</v>
      </c>
      <c r="CZ4" s="640">
        <v>39</v>
      </c>
      <c r="DA4" s="636"/>
      <c r="DB4" s="637" t="s">
        <v>374</v>
      </c>
      <c r="DC4" s="638" t="s">
        <v>10</v>
      </c>
      <c r="DD4" s="640">
        <v>40</v>
      </c>
      <c r="DE4" s="636"/>
      <c r="DF4" s="637" t="s">
        <v>374</v>
      </c>
      <c r="DG4" s="638" t="s">
        <v>10</v>
      </c>
      <c r="DH4" s="640">
        <v>41</v>
      </c>
      <c r="DI4" s="636"/>
      <c r="DJ4" s="637" t="s">
        <v>374</v>
      </c>
      <c r="DK4" s="638" t="s">
        <v>10</v>
      </c>
      <c r="DL4" s="640">
        <v>11</v>
      </c>
      <c r="DM4" s="636"/>
      <c r="DN4" s="637" t="s">
        <v>374</v>
      </c>
      <c r="DO4" s="638" t="s">
        <v>10</v>
      </c>
      <c r="DP4" s="640">
        <v>24</v>
      </c>
      <c r="DQ4" s="636"/>
      <c r="DR4" s="637" t="s">
        <v>374</v>
      </c>
      <c r="DS4" s="638" t="s">
        <v>10</v>
      </c>
      <c r="DT4" s="640">
        <v>25</v>
      </c>
      <c r="DU4" s="636"/>
      <c r="DV4" s="637" t="s">
        <v>374</v>
      </c>
      <c r="DW4" s="638" t="s">
        <v>10</v>
      </c>
      <c r="DX4" s="640">
        <v>8</v>
      </c>
      <c r="DY4" s="636"/>
      <c r="DZ4" s="637" t="s">
        <v>374</v>
      </c>
      <c r="EA4" s="638" t="s">
        <v>10</v>
      </c>
      <c r="EB4" s="640">
        <v>12</v>
      </c>
      <c r="EC4" s="636"/>
      <c r="ED4" s="637" t="s">
        <v>374</v>
      </c>
      <c r="EE4" s="638" t="s">
        <v>10</v>
      </c>
      <c r="EF4" s="640">
        <v>26</v>
      </c>
      <c r="EG4" s="636"/>
      <c r="EH4" s="637" t="s">
        <v>374</v>
      </c>
      <c r="EI4" s="638" t="s">
        <v>10</v>
      </c>
      <c r="EJ4" s="640">
        <v>27</v>
      </c>
      <c r="EK4" s="636"/>
      <c r="EL4" s="637" t="s">
        <v>374</v>
      </c>
      <c r="EM4" s="638" t="s">
        <v>10</v>
      </c>
      <c r="EN4" s="640">
        <v>17</v>
      </c>
      <c r="EO4" s="636"/>
      <c r="EP4" s="637" t="s">
        <v>374</v>
      </c>
      <c r="EQ4" s="638" t="s">
        <v>10</v>
      </c>
      <c r="ER4" s="640">
        <v>28</v>
      </c>
      <c r="ES4" s="636"/>
      <c r="ET4" s="637" t="s">
        <v>374</v>
      </c>
      <c r="EU4" s="638" t="s">
        <v>10</v>
      </c>
      <c r="EV4" s="640">
        <v>29</v>
      </c>
      <c r="EW4" s="636"/>
      <c r="EX4" s="637" t="s">
        <v>374</v>
      </c>
      <c r="EY4" s="651" t="s">
        <v>10</v>
      </c>
      <c r="EZ4" s="641" t="s">
        <v>879</v>
      </c>
      <c r="FA4" s="649"/>
      <c r="FB4" s="636"/>
      <c r="FC4" s="637" t="s">
        <v>374</v>
      </c>
      <c r="FD4" s="638" t="s">
        <v>10</v>
      </c>
      <c r="FE4" s="1422">
        <v>14</v>
      </c>
      <c r="FF4" s="1423"/>
      <c r="FG4" s="1423"/>
      <c r="FH4" s="1424"/>
      <c r="FI4" s="636"/>
      <c r="FJ4" s="637" t="s">
        <v>374</v>
      </c>
      <c r="FK4" s="638" t="s">
        <v>10</v>
      </c>
      <c r="FL4" s="857">
        <v>31</v>
      </c>
      <c r="FM4" s="649"/>
      <c r="FN4" s="649"/>
      <c r="FO4" s="635"/>
      <c r="FP4" s="636"/>
      <c r="FQ4" s="637" t="s">
        <v>374</v>
      </c>
      <c r="FR4" s="638" t="s">
        <v>10</v>
      </c>
      <c r="FS4" s="650">
        <v>16</v>
      </c>
      <c r="FT4" s="636"/>
      <c r="FU4" s="636"/>
      <c r="FV4" s="637" t="s">
        <v>374</v>
      </c>
      <c r="FW4" s="651" t="s">
        <v>10</v>
      </c>
      <c r="FX4" s="640">
        <v>15.33</v>
      </c>
      <c r="FY4" s="636"/>
      <c r="FZ4" s="637" t="s">
        <v>374</v>
      </c>
      <c r="GA4" s="638" t="s">
        <v>10</v>
      </c>
      <c r="GB4" s="865" t="s">
        <v>641</v>
      </c>
      <c r="GC4" s="866"/>
      <c r="GD4" s="652"/>
      <c r="GE4" s="637" t="s">
        <v>374</v>
      </c>
      <c r="GF4" s="638" t="s">
        <v>10</v>
      </c>
      <c r="GG4" s="864">
        <v>34</v>
      </c>
      <c r="GH4" s="652"/>
      <c r="GI4" s="637" t="s">
        <v>374</v>
      </c>
      <c r="GJ4" s="638" t="s">
        <v>10</v>
      </c>
      <c r="GK4" s="640">
        <v>35</v>
      </c>
      <c r="GL4" s="652"/>
      <c r="GM4" s="637" t="s">
        <v>374</v>
      </c>
      <c r="GN4" s="638" t="s">
        <v>10</v>
      </c>
      <c r="GO4" s="640">
        <v>36</v>
      </c>
      <c r="GP4" s="652"/>
      <c r="GQ4" s="637" t="s">
        <v>374</v>
      </c>
      <c r="GR4" s="638" t="s">
        <v>10</v>
      </c>
      <c r="GS4" s="655">
        <v>37</v>
      </c>
      <c r="GT4" s="652"/>
      <c r="GU4" s="637" t="s">
        <v>374</v>
      </c>
      <c r="GV4" s="638" t="s">
        <v>10</v>
      </c>
      <c r="GW4" s="656">
        <v>38</v>
      </c>
      <c r="GX4" s="657"/>
      <c r="GY4" s="637" t="s">
        <v>374</v>
      </c>
      <c r="GZ4" s="638" t="s">
        <v>10</v>
      </c>
      <c r="HA4" s="656">
        <v>43</v>
      </c>
      <c r="HB4" s="657"/>
      <c r="HC4" s="637" t="s">
        <v>374</v>
      </c>
      <c r="HD4" s="638" t="s">
        <v>10</v>
      </c>
      <c r="HE4" s="867">
        <v>42</v>
      </c>
      <c r="HF4" s="657"/>
      <c r="HG4" s="868" t="s">
        <v>374</v>
      </c>
      <c r="HH4" s="654" t="s">
        <v>10</v>
      </c>
      <c r="HI4" s="869">
        <v>44</v>
      </c>
      <c r="HJ4" s="657"/>
      <c r="HK4" s="637" t="s">
        <v>374</v>
      </c>
      <c r="HL4" s="651" t="s">
        <v>10</v>
      </c>
      <c r="HM4" s="870">
        <v>45</v>
      </c>
      <c r="HN4" s="652"/>
      <c r="HO4" s="653" t="s">
        <v>374</v>
      </c>
      <c r="HP4" s="654" t="s">
        <v>10</v>
      </c>
      <c r="HQ4" s="660" t="s">
        <v>387</v>
      </c>
      <c r="HR4" s="661" t="s">
        <v>386</v>
      </c>
      <c r="HS4" s="661" t="s">
        <v>389</v>
      </c>
      <c r="HT4" s="661" t="s">
        <v>389</v>
      </c>
      <c r="HU4" s="661" t="s">
        <v>665</v>
      </c>
      <c r="HV4" s="661"/>
      <c r="HW4" s="661" t="s">
        <v>392</v>
      </c>
      <c r="HX4" s="661" t="s">
        <v>666</v>
      </c>
      <c r="HY4" s="661"/>
      <c r="HZ4" s="661"/>
      <c r="IA4" s="661"/>
      <c r="IB4" s="661" t="s">
        <v>668</v>
      </c>
      <c r="IC4" s="662"/>
      <c r="ID4" s="663" t="s">
        <v>393</v>
      </c>
      <c r="IE4" s="630" t="s">
        <v>691</v>
      </c>
      <c r="IF4" s="664"/>
      <c r="IG4" s="661" t="s">
        <v>394</v>
      </c>
    </row>
    <row r="5" spans="1:246" ht="12.75" customHeight="1">
      <c r="B5" s="1063"/>
      <c r="C5" s="1059"/>
      <c r="D5" s="665"/>
      <c r="E5" s="871"/>
      <c r="F5" s="1366"/>
      <c r="G5" s="1356"/>
      <c r="H5" s="1356"/>
      <c r="I5" s="1356"/>
      <c r="J5" s="1356"/>
      <c r="K5" s="1356"/>
      <c r="L5" s="1356"/>
      <c r="M5" s="1356"/>
      <c r="N5" s="1356"/>
      <c r="O5" s="1356"/>
      <c r="P5" s="1360"/>
      <c r="Q5" s="1361"/>
      <c r="R5" s="1361"/>
      <c r="S5" s="1372"/>
      <c r="T5" s="1360"/>
      <c r="U5" s="1356"/>
      <c r="V5" s="1361"/>
      <c r="W5" s="1371"/>
      <c r="X5" s="1345" t="s">
        <v>984</v>
      </c>
      <c r="Y5" s="666" t="s">
        <v>986</v>
      </c>
      <c r="Z5" s="667" t="s">
        <v>375</v>
      </c>
      <c r="AA5" s="668" t="s">
        <v>380</v>
      </c>
      <c r="AB5" s="1345" t="s">
        <v>984</v>
      </c>
      <c r="AC5" s="666" t="s">
        <v>986</v>
      </c>
      <c r="AD5" s="667" t="s">
        <v>375</v>
      </c>
      <c r="AE5" s="668" t="s">
        <v>380</v>
      </c>
      <c r="AF5" s="1345" t="s">
        <v>984</v>
      </c>
      <c r="AG5" s="666" t="s">
        <v>986</v>
      </c>
      <c r="AH5" s="667" t="s">
        <v>375</v>
      </c>
      <c r="AI5" s="668" t="s">
        <v>380</v>
      </c>
      <c r="AJ5" s="1345" t="s">
        <v>984</v>
      </c>
      <c r="AK5" s="666" t="s">
        <v>986</v>
      </c>
      <c r="AL5" s="667" t="s">
        <v>375</v>
      </c>
      <c r="AM5" s="668" t="s">
        <v>380</v>
      </c>
      <c r="AN5" s="1345" t="s">
        <v>984</v>
      </c>
      <c r="AO5" s="666" t="s">
        <v>986</v>
      </c>
      <c r="AP5" s="667" t="s">
        <v>375</v>
      </c>
      <c r="AQ5" s="668" t="s">
        <v>380</v>
      </c>
      <c r="AR5" s="669" t="s">
        <v>990</v>
      </c>
      <c r="AS5" s="666" t="s">
        <v>986</v>
      </c>
      <c r="AT5" s="667" t="s">
        <v>375</v>
      </c>
      <c r="AU5" s="668" t="s">
        <v>380</v>
      </c>
      <c r="AV5" s="1345" t="s">
        <v>989</v>
      </c>
      <c r="AW5" s="1345" t="s">
        <v>984</v>
      </c>
      <c r="AX5" s="666" t="s">
        <v>986</v>
      </c>
      <c r="AY5" s="667" t="s">
        <v>375</v>
      </c>
      <c r="AZ5" s="668" t="s">
        <v>380</v>
      </c>
      <c r="BA5" s="1373" t="s">
        <v>989</v>
      </c>
      <c r="BB5" s="1345" t="s">
        <v>984</v>
      </c>
      <c r="BC5" s="666" t="s">
        <v>986</v>
      </c>
      <c r="BD5" s="670" t="s">
        <v>375</v>
      </c>
      <c r="BE5" s="872" t="s">
        <v>380</v>
      </c>
      <c r="BF5" s="669" t="s">
        <v>990</v>
      </c>
      <c r="BG5" s="666" t="s">
        <v>986</v>
      </c>
      <c r="BH5" s="667" t="s">
        <v>375</v>
      </c>
      <c r="BI5" s="672" t="s">
        <v>380</v>
      </c>
      <c r="BJ5" s="1417" t="s">
        <v>989</v>
      </c>
      <c r="BK5" s="1400" t="s">
        <v>984</v>
      </c>
      <c r="BL5" s="666" t="s">
        <v>986</v>
      </c>
      <c r="BM5" s="873" t="s">
        <v>375</v>
      </c>
      <c r="BN5" s="874" t="s">
        <v>380</v>
      </c>
      <c r="BO5" s="1368" t="s">
        <v>989</v>
      </c>
      <c r="BP5" s="1345" t="s">
        <v>984</v>
      </c>
      <c r="BQ5" s="666" t="s">
        <v>986</v>
      </c>
      <c r="BR5" s="873" t="s">
        <v>375</v>
      </c>
      <c r="BS5" s="874" t="s">
        <v>380</v>
      </c>
      <c r="BT5" s="1345" t="s">
        <v>984</v>
      </c>
      <c r="BU5" s="1362" t="s">
        <v>988</v>
      </c>
      <c r="BV5" s="1362" t="s">
        <v>987</v>
      </c>
      <c r="BW5" s="666" t="s">
        <v>986</v>
      </c>
      <c r="BX5" s="667" t="s">
        <v>375</v>
      </c>
      <c r="BY5" s="668" t="s">
        <v>380</v>
      </c>
      <c r="BZ5" s="1345" t="s">
        <v>984</v>
      </c>
      <c r="CA5" s="1362" t="s">
        <v>988</v>
      </c>
      <c r="CB5" s="1362" t="s">
        <v>987</v>
      </c>
      <c r="CC5" s="666" t="s">
        <v>986</v>
      </c>
      <c r="CD5" s="667" t="s">
        <v>375</v>
      </c>
      <c r="CE5" s="668" t="s">
        <v>380</v>
      </c>
      <c r="CF5" s="875" t="s">
        <v>993</v>
      </c>
      <c r="CG5" s="666" t="s">
        <v>986</v>
      </c>
      <c r="CH5" s="667" t="s">
        <v>375</v>
      </c>
      <c r="CI5" s="668" t="s">
        <v>380</v>
      </c>
      <c r="CJ5" s="1345" t="s">
        <v>984</v>
      </c>
      <c r="CK5" s="666" t="s">
        <v>986</v>
      </c>
      <c r="CL5" s="667" t="s">
        <v>375</v>
      </c>
      <c r="CM5" s="668" t="s">
        <v>380</v>
      </c>
      <c r="CN5" s="1345" t="s">
        <v>984</v>
      </c>
      <c r="CO5" s="666" t="s">
        <v>986</v>
      </c>
      <c r="CP5" s="667" t="s">
        <v>375</v>
      </c>
      <c r="CQ5" s="668" t="s">
        <v>380</v>
      </c>
      <c r="CR5" s="1345" t="s">
        <v>984</v>
      </c>
      <c r="CS5" s="666" t="s">
        <v>986</v>
      </c>
      <c r="CT5" s="667" t="s">
        <v>375</v>
      </c>
      <c r="CU5" s="668" t="s">
        <v>380</v>
      </c>
      <c r="CV5" s="1345" t="s">
        <v>984</v>
      </c>
      <c r="CW5" s="666" t="s">
        <v>986</v>
      </c>
      <c r="CX5" s="667" t="s">
        <v>375</v>
      </c>
      <c r="CY5" s="668" t="s">
        <v>380</v>
      </c>
      <c r="CZ5" s="1345" t="s">
        <v>984</v>
      </c>
      <c r="DA5" s="666" t="s">
        <v>986</v>
      </c>
      <c r="DB5" s="667" t="s">
        <v>375</v>
      </c>
      <c r="DC5" s="668" t="s">
        <v>380</v>
      </c>
      <c r="DD5" s="1345" t="s">
        <v>984</v>
      </c>
      <c r="DE5" s="666" t="s">
        <v>986</v>
      </c>
      <c r="DF5" s="667" t="s">
        <v>375</v>
      </c>
      <c r="DG5" s="668" t="s">
        <v>380</v>
      </c>
      <c r="DH5" s="1345" t="s">
        <v>984</v>
      </c>
      <c r="DI5" s="666" t="s">
        <v>986</v>
      </c>
      <c r="DJ5" s="667" t="s">
        <v>375</v>
      </c>
      <c r="DK5" s="668" t="s">
        <v>380</v>
      </c>
      <c r="DL5" s="1345" t="s">
        <v>984</v>
      </c>
      <c r="DM5" s="666" t="s">
        <v>986</v>
      </c>
      <c r="DN5" s="667" t="s">
        <v>375</v>
      </c>
      <c r="DO5" s="668" t="s">
        <v>380</v>
      </c>
      <c r="DP5" s="1345" t="s">
        <v>984</v>
      </c>
      <c r="DQ5" s="666" t="s">
        <v>986</v>
      </c>
      <c r="DR5" s="667" t="s">
        <v>375</v>
      </c>
      <c r="DS5" s="668" t="s">
        <v>380</v>
      </c>
      <c r="DT5" s="1345" t="s">
        <v>984</v>
      </c>
      <c r="DU5" s="666" t="s">
        <v>986</v>
      </c>
      <c r="DV5" s="667" t="s">
        <v>375</v>
      </c>
      <c r="DW5" s="668" t="s">
        <v>380</v>
      </c>
      <c r="DX5" s="1345" t="s">
        <v>984</v>
      </c>
      <c r="DY5" s="666" t="s">
        <v>986</v>
      </c>
      <c r="DZ5" s="667" t="s">
        <v>375</v>
      </c>
      <c r="EA5" s="668" t="s">
        <v>380</v>
      </c>
      <c r="EB5" s="1345" t="s">
        <v>984</v>
      </c>
      <c r="EC5" s="666" t="s">
        <v>986</v>
      </c>
      <c r="ED5" s="667" t="s">
        <v>375</v>
      </c>
      <c r="EE5" s="668" t="s">
        <v>380</v>
      </c>
      <c r="EF5" s="1345" t="s">
        <v>984</v>
      </c>
      <c r="EG5" s="666" t="s">
        <v>986</v>
      </c>
      <c r="EH5" s="667" t="s">
        <v>375</v>
      </c>
      <c r="EI5" s="668" t="s">
        <v>380</v>
      </c>
      <c r="EJ5" s="1345" t="s">
        <v>984</v>
      </c>
      <c r="EK5" s="666" t="s">
        <v>986</v>
      </c>
      <c r="EL5" s="667" t="s">
        <v>375</v>
      </c>
      <c r="EM5" s="668" t="s">
        <v>380</v>
      </c>
      <c r="EN5" s="1345" t="s">
        <v>984</v>
      </c>
      <c r="EO5" s="666" t="s">
        <v>986</v>
      </c>
      <c r="EP5" s="667" t="s">
        <v>375</v>
      </c>
      <c r="EQ5" s="668" t="s">
        <v>380</v>
      </c>
      <c r="ER5" s="1345" t="s">
        <v>984</v>
      </c>
      <c r="ES5" s="666" t="s">
        <v>986</v>
      </c>
      <c r="ET5" s="667" t="s">
        <v>375</v>
      </c>
      <c r="EU5" s="668" t="s">
        <v>380</v>
      </c>
      <c r="EV5" s="1345" t="s">
        <v>984</v>
      </c>
      <c r="EW5" s="666" t="s">
        <v>986</v>
      </c>
      <c r="EX5" s="667" t="s">
        <v>375</v>
      </c>
      <c r="EY5" s="668" t="s">
        <v>380</v>
      </c>
      <c r="EZ5" s="1414" t="s">
        <v>994</v>
      </c>
      <c r="FA5" s="1345" t="s">
        <v>984</v>
      </c>
      <c r="FB5" s="666" t="s">
        <v>986</v>
      </c>
      <c r="FC5" s="667" t="s">
        <v>375</v>
      </c>
      <c r="FD5" s="668" t="s">
        <v>380</v>
      </c>
      <c r="FE5" s="1337" t="s">
        <v>995</v>
      </c>
      <c r="FF5" s="1339" t="s">
        <v>996</v>
      </c>
      <c r="FG5" s="1339" t="s">
        <v>997</v>
      </c>
      <c r="FH5" s="1362" t="s">
        <v>998</v>
      </c>
      <c r="FI5" s="666" t="s">
        <v>986</v>
      </c>
      <c r="FJ5" s="667" t="s">
        <v>375</v>
      </c>
      <c r="FK5" s="668" t="s">
        <v>380</v>
      </c>
      <c r="FL5" s="1337" t="s">
        <v>995</v>
      </c>
      <c r="FM5" s="1339" t="s">
        <v>996</v>
      </c>
      <c r="FN5" s="1339" t="s">
        <v>997</v>
      </c>
      <c r="FO5" s="1362" t="s">
        <v>998</v>
      </c>
      <c r="FP5" s="666" t="s">
        <v>986</v>
      </c>
      <c r="FQ5" s="667" t="s">
        <v>375</v>
      </c>
      <c r="FR5" s="668" t="s">
        <v>380</v>
      </c>
      <c r="FS5" s="1400" t="s">
        <v>989</v>
      </c>
      <c r="FT5" s="1345" t="s">
        <v>984</v>
      </c>
      <c r="FU5" s="666" t="s">
        <v>986</v>
      </c>
      <c r="FV5" s="667" t="s">
        <v>375</v>
      </c>
      <c r="FW5" s="668" t="s">
        <v>380</v>
      </c>
      <c r="FX5" s="1345" t="s">
        <v>984</v>
      </c>
      <c r="FY5" s="666" t="s">
        <v>986</v>
      </c>
      <c r="FZ5" s="667" t="s">
        <v>375</v>
      </c>
      <c r="GA5" s="668" t="s">
        <v>380</v>
      </c>
      <c r="GB5" s="1345" t="s">
        <v>984</v>
      </c>
      <c r="GC5" s="1400" t="s">
        <v>988</v>
      </c>
      <c r="GD5" s="666" t="s">
        <v>986</v>
      </c>
      <c r="GE5" s="674" t="s">
        <v>375</v>
      </c>
      <c r="GF5" s="675" t="s">
        <v>380</v>
      </c>
      <c r="GG5" s="1345" t="s">
        <v>984</v>
      </c>
      <c r="GH5" s="666" t="s">
        <v>986</v>
      </c>
      <c r="GI5" s="674" t="s">
        <v>375</v>
      </c>
      <c r="GJ5" s="676" t="s">
        <v>380</v>
      </c>
      <c r="GK5" s="669" t="s">
        <v>1001</v>
      </c>
      <c r="GL5" s="666" t="s">
        <v>986</v>
      </c>
      <c r="GM5" s="674" t="s">
        <v>375</v>
      </c>
      <c r="GN5" s="675" t="s">
        <v>380</v>
      </c>
      <c r="GO5" s="669" t="s">
        <v>1001</v>
      </c>
      <c r="GP5" s="666" t="s">
        <v>986</v>
      </c>
      <c r="GQ5" s="674" t="s">
        <v>375</v>
      </c>
      <c r="GR5" s="675" t="s">
        <v>380</v>
      </c>
      <c r="GS5" s="669" t="s">
        <v>1001</v>
      </c>
      <c r="GT5" s="666" t="s">
        <v>986</v>
      </c>
      <c r="GU5" s="674" t="s">
        <v>375</v>
      </c>
      <c r="GV5" s="675" t="s">
        <v>380</v>
      </c>
      <c r="GW5" s="669" t="s">
        <v>1001</v>
      </c>
      <c r="GX5" s="666" t="s">
        <v>986</v>
      </c>
      <c r="GY5" s="674" t="s">
        <v>375</v>
      </c>
      <c r="GZ5" s="675" t="s">
        <v>380</v>
      </c>
      <c r="HA5" s="669"/>
      <c r="HB5" s="666" t="s">
        <v>986</v>
      </c>
      <c r="HC5" s="674" t="s">
        <v>375</v>
      </c>
      <c r="HD5" s="675" t="s">
        <v>380</v>
      </c>
      <c r="HE5" s="1412" t="s">
        <v>866</v>
      </c>
      <c r="HF5" s="666" t="s">
        <v>986</v>
      </c>
      <c r="HG5" s="667" t="s">
        <v>375</v>
      </c>
      <c r="HH5" s="668" t="s">
        <v>380</v>
      </c>
      <c r="HI5" s="1402" t="s">
        <v>382</v>
      </c>
      <c r="HJ5" s="666" t="s">
        <v>986</v>
      </c>
      <c r="HK5" s="674" t="s">
        <v>375</v>
      </c>
      <c r="HL5" s="676" t="s">
        <v>380</v>
      </c>
      <c r="HM5" s="1413" t="s">
        <v>384</v>
      </c>
      <c r="HN5" s="666" t="s">
        <v>986</v>
      </c>
      <c r="HO5" s="667" t="s">
        <v>375</v>
      </c>
      <c r="HP5" s="672" t="s">
        <v>380</v>
      </c>
      <c r="HQ5" s="876" t="s">
        <v>84</v>
      </c>
      <c r="HR5" s="678"/>
      <c r="HS5" s="678" t="s">
        <v>390</v>
      </c>
      <c r="HT5" s="661" t="s">
        <v>391</v>
      </c>
      <c r="HU5" s="661" t="s">
        <v>388</v>
      </c>
      <c r="HV5" s="661"/>
      <c r="HW5" s="661"/>
      <c r="HX5" s="661" t="s">
        <v>84</v>
      </c>
      <c r="HY5" s="661"/>
      <c r="HZ5" s="661"/>
      <c r="IA5" s="661"/>
      <c r="IB5" s="661" t="s">
        <v>669</v>
      </c>
      <c r="IC5" s="662"/>
      <c r="ID5" s="663"/>
      <c r="IE5" s="679"/>
      <c r="IF5" s="680"/>
      <c r="IG5" s="678"/>
    </row>
    <row r="6" spans="1:246" ht="13.5" customHeight="1" thickBot="1">
      <c r="B6" s="681"/>
      <c r="C6" s="1060"/>
      <c r="D6" s="682"/>
      <c r="E6" s="686"/>
      <c r="F6" s="683"/>
      <c r="G6" s="684"/>
      <c r="H6" s="684"/>
      <c r="I6" s="684"/>
      <c r="J6" s="684"/>
      <c r="K6" s="684"/>
      <c r="L6" s="684"/>
      <c r="M6" s="684"/>
      <c r="N6" s="684"/>
      <c r="O6" s="684"/>
      <c r="P6" s="684"/>
      <c r="Q6" s="682"/>
      <c r="R6" s="682"/>
      <c r="S6" s="686"/>
      <c r="T6" s="682"/>
      <c r="U6" s="682"/>
      <c r="V6" s="682"/>
      <c r="W6" s="686"/>
      <c r="X6" s="1346"/>
      <c r="Y6" s="687" t="s">
        <v>985</v>
      </c>
      <c r="Z6" s="688" t="s">
        <v>642</v>
      </c>
      <c r="AA6" s="689" t="s">
        <v>642</v>
      </c>
      <c r="AB6" s="1346"/>
      <c r="AC6" s="687" t="s">
        <v>985</v>
      </c>
      <c r="AD6" s="688" t="s">
        <v>642</v>
      </c>
      <c r="AE6" s="689" t="s">
        <v>642</v>
      </c>
      <c r="AF6" s="1346"/>
      <c r="AG6" s="687" t="s">
        <v>985</v>
      </c>
      <c r="AH6" s="688" t="s">
        <v>642</v>
      </c>
      <c r="AI6" s="689" t="s">
        <v>642</v>
      </c>
      <c r="AJ6" s="1346"/>
      <c r="AK6" s="687" t="s">
        <v>985</v>
      </c>
      <c r="AL6" s="688" t="s">
        <v>642</v>
      </c>
      <c r="AM6" s="689" t="s">
        <v>642</v>
      </c>
      <c r="AN6" s="1346"/>
      <c r="AO6" s="687" t="s">
        <v>985</v>
      </c>
      <c r="AP6" s="688" t="s">
        <v>642</v>
      </c>
      <c r="AQ6" s="689" t="s">
        <v>642</v>
      </c>
      <c r="AR6" s="690" t="s">
        <v>991</v>
      </c>
      <c r="AS6" s="687" t="s">
        <v>985</v>
      </c>
      <c r="AT6" s="688" t="s">
        <v>642</v>
      </c>
      <c r="AU6" s="689" t="s">
        <v>642</v>
      </c>
      <c r="AV6" s="1350"/>
      <c r="AW6" s="1346"/>
      <c r="AX6" s="687" t="s">
        <v>985</v>
      </c>
      <c r="AY6" s="688" t="s">
        <v>642</v>
      </c>
      <c r="AZ6" s="689" t="s">
        <v>642</v>
      </c>
      <c r="BA6" s="1374"/>
      <c r="BB6" s="1346"/>
      <c r="BC6" s="687" t="s">
        <v>985</v>
      </c>
      <c r="BD6" s="691" t="s">
        <v>642</v>
      </c>
      <c r="BE6" s="877" t="s">
        <v>642</v>
      </c>
      <c r="BF6" s="690" t="s">
        <v>991</v>
      </c>
      <c r="BG6" s="687" t="s">
        <v>985</v>
      </c>
      <c r="BH6" s="688" t="s">
        <v>642</v>
      </c>
      <c r="BI6" s="693" t="s">
        <v>642</v>
      </c>
      <c r="BJ6" s="1418"/>
      <c r="BK6" s="1410"/>
      <c r="BL6" s="687" t="s">
        <v>985</v>
      </c>
      <c r="BM6" s="878" t="s">
        <v>642</v>
      </c>
      <c r="BN6" s="879" t="s">
        <v>642</v>
      </c>
      <c r="BO6" s="1408"/>
      <c r="BP6" s="1346"/>
      <c r="BQ6" s="687" t="s">
        <v>985</v>
      </c>
      <c r="BR6" s="878" t="s">
        <v>642</v>
      </c>
      <c r="BS6" s="879" t="s">
        <v>642</v>
      </c>
      <c r="BT6" s="1346"/>
      <c r="BU6" s="1363"/>
      <c r="BV6" s="1363"/>
      <c r="BW6" s="687" t="s">
        <v>1006</v>
      </c>
      <c r="BX6" s="688" t="s">
        <v>642</v>
      </c>
      <c r="BY6" s="689" t="s">
        <v>642</v>
      </c>
      <c r="BZ6" s="1346"/>
      <c r="CA6" s="1363"/>
      <c r="CB6" s="1363"/>
      <c r="CC6" s="687" t="s">
        <v>1006</v>
      </c>
      <c r="CD6" s="688" t="s">
        <v>642</v>
      </c>
      <c r="CE6" s="689" t="s">
        <v>642</v>
      </c>
      <c r="CF6" s="880" t="s">
        <v>992</v>
      </c>
      <c r="CG6" s="687" t="s">
        <v>985</v>
      </c>
      <c r="CH6" s="688" t="s">
        <v>642</v>
      </c>
      <c r="CI6" s="689" t="s">
        <v>642</v>
      </c>
      <c r="CJ6" s="1346"/>
      <c r="CK6" s="687" t="s">
        <v>985</v>
      </c>
      <c r="CL6" s="688" t="s">
        <v>642</v>
      </c>
      <c r="CM6" s="689" t="s">
        <v>642</v>
      </c>
      <c r="CN6" s="1346"/>
      <c r="CO6" s="687" t="s">
        <v>985</v>
      </c>
      <c r="CP6" s="688" t="s">
        <v>642</v>
      </c>
      <c r="CQ6" s="689" t="s">
        <v>642</v>
      </c>
      <c r="CR6" s="1346"/>
      <c r="CS6" s="687" t="s">
        <v>985</v>
      </c>
      <c r="CT6" s="688" t="s">
        <v>642</v>
      </c>
      <c r="CU6" s="689" t="s">
        <v>642</v>
      </c>
      <c r="CV6" s="1346"/>
      <c r="CW6" s="687" t="s">
        <v>985</v>
      </c>
      <c r="CX6" s="688" t="s">
        <v>642</v>
      </c>
      <c r="CY6" s="689" t="s">
        <v>642</v>
      </c>
      <c r="CZ6" s="1346"/>
      <c r="DA6" s="687" t="s">
        <v>985</v>
      </c>
      <c r="DB6" s="688" t="s">
        <v>642</v>
      </c>
      <c r="DC6" s="689" t="s">
        <v>642</v>
      </c>
      <c r="DD6" s="1346"/>
      <c r="DE6" s="687" t="s">
        <v>985</v>
      </c>
      <c r="DF6" s="688" t="s">
        <v>642</v>
      </c>
      <c r="DG6" s="689" t="s">
        <v>642</v>
      </c>
      <c r="DH6" s="1346"/>
      <c r="DI6" s="687" t="s">
        <v>985</v>
      </c>
      <c r="DJ6" s="688" t="s">
        <v>642</v>
      </c>
      <c r="DK6" s="689" t="s">
        <v>642</v>
      </c>
      <c r="DL6" s="1346"/>
      <c r="DM6" s="687" t="s">
        <v>985</v>
      </c>
      <c r="DN6" s="688" t="s">
        <v>642</v>
      </c>
      <c r="DO6" s="689" t="s">
        <v>642</v>
      </c>
      <c r="DP6" s="1346"/>
      <c r="DQ6" s="687" t="s">
        <v>985</v>
      </c>
      <c r="DR6" s="688" t="s">
        <v>642</v>
      </c>
      <c r="DS6" s="689" t="s">
        <v>642</v>
      </c>
      <c r="DT6" s="1346"/>
      <c r="DU6" s="687" t="s">
        <v>985</v>
      </c>
      <c r="DV6" s="688" t="s">
        <v>642</v>
      </c>
      <c r="DW6" s="689" t="s">
        <v>642</v>
      </c>
      <c r="DX6" s="1346"/>
      <c r="DY6" s="687" t="s">
        <v>985</v>
      </c>
      <c r="DZ6" s="688" t="s">
        <v>642</v>
      </c>
      <c r="EA6" s="689" t="s">
        <v>642</v>
      </c>
      <c r="EB6" s="1346"/>
      <c r="EC6" s="687" t="s">
        <v>985</v>
      </c>
      <c r="ED6" s="688" t="s">
        <v>642</v>
      </c>
      <c r="EE6" s="689" t="s">
        <v>642</v>
      </c>
      <c r="EF6" s="1346"/>
      <c r="EG6" s="687" t="s">
        <v>985</v>
      </c>
      <c r="EH6" s="688" t="s">
        <v>642</v>
      </c>
      <c r="EI6" s="689" t="s">
        <v>642</v>
      </c>
      <c r="EJ6" s="1346"/>
      <c r="EK6" s="687" t="s">
        <v>985</v>
      </c>
      <c r="EL6" s="688" t="s">
        <v>642</v>
      </c>
      <c r="EM6" s="689" t="s">
        <v>642</v>
      </c>
      <c r="EN6" s="1346"/>
      <c r="EO6" s="687" t="s">
        <v>985</v>
      </c>
      <c r="EP6" s="688" t="s">
        <v>642</v>
      </c>
      <c r="EQ6" s="689" t="s">
        <v>642</v>
      </c>
      <c r="ER6" s="1346"/>
      <c r="ES6" s="687" t="s">
        <v>985</v>
      </c>
      <c r="ET6" s="688" t="s">
        <v>642</v>
      </c>
      <c r="EU6" s="689" t="s">
        <v>642</v>
      </c>
      <c r="EV6" s="1346"/>
      <c r="EW6" s="687" t="s">
        <v>985</v>
      </c>
      <c r="EX6" s="688" t="s">
        <v>642</v>
      </c>
      <c r="EY6" s="689" t="s">
        <v>642</v>
      </c>
      <c r="EZ6" s="1415"/>
      <c r="FA6" s="1346"/>
      <c r="FB6" s="687" t="s">
        <v>985</v>
      </c>
      <c r="FC6" s="688" t="s">
        <v>642</v>
      </c>
      <c r="FD6" s="689" t="s">
        <v>642</v>
      </c>
      <c r="FE6" s="1338"/>
      <c r="FF6" s="1340"/>
      <c r="FG6" s="1340"/>
      <c r="FH6" s="1364"/>
      <c r="FI6" s="687" t="s">
        <v>985</v>
      </c>
      <c r="FJ6" s="688" t="s">
        <v>642</v>
      </c>
      <c r="FK6" s="689" t="s">
        <v>642</v>
      </c>
      <c r="FL6" s="1338"/>
      <c r="FM6" s="1340"/>
      <c r="FN6" s="1340"/>
      <c r="FO6" s="1364"/>
      <c r="FP6" s="687" t="s">
        <v>985</v>
      </c>
      <c r="FQ6" s="688" t="s">
        <v>642</v>
      </c>
      <c r="FR6" s="689" t="s">
        <v>642</v>
      </c>
      <c r="FS6" s="1362"/>
      <c r="FT6" s="1346"/>
      <c r="FU6" s="687" t="s">
        <v>985</v>
      </c>
      <c r="FV6" s="688" t="s">
        <v>642</v>
      </c>
      <c r="FW6" s="689" t="s">
        <v>642</v>
      </c>
      <c r="FX6" s="1346"/>
      <c r="FY6" s="687" t="s">
        <v>985</v>
      </c>
      <c r="FZ6" s="688" t="s">
        <v>642</v>
      </c>
      <c r="GA6" s="689" t="s">
        <v>642</v>
      </c>
      <c r="GB6" s="1346"/>
      <c r="GC6" s="1401"/>
      <c r="GD6" s="687" t="s">
        <v>985</v>
      </c>
      <c r="GE6" s="688" t="s">
        <v>642</v>
      </c>
      <c r="GF6" s="689" t="s">
        <v>642</v>
      </c>
      <c r="GG6" s="1346"/>
      <c r="GH6" s="687" t="s">
        <v>985</v>
      </c>
      <c r="GI6" s="688" t="s">
        <v>642</v>
      </c>
      <c r="GJ6" s="693" t="s">
        <v>642</v>
      </c>
      <c r="GK6" s="690" t="s">
        <v>1289</v>
      </c>
      <c r="GL6" s="687" t="s">
        <v>985</v>
      </c>
      <c r="GM6" s="688" t="s">
        <v>642</v>
      </c>
      <c r="GN6" s="689" t="s">
        <v>642</v>
      </c>
      <c r="GO6" s="690" t="s">
        <v>1289</v>
      </c>
      <c r="GP6" s="687" t="s">
        <v>985</v>
      </c>
      <c r="GQ6" s="688" t="s">
        <v>642</v>
      </c>
      <c r="GR6" s="689" t="s">
        <v>642</v>
      </c>
      <c r="GS6" s="690" t="s">
        <v>1002</v>
      </c>
      <c r="GT6" s="687" t="s">
        <v>985</v>
      </c>
      <c r="GU6" s="688" t="s">
        <v>642</v>
      </c>
      <c r="GV6" s="689" t="s">
        <v>642</v>
      </c>
      <c r="GW6" s="690" t="s">
        <v>1002</v>
      </c>
      <c r="GX6" s="687" t="s">
        <v>985</v>
      </c>
      <c r="GY6" s="688" t="s">
        <v>642</v>
      </c>
      <c r="GZ6" s="689" t="s">
        <v>642</v>
      </c>
      <c r="HA6" s="690"/>
      <c r="HB6" s="687" t="s">
        <v>985</v>
      </c>
      <c r="HC6" s="688" t="s">
        <v>642</v>
      </c>
      <c r="HD6" s="689" t="s">
        <v>642</v>
      </c>
      <c r="HE6" s="1350"/>
      <c r="HF6" s="687" t="s">
        <v>985</v>
      </c>
      <c r="HG6" s="688" t="s">
        <v>642</v>
      </c>
      <c r="HH6" s="693" t="s">
        <v>642</v>
      </c>
      <c r="HI6" s="1413"/>
      <c r="HJ6" s="687" t="s">
        <v>985</v>
      </c>
      <c r="HK6" s="688" t="s">
        <v>642</v>
      </c>
      <c r="HL6" s="693" t="s">
        <v>642</v>
      </c>
      <c r="HM6" s="1338"/>
      <c r="HN6" s="687" t="s">
        <v>985</v>
      </c>
      <c r="HO6" s="688" t="s">
        <v>642</v>
      </c>
      <c r="HP6" s="689" t="s">
        <v>642</v>
      </c>
      <c r="HQ6" s="694"/>
      <c r="HR6" s="695" t="s">
        <v>642</v>
      </c>
      <c r="HS6" s="695" t="s">
        <v>642</v>
      </c>
      <c r="HT6" s="695" t="s">
        <v>642</v>
      </c>
      <c r="HU6" s="695" t="s">
        <v>642</v>
      </c>
      <c r="HV6" s="695"/>
      <c r="HW6" s="695" t="s">
        <v>642</v>
      </c>
      <c r="HX6" s="695" t="s">
        <v>642</v>
      </c>
      <c r="HY6" s="695"/>
      <c r="HZ6" s="695"/>
      <c r="IA6" s="695"/>
      <c r="IB6" s="695" t="s">
        <v>642</v>
      </c>
      <c r="IC6" s="696"/>
      <c r="ID6" s="697" t="s">
        <v>642</v>
      </c>
      <c r="IE6" s="698" t="s">
        <v>642</v>
      </c>
      <c r="IF6" s="698"/>
      <c r="IG6" s="695" t="s">
        <v>642</v>
      </c>
    </row>
    <row r="7" spans="1:246">
      <c r="B7" s="881"/>
      <c r="C7" s="882"/>
      <c r="D7" s="634"/>
      <c r="E7" s="701"/>
      <c r="F7" s="88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6"/>
      <c r="R7" s="705"/>
      <c r="S7" s="706"/>
      <c r="T7" s="705"/>
      <c r="U7" s="705"/>
      <c r="V7" s="705"/>
      <c r="W7" s="706"/>
      <c r="X7" s="707"/>
      <c r="Y7" s="708"/>
      <c r="Z7" s="709"/>
      <c r="AA7" s="710"/>
      <c r="AB7" s="711"/>
      <c r="AC7" s="711"/>
      <c r="AD7" s="711"/>
      <c r="AE7" s="712"/>
      <c r="AF7" s="713"/>
      <c r="AG7" s="708"/>
      <c r="AH7" s="709"/>
      <c r="AI7" s="710"/>
      <c r="AJ7" s="656"/>
      <c r="AK7" s="708"/>
      <c r="AL7" s="709"/>
      <c r="AM7" s="638"/>
      <c r="AN7" s="711"/>
      <c r="AO7" s="711"/>
      <c r="AP7" s="884"/>
      <c r="AQ7" s="712"/>
      <c r="AR7" s="713"/>
      <c r="AS7" s="713"/>
      <c r="AT7" s="714"/>
      <c r="AU7" s="710"/>
      <c r="AV7" s="870"/>
      <c r="AW7" s="708"/>
      <c r="AX7" s="708"/>
      <c r="AY7" s="709"/>
      <c r="AZ7" s="710"/>
      <c r="BA7" s="885"/>
      <c r="BB7" s="716"/>
      <c r="BC7" s="716"/>
      <c r="BD7" s="716"/>
      <c r="BE7" s="886"/>
      <c r="BF7" s="711"/>
      <c r="BG7" s="711"/>
      <c r="BH7" s="711"/>
      <c r="BI7" s="711"/>
      <c r="BJ7" s="887"/>
      <c r="BK7" s="888"/>
      <c r="BL7" s="888"/>
      <c r="BM7" s="888"/>
      <c r="BN7" s="889"/>
      <c r="BO7" s="890"/>
      <c r="BP7" s="888"/>
      <c r="BQ7" s="888"/>
      <c r="BR7" s="888"/>
      <c r="BS7" s="889"/>
      <c r="BT7" s="713"/>
      <c r="BU7" s="713"/>
      <c r="BV7" s="708"/>
      <c r="BW7" s="708"/>
      <c r="BX7" s="709"/>
      <c r="BY7" s="710"/>
      <c r="BZ7" s="711"/>
      <c r="CA7" s="711"/>
      <c r="CB7" s="711"/>
      <c r="CC7" s="711"/>
      <c r="CD7" s="711"/>
      <c r="CE7" s="712"/>
      <c r="CF7" s="711"/>
      <c r="CG7" s="711"/>
      <c r="CH7" s="711"/>
      <c r="CI7" s="712"/>
      <c r="CJ7" s="713"/>
      <c r="CK7" s="708"/>
      <c r="CL7" s="709"/>
      <c r="CM7" s="710"/>
      <c r="CN7" s="656"/>
      <c r="CO7" s="708"/>
      <c r="CP7" s="709"/>
      <c r="CQ7" s="710"/>
      <c r="CR7" s="656"/>
      <c r="CS7" s="708"/>
      <c r="CT7" s="709"/>
      <c r="CU7" s="710"/>
      <c r="CV7" s="656"/>
      <c r="CW7" s="708"/>
      <c r="CX7" s="709"/>
      <c r="CY7" s="638"/>
      <c r="CZ7" s="711"/>
      <c r="DA7" s="711"/>
      <c r="DB7" s="711"/>
      <c r="DC7" s="712"/>
      <c r="DD7" s="711"/>
      <c r="DE7" s="711"/>
      <c r="DF7" s="711"/>
      <c r="DG7" s="712"/>
      <c r="DH7" s="711"/>
      <c r="DI7" s="711"/>
      <c r="DJ7" s="711"/>
      <c r="DK7" s="712"/>
      <c r="DL7" s="713"/>
      <c r="DM7" s="708"/>
      <c r="DN7" s="709"/>
      <c r="DO7" s="638"/>
      <c r="DP7" s="711"/>
      <c r="DQ7" s="711"/>
      <c r="DR7" s="711"/>
      <c r="DS7" s="712"/>
      <c r="DT7" s="711"/>
      <c r="DU7" s="711"/>
      <c r="DV7" s="711"/>
      <c r="DW7" s="712"/>
      <c r="DX7" s="711"/>
      <c r="DY7" s="711"/>
      <c r="DZ7" s="711"/>
      <c r="EA7" s="712"/>
      <c r="EB7" s="713"/>
      <c r="EC7" s="708"/>
      <c r="ED7" s="709"/>
      <c r="EE7" s="638"/>
      <c r="EF7" s="711"/>
      <c r="EG7" s="711"/>
      <c r="EH7" s="711"/>
      <c r="EI7" s="712"/>
      <c r="EJ7" s="711"/>
      <c r="EK7" s="711"/>
      <c r="EL7" s="711"/>
      <c r="EM7" s="712"/>
      <c r="EN7" s="711"/>
      <c r="EO7" s="711"/>
      <c r="EP7" s="711"/>
      <c r="EQ7" s="712"/>
      <c r="ER7" s="711"/>
      <c r="ES7" s="711"/>
      <c r="ET7" s="711"/>
      <c r="EU7" s="712"/>
      <c r="EV7" s="711"/>
      <c r="EW7" s="711"/>
      <c r="EX7" s="711"/>
      <c r="EY7" s="712"/>
      <c r="EZ7" s="711"/>
      <c r="FA7" s="711"/>
      <c r="FB7" s="719"/>
      <c r="FC7" s="676"/>
      <c r="FD7" s="675"/>
      <c r="FE7" s="676"/>
      <c r="FF7" s="676"/>
      <c r="FG7" s="676"/>
      <c r="FH7" s="708"/>
      <c r="FI7" s="708"/>
      <c r="FJ7" s="709"/>
      <c r="FK7" s="710"/>
      <c r="FL7" s="891"/>
      <c r="FM7" s="891"/>
      <c r="FN7" s="891"/>
      <c r="FO7" s="891"/>
      <c r="FP7" s="891"/>
      <c r="FQ7" s="891"/>
      <c r="FR7" s="712"/>
      <c r="FS7" s="649"/>
      <c r="FT7" s="711"/>
      <c r="FU7" s="711"/>
      <c r="FV7" s="711"/>
      <c r="FW7" s="711"/>
      <c r="FX7" s="656"/>
      <c r="FY7" s="708"/>
      <c r="FZ7" s="709"/>
      <c r="GA7" s="710"/>
      <c r="GB7" s="656"/>
      <c r="GC7" s="636"/>
      <c r="GD7" s="713"/>
      <c r="GE7" s="714"/>
      <c r="GF7" s="710"/>
      <c r="GG7" s="656"/>
      <c r="GH7" s="708"/>
      <c r="GI7" s="709"/>
      <c r="GJ7" s="710"/>
      <c r="GK7" s="656"/>
      <c r="GL7" s="708"/>
      <c r="GM7" s="709"/>
      <c r="GN7" s="710"/>
      <c r="GO7" s="711"/>
      <c r="GP7" s="711"/>
      <c r="GQ7" s="711"/>
      <c r="GR7" s="711"/>
      <c r="GS7" s="655"/>
      <c r="GT7" s="720"/>
      <c r="GU7" s="639"/>
      <c r="GV7" s="721"/>
      <c r="GW7" s="655"/>
      <c r="GX7" s="720"/>
      <c r="GY7" s="639"/>
      <c r="GZ7" s="721"/>
      <c r="HA7" s="655"/>
      <c r="HB7" s="720"/>
      <c r="HC7" s="639"/>
      <c r="HD7" s="638"/>
      <c r="HE7" s="649"/>
      <c r="HF7" s="723"/>
      <c r="HG7" s="723"/>
      <c r="HH7" s="723"/>
      <c r="HI7" s="659"/>
      <c r="HJ7" s="724"/>
      <c r="HK7" s="725"/>
      <c r="HL7" s="726"/>
      <c r="HM7" s="727"/>
      <c r="HN7" s="728"/>
      <c r="HO7" s="729"/>
      <c r="HP7" s="730"/>
      <c r="HQ7" s="731"/>
      <c r="HR7" s="732"/>
      <c r="HS7" s="722"/>
      <c r="HT7" s="732"/>
      <c r="HU7" s="732"/>
      <c r="HV7" s="733"/>
      <c r="HW7" s="678"/>
      <c r="HX7" s="732"/>
      <c r="HY7" s="732"/>
      <c r="HZ7" s="732"/>
      <c r="IA7" s="732"/>
      <c r="IB7" s="678"/>
      <c r="IC7" s="734"/>
      <c r="ID7" s="735"/>
      <c r="IE7" s="736"/>
      <c r="IF7" s="737"/>
      <c r="IG7" s="738"/>
      <c r="IK7" s="739"/>
    </row>
    <row r="8" spans="1:246" ht="12.6" customHeight="1">
      <c r="A8" s="610" t="s">
        <v>686</v>
      </c>
      <c r="B8" s="740">
        <v>5</v>
      </c>
      <c r="C8" s="1056" t="s">
        <v>1430</v>
      </c>
      <c r="D8" s="892">
        <v>0.39781</v>
      </c>
      <c r="E8" s="893">
        <v>0.36380000000000001</v>
      </c>
      <c r="F8" s="742">
        <f>H8+L8</f>
        <v>16.405878962030698</v>
      </c>
      <c r="G8" s="743">
        <v>80</v>
      </c>
      <c r="H8" s="598">
        <f>D8*1000/((130-70)*0.933)</f>
        <v>7.1062879599857087</v>
      </c>
      <c r="I8" s="599">
        <v>50</v>
      </c>
      <c r="J8" s="598">
        <f>D8*1000/((95-70)*0.962)</f>
        <v>16.540956340956342</v>
      </c>
      <c r="K8" s="599">
        <v>80</v>
      </c>
      <c r="L8" s="598">
        <f>E8*1000/((70-30)*0.978)</f>
        <v>9.2995910020449912</v>
      </c>
      <c r="M8" s="599">
        <v>65</v>
      </c>
      <c r="N8" s="598">
        <f>E8*1000/((55-5)*0.986)</f>
        <v>7.3793103448275872</v>
      </c>
      <c r="O8" s="599">
        <v>50</v>
      </c>
      <c r="P8" s="598">
        <f>N8*0.3</f>
        <v>2.2137931034482761</v>
      </c>
      <c r="Q8" s="599">
        <v>32</v>
      </c>
      <c r="R8" s="598">
        <f>H8/SQRT(0.5)</f>
        <v>10.049808811140423</v>
      </c>
      <c r="S8" s="600">
        <f>L8/SQRT(0.5)</f>
        <v>13.151607719614827</v>
      </c>
      <c r="T8" s="744">
        <v>2</v>
      </c>
      <c r="U8" s="601">
        <f>J8/T8</f>
        <v>8.2704781704781709</v>
      </c>
      <c r="V8" s="601">
        <f>U8/SQRT(0.5)</f>
        <v>11.69622239600085</v>
      </c>
      <c r="W8" s="602">
        <v>65</v>
      </c>
      <c r="X8" s="745">
        <f t="shared" ref="X8:X73" si="0">G8</f>
        <v>80</v>
      </c>
      <c r="Y8" s="746">
        <v>2</v>
      </c>
      <c r="Z8" s="747">
        <f>VLOOKUP(X8,'Ціни контур мережний'!$Z$24:$AB$36,3,0)</f>
        <v>37.693832104112609</v>
      </c>
      <c r="AA8" s="748">
        <f>Z8*Y8</f>
        <v>75.387664208225218</v>
      </c>
      <c r="AB8" s="745">
        <f t="shared" ref="AB8:AB73" si="1">G8</f>
        <v>80</v>
      </c>
      <c r="AC8" s="749">
        <v>2</v>
      </c>
      <c r="AD8" s="747">
        <f>VLOOKUP(AB8,'Ціни контур мережний'!$Z$64:$AB$77,3,0)</f>
        <v>111.00441974652855</v>
      </c>
      <c r="AE8" s="748">
        <f>AC8*AD8</f>
        <v>222.00883949305711</v>
      </c>
      <c r="AF8" s="745">
        <f t="shared" ref="AF8:AF73" si="2">G8</f>
        <v>80</v>
      </c>
      <c r="AG8" s="746">
        <v>1</v>
      </c>
      <c r="AH8" s="747">
        <f>VLOOKUP(AF8,'Ціни контур мережний'!$Z$5:$AB$17,3,0)</f>
        <v>50.12</v>
      </c>
      <c r="AI8" s="748">
        <f>AG8*AH8</f>
        <v>50.12</v>
      </c>
      <c r="AJ8" s="750">
        <f t="shared" ref="AJ8:AJ73" si="3">I8</f>
        <v>50</v>
      </c>
      <c r="AK8" s="746">
        <v>3</v>
      </c>
      <c r="AL8" s="747">
        <f>VLOOKUP(AJ8,'Ціни контур мережний'!$Z$43:$AB$55,3,0)</f>
        <v>23.2782130224622</v>
      </c>
      <c r="AM8" s="748">
        <f>AK8*AL8</f>
        <v>69.834639067386604</v>
      </c>
      <c r="AN8" s="745">
        <f t="shared" ref="AN8:AN73" si="4">M8</f>
        <v>65</v>
      </c>
      <c r="AO8" s="749">
        <v>4</v>
      </c>
      <c r="AP8" s="747">
        <f>VLOOKUP(AN8,'Ціни контур мережний'!$Z$43:$AB$55,3,0)</f>
        <v>30.19184015363556</v>
      </c>
      <c r="AQ8" s="759">
        <f>AO8*AP8</f>
        <v>120.76736061454224</v>
      </c>
      <c r="AR8" s="751" t="s">
        <v>815</v>
      </c>
      <c r="AS8" s="751">
        <v>1</v>
      </c>
      <c r="AT8" s="747">
        <f>VLOOKUP(AR8,'Ціни контур мережний'!$I$53:$M$57,5,0)</f>
        <v>110.39869654932889</v>
      </c>
      <c r="AU8" s="748">
        <f>AS8*AT8</f>
        <v>110.39869654932889</v>
      </c>
      <c r="AV8" s="752">
        <f t="array" ref="AV8">MIN(IF('Ціни контур мережний'!$Y$83:$Y$92&gt;(R8*1.2),'Ціни контур мережний'!$Y$83:$Y$92))</f>
        <v>16</v>
      </c>
      <c r="AW8" s="746">
        <f>VLOOKUP(AV8,'Ціни контур мережний'!$Y$83:$Z$92,2,0)</f>
        <v>32</v>
      </c>
      <c r="AX8" s="746">
        <v>1</v>
      </c>
      <c r="AY8" s="747">
        <f>VLOOKUP(AV8,'Ціни контур мережний'!$Y$83:$AB$92,4,0)</f>
        <v>130.5392363168325</v>
      </c>
      <c r="AZ8" s="748">
        <f>AX8*AY8</f>
        <v>130.5392363168325</v>
      </c>
      <c r="BA8" s="1099">
        <f t="array" ref="BA8">MIN(IF('[1]Ціни контур мережний'!$Y$104:$Y$114&gt;(R8*1.2),'[1]Ціни контур мережний'!$Y$104:$Y$114))</f>
        <v>12.5</v>
      </c>
      <c r="BB8" s="1101">
        <f>VLOOKUP(BA8,'[1]Ціни контур мережний'!$Y$104:$Z$114,2,0)</f>
        <v>32</v>
      </c>
      <c r="BC8" s="753">
        <v>1</v>
      </c>
      <c r="BD8" s="754">
        <f>VLOOKUP(BA8,'Ціни контур мережний'!$Y$104:$AB$114,4,0)</f>
        <v>435.76049604674444</v>
      </c>
      <c r="BE8" s="755">
        <f>BC8*BD8</f>
        <v>435.76049604674444</v>
      </c>
      <c r="BF8" s="751" t="s">
        <v>67</v>
      </c>
      <c r="BG8" s="749">
        <v>1</v>
      </c>
      <c r="BH8" s="747">
        <f>VLOOKUP(BF8,'Ціни контур мережний'!$I$53:$M$57,5,0)</f>
        <v>157.67238032974441</v>
      </c>
      <c r="BI8" s="768">
        <f>BG8*BH8</f>
        <v>157.67238032974441</v>
      </c>
      <c r="BJ8" s="894">
        <f t="array" ref="BJ8">MIN(IF('Ціни контур мережний'!$Y$83:$Y$93&gt;(S8*1.2),'Ціни контур мережний'!$Y$83:$Y$93))</f>
        <v>16</v>
      </c>
      <c r="BK8" s="895">
        <f>VLOOKUP(BJ8,'Ціни контур мережний'!$Y$83:$Z$93,2,0)</f>
        <v>32</v>
      </c>
      <c r="BL8" s="895">
        <v>1</v>
      </c>
      <c r="BM8" s="896">
        <f>VLOOKUP(BJ8,'Ціни контур мережний'!$Y$83:$AB$93,4,0)</f>
        <v>130.5392363168325</v>
      </c>
      <c r="BN8" s="897">
        <f>BL8*BM8</f>
        <v>130.5392363168325</v>
      </c>
      <c r="BO8" s="896">
        <f t="array" ref="BO8">MIN(IF('Ціни контур мережний'!$Y$104:$Y$114&gt;(S8*1.2),'Ціни контур мережний'!$Y$104:$Y$114))</f>
        <v>20</v>
      </c>
      <c r="BP8" s="895">
        <f>VLOOKUP(BO8,'Ціни контур мережний'!$Y$104:$Z$114,2,0)</f>
        <v>40</v>
      </c>
      <c r="BQ8" s="895">
        <v>1</v>
      </c>
      <c r="BR8" s="896">
        <f>VLOOKUP(BO8,'Ціни контур мережний'!$Y$104:$AB$114,4,0)</f>
        <v>448.22326189551967</v>
      </c>
      <c r="BS8" s="897">
        <f>BQ8*BR8</f>
        <v>448.22326189551967</v>
      </c>
      <c r="BT8" s="751">
        <f>VLOOKUP(BU8,'Ціни контур мережний'!$J$5:$L$12,3,0)</f>
        <v>40</v>
      </c>
      <c r="BU8" s="751">
        <f t="array" ref="BU8">MIN(IF('Ціни контур мережний'!$J$5:$J$12&gt;H8,'Ціни контур мережний'!$J$5:$J$12))</f>
        <v>10</v>
      </c>
      <c r="BV8" s="746" t="s">
        <v>130</v>
      </c>
      <c r="BW8" s="756">
        <v>1</v>
      </c>
      <c r="BX8" s="747">
        <f>VLOOKUP(BU8,'Ціни контур мережний'!$J$5:$N$12,5,0)</f>
        <v>375.23999999999995</v>
      </c>
      <c r="BY8" s="748">
        <f>BW8*BX8</f>
        <v>375.23999999999995</v>
      </c>
      <c r="BZ8" s="745">
        <f>VLOOKUP(CA8,'Ціни контур мережний'!$J$5:$L$12,3,0)</f>
        <v>40</v>
      </c>
      <c r="CA8" s="747">
        <f t="array" ref="CA8">MIN(IF('Ціни контур мережний'!$J$5:$J$12&gt;L8,'Ціни контур мережний'!$J$5:$J$12))</f>
        <v>10</v>
      </c>
      <c r="CB8" s="746" t="s">
        <v>130</v>
      </c>
      <c r="CC8" s="749">
        <v>1</v>
      </c>
      <c r="CD8" s="747">
        <f>VLOOKUP(CA8,'Ціни контур мережний'!$J$5:$N$12,5,0)</f>
        <v>375.23999999999995</v>
      </c>
      <c r="CE8" s="748">
        <f>CC8*CD8</f>
        <v>375.23999999999995</v>
      </c>
      <c r="CF8" s="898" t="s">
        <v>1339</v>
      </c>
      <c r="CG8" s="899">
        <v>1</v>
      </c>
      <c r="CH8" s="900">
        <v>709</v>
      </c>
      <c r="CI8" s="901">
        <f>CG8*CH8</f>
        <v>709</v>
      </c>
      <c r="CJ8" s="751">
        <f t="shared" ref="CJ8:CJ73" si="5">K8</f>
        <v>80</v>
      </c>
      <c r="CK8" s="746">
        <v>4</v>
      </c>
      <c r="CL8" s="747">
        <f>VLOOKUP(CJ8,'Ціни контур теплопостачання'!$Y$5:$AA$17,3,0)</f>
        <v>37.693832104112609</v>
      </c>
      <c r="CM8" s="748">
        <f>CK8*CL8</f>
        <v>150.77532841645044</v>
      </c>
      <c r="CN8" s="750">
        <f t="shared" ref="CN8:CN73" si="6">O8</f>
        <v>50</v>
      </c>
      <c r="CO8" s="746">
        <v>6</v>
      </c>
      <c r="CP8" s="747">
        <f>VLOOKUP(CN8,'Ціни контур теплопостачання'!$AO$20:$AQ$29,3,0)</f>
        <v>37.588411955788914</v>
      </c>
      <c r="CQ8" s="748">
        <f>CO8*CP8</f>
        <v>225.53047173473348</v>
      </c>
      <c r="CR8" s="750">
        <f t="shared" ref="CR8:CR73" si="7">Q8</f>
        <v>32</v>
      </c>
      <c r="CS8" s="746">
        <v>3</v>
      </c>
      <c r="CT8" s="747">
        <f>VLOOKUP(CR8,'Ціни контур теплопостачання'!$AO$20:$AQ$29,3,0)</f>
        <v>10.381</v>
      </c>
      <c r="CU8" s="748">
        <f>CS8*CT8</f>
        <v>31.143000000000001</v>
      </c>
      <c r="CV8" s="757">
        <f t="shared" ref="CV8:CV73" si="8">W8</f>
        <v>65</v>
      </c>
      <c r="CW8" s="746">
        <f t="shared" ref="CW8:CW40" si="9">2*T8</f>
        <v>4</v>
      </c>
      <c r="CX8" s="747">
        <f>VLOOKUP(CV8,'Ціни контур теплопостачання'!$Y$5:$AA$17,3,0)</f>
        <v>30.19184015363556</v>
      </c>
      <c r="CY8" s="748">
        <f>CW8*CX8</f>
        <v>120.76736061454224</v>
      </c>
      <c r="CZ8" s="745">
        <v>20</v>
      </c>
      <c r="DA8" s="749">
        <v>2</v>
      </c>
      <c r="DB8" s="747">
        <f>VLOOKUP(CZ8,'Ціни контур теплопостачання'!$Y$5:$AA$17,3,0)</f>
        <v>3.577</v>
      </c>
      <c r="DC8" s="748">
        <f>DA8*DB8</f>
        <v>7.1539999999999999</v>
      </c>
      <c r="DD8" s="745">
        <v>15</v>
      </c>
      <c r="DE8" s="745">
        <v>8</v>
      </c>
      <c r="DF8" s="758">
        <f>VLOOKUP(DD8,'Ціни контур теплопостачання'!$Y$5:$AA$17,3,0)</f>
        <v>2.464</v>
      </c>
      <c r="DG8" s="759">
        <f>DE8*DF8</f>
        <v>19.712</v>
      </c>
      <c r="DH8" s="745">
        <v>15</v>
      </c>
      <c r="DI8" s="745">
        <f>35+T8</f>
        <v>37</v>
      </c>
      <c r="DJ8" s="758">
        <f>VLOOKUP(DH8,'Ціни контур мережний'!$J$71:$M$71,4,0)</f>
        <v>3.3865201135922525</v>
      </c>
      <c r="DK8" s="759">
        <f>DI8*DJ8</f>
        <v>125.30124420291334</v>
      </c>
      <c r="DL8" s="751">
        <f t="shared" ref="DL8:DL73" si="10">K8</f>
        <v>80</v>
      </c>
      <c r="DM8" s="746">
        <v>1</v>
      </c>
      <c r="DN8" s="747">
        <f>VLOOKUP(DL8,'Ціни контур теплопостачання'!$K$5:$M$17,3,0)</f>
        <v>50.12</v>
      </c>
      <c r="DO8" s="748">
        <f>DM8*DN8</f>
        <v>50.12</v>
      </c>
      <c r="DP8" s="745">
        <f t="shared" ref="DP8:DP73" si="11">O8</f>
        <v>50</v>
      </c>
      <c r="DQ8" s="749">
        <v>1</v>
      </c>
      <c r="DR8" s="747">
        <f>VLOOKUP(DP8,'Ціни контур теплопостачання'!$K$5:$M$17,3,0)</f>
        <v>26.284999999999997</v>
      </c>
      <c r="DS8" s="748">
        <f>DQ8*DR8</f>
        <v>26.284999999999997</v>
      </c>
      <c r="DT8" s="745">
        <f t="shared" ref="DT8:DT73" si="12">Q8</f>
        <v>32</v>
      </c>
      <c r="DU8" s="745">
        <v>1</v>
      </c>
      <c r="DV8" s="758">
        <f>VLOOKUP(DT8,'Ціни контур теплопостачання'!$K$5:$M$17,3,0)</f>
        <v>9.48</v>
      </c>
      <c r="DW8" s="759">
        <f>DU8*DV8</f>
        <v>9.48</v>
      </c>
      <c r="DX8" s="745">
        <f>K8</f>
        <v>80</v>
      </c>
      <c r="DY8" s="745">
        <v>1</v>
      </c>
      <c r="DZ8" s="758">
        <f>VLOOKUP(DX8,'Ціни контур теплопостачання'!$Y$24:$AA$36,3,0)</f>
        <v>60.079499999999996</v>
      </c>
      <c r="EA8" s="759">
        <f>DY8*DZ8</f>
        <v>60.079499999999996</v>
      </c>
      <c r="EB8" s="751">
        <f t="shared" ref="EB8:EB73" si="13">K8</f>
        <v>80</v>
      </c>
      <c r="EC8" s="746">
        <v>2</v>
      </c>
      <c r="ED8" s="747">
        <f>VLOOKUP(EB8,'Ціни контур теплопостачання'!$Y$24:$AA$36,3,0)</f>
        <v>60.079499999999996</v>
      </c>
      <c r="EE8" s="748">
        <f>ED8*EC8</f>
        <v>120.15899999999999</v>
      </c>
      <c r="EF8" s="745">
        <f t="shared" ref="EF8:EF73" si="14">O8</f>
        <v>50</v>
      </c>
      <c r="EG8" s="749">
        <v>1</v>
      </c>
      <c r="EH8" s="747">
        <f>VLOOKUP(EF8,'Ціни контур теплопостачання'!$AO$38:$AQ$50,3,0)</f>
        <v>28.560999999999996</v>
      </c>
      <c r="EI8" s="748">
        <f>EG8*EH8</f>
        <v>28.560999999999996</v>
      </c>
      <c r="EJ8" s="745">
        <f t="shared" ref="EJ8:EJ73" si="15">Q8</f>
        <v>32</v>
      </c>
      <c r="EK8" s="745">
        <v>1</v>
      </c>
      <c r="EL8" s="758">
        <f>VLOOKUP(EJ8,'Ціни контур теплопостачання'!$AO$38:$AQ$50,3,0)</f>
        <v>10.773</v>
      </c>
      <c r="EM8" s="759">
        <f>EK8*EL8</f>
        <v>10.773</v>
      </c>
      <c r="EN8" s="745">
        <f t="shared" ref="EN8:EN73" si="16">W8</f>
        <v>65</v>
      </c>
      <c r="EO8" s="745">
        <f t="shared" ref="EO8:EO40" si="17">2*T8</f>
        <v>4</v>
      </c>
      <c r="EP8" s="758">
        <f>VLOOKUP(EN8,'Ціни контур теплопостачання'!$Y$76:$AA$88,3,0)</f>
        <v>26.33</v>
      </c>
      <c r="EQ8" s="759">
        <f>EO8*EP8</f>
        <v>105.32</v>
      </c>
      <c r="ER8" s="745">
        <f t="shared" ref="ER8:ER73" si="18">O8</f>
        <v>50</v>
      </c>
      <c r="ES8" s="745">
        <v>1</v>
      </c>
      <c r="ET8" s="758">
        <f>VLOOKUP(ER8,'Ціни контур теплопостачання'!$Y$76:$AA$88,3,0)</f>
        <v>20.6</v>
      </c>
      <c r="EU8" s="759">
        <f>ES8*ET8</f>
        <v>20.6</v>
      </c>
      <c r="EV8" s="745">
        <f t="shared" ref="EV8:EV73" si="19">Q8</f>
        <v>32</v>
      </c>
      <c r="EW8" s="745">
        <v>1</v>
      </c>
      <c r="EX8" s="758">
        <f>VLOOKUP(EV8,'Ціни контур теплопостачання'!$Y$76:$AA$88,3,0)</f>
        <v>13.15</v>
      </c>
      <c r="EY8" s="759">
        <f>EW8*EX8</f>
        <v>13.15</v>
      </c>
      <c r="EZ8" s="758">
        <f t="shared" ref="EZ8:EZ39" si="20">((3*10^-6*D8*0.86*1000000)/(FB8*0.05))^0.5*10</f>
        <v>32.036694586052413</v>
      </c>
      <c r="FA8" s="760">
        <v>32</v>
      </c>
      <c r="FB8" s="719">
        <v>2</v>
      </c>
      <c r="FC8" s="747">
        <f>VLOOKUP(FA8,'Ціни контур теплопостачання'!$K$74:$M$79,3,0)</f>
        <v>33.68</v>
      </c>
      <c r="FD8" s="761">
        <f t="shared" ref="FD8:FD39" si="21">FB8*FC8</f>
        <v>67.36</v>
      </c>
      <c r="FE8" s="762">
        <f>J8</f>
        <v>16.540956340956342</v>
      </c>
      <c r="FF8" s="902">
        <v>9</v>
      </c>
      <c r="FG8" s="900">
        <v>8</v>
      </c>
      <c r="FH8" s="830" t="s">
        <v>1090</v>
      </c>
      <c r="FI8" s="708">
        <v>2</v>
      </c>
      <c r="FJ8" s="709">
        <f>VLOOKUP(FH8,'Ціни контур теплопостачання'!$C$89:$M$105,11,0)</f>
        <v>648.69600000000003</v>
      </c>
      <c r="FK8" s="748">
        <f>FI8*FJ8</f>
        <v>1297.3920000000001</v>
      </c>
      <c r="FL8" s="903">
        <f>P8</f>
        <v>2.2137931034482761</v>
      </c>
      <c r="FM8" s="902">
        <v>9</v>
      </c>
      <c r="FN8" s="900">
        <v>9</v>
      </c>
      <c r="FO8" s="666" t="s">
        <v>1097</v>
      </c>
      <c r="FP8" s="749">
        <v>1</v>
      </c>
      <c r="FQ8" s="747">
        <f>VLOOKUP(FO8,'Ціни контур теплопостачання'!$C$89:$M$105,11,0)</f>
        <v>241.2</v>
      </c>
      <c r="FR8" s="904">
        <f>FP8*FQ8</f>
        <v>241.2</v>
      </c>
      <c r="FS8" s="758">
        <f t="array" ref="FS8">MIN(IF('Ціни контур теплопостачання'!$AN$68:$AN$77&gt;(V8*1.2),'Ціни контур теплопостачання'!$AN$68:$AN$77))</f>
        <v>22.36</v>
      </c>
      <c r="FT8" s="749">
        <f>VLOOKUP(FS8,'Ціни контур теплопостачання'!$AN$68:$AO$77,2,0)</f>
        <v>40</v>
      </c>
      <c r="FU8" s="749">
        <f t="shared" ref="FU8:FU39" si="22">T8</f>
        <v>2</v>
      </c>
      <c r="FV8" s="747">
        <f>VLOOKUP(FT8,'Ціни контур теплопостачання'!$AO$68:$AQ$77,3,0)</f>
        <v>43.225000000000001</v>
      </c>
      <c r="FW8" s="765">
        <f>FU8*FV8</f>
        <v>86.45</v>
      </c>
      <c r="FX8" s="750">
        <v>15</v>
      </c>
      <c r="FY8" s="746">
        <v>2</v>
      </c>
      <c r="FZ8" s="747">
        <f>VLOOKUP(FX8,'Ціни контур мережний'!$J$73:$M$73,4,0)</f>
        <v>3.4649999999999999</v>
      </c>
      <c r="GA8" s="748">
        <f>FY8*FZ8</f>
        <v>6.93</v>
      </c>
      <c r="GB8" s="750">
        <f>VLOOKUP(GC8,'Ціни контур теплопостачання'!$AN$6:$AO$13,2,0)</f>
        <v>40</v>
      </c>
      <c r="GC8" s="751">
        <f t="array" ref="GC8">MIN(IF('Ціни контур теплопостачання'!$AN$6:$AN$13&gt;N8,'Ціни контур теплопостачання'!$AN$6:$AN$13))</f>
        <v>15</v>
      </c>
      <c r="GD8" s="751">
        <v>1</v>
      </c>
      <c r="GE8" s="747">
        <f>VLOOKUP(GB8,'Ціни контур теплопостачання'!$AO$6:$AQ$13,3,0)</f>
        <v>140.82444000000001</v>
      </c>
      <c r="GF8" s="748">
        <f>GE8*GD8</f>
        <v>140.82444000000001</v>
      </c>
      <c r="GG8" s="750">
        <f t="shared" ref="GG8:GG73" si="23">O8</f>
        <v>50</v>
      </c>
      <c r="GH8" s="746">
        <v>1</v>
      </c>
      <c r="GI8" s="747">
        <f>VLOOKUP(GG8,'Ціни контур теплопостачання'!$AO$55:$AQ$63,3,0)</f>
        <v>355.5</v>
      </c>
      <c r="GJ8" s="768">
        <f>GH8*GI8</f>
        <v>355.5</v>
      </c>
      <c r="GK8" s="655" t="s">
        <v>864</v>
      </c>
      <c r="GL8" s="720">
        <v>1</v>
      </c>
      <c r="GM8" s="747">
        <f>VLOOKUP(GK8,'Ціни контур мережний'!$I$79:$M$80,5,0)</f>
        <v>15.050156291498967</v>
      </c>
      <c r="GN8" s="748">
        <f>GL8*GM8</f>
        <v>15.050156291498967</v>
      </c>
      <c r="GO8" s="758" t="s">
        <v>109</v>
      </c>
      <c r="GP8" s="749">
        <v>5</v>
      </c>
      <c r="GQ8" s="747">
        <f>VLOOKUP(GO8,'Ціни контур мережний'!$I$79:$M$80,5,0)</f>
        <v>15.050156291498967</v>
      </c>
      <c r="GR8" s="765">
        <f>GP8*GQ8</f>
        <v>75.250781457494838</v>
      </c>
      <c r="GS8" s="655" t="s">
        <v>108</v>
      </c>
      <c r="GT8" s="720">
        <v>5</v>
      </c>
      <c r="GU8" s="747">
        <f>VLOOKUP(GS8,'Ціни контур мережний'!$I$67:$M$69,5,0)</f>
        <v>4.4537969640631703</v>
      </c>
      <c r="GV8" s="748">
        <f>GT8*GU8</f>
        <v>22.26898482031585</v>
      </c>
      <c r="GW8" s="655" t="s">
        <v>106</v>
      </c>
      <c r="GX8" s="720">
        <f>11+T8</f>
        <v>13</v>
      </c>
      <c r="GY8" s="747">
        <f>VLOOKUP(GW8,'Ціни контур мережний'!$I$67:$M$69,5,0)</f>
        <v>4.4537969640631703</v>
      </c>
      <c r="GZ8" s="748">
        <f>GX8*GY8</f>
        <v>57.899360532821213</v>
      </c>
      <c r="HA8" s="655" t="s">
        <v>1013</v>
      </c>
      <c r="HB8" s="720">
        <v>4</v>
      </c>
      <c r="HC8" s="747">
        <f>VLOOKUP(HA8,'Ціни контур мережний'!$I$64:$M$64,5,0)</f>
        <v>29.1312</v>
      </c>
      <c r="HD8" s="748">
        <f>HB8*HC8</f>
        <v>116.5248</v>
      </c>
      <c r="HE8" s="766" t="s">
        <v>1015</v>
      </c>
      <c r="HF8" s="749">
        <v>6</v>
      </c>
      <c r="HG8" s="747">
        <f>VLOOKUP(HE8,'Ціни контур мережний'!$I$89:$M$89,5,0)</f>
        <v>79.523165325760516</v>
      </c>
      <c r="HH8" s="765">
        <f>HF8*HG8</f>
        <v>477.1389919545631</v>
      </c>
      <c r="HI8" s="767" t="s">
        <v>1016</v>
      </c>
      <c r="HJ8" s="720">
        <v>7</v>
      </c>
      <c r="HK8" s="747">
        <f>VLOOKUP(HI8,'Ціни контур мережний'!$I$88:$M$88,5,0)</f>
        <v>13.211568975967202</v>
      </c>
      <c r="HL8" s="768">
        <f>HJ8*HK8</f>
        <v>92.480982831770419</v>
      </c>
      <c r="HM8" s="767" t="s">
        <v>383</v>
      </c>
      <c r="HN8" s="720">
        <v>1</v>
      </c>
      <c r="HO8" s="747">
        <f>VLOOKUP(HM8,'Ціни контур мережний'!$I$87:$M$87,5,0)</f>
        <v>13.483972460007763</v>
      </c>
      <c r="HP8" s="748">
        <f>HN8*HO8</f>
        <v>13.483972460007763</v>
      </c>
      <c r="HQ8" s="769">
        <f t="shared" ref="HQ8:HQ39" si="24">B8</f>
        <v>5</v>
      </c>
      <c r="HR8" s="770">
        <f>AA8+AE8+AI8+AM8+AQ8+AU8+AZ8+BE8+BI8+BN8+BS8+BY8+CE8+CI8+CM8+CQ8+CU8+CY8+DC8+DG8+DK8+DO8+DS8+DW8+EA8+EE8+EI8+EM8+EQ8+EU8+EY8+FD8+FK8+FR8+FW8+GA8+GF8+GJ8+GN8+GR8+GV8+GZ8+HD8+HH8+HL8+HP8</f>
        <v>7601.3971861553237</v>
      </c>
      <c r="HS8" s="771">
        <v>0</v>
      </c>
      <c r="HT8" s="771">
        <f>'Таблиця цін схема №1'!$JE$45/'Ціни контур мережний'!$G$26</f>
        <v>578.85740358619182</v>
      </c>
      <c r="HU8" s="770">
        <f>'Таблиця цін схема №1'!$JG$8</f>
        <v>661.80181284518619</v>
      </c>
      <c r="HV8" s="770">
        <f>'Таблиця цін схема №1'!$JH$8</f>
        <v>487.81784379022207</v>
      </c>
      <c r="HW8" s="770">
        <f>'Таблиця цін схема №1'!$JI$8</f>
        <v>323.47913729816605</v>
      </c>
      <c r="HX8" s="770">
        <f>'Таблиця цін схема №1'!$JJ$8</f>
        <v>66.611999999999995</v>
      </c>
      <c r="HY8" s="772">
        <v>0</v>
      </c>
      <c r="HZ8" s="772">
        <f>'Таблиця цін схема №1'!$JL$8</f>
        <v>62.86234247089866</v>
      </c>
      <c r="IA8" s="772">
        <v>0</v>
      </c>
      <c r="IB8" s="770">
        <v>0</v>
      </c>
      <c r="IC8" s="773">
        <f t="shared" ref="IC8:IC39" si="25">SUM(HR8:IB8)*$IC$1</f>
        <v>684.7979408302192</v>
      </c>
      <c r="ID8" s="774">
        <f t="shared" ref="ID8:ID39" si="26">SUM(HR8:IB8)*$ID$1</f>
        <v>978.2827726145988</v>
      </c>
      <c r="IE8" s="775">
        <f t="shared" ref="IE8:IE39" si="27">ABS(SUM(HR8:ID8)*$IE$1-SUM(HR8:ID8))</f>
        <v>168.28894056208082</v>
      </c>
      <c r="IF8" s="776">
        <f>'Таблиця цін схема №1'!$JR$8</f>
        <v>300.63036461094771</v>
      </c>
      <c r="IG8" s="777">
        <f>SUM(HR8:IF8)</f>
        <v>11914.827744763836</v>
      </c>
      <c r="II8" s="616">
        <f>[3]Расчеты!AX7/1.2</f>
        <v>4130.3090565966531</v>
      </c>
      <c r="IJ8" s="616">
        <f>II8+IG8</f>
        <v>16045.136801360488</v>
      </c>
      <c r="IK8" s="616" t="e">
        <f>IJ8*1.2*#REF!</f>
        <v>#REF!</v>
      </c>
      <c r="IL8" s="616"/>
    </row>
    <row r="9" spans="1:246" ht="12.6" customHeight="1">
      <c r="A9" s="610" t="s">
        <v>686</v>
      </c>
      <c r="B9" s="905">
        <v>13</v>
      </c>
      <c r="C9" s="1056" t="s">
        <v>1427</v>
      </c>
      <c r="D9" s="906">
        <v>0.1515</v>
      </c>
      <c r="E9" s="907">
        <v>0.13100000000000001</v>
      </c>
      <c r="F9" s="908">
        <f t="shared" ref="F9:F72" si="28">H9+L9</f>
        <v>6.0549944436773</v>
      </c>
      <c r="G9" s="909">
        <v>50</v>
      </c>
      <c r="H9" s="598">
        <f t="shared" ref="H9:H72" si="29">D9*1000/((130-70)*0.933)</f>
        <v>2.7063236870310825</v>
      </c>
      <c r="I9" s="599">
        <v>32</v>
      </c>
      <c r="J9" s="598">
        <f t="shared" ref="J9:J72" si="30">D9*1000/((95-70)*0.962)</f>
        <v>6.2993762993762994</v>
      </c>
      <c r="K9" s="599">
        <v>50</v>
      </c>
      <c r="L9" s="598">
        <f t="shared" ref="L9:L72" si="31">E9*1000/((70-30)*0.978)</f>
        <v>3.3486707566462171</v>
      </c>
      <c r="M9" s="599">
        <v>40</v>
      </c>
      <c r="N9" s="598">
        <f t="shared" ref="N9:N72" si="32">E9*1000/((55-5)*0.986)</f>
        <v>2.6572008113590266</v>
      </c>
      <c r="O9" s="599">
        <v>32</v>
      </c>
      <c r="P9" s="598">
        <f>N9*0.3</f>
        <v>0.79716024340770797</v>
      </c>
      <c r="Q9" s="599">
        <v>20</v>
      </c>
      <c r="R9" s="598">
        <f t="shared" ref="R9:R72" si="33">H9/SQRT(0.5)</f>
        <v>3.827319662370916</v>
      </c>
      <c r="S9" s="600">
        <f t="shared" ref="S9:S39" si="34">L9/SQRT(0.5)</f>
        <v>4.735735599971254</v>
      </c>
      <c r="T9" s="910">
        <v>2</v>
      </c>
      <c r="U9" s="601">
        <f t="shared" ref="U9:U72" si="35">J9/T9</f>
        <v>3.1496881496881497</v>
      </c>
      <c r="V9" s="601">
        <f t="shared" ref="V9:V72" si="36">U9/SQRT(0.5)</f>
        <v>4.4543316985348005</v>
      </c>
      <c r="W9" s="602">
        <v>32</v>
      </c>
      <c r="X9" s="745">
        <f t="shared" si="0"/>
        <v>50</v>
      </c>
      <c r="Y9" s="746">
        <v>2</v>
      </c>
      <c r="Z9" s="747">
        <f>VLOOKUP(X9,'Ціни контур мережний'!$Z$24:$AB$36,3,0)</f>
        <v>23.2782130224622</v>
      </c>
      <c r="AA9" s="748">
        <f t="shared" ref="AA9:AA40" si="37">Z9*Y9</f>
        <v>46.5564260449244</v>
      </c>
      <c r="AB9" s="745">
        <f t="shared" si="1"/>
        <v>50</v>
      </c>
      <c r="AC9" s="749">
        <v>2</v>
      </c>
      <c r="AD9" s="747">
        <f>VLOOKUP(AB9,'Ціни контур мережний'!$Z$64:$AB$77,3,0)</f>
        <v>80.03214361111678</v>
      </c>
      <c r="AE9" s="748">
        <f t="shared" ref="AE9:AE40" si="38">AC9*AD9</f>
        <v>160.06428722223356</v>
      </c>
      <c r="AF9" s="745">
        <f t="shared" si="2"/>
        <v>50</v>
      </c>
      <c r="AG9" s="746">
        <v>0</v>
      </c>
      <c r="AH9" s="747">
        <f>VLOOKUP(AF9,'Ціни контур мережний'!$Z$5:$AB$17,3,0)</f>
        <v>26.284999999999997</v>
      </c>
      <c r="AI9" s="748">
        <f t="shared" ref="AI9:AI40" si="39">AG9*AH9</f>
        <v>0</v>
      </c>
      <c r="AJ9" s="750">
        <f t="shared" si="3"/>
        <v>32</v>
      </c>
      <c r="AK9" s="746">
        <v>1</v>
      </c>
      <c r="AL9" s="747">
        <f>VLOOKUP(AJ9,'Ціни контур мережний'!$Z$43:$AB$55,3,0)</f>
        <v>16.107218011318363</v>
      </c>
      <c r="AM9" s="748">
        <f t="shared" ref="AM9:AM40" si="40">AK9*AL9</f>
        <v>16.107218011318363</v>
      </c>
      <c r="AN9" s="745">
        <f t="shared" si="4"/>
        <v>40</v>
      </c>
      <c r="AO9" s="749">
        <v>4</v>
      </c>
      <c r="AP9" s="747">
        <f>VLOOKUP(AN9,'Ціни контур мережний'!$Z$43:$AB$55,3,0)</f>
        <v>18.42400964308333</v>
      </c>
      <c r="AQ9" s="759">
        <f t="shared" ref="AQ9:AQ40" si="41">AO9*AP9</f>
        <v>73.696038572333322</v>
      </c>
      <c r="AR9" s="751" t="str">
        <f t="shared" ref="AR9:AR72" si="42">AR8</f>
        <v>AMV20</v>
      </c>
      <c r="AS9" s="751">
        <v>1</v>
      </c>
      <c r="AT9" s="747">
        <f>VLOOKUP(AR9,'Ціни контур мережний'!$I$53:$M$57,5,0)</f>
        <v>110.39869654932889</v>
      </c>
      <c r="AU9" s="748">
        <f t="shared" ref="AU9:AU40" si="43">AS9*AT9</f>
        <v>110.39869654932889</v>
      </c>
      <c r="AV9" s="752">
        <f t="array" ref="AV9">MIN(IF('Ціни контур мережний'!$Y$83:$Y$92&gt;(R9*1.2),'Ціни контур мережний'!$Y$83:$Y$92))</f>
        <v>6.3</v>
      </c>
      <c r="AW9" s="746">
        <f>VLOOKUP(AV9,'Ціни контур мережний'!$Y$83:$Z$92,2,0)</f>
        <v>20</v>
      </c>
      <c r="AX9" s="746">
        <v>1</v>
      </c>
      <c r="AY9" s="747">
        <f>VLOOKUP(AV9,'Ціни контур мережний'!$Y$83:$AB$92,4,0)</f>
        <v>113.14115267534271</v>
      </c>
      <c r="AZ9" s="748">
        <f t="shared" ref="AZ9:AZ40" si="44">AX9*AY9</f>
        <v>113.14115267534271</v>
      </c>
      <c r="BA9" s="1099">
        <f t="array" ref="BA9">MIN(IF('[1]Ціни контур мережний'!$Y$104:$Y$114&gt;(R9*1.2),'[1]Ціни контур мережний'!$Y$104:$Y$114))</f>
        <v>6.3</v>
      </c>
      <c r="BB9" s="1101">
        <f>VLOOKUP(BA9,'[1]Ціни контур мережний'!$Y$104:$Z$114,2,0)</f>
        <v>20</v>
      </c>
      <c r="BC9" s="753">
        <v>1</v>
      </c>
      <c r="BD9" s="754">
        <f>VLOOKUP(BA9,'Ціни контур мережний'!$Y$104:$AB$114,4,0)</f>
        <v>259.83406541769665</v>
      </c>
      <c r="BE9" s="755">
        <f t="shared" ref="BE9:BE40" si="45">BC9*BD9</f>
        <v>259.83406541769665</v>
      </c>
      <c r="BF9" s="751" t="s">
        <v>67</v>
      </c>
      <c r="BG9" s="749">
        <v>1</v>
      </c>
      <c r="BH9" s="747">
        <f>VLOOKUP(BF9,'Ціни контур мережний'!$I$53:$M$57,5,0)</f>
        <v>157.67238032974441</v>
      </c>
      <c r="BI9" s="768">
        <f t="shared" ref="BI9:BI40" si="46">BG9*BH9</f>
        <v>157.67238032974441</v>
      </c>
      <c r="BJ9" s="894">
        <f t="array" ref="BJ9">MIN(IF('Ціни контур мережний'!$Y$83:$Y$93&gt;(S9*1.2),'Ціни контур мережний'!$Y$83:$Y$93))</f>
        <v>6.3</v>
      </c>
      <c r="BK9" s="895">
        <f>VLOOKUP(BJ9,'Ціни контур мережний'!$Y$83:$Z$93,2,0)</f>
        <v>20</v>
      </c>
      <c r="BL9" s="895">
        <v>1</v>
      </c>
      <c r="BM9" s="896">
        <f>VLOOKUP(BJ9,'Ціни контур мережний'!$Y$83:$AB$93,4,0)</f>
        <v>113.14115267534271</v>
      </c>
      <c r="BN9" s="897">
        <f t="shared" ref="BN9:BN40" si="47">BL9*BM9</f>
        <v>113.14115267534271</v>
      </c>
      <c r="BO9" s="896">
        <f t="array" ref="BO9">MIN(IF('Ціни контур мережний'!$Y$104:$Y$114&gt;(S9*1.2),'Ціни контур мережний'!$Y$104:$Y$114))</f>
        <v>6.3</v>
      </c>
      <c r="BP9" s="895">
        <f>VLOOKUP(BO9,'Ціни контур мережний'!$Y$104:$Z$114,2,0)</f>
        <v>20</v>
      </c>
      <c r="BQ9" s="895">
        <v>1</v>
      </c>
      <c r="BR9" s="896">
        <f>VLOOKUP(BO9,'Ціни контур мережний'!$Y$104:$AB$114,4,0)</f>
        <v>259.83406541769665</v>
      </c>
      <c r="BS9" s="897">
        <f t="shared" ref="BS9:BS40" si="48">BQ9*BR9</f>
        <v>259.83406541769665</v>
      </c>
      <c r="BT9" s="751" t="s">
        <v>115</v>
      </c>
      <c r="BU9" s="751" t="s">
        <v>115</v>
      </c>
      <c r="BV9" s="746" t="s">
        <v>1025</v>
      </c>
      <c r="BW9" s="756">
        <v>0</v>
      </c>
      <c r="BX9" s="747">
        <v>0</v>
      </c>
      <c r="BY9" s="748">
        <f t="shared" ref="BY9:BY40" si="49">BW9*BX9</f>
        <v>0</v>
      </c>
      <c r="BZ9" s="745">
        <f>VLOOKUP(CA9,'Ціни контур мережний'!$J$5:$L$12,3,0)</f>
        <v>25</v>
      </c>
      <c r="CA9" s="747">
        <f t="array" ref="CA9">MIN(IF('Ціни контур мережний'!$J$5:$J$12&gt;L9,'Ціни контур мережний'!$J$5:$J$12))</f>
        <v>3.5</v>
      </c>
      <c r="CB9" s="746" t="s">
        <v>130</v>
      </c>
      <c r="CC9" s="749">
        <v>1</v>
      </c>
      <c r="CD9" s="747">
        <f>VLOOKUP(CA9,'Ціни контур мережний'!$J$5:$N$12,5,0)</f>
        <v>341.25599999999997</v>
      </c>
      <c r="CE9" s="748">
        <f t="shared" ref="CE9:CE40" si="50">CC9*CD9</f>
        <v>341.25599999999997</v>
      </c>
      <c r="CF9" s="898" t="s">
        <v>1340</v>
      </c>
      <c r="CG9" s="899">
        <v>1</v>
      </c>
      <c r="CH9" s="900">
        <v>449</v>
      </c>
      <c r="CI9" s="901">
        <f t="shared" ref="CI9:CI40" si="51">CG9*CH9</f>
        <v>449</v>
      </c>
      <c r="CJ9" s="751">
        <f t="shared" si="5"/>
        <v>50</v>
      </c>
      <c r="CK9" s="746">
        <v>4</v>
      </c>
      <c r="CL9" s="747">
        <f>VLOOKUP(CJ9,'Ціни контур теплопостачання'!$Y$5:$AA$17,3,0)</f>
        <v>23.2782130224622</v>
      </c>
      <c r="CM9" s="748">
        <f t="shared" ref="CM9:CM40" si="52">CK9*CL9</f>
        <v>93.112852089848801</v>
      </c>
      <c r="CN9" s="750">
        <f t="shared" si="6"/>
        <v>32</v>
      </c>
      <c r="CO9" s="746">
        <v>6</v>
      </c>
      <c r="CP9" s="747">
        <f>VLOOKUP(CN9,'Ціни контур теплопостачання'!$AO$20:$AQ$29,3,0)</f>
        <v>10.381</v>
      </c>
      <c r="CQ9" s="748">
        <f t="shared" ref="CQ9:CQ40" si="53">CO9*CP9</f>
        <v>62.286000000000001</v>
      </c>
      <c r="CR9" s="750">
        <f t="shared" si="7"/>
        <v>20</v>
      </c>
      <c r="CS9" s="746">
        <v>3</v>
      </c>
      <c r="CT9" s="747">
        <f>VLOOKUP(CR9,'Ціни контур теплопостачання'!$AO$20:$AQ$29,3,0)</f>
        <v>3.577</v>
      </c>
      <c r="CU9" s="748">
        <f t="shared" ref="CU9:CU40" si="54">CS9*CT9</f>
        <v>10.731</v>
      </c>
      <c r="CV9" s="757">
        <f t="shared" si="8"/>
        <v>32</v>
      </c>
      <c r="CW9" s="746">
        <f t="shared" si="9"/>
        <v>4</v>
      </c>
      <c r="CX9" s="747">
        <f>VLOOKUP(CV9,'Ціни контур теплопостачання'!$Y$5:$AA$17,3,0)</f>
        <v>10.381</v>
      </c>
      <c r="CY9" s="748">
        <f t="shared" ref="CY9:CY40" si="55">CW9*CX9</f>
        <v>41.524000000000001</v>
      </c>
      <c r="CZ9" s="745">
        <v>20</v>
      </c>
      <c r="DA9" s="749">
        <v>2</v>
      </c>
      <c r="DB9" s="747">
        <f>VLOOKUP(CZ9,'Ціни контур теплопостачання'!$Y$5:$AA$17,3,0)</f>
        <v>3.577</v>
      </c>
      <c r="DC9" s="748">
        <f t="shared" ref="DC9:DC40" si="56">DA9*DB9</f>
        <v>7.1539999999999999</v>
      </c>
      <c r="DD9" s="745">
        <v>15</v>
      </c>
      <c r="DE9" s="745">
        <v>8</v>
      </c>
      <c r="DF9" s="758">
        <f>VLOOKUP(DD9,'Ціни контур теплопостачання'!$Y$5:$AA$17,3,0)</f>
        <v>2.464</v>
      </c>
      <c r="DG9" s="759">
        <f t="shared" ref="DG9:DG40" si="57">DE9*DF9</f>
        <v>19.712</v>
      </c>
      <c r="DH9" s="745">
        <v>15</v>
      </c>
      <c r="DI9" s="745">
        <f t="shared" ref="DI9:DI72" si="58">35+T9</f>
        <v>37</v>
      </c>
      <c r="DJ9" s="758">
        <f>VLOOKUP(DH9,'Ціни контур мережний'!$J$71:$M$71,4,0)</f>
        <v>3.3865201135922525</v>
      </c>
      <c r="DK9" s="759">
        <f t="shared" ref="DK9:DK40" si="59">DI9*DJ9</f>
        <v>125.30124420291334</v>
      </c>
      <c r="DL9" s="751">
        <f t="shared" si="10"/>
        <v>50</v>
      </c>
      <c r="DM9" s="746">
        <v>1</v>
      </c>
      <c r="DN9" s="747">
        <f>VLOOKUP(DL9,'Ціни контур теплопостачання'!$K$5:$M$17,3,0)</f>
        <v>26.284999999999997</v>
      </c>
      <c r="DO9" s="748">
        <f t="shared" ref="DO9:DO40" si="60">DM9*DN9</f>
        <v>26.284999999999997</v>
      </c>
      <c r="DP9" s="745">
        <f t="shared" si="11"/>
        <v>32</v>
      </c>
      <c r="DQ9" s="749">
        <v>1</v>
      </c>
      <c r="DR9" s="747">
        <f>VLOOKUP(DP9,'Ціни контур теплопостачання'!$K$5:$M$17,3,0)</f>
        <v>9.48</v>
      </c>
      <c r="DS9" s="748">
        <f t="shared" ref="DS9:DS40" si="61">DQ9*DR9</f>
        <v>9.48</v>
      </c>
      <c r="DT9" s="745">
        <f t="shared" si="12"/>
        <v>20</v>
      </c>
      <c r="DU9" s="745">
        <v>1</v>
      </c>
      <c r="DV9" s="758">
        <f>VLOOKUP(DT9,'Ціни контур теплопостачання'!$K$5:$M$17,3,0)</f>
        <v>3.48</v>
      </c>
      <c r="DW9" s="759">
        <f t="shared" ref="DW9:DW40" si="62">DU9*DV9</f>
        <v>3.48</v>
      </c>
      <c r="DX9" s="745">
        <f t="shared" ref="DX9:DX72" si="63">K9</f>
        <v>50</v>
      </c>
      <c r="DY9" s="745">
        <v>1</v>
      </c>
      <c r="DZ9" s="758">
        <f>VLOOKUP(DX9,'Ціни контур теплопостачання'!$Y$24:$AA$36,3,0)</f>
        <v>28.560999999999996</v>
      </c>
      <c r="EA9" s="759">
        <f t="shared" ref="EA9:EA72" si="64">DY9*DZ9</f>
        <v>28.560999999999996</v>
      </c>
      <c r="EB9" s="751">
        <f t="shared" si="13"/>
        <v>50</v>
      </c>
      <c r="EC9" s="746">
        <v>2</v>
      </c>
      <c r="ED9" s="747">
        <f>VLOOKUP(EB9,'Ціни контур теплопостачання'!$Y$24:$AA$36,3,0)</f>
        <v>28.560999999999996</v>
      </c>
      <c r="EE9" s="748">
        <f t="shared" ref="EE9:EE40" si="65">ED9*EC9</f>
        <v>57.121999999999993</v>
      </c>
      <c r="EF9" s="745">
        <f t="shared" si="14"/>
        <v>32</v>
      </c>
      <c r="EG9" s="749">
        <v>1</v>
      </c>
      <c r="EH9" s="747">
        <f>VLOOKUP(EF9,'Ціни контур теплопостачання'!$AO$38:$AQ$50,3,0)</f>
        <v>10.773</v>
      </c>
      <c r="EI9" s="748">
        <f t="shared" ref="EI9:EI40" si="66">EG9*EH9</f>
        <v>10.773</v>
      </c>
      <c r="EJ9" s="745">
        <f t="shared" si="15"/>
        <v>20</v>
      </c>
      <c r="EK9" s="745">
        <v>1</v>
      </c>
      <c r="EL9" s="758">
        <f>VLOOKUP(EJ9,'Ціни контур теплопостачання'!$AO$38:$AQ$50,3,0)</f>
        <v>4.5359999999999996</v>
      </c>
      <c r="EM9" s="759">
        <f t="shared" ref="EM9:EM40" si="67">EK9*EL9</f>
        <v>4.5359999999999996</v>
      </c>
      <c r="EN9" s="745">
        <f t="shared" si="16"/>
        <v>32</v>
      </c>
      <c r="EO9" s="745">
        <f t="shared" si="17"/>
        <v>4</v>
      </c>
      <c r="EP9" s="758">
        <f>VLOOKUP(EN9,'Ціни контур теплопостачання'!$Y$76:$AA$88,3,0)</f>
        <v>13.15</v>
      </c>
      <c r="EQ9" s="759">
        <f t="shared" ref="EQ9:EQ40" si="68">EO9*EP9</f>
        <v>52.6</v>
      </c>
      <c r="ER9" s="745">
        <f t="shared" si="18"/>
        <v>32</v>
      </c>
      <c r="ES9" s="745">
        <v>1</v>
      </c>
      <c r="ET9" s="758">
        <f>VLOOKUP(ER9,'Ціни контур теплопостачання'!$Y$76:$AA$88,3,0)</f>
        <v>13.15</v>
      </c>
      <c r="EU9" s="759">
        <f t="shared" ref="EU9:EU40" si="69">ES9*ET9</f>
        <v>13.15</v>
      </c>
      <c r="EV9" s="745">
        <f t="shared" si="19"/>
        <v>20</v>
      </c>
      <c r="EW9" s="745">
        <v>1</v>
      </c>
      <c r="EX9" s="758">
        <f>VLOOKUP(EV9,'Ціни контур теплопостачання'!$Y$76:$AA$88,3,0)</f>
        <v>11.45</v>
      </c>
      <c r="EY9" s="759">
        <f t="shared" ref="EY9:EY40" si="70">EW9*EX9</f>
        <v>11.45</v>
      </c>
      <c r="EZ9" s="758">
        <f t="shared" si="20"/>
        <v>19.770432468714485</v>
      </c>
      <c r="FA9" s="760">
        <v>20</v>
      </c>
      <c r="FB9" s="719">
        <v>2</v>
      </c>
      <c r="FC9" s="747">
        <f>VLOOKUP(FA9,'Ціни контур теплопостачання'!$K$74:$M$79,3,0)</f>
        <v>16.440000000000001</v>
      </c>
      <c r="FD9" s="761">
        <f t="shared" si="21"/>
        <v>32.880000000000003</v>
      </c>
      <c r="FE9" s="762">
        <f t="shared" ref="FE9:FE72" si="71">J9</f>
        <v>6.2993762993762994</v>
      </c>
      <c r="FF9" s="911">
        <v>9</v>
      </c>
      <c r="FG9" s="900">
        <v>8</v>
      </c>
      <c r="FH9" s="830" t="s">
        <v>1091</v>
      </c>
      <c r="FI9" s="708">
        <v>2</v>
      </c>
      <c r="FJ9" s="709">
        <f>VLOOKUP(FH9,'Ціни контур теплопостачання'!$C$89:$M$105,11,0)</f>
        <v>198.83999999999997</v>
      </c>
      <c r="FK9" s="764">
        <f t="shared" ref="FK9:FK40" si="72">FI9*FJ9</f>
        <v>397.67999999999995</v>
      </c>
      <c r="FL9" s="912">
        <f t="shared" ref="FL9:FL72" si="73">P9</f>
        <v>0.79716024340770797</v>
      </c>
      <c r="FM9" s="911">
        <v>9</v>
      </c>
      <c r="FN9" s="900">
        <v>9</v>
      </c>
      <c r="FO9" s="666" t="s">
        <v>1097</v>
      </c>
      <c r="FP9" s="749">
        <v>1</v>
      </c>
      <c r="FQ9" s="747">
        <f>VLOOKUP(FO9,'Ціни контур теплопостачання'!$C$89:$M$105,11,0)</f>
        <v>241.2</v>
      </c>
      <c r="FR9" s="904">
        <f t="shared" ref="FR9:FR40" si="74">FP9*FQ9</f>
        <v>241.2</v>
      </c>
      <c r="FS9" s="758">
        <f t="array" ref="FS9">MIN(IF('Ціни контур теплопостачання'!$AN$68:$AN$77&gt;(V9*1.2),'Ціни контур теплопостачання'!$AN$68:$AN$77))</f>
        <v>5.83</v>
      </c>
      <c r="FT9" s="749">
        <f>VLOOKUP(FS9,'Ціни контур теплопостачання'!$AN$68:$AO$77,2,0)</f>
        <v>25</v>
      </c>
      <c r="FU9" s="749">
        <f t="shared" si="22"/>
        <v>2</v>
      </c>
      <c r="FV9" s="747">
        <f>VLOOKUP(FT9,'Ціни контур теплопостачання'!$AO$68:$AQ$77,3,0)</f>
        <v>26.495000000000001</v>
      </c>
      <c r="FW9" s="765">
        <f t="shared" ref="FW9:FW40" si="75">FU9*FV9</f>
        <v>52.99</v>
      </c>
      <c r="FX9" s="750">
        <v>15</v>
      </c>
      <c r="FY9" s="746">
        <v>2</v>
      </c>
      <c r="FZ9" s="747">
        <f>VLOOKUP(FX9,'Ціни контур мережний'!$J$73:$M$73,4,0)</f>
        <v>3.4649999999999999</v>
      </c>
      <c r="GA9" s="748">
        <f t="shared" ref="GA9:GA40" si="76">FY9*FZ9</f>
        <v>6.93</v>
      </c>
      <c r="GB9" s="750">
        <f>VLOOKUP(GC9,'Ціни контур теплопостачання'!$AN$6:$AO$13,2,0)</f>
        <v>25</v>
      </c>
      <c r="GC9" s="751">
        <f t="array" ref="GC9">MIN(IF('Ціни контур теплопостачання'!$AN$6:$AN$13&gt;N9,'Ціни контур теплопостачання'!$AN$6:$AN$13))</f>
        <v>3.5</v>
      </c>
      <c r="GD9" s="751">
        <v>1</v>
      </c>
      <c r="GE9" s="747">
        <f>VLOOKUP(GB9,'Ціни контур теплопостачання'!$AO$6:$AQ$13,3,0)</f>
        <v>76.3506</v>
      </c>
      <c r="GF9" s="748">
        <f t="shared" ref="GF9:GF40" si="77">GE9*GD9</f>
        <v>76.3506</v>
      </c>
      <c r="GG9" s="750">
        <f t="shared" si="23"/>
        <v>32</v>
      </c>
      <c r="GH9" s="746">
        <v>1</v>
      </c>
      <c r="GI9" s="747">
        <f>VLOOKUP(GG9,'Ціни контур теплопостачання'!$AO$55:$AQ$63,3,0)</f>
        <v>150.1</v>
      </c>
      <c r="GJ9" s="768">
        <f t="shared" ref="GJ9:GJ40" si="78">GH9*GI9</f>
        <v>150.1</v>
      </c>
      <c r="GK9" s="655" t="str">
        <f>GK8</f>
        <v>0-150</v>
      </c>
      <c r="GL9" s="720">
        <v>1</v>
      </c>
      <c r="GM9" s="747">
        <f>VLOOKUP(GK9,'Ціни контур мережний'!$I$79:$M$80,5,0)</f>
        <v>15.050156291498967</v>
      </c>
      <c r="GN9" s="748">
        <f t="shared" ref="GN9:GN40" si="79">GL9*GM9</f>
        <v>15.050156291498967</v>
      </c>
      <c r="GO9" s="758" t="s">
        <v>109</v>
      </c>
      <c r="GP9" s="749">
        <v>1</v>
      </c>
      <c r="GQ9" s="747">
        <f>VLOOKUP(GO9,'Ціни контур мережний'!$I$79:$M$80,5,0)</f>
        <v>15.050156291498967</v>
      </c>
      <c r="GR9" s="765">
        <f t="shared" ref="GR9:GR40" si="80">GP9*GQ9</f>
        <v>15.050156291498967</v>
      </c>
      <c r="GS9" s="655" t="s">
        <v>108</v>
      </c>
      <c r="GT9" s="720">
        <v>3</v>
      </c>
      <c r="GU9" s="747">
        <f>VLOOKUP(GS9,'Ціни контур мережний'!$I$67:$M$69,5,0)</f>
        <v>4.4537969640631703</v>
      </c>
      <c r="GV9" s="748">
        <f t="shared" ref="GV9:GV40" si="81">GT9*GU9</f>
        <v>13.361390892189512</v>
      </c>
      <c r="GW9" s="655" t="s">
        <v>106</v>
      </c>
      <c r="GX9" s="720">
        <f>11+T9</f>
        <v>13</v>
      </c>
      <c r="GY9" s="747">
        <f>VLOOKUP(GW9,'Ціни контур мережний'!$I$67:$M$69,5,0)</f>
        <v>4.4537969640631703</v>
      </c>
      <c r="GZ9" s="748">
        <f t="shared" ref="GZ9:GZ40" si="82">GX9*GY9</f>
        <v>57.899360532821213</v>
      </c>
      <c r="HA9" s="655" t="s">
        <v>1013</v>
      </c>
      <c r="HB9" s="720">
        <v>4</v>
      </c>
      <c r="HC9" s="747">
        <f>VLOOKUP(HA9,'Ціни контур мережний'!$I$64:$M$64,5,0)</f>
        <v>29.1312</v>
      </c>
      <c r="HD9" s="748">
        <f t="shared" ref="HD9:HD40" si="83">HB9*HC9</f>
        <v>116.5248</v>
      </c>
      <c r="HE9" s="766" t="s">
        <v>1015</v>
      </c>
      <c r="HF9" s="749">
        <v>6</v>
      </c>
      <c r="HG9" s="747">
        <f>VLOOKUP(HE9,'Ціни контур мережний'!$I$89:$M$89,5,0)</f>
        <v>79.523165325760516</v>
      </c>
      <c r="HH9" s="765">
        <f t="shared" ref="HH9:HH40" si="84">HF9*HG9</f>
        <v>477.1389919545631</v>
      </c>
      <c r="HI9" s="778" t="s">
        <v>1016</v>
      </c>
      <c r="HJ9" s="720">
        <v>7</v>
      </c>
      <c r="HK9" s="747">
        <f>VLOOKUP(HI9,'Ціни контур мережний'!$I$88:$M$88,5,0)</f>
        <v>13.211568975967202</v>
      </c>
      <c r="HL9" s="768">
        <f t="shared" ref="HL9:HL40" si="85">HJ9*HK9</f>
        <v>92.480982831770419</v>
      </c>
      <c r="HM9" s="757" t="s">
        <v>383</v>
      </c>
      <c r="HN9" s="720">
        <v>1</v>
      </c>
      <c r="HO9" s="747">
        <f>VLOOKUP(HM9,'Ціни контур мережний'!$I$87:$M$87,5,0)</f>
        <v>13.483972460007763</v>
      </c>
      <c r="HP9" s="748">
        <f t="shared" ref="HP9:HP40" si="86">HN9*HO9</f>
        <v>13.483972460007763</v>
      </c>
      <c r="HQ9" s="769">
        <f t="shared" si="24"/>
        <v>13</v>
      </c>
      <c r="HR9" s="770">
        <f t="shared" ref="HR9:HR72" si="87">AA9+AE9+AI9+AM9+AQ9+AU9+AZ9+BE9+BI9+BN9+BS9+BY9+CE9+CI9+CM9+CQ9+CU9+CY9+DC9+DG9+DK9+DO9+DS9+DW9+EA9+EE9+EI9+EM9+EQ9+EU9+EY9+FD9+FK9+FR9+FW9+GA9+GF9+GJ9+GN9+GR9+GV9+GZ9+HD9+HH9+HL9+HP9</f>
        <v>4437.0799904630721</v>
      </c>
      <c r="HS9" s="771">
        <v>0</v>
      </c>
      <c r="HT9" s="771">
        <f>'Таблиця цін схема №1'!$JE$44/'Ціни контур мережний'!$G$26</f>
        <v>476.70609707098151</v>
      </c>
      <c r="HU9" s="770">
        <f>'Таблиця цін схема №1'!$JG$8</f>
        <v>661.80181284518619</v>
      </c>
      <c r="HV9" s="770">
        <f>'Таблиця цін схема №1'!$JH$8</f>
        <v>487.81784379022207</v>
      </c>
      <c r="HW9" s="770">
        <f>'Таблиця цін схема №1'!$JI$8</f>
        <v>323.47913729816605</v>
      </c>
      <c r="HX9" s="770">
        <f>'Таблиця цін схема №1'!$JJ$8</f>
        <v>66.611999999999995</v>
      </c>
      <c r="HY9" s="772">
        <v>0</v>
      </c>
      <c r="HZ9" s="772">
        <f>'Таблиця цін схема №1'!$JL$8</f>
        <v>62.86234247089866</v>
      </c>
      <c r="IA9" s="772">
        <v>0</v>
      </c>
      <c r="IB9" s="770">
        <v>0</v>
      </c>
      <c r="IC9" s="913">
        <f t="shared" si="25"/>
        <v>456.14514567569694</v>
      </c>
      <c r="ID9" s="914">
        <f t="shared" si="26"/>
        <v>651.63592239385275</v>
      </c>
      <c r="IE9" s="915">
        <f t="shared" si="27"/>
        <v>112.09756737181942</v>
      </c>
      <c r="IF9" s="776">
        <f>'Таблиця цін схема №1'!$JR$8</f>
        <v>300.63036461094771</v>
      </c>
      <c r="IG9" s="777">
        <f t="shared" ref="IG9:IG72" si="88">SUM(HR9:IF9)</f>
        <v>8036.868223990843</v>
      </c>
      <c r="II9" s="611">
        <f>[3]Расчеты!AX8/1.2</f>
        <v>4130.3090565966531</v>
      </c>
      <c r="IJ9" s="611">
        <f t="shared" ref="IJ9:IJ40" si="89">II9+IG9</f>
        <v>12167.177280587497</v>
      </c>
      <c r="IK9" s="611" t="e">
        <f>IJ9*1.2*#REF!</f>
        <v>#REF!</v>
      </c>
      <c r="IL9" s="611"/>
    </row>
    <row r="10" spans="1:246" ht="12.6" customHeight="1">
      <c r="A10" s="610" t="s">
        <v>686</v>
      </c>
      <c r="B10" s="905">
        <v>14</v>
      </c>
      <c r="C10" s="1056" t="s">
        <v>1428</v>
      </c>
      <c r="D10" s="906">
        <v>0.16400000000000001</v>
      </c>
      <c r="E10" s="907">
        <v>0.13100000000000001</v>
      </c>
      <c r="F10" s="908">
        <f t="shared" si="28"/>
        <v>6.2782884772607215</v>
      </c>
      <c r="G10" s="909">
        <v>50</v>
      </c>
      <c r="H10" s="598">
        <f t="shared" si="29"/>
        <v>2.9296177206145049</v>
      </c>
      <c r="I10" s="599">
        <v>32</v>
      </c>
      <c r="J10" s="598">
        <f t="shared" si="30"/>
        <v>6.8191268191268186</v>
      </c>
      <c r="K10" s="599">
        <v>50</v>
      </c>
      <c r="L10" s="598">
        <f t="shared" si="31"/>
        <v>3.3486707566462171</v>
      </c>
      <c r="M10" s="599">
        <v>40</v>
      </c>
      <c r="N10" s="598">
        <f t="shared" si="32"/>
        <v>2.6572008113590266</v>
      </c>
      <c r="O10" s="599">
        <v>32</v>
      </c>
      <c r="P10" s="598">
        <f t="shared" ref="P10:P13" si="90">N10*0.3</f>
        <v>0.79716024340770797</v>
      </c>
      <c r="Q10" s="599">
        <v>20</v>
      </c>
      <c r="R10" s="598">
        <f t="shared" si="33"/>
        <v>4.1431051130615852</v>
      </c>
      <c r="S10" s="600">
        <f t="shared" si="34"/>
        <v>4.735735599971254</v>
      </c>
      <c r="T10" s="910">
        <v>1</v>
      </c>
      <c r="U10" s="601">
        <f t="shared" si="35"/>
        <v>6.8191268191268186</v>
      </c>
      <c r="V10" s="601">
        <f t="shared" si="36"/>
        <v>9.6437016311512505</v>
      </c>
      <c r="W10" s="602">
        <v>50</v>
      </c>
      <c r="X10" s="745">
        <f t="shared" si="0"/>
        <v>50</v>
      </c>
      <c r="Y10" s="746">
        <v>2</v>
      </c>
      <c r="Z10" s="747">
        <f>VLOOKUP(X10,'Ціни контур мережний'!$Z$24:$AB$36,3,0)</f>
        <v>23.2782130224622</v>
      </c>
      <c r="AA10" s="748">
        <f t="shared" si="37"/>
        <v>46.5564260449244</v>
      </c>
      <c r="AB10" s="745">
        <f t="shared" si="1"/>
        <v>50</v>
      </c>
      <c r="AC10" s="749">
        <v>2</v>
      </c>
      <c r="AD10" s="747">
        <f>VLOOKUP(AB10,'Ціни контур мережний'!$Z$64:$AB$77,3,0)</f>
        <v>80.03214361111678</v>
      </c>
      <c r="AE10" s="748">
        <f t="shared" si="38"/>
        <v>160.06428722223356</v>
      </c>
      <c r="AF10" s="745">
        <f t="shared" si="2"/>
        <v>50</v>
      </c>
      <c r="AG10" s="746">
        <v>0</v>
      </c>
      <c r="AH10" s="747">
        <f>VLOOKUP(AF10,'Ціни контур мережний'!$Z$5:$AB$17,3,0)</f>
        <v>26.284999999999997</v>
      </c>
      <c r="AI10" s="748">
        <f t="shared" si="39"/>
        <v>0</v>
      </c>
      <c r="AJ10" s="750">
        <f t="shared" si="3"/>
        <v>32</v>
      </c>
      <c r="AK10" s="746">
        <v>1</v>
      </c>
      <c r="AL10" s="747">
        <f>VLOOKUP(AJ10,'Ціни контур мережний'!$Z$43:$AB$55,3,0)</f>
        <v>16.107218011318363</v>
      </c>
      <c r="AM10" s="748">
        <f t="shared" si="40"/>
        <v>16.107218011318363</v>
      </c>
      <c r="AN10" s="745">
        <f t="shared" si="4"/>
        <v>40</v>
      </c>
      <c r="AO10" s="749">
        <v>4</v>
      </c>
      <c r="AP10" s="747">
        <f>VLOOKUP(AN10,'Ціни контур мережний'!$Z$43:$AB$55,3,0)</f>
        <v>18.42400964308333</v>
      </c>
      <c r="AQ10" s="759">
        <f t="shared" si="41"/>
        <v>73.696038572333322</v>
      </c>
      <c r="AR10" s="751" t="str">
        <f t="shared" si="42"/>
        <v>AMV20</v>
      </c>
      <c r="AS10" s="751">
        <v>1</v>
      </c>
      <c r="AT10" s="747">
        <f>VLOOKUP(AR10,'Ціни контур мережний'!$I$53:$M$57,5,0)</f>
        <v>110.39869654932889</v>
      </c>
      <c r="AU10" s="748">
        <f t="shared" si="43"/>
        <v>110.39869654932889</v>
      </c>
      <c r="AV10" s="752">
        <f t="array" ref="AV10">MIN(IF('Ціни контур мережний'!$Y$83:$Y$92&gt;(R10*1.2),'Ціни контур мережний'!$Y$83:$Y$92))</f>
        <v>6.3</v>
      </c>
      <c r="AW10" s="746">
        <f>VLOOKUP(AV10,'Ціни контур мережний'!$Y$83:$Z$92,2,0)</f>
        <v>20</v>
      </c>
      <c r="AX10" s="746">
        <v>1</v>
      </c>
      <c r="AY10" s="747">
        <f>VLOOKUP(AV10,'Ціни контур мережний'!$Y$83:$AB$92,4,0)</f>
        <v>113.14115267534271</v>
      </c>
      <c r="AZ10" s="748">
        <f t="shared" si="44"/>
        <v>113.14115267534271</v>
      </c>
      <c r="BA10" s="1099">
        <f t="array" ref="BA10">MIN(IF('[1]Ціни контур мережний'!$Y$104:$Y$114&gt;(R10*1.2),'[1]Ціни контур мережний'!$Y$104:$Y$114))</f>
        <v>6.3</v>
      </c>
      <c r="BB10" s="1101">
        <f>VLOOKUP(BA10,'[1]Ціни контур мережний'!$Y$104:$Z$114,2,0)</f>
        <v>20</v>
      </c>
      <c r="BC10" s="753">
        <v>1</v>
      </c>
      <c r="BD10" s="754">
        <f>VLOOKUP(BA10,'Ціни контур мережний'!$Y$104:$AB$114,4,0)</f>
        <v>259.83406541769665</v>
      </c>
      <c r="BE10" s="755">
        <f t="shared" si="45"/>
        <v>259.83406541769665</v>
      </c>
      <c r="BF10" s="751" t="s">
        <v>67</v>
      </c>
      <c r="BG10" s="749">
        <v>1</v>
      </c>
      <c r="BH10" s="747">
        <f>VLOOKUP(BF10,'Ціни контур мережний'!$I$53:$M$57,5,0)</f>
        <v>157.67238032974441</v>
      </c>
      <c r="BI10" s="768">
        <f t="shared" si="46"/>
        <v>157.67238032974441</v>
      </c>
      <c r="BJ10" s="894">
        <f t="array" ref="BJ10">MIN(IF('Ціни контур мережний'!$Y$83:$Y$93&gt;(S10*1.2),'Ціни контур мережний'!$Y$83:$Y$93))</f>
        <v>6.3</v>
      </c>
      <c r="BK10" s="895">
        <f>VLOOKUP(BJ10,'Ціни контур мережний'!$Y$83:$Z$93,2,0)</f>
        <v>20</v>
      </c>
      <c r="BL10" s="895">
        <v>1</v>
      </c>
      <c r="BM10" s="896">
        <f>VLOOKUP(BJ10,'Ціни контур мережний'!$Y$83:$AB$93,4,0)</f>
        <v>113.14115267534271</v>
      </c>
      <c r="BN10" s="916">
        <f t="shared" si="47"/>
        <v>113.14115267534271</v>
      </c>
      <c r="BO10" s="896">
        <f t="array" ref="BO10">MIN(IF('Ціни контур мережний'!$Y$104:$Y$114&gt;(S10*1.2),'Ціни контур мережний'!$Y$104:$Y$114))</f>
        <v>6.3</v>
      </c>
      <c r="BP10" s="895">
        <f>VLOOKUP(BO10,'Ціни контур мережний'!$Y$104:$Z$114,2,0)</f>
        <v>20</v>
      </c>
      <c r="BQ10" s="895">
        <v>1</v>
      </c>
      <c r="BR10" s="896">
        <f>VLOOKUP(BO10,'Ціни контур мережний'!$Y$104:$AB$114,4,0)</f>
        <v>259.83406541769665</v>
      </c>
      <c r="BS10" s="897">
        <f t="shared" si="48"/>
        <v>259.83406541769665</v>
      </c>
      <c r="BT10" s="751" t="s">
        <v>115</v>
      </c>
      <c r="BU10" s="751" t="s">
        <v>115</v>
      </c>
      <c r="BV10" s="746" t="s">
        <v>1025</v>
      </c>
      <c r="BW10" s="756">
        <v>0</v>
      </c>
      <c r="BX10" s="747">
        <v>0</v>
      </c>
      <c r="BY10" s="748">
        <f t="shared" si="49"/>
        <v>0</v>
      </c>
      <c r="BZ10" s="745">
        <f>VLOOKUP(CA10,'Ціни контур мережний'!$J$5:$L$12,3,0)</f>
        <v>25</v>
      </c>
      <c r="CA10" s="747">
        <f t="array" ref="CA10">MIN(IF('Ціни контур мережний'!$J$5:$J$12&gt;L10,'Ціни контур мережний'!$J$5:$J$12))</f>
        <v>3.5</v>
      </c>
      <c r="CB10" s="746" t="s">
        <v>130</v>
      </c>
      <c r="CC10" s="749">
        <v>1</v>
      </c>
      <c r="CD10" s="747">
        <f>VLOOKUP(CA10,'Ціни контур мережний'!$J$5:$N$12,5,0)</f>
        <v>341.25599999999997</v>
      </c>
      <c r="CE10" s="748">
        <f t="shared" si="50"/>
        <v>341.25599999999997</v>
      </c>
      <c r="CF10" s="898" t="s">
        <v>1340</v>
      </c>
      <c r="CG10" s="899">
        <v>1</v>
      </c>
      <c r="CH10" s="900">
        <v>449</v>
      </c>
      <c r="CI10" s="901">
        <f t="shared" si="51"/>
        <v>449</v>
      </c>
      <c r="CJ10" s="751">
        <f t="shared" si="5"/>
        <v>50</v>
      </c>
      <c r="CK10" s="746">
        <v>4</v>
      </c>
      <c r="CL10" s="747">
        <f>VLOOKUP(CJ10,'Ціни контур теплопостачання'!$Y$5:$AA$17,3,0)</f>
        <v>23.2782130224622</v>
      </c>
      <c r="CM10" s="748">
        <f t="shared" si="52"/>
        <v>93.112852089848801</v>
      </c>
      <c r="CN10" s="750">
        <f t="shared" si="6"/>
        <v>32</v>
      </c>
      <c r="CO10" s="746">
        <v>6</v>
      </c>
      <c r="CP10" s="747">
        <f>VLOOKUP(CN10,'Ціни контур теплопостачання'!$AO$20:$AQ$29,3,0)</f>
        <v>10.381</v>
      </c>
      <c r="CQ10" s="748">
        <f t="shared" si="53"/>
        <v>62.286000000000001</v>
      </c>
      <c r="CR10" s="750">
        <f t="shared" si="7"/>
        <v>20</v>
      </c>
      <c r="CS10" s="746">
        <v>3</v>
      </c>
      <c r="CT10" s="747">
        <f>VLOOKUP(CR10,'Ціни контур теплопостачання'!$AO$20:$AQ$29,3,0)</f>
        <v>3.577</v>
      </c>
      <c r="CU10" s="748">
        <f t="shared" si="54"/>
        <v>10.731</v>
      </c>
      <c r="CV10" s="757">
        <f t="shared" si="8"/>
        <v>50</v>
      </c>
      <c r="CW10" s="746">
        <f t="shared" si="9"/>
        <v>2</v>
      </c>
      <c r="CX10" s="747">
        <f>VLOOKUP(CV10,'Ціни контур теплопостачання'!$Y$5:$AA$17,3,0)</f>
        <v>23.2782130224622</v>
      </c>
      <c r="CY10" s="748">
        <f t="shared" si="55"/>
        <v>46.5564260449244</v>
      </c>
      <c r="CZ10" s="745">
        <v>20</v>
      </c>
      <c r="DA10" s="749">
        <v>2</v>
      </c>
      <c r="DB10" s="747">
        <f>VLOOKUP(CZ10,'Ціни контур теплопостачання'!$Y$5:$AA$17,3,0)</f>
        <v>3.577</v>
      </c>
      <c r="DC10" s="748">
        <f t="shared" si="56"/>
        <v>7.1539999999999999</v>
      </c>
      <c r="DD10" s="745">
        <v>15</v>
      </c>
      <c r="DE10" s="745">
        <v>8</v>
      </c>
      <c r="DF10" s="758">
        <f>VLOOKUP(DD10,'Ціни контур теплопостачання'!$Y$5:$AA$17,3,0)</f>
        <v>2.464</v>
      </c>
      <c r="DG10" s="759">
        <f t="shared" si="57"/>
        <v>19.712</v>
      </c>
      <c r="DH10" s="745">
        <v>15</v>
      </c>
      <c r="DI10" s="745">
        <f>35</f>
        <v>35</v>
      </c>
      <c r="DJ10" s="758">
        <f>VLOOKUP(DH10,'Ціни контур мережний'!$J$71:$M$71,4,0)</f>
        <v>3.3865201135922525</v>
      </c>
      <c r="DK10" s="759">
        <f t="shared" si="59"/>
        <v>118.52820397572884</v>
      </c>
      <c r="DL10" s="751">
        <f t="shared" si="10"/>
        <v>50</v>
      </c>
      <c r="DM10" s="746">
        <v>1</v>
      </c>
      <c r="DN10" s="747">
        <f>VLOOKUP(DL10,'Ціни контур теплопостачання'!$K$5:$M$17,3,0)</f>
        <v>26.284999999999997</v>
      </c>
      <c r="DO10" s="748">
        <f t="shared" si="60"/>
        <v>26.284999999999997</v>
      </c>
      <c r="DP10" s="745">
        <f t="shared" si="11"/>
        <v>32</v>
      </c>
      <c r="DQ10" s="749">
        <v>1</v>
      </c>
      <c r="DR10" s="747">
        <f>VLOOKUP(DP10,'Ціни контур теплопостачання'!$K$5:$M$17,3,0)</f>
        <v>9.48</v>
      </c>
      <c r="DS10" s="748">
        <f t="shared" si="61"/>
        <v>9.48</v>
      </c>
      <c r="DT10" s="745">
        <f t="shared" si="12"/>
        <v>20</v>
      </c>
      <c r="DU10" s="745">
        <v>1</v>
      </c>
      <c r="DV10" s="758">
        <f>VLOOKUP(DT10,'Ціни контур теплопостачання'!$K$5:$M$17,3,0)</f>
        <v>3.48</v>
      </c>
      <c r="DW10" s="759">
        <f t="shared" si="62"/>
        <v>3.48</v>
      </c>
      <c r="DX10" s="745">
        <f t="shared" si="63"/>
        <v>50</v>
      </c>
      <c r="DY10" s="745">
        <v>1</v>
      </c>
      <c r="DZ10" s="758">
        <f>VLOOKUP(DX10,'Ціни контур теплопостачання'!$Y$24:$AA$36,3,0)</f>
        <v>28.560999999999996</v>
      </c>
      <c r="EA10" s="759">
        <f t="shared" si="64"/>
        <v>28.560999999999996</v>
      </c>
      <c r="EB10" s="751">
        <f t="shared" si="13"/>
        <v>50</v>
      </c>
      <c r="EC10" s="746">
        <v>2</v>
      </c>
      <c r="ED10" s="747">
        <f>VLOOKUP(EB10,'Ціни контур теплопостачання'!$Y$24:$AA$36,3,0)</f>
        <v>28.560999999999996</v>
      </c>
      <c r="EE10" s="748">
        <f t="shared" si="65"/>
        <v>57.121999999999993</v>
      </c>
      <c r="EF10" s="745">
        <f t="shared" si="14"/>
        <v>32</v>
      </c>
      <c r="EG10" s="749">
        <v>1</v>
      </c>
      <c r="EH10" s="747">
        <f>VLOOKUP(EF10,'Ціни контур теплопостачання'!$AO$38:$AQ$50,3,0)</f>
        <v>10.773</v>
      </c>
      <c r="EI10" s="748">
        <f t="shared" si="66"/>
        <v>10.773</v>
      </c>
      <c r="EJ10" s="745">
        <f t="shared" si="15"/>
        <v>20</v>
      </c>
      <c r="EK10" s="745">
        <v>1</v>
      </c>
      <c r="EL10" s="758">
        <f>VLOOKUP(EJ10,'Ціни контур теплопостачання'!$AO$38:$AQ$50,3,0)</f>
        <v>4.5359999999999996</v>
      </c>
      <c r="EM10" s="759">
        <f t="shared" si="67"/>
        <v>4.5359999999999996</v>
      </c>
      <c r="EN10" s="745">
        <f t="shared" si="16"/>
        <v>50</v>
      </c>
      <c r="EO10" s="745">
        <f t="shared" si="17"/>
        <v>2</v>
      </c>
      <c r="EP10" s="758">
        <f>VLOOKUP(EN10,'Ціни контур теплопостачання'!$Y$76:$AA$88,3,0)</f>
        <v>20.6</v>
      </c>
      <c r="EQ10" s="759">
        <f t="shared" si="68"/>
        <v>41.2</v>
      </c>
      <c r="ER10" s="745">
        <f t="shared" si="18"/>
        <v>32</v>
      </c>
      <c r="ES10" s="745">
        <v>1</v>
      </c>
      <c r="ET10" s="758">
        <f>VLOOKUP(ER10,'Ціни контур теплопостачання'!$Y$76:$AA$88,3,0)</f>
        <v>13.15</v>
      </c>
      <c r="EU10" s="759">
        <f t="shared" si="69"/>
        <v>13.15</v>
      </c>
      <c r="EV10" s="745">
        <f t="shared" si="19"/>
        <v>20</v>
      </c>
      <c r="EW10" s="745">
        <v>1</v>
      </c>
      <c r="EX10" s="758">
        <f>VLOOKUP(EV10,'Ціни контур теплопостачання'!$Y$76:$AA$88,3,0)</f>
        <v>11.45</v>
      </c>
      <c r="EY10" s="759">
        <f t="shared" si="70"/>
        <v>11.45</v>
      </c>
      <c r="EZ10" s="758">
        <f t="shared" si="20"/>
        <v>20.569880894161734</v>
      </c>
      <c r="FA10" s="760">
        <v>20</v>
      </c>
      <c r="FB10" s="719">
        <v>2</v>
      </c>
      <c r="FC10" s="747">
        <f>VLOOKUP(FA10,'Ціни контур теплопостачання'!$K$74:$M$79,3,0)</f>
        <v>16.440000000000001</v>
      </c>
      <c r="FD10" s="761">
        <f t="shared" si="21"/>
        <v>32.880000000000003</v>
      </c>
      <c r="FE10" s="762">
        <f t="shared" si="71"/>
        <v>6.8191268191268186</v>
      </c>
      <c r="FF10" s="911">
        <v>9</v>
      </c>
      <c r="FG10" s="900">
        <v>8</v>
      </c>
      <c r="FH10" s="830" t="s">
        <v>1091</v>
      </c>
      <c r="FI10" s="708">
        <v>2</v>
      </c>
      <c r="FJ10" s="709">
        <f>VLOOKUP(FH10,'Ціни контур теплопостачання'!$C$89:$M$105,11,0)</f>
        <v>198.83999999999997</v>
      </c>
      <c r="FK10" s="764">
        <f t="shared" si="72"/>
        <v>397.67999999999995</v>
      </c>
      <c r="FL10" s="912">
        <f t="shared" si="73"/>
        <v>0.79716024340770797</v>
      </c>
      <c r="FM10" s="911">
        <v>9</v>
      </c>
      <c r="FN10" s="900">
        <v>9</v>
      </c>
      <c r="FO10" s="666" t="s">
        <v>1097</v>
      </c>
      <c r="FP10" s="749">
        <v>1</v>
      </c>
      <c r="FQ10" s="747">
        <f>VLOOKUP(FO10,'Ціни контур теплопостачання'!$C$89:$M$105,11,0)</f>
        <v>241.2</v>
      </c>
      <c r="FR10" s="904">
        <f t="shared" si="74"/>
        <v>241.2</v>
      </c>
      <c r="FS10" s="758">
        <f t="array" ref="FS10">MIN(IF('Ціни контур теплопостачання'!$AN$68:$AN$77&gt;(V10*1.2),'Ціни контур теплопостачання'!$AN$68:$AN$77))</f>
        <v>22.36</v>
      </c>
      <c r="FT10" s="749">
        <f>VLOOKUP(FS10,'Ціни контур теплопостачання'!$AN$68:$AO$77,2,0)</f>
        <v>40</v>
      </c>
      <c r="FU10" s="749">
        <v>0</v>
      </c>
      <c r="FV10" s="747">
        <f>VLOOKUP(FT10,'Ціни контур теплопостачання'!$AO$68:$AQ$77,3,0)</f>
        <v>43.225000000000001</v>
      </c>
      <c r="FW10" s="765">
        <f t="shared" si="75"/>
        <v>0</v>
      </c>
      <c r="FX10" s="750">
        <v>15</v>
      </c>
      <c r="FY10" s="746">
        <v>2</v>
      </c>
      <c r="FZ10" s="747">
        <f>VLOOKUP(FX10,'Ціни контур мережний'!$J$73:$M$73,4,0)</f>
        <v>3.4649999999999999</v>
      </c>
      <c r="GA10" s="748">
        <f t="shared" si="76"/>
        <v>6.93</v>
      </c>
      <c r="GB10" s="750">
        <f>VLOOKUP(GC10,'Ціни контур теплопостачання'!$AN$6:$AO$13,2,0)</f>
        <v>25</v>
      </c>
      <c r="GC10" s="751">
        <f t="array" ref="GC10">MIN(IF('Ціни контур теплопостачання'!$AN$6:$AN$13&gt;N10,'Ціни контур теплопостачання'!$AN$6:$AN$13))</f>
        <v>3.5</v>
      </c>
      <c r="GD10" s="751">
        <v>1</v>
      </c>
      <c r="GE10" s="747">
        <f>VLOOKUP(GB10,'Ціни контур теплопостачання'!$AO$6:$AQ$13,3,0)</f>
        <v>76.3506</v>
      </c>
      <c r="GF10" s="748">
        <f t="shared" si="77"/>
        <v>76.3506</v>
      </c>
      <c r="GG10" s="750">
        <f t="shared" si="23"/>
        <v>32</v>
      </c>
      <c r="GH10" s="746">
        <v>1</v>
      </c>
      <c r="GI10" s="747">
        <f>VLOOKUP(GG10,'Ціни контур теплопостачання'!$AO$55:$AQ$63,3,0)</f>
        <v>150.1</v>
      </c>
      <c r="GJ10" s="768">
        <f t="shared" si="78"/>
        <v>150.1</v>
      </c>
      <c r="GK10" s="655" t="str">
        <f t="shared" ref="GK10:GK40" si="91">GK9</f>
        <v>0-150</v>
      </c>
      <c r="GL10" s="720">
        <v>1</v>
      </c>
      <c r="GM10" s="747">
        <f>VLOOKUP(GK10,'Ціни контур мережний'!$I$79:$M$80,5,0)</f>
        <v>15.050156291498967</v>
      </c>
      <c r="GN10" s="748">
        <f t="shared" si="79"/>
        <v>15.050156291498967</v>
      </c>
      <c r="GO10" s="758" t="s">
        <v>109</v>
      </c>
      <c r="GP10" s="749">
        <v>1</v>
      </c>
      <c r="GQ10" s="747">
        <f>VLOOKUP(GO10,'Ціни контур мережний'!$I$79:$M$80,5,0)</f>
        <v>15.050156291498967</v>
      </c>
      <c r="GR10" s="765">
        <f t="shared" si="80"/>
        <v>15.050156291498967</v>
      </c>
      <c r="GS10" s="655" t="s">
        <v>108</v>
      </c>
      <c r="GT10" s="720">
        <v>3</v>
      </c>
      <c r="GU10" s="747">
        <f>VLOOKUP(GS10,'Ціни контур мережний'!$I$67:$M$69,5,0)</f>
        <v>4.4537969640631703</v>
      </c>
      <c r="GV10" s="748">
        <f t="shared" si="81"/>
        <v>13.361390892189512</v>
      </c>
      <c r="GW10" s="655" t="s">
        <v>106</v>
      </c>
      <c r="GX10" s="720">
        <f>11</f>
        <v>11</v>
      </c>
      <c r="GY10" s="747">
        <f>VLOOKUP(GW10,'Ціни контур мережний'!$I$67:$M$69,5,0)</f>
        <v>4.4537969640631703</v>
      </c>
      <c r="GZ10" s="748">
        <f t="shared" si="82"/>
        <v>48.991766604694874</v>
      </c>
      <c r="HA10" s="655" t="s">
        <v>1013</v>
      </c>
      <c r="HB10" s="720">
        <v>4</v>
      </c>
      <c r="HC10" s="747">
        <f>VLOOKUP(HA10,'Ціни контур мережний'!$I$64:$M$64,5,0)</f>
        <v>29.1312</v>
      </c>
      <c r="HD10" s="748">
        <f t="shared" si="83"/>
        <v>116.5248</v>
      </c>
      <c r="HE10" s="766" t="s">
        <v>1015</v>
      </c>
      <c r="HF10" s="749">
        <v>6</v>
      </c>
      <c r="HG10" s="747">
        <f>VLOOKUP(HE10,'Ціни контур мережний'!$I$89:$M$89,5,0)</f>
        <v>79.523165325760516</v>
      </c>
      <c r="HH10" s="765">
        <f t="shared" si="84"/>
        <v>477.1389919545631</v>
      </c>
      <c r="HI10" s="917" t="s">
        <v>1016</v>
      </c>
      <c r="HJ10" s="720">
        <v>7</v>
      </c>
      <c r="HK10" s="747">
        <f>VLOOKUP(HI10,'Ціни контур мережний'!$I$88:$M$88,5,0)</f>
        <v>13.211568975967202</v>
      </c>
      <c r="HL10" s="768">
        <f t="shared" si="85"/>
        <v>92.480982831770419</v>
      </c>
      <c r="HM10" s="917" t="s">
        <v>383</v>
      </c>
      <c r="HN10" s="720">
        <v>1</v>
      </c>
      <c r="HO10" s="747">
        <f>VLOOKUP(HM10,'Ціни контур мережний'!$I$87:$M$87,5,0)</f>
        <v>13.483972460007763</v>
      </c>
      <c r="HP10" s="748">
        <f t="shared" si="86"/>
        <v>13.483972460007763</v>
      </c>
      <c r="HQ10" s="769">
        <f t="shared" si="24"/>
        <v>14</v>
      </c>
      <c r="HR10" s="770">
        <f t="shared" si="87"/>
        <v>4362.0417823526868</v>
      </c>
      <c r="HS10" s="771">
        <v>0</v>
      </c>
      <c r="HT10" s="771">
        <f>'Таблиця цін схема №1'!$JE$44/'Ціни контур мережний'!$G$26</f>
        <v>476.70609707098151</v>
      </c>
      <c r="HU10" s="770">
        <f>'Таблиця цін схема №1'!$JG$8</f>
        <v>661.80181284518619</v>
      </c>
      <c r="HV10" s="770">
        <f>'Таблиця цін схема №1'!$JH$8</f>
        <v>487.81784379022207</v>
      </c>
      <c r="HW10" s="770">
        <f>'Таблиця цін схема №1'!$JI$8</f>
        <v>323.47913729816605</v>
      </c>
      <c r="HX10" s="770">
        <f>'Таблиця цін схема №1'!$JJ$8</f>
        <v>66.611999999999995</v>
      </c>
      <c r="HY10" s="772">
        <v>0</v>
      </c>
      <c r="HZ10" s="772">
        <f>'Таблиця цін схема №1'!$JL$8</f>
        <v>62.86234247089866</v>
      </c>
      <c r="IA10" s="772">
        <v>0</v>
      </c>
      <c r="IB10" s="770">
        <v>0</v>
      </c>
      <c r="IC10" s="913">
        <f t="shared" si="25"/>
        <v>450.89247110796998</v>
      </c>
      <c r="ID10" s="914">
        <f t="shared" si="26"/>
        <v>644.13210158281424</v>
      </c>
      <c r="IE10" s="915">
        <f t="shared" si="27"/>
        <v>110.80672377341671</v>
      </c>
      <c r="IF10" s="776">
        <f>'Таблиця цін схема №1'!$JR$8</f>
        <v>300.63036461094771</v>
      </c>
      <c r="IG10" s="777">
        <f t="shared" si="88"/>
        <v>7947.7826769032908</v>
      </c>
      <c r="II10" s="611">
        <f>[3]Расчеты!AX9/1.2</f>
        <v>4013.0253403083561</v>
      </c>
      <c r="IJ10" s="611">
        <f t="shared" si="89"/>
        <v>11960.808017211646</v>
      </c>
      <c r="IK10" s="611" t="e">
        <f>IJ10*1.2*#REF!</f>
        <v>#REF!</v>
      </c>
      <c r="IL10" s="611"/>
    </row>
    <row r="11" spans="1:246" ht="12.6" customHeight="1">
      <c r="A11" s="610" t="s">
        <v>686</v>
      </c>
      <c r="B11" s="905">
        <v>15</v>
      </c>
      <c r="C11" s="1056" t="s">
        <v>1429</v>
      </c>
      <c r="D11" s="906">
        <v>0.1515</v>
      </c>
      <c r="E11" s="907">
        <v>0.13100000000000001</v>
      </c>
      <c r="F11" s="908">
        <f t="shared" si="28"/>
        <v>6.0549944436773</v>
      </c>
      <c r="G11" s="909">
        <v>50</v>
      </c>
      <c r="H11" s="598">
        <f t="shared" si="29"/>
        <v>2.7063236870310825</v>
      </c>
      <c r="I11" s="599">
        <v>32</v>
      </c>
      <c r="J11" s="598">
        <f t="shared" si="30"/>
        <v>6.2993762993762994</v>
      </c>
      <c r="K11" s="599">
        <v>50</v>
      </c>
      <c r="L11" s="598">
        <f t="shared" si="31"/>
        <v>3.3486707566462171</v>
      </c>
      <c r="M11" s="599">
        <v>40</v>
      </c>
      <c r="N11" s="598">
        <f t="shared" si="32"/>
        <v>2.6572008113590266</v>
      </c>
      <c r="O11" s="599">
        <v>32</v>
      </c>
      <c r="P11" s="598">
        <f t="shared" si="90"/>
        <v>0.79716024340770797</v>
      </c>
      <c r="Q11" s="599">
        <v>20</v>
      </c>
      <c r="R11" s="598">
        <f t="shared" si="33"/>
        <v>3.827319662370916</v>
      </c>
      <c r="S11" s="600">
        <f t="shared" si="34"/>
        <v>4.735735599971254</v>
      </c>
      <c r="T11" s="910">
        <v>2</v>
      </c>
      <c r="U11" s="601">
        <f t="shared" si="35"/>
        <v>3.1496881496881497</v>
      </c>
      <c r="V11" s="601">
        <f t="shared" si="36"/>
        <v>4.4543316985348005</v>
      </c>
      <c r="W11" s="602">
        <v>32</v>
      </c>
      <c r="X11" s="745">
        <f t="shared" si="0"/>
        <v>50</v>
      </c>
      <c r="Y11" s="746">
        <v>2</v>
      </c>
      <c r="Z11" s="747">
        <f>VLOOKUP(X11,'Ціни контур мережний'!$Z$24:$AB$36,3,0)</f>
        <v>23.2782130224622</v>
      </c>
      <c r="AA11" s="748">
        <f t="shared" si="37"/>
        <v>46.5564260449244</v>
      </c>
      <c r="AB11" s="745">
        <f t="shared" si="1"/>
        <v>50</v>
      </c>
      <c r="AC11" s="749">
        <v>2</v>
      </c>
      <c r="AD11" s="747">
        <f>VLOOKUP(AB11,'Ціни контур мережний'!$Z$64:$AB$77,3,0)</f>
        <v>80.03214361111678</v>
      </c>
      <c r="AE11" s="748">
        <f t="shared" si="38"/>
        <v>160.06428722223356</v>
      </c>
      <c r="AF11" s="745">
        <f t="shared" si="2"/>
        <v>50</v>
      </c>
      <c r="AG11" s="746">
        <v>1</v>
      </c>
      <c r="AH11" s="747">
        <f>VLOOKUP(AF11,'Ціни контур мережний'!$Z$5:$AB$17,3,0)</f>
        <v>26.284999999999997</v>
      </c>
      <c r="AI11" s="748">
        <f t="shared" si="39"/>
        <v>26.284999999999997</v>
      </c>
      <c r="AJ11" s="750">
        <f t="shared" si="3"/>
        <v>32</v>
      </c>
      <c r="AK11" s="746">
        <v>3</v>
      </c>
      <c r="AL11" s="747">
        <f>VLOOKUP(AJ11,'Ціни контур мережний'!$Z$43:$AB$55,3,0)</f>
        <v>16.107218011318363</v>
      </c>
      <c r="AM11" s="748">
        <f t="shared" si="40"/>
        <v>48.321654033955085</v>
      </c>
      <c r="AN11" s="745">
        <f t="shared" si="4"/>
        <v>40</v>
      </c>
      <c r="AO11" s="749">
        <v>4</v>
      </c>
      <c r="AP11" s="747">
        <f>VLOOKUP(AN11,'Ціни контур мережний'!$Z$43:$AB$55,3,0)</f>
        <v>18.42400964308333</v>
      </c>
      <c r="AQ11" s="759">
        <f t="shared" si="41"/>
        <v>73.696038572333322</v>
      </c>
      <c r="AR11" s="751" t="str">
        <f t="shared" si="42"/>
        <v>AMV20</v>
      </c>
      <c r="AS11" s="751">
        <v>1</v>
      </c>
      <c r="AT11" s="747">
        <f>VLOOKUP(AR11,'Ціни контур мережний'!$I$53:$M$57,5,0)</f>
        <v>110.39869654932889</v>
      </c>
      <c r="AU11" s="748">
        <f t="shared" si="43"/>
        <v>110.39869654932889</v>
      </c>
      <c r="AV11" s="752">
        <f t="array" ref="AV11">MIN(IF('Ціни контур мережний'!$Y$83:$Y$92&gt;(R11*1.2),'Ціни контур мережний'!$Y$83:$Y$92))</f>
        <v>6.3</v>
      </c>
      <c r="AW11" s="746">
        <f>VLOOKUP(AV11,'Ціни контур мережний'!$Y$83:$Z$92,2,0)</f>
        <v>20</v>
      </c>
      <c r="AX11" s="746">
        <v>1</v>
      </c>
      <c r="AY11" s="747">
        <f>VLOOKUP(AV11,'Ціни контур мережний'!$Y$83:$AB$92,4,0)</f>
        <v>113.14115267534271</v>
      </c>
      <c r="AZ11" s="748">
        <f t="shared" si="44"/>
        <v>113.14115267534271</v>
      </c>
      <c r="BA11" s="1099">
        <f t="array" ref="BA11">MIN(IF('[1]Ціни контур мережний'!$Y$104:$Y$114&gt;(R11*1.2),'[1]Ціни контур мережний'!$Y$104:$Y$114))</f>
        <v>6.3</v>
      </c>
      <c r="BB11" s="1101">
        <f>VLOOKUP(BA11,'[1]Ціни контур мережний'!$Y$104:$Z$114,2,0)</f>
        <v>20</v>
      </c>
      <c r="BC11" s="753">
        <v>1</v>
      </c>
      <c r="BD11" s="754">
        <f>VLOOKUP(BA11,'Ціни контур мережний'!$Y$104:$AB$114,4,0)</f>
        <v>259.83406541769665</v>
      </c>
      <c r="BE11" s="755">
        <f t="shared" si="45"/>
        <v>259.83406541769665</v>
      </c>
      <c r="BF11" s="751" t="s">
        <v>67</v>
      </c>
      <c r="BG11" s="749">
        <v>1</v>
      </c>
      <c r="BH11" s="747">
        <f>VLOOKUP(BF11,'Ціни контур мережний'!$I$53:$M$57,5,0)</f>
        <v>157.67238032974441</v>
      </c>
      <c r="BI11" s="768">
        <f t="shared" si="46"/>
        <v>157.67238032974441</v>
      </c>
      <c r="BJ11" s="894">
        <f t="array" ref="BJ11">MIN(IF('Ціни контур мережний'!$Y$83:$Y$93&gt;(S11*1.2),'Ціни контур мережний'!$Y$83:$Y$93))</f>
        <v>6.3</v>
      </c>
      <c r="BK11" s="895">
        <f>VLOOKUP(BJ11,'Ціни контур мережний'!$Y$83:$Z$93,2,0)</f>
        <v>20</v>
      </c>
      <c r="BL11" s="895">
        <v>1</v>
      </c>
      <c r="BM11" s="896">
        <f>VLOOKUP(BJ11,'Ціни контур мережний'!$Y$83:$AB$93,4,0)</f>
        <v>113.14115267534271</v>
      </c>
      <c r="BN11" s="916">
        <f t="shared" si="47"/>
        <v>113.14115267534271</v>
      </c>
      <c r="BO11" s="896">
        <f t="array" ref="BO11">MIN(IF('Ціни контур мережний'!$Y$104:$Y$114&gt;(S11*1.2),'Ціни контур мережний'!$Y$104:$Y$114))</f>
        <v>6.3</v>
      </c>
      <c r="BP11" s="895">
        <f>VLOOKUP(BO11,'Ціни контур мережний'!$Y$104:$Z$114,2,0)</f>
        <v>20</v>
      </c>
      <c r="BQ11" s="895">
        <v>1</v>
      </c>
      <c r="BR11" s="896">
        <f>VLOOKUP(BO11,'Ціни контур мережний'!$Y$104:$AB$114,4,0)</f>
        <v>259.83406541769665</v>
      </c>
      <c r="BS11" s="897">
        <f t="shared" si="48"/>
        <v>259.83406541769665</v>
      </c>
      <c r="BT11" s="751" t="s">
        <v>115</v>
      </c>
      <c r="BU11" s="751" t="s">
        <v>115</v>
      </c>
      <c r="BV11" s="746" t="s">
        <v>1025</v>
      </c>
      <c r="BW11" s="756">
        <v>0</v>
      </c>
      <c r="BX11" s="747">
        <v>0</v>
      </c>
      <c r="BY11" s="748">
        <f t="shared" si="49"/>
        <v>0</v>
      </c>
      <c r="BZ11" s="745">
        <f>VLOOKUP(CA11,'Ціни контур мережний'!$J$5:$L$12,3,0)</f>
        <v>25</v>
      </c>
      <c r="CA11" s="747">
        <f t="array" ref="CA11">MIN(IF('Ціни контур мережний'!$J$5:$J$12&gt;L11,'Ціни контур мережний'!$J$5:$J$12))</f>
        <v>3.5</v>
      </c>
      <c r="CB11" s="746" t="s">
        <v>130</v>
      </c>
      <c r="CC11" s="749">
        <v>1</v>
      </c>
      <c r="CD11" s="747">
        <f>VLOOKUP(CA11,'Ціни контур мережний'!$J$5:$N$12,5,0)</f>
        <v>341.25599999999997</v>
      </c>
      <c r="CE11" s="748">
        <f t="shared" si="50"/>
        <v>341.25599999999997</v>
      </c>
      <c r="CF11" s="898" t="s">
        <v>1340</v>
      </c>
      <c r="CG11" s="899">
        <v>1</v>
      </c>
      <c r="CH11" s="900">
        <v>449</v>
      </c>
      <c r="CI11" s="901">
        <f t="shared" si="51"/>
        <v>449</v>
      </c>
      <c r="CJ11" s="751">
        <f t="shared" si="5"/>
        <v>50</v>
      </c>
      <c r="CK11" s="746">
        <v>4</v>
      </c>
      <c r="CL11" s="747">
        <f>VLOOKUP(CJ11,'Ціни контур теплопостачання'!$Y$5:$AA$17,3,0)</f>
        <v>23.2782130224622</v>
      </c>
      <c r="CM11" s="748">
        <f t="shared" si="52"/>
        <v>93.112852089848801</v>
      </c>
      <c r="CN11" s="750">
        <f t="shared" si="6"/>
        <v>32</v>
      </c>
      <c r="CO11" s="746">
        <v>6</v>
      </c>
      <c r="CP11" s="747">
        <f>VLOOKUP(CN11,'Ціни контур теплопостачання'!$AO$20:$AQ$29,3,0)</f>
        <v>10.381</v>
      </c>
      <c r="CQ11" s="748">
        <f t="shared" si="53"/>
        <v>62.286000000000001</v>
      </c>
      <c r="CR11" s="750">
        <f t="shared" si="7"/>
        <v>20</v>
      </c>
      <c r="CS11" s="746">
        <v>3</v>
      </c>
      <c r="CT11" s="747">
        <f>VLOOKUP(CR11,'Ціни контур теплопостачання'!$AO$20:$AQ$29,3,0)</f>
        <v>3.577</v>
      </c>
      <c r="CU11" s="748">
        <f t="shared" si="54"/>
        <v>10.731</v>
      </c>
      <c r="CV11" s="757">
        <f t="shared" si="8"/>
        <v>32</v>
      </c>
      <c r="CW11" s="746">
        <f t="shared" si="9"/>
        <v>4</v>
      </c>
      <c r="CX11" s="747">
        <f>VLOOKUP(CV11,'Ціни контур теплопостачання'!$Y$5:$AA$17,3,0)</f>
        <v>10.381</v>
      </c>
      <c r="CY11" s="748">
        <f t="shared" si="55"/>
        <v>41.524000000000001</v>
      </c>
      <c r="CZ11" s="745">
        <v>20</v>
      </c>
      <c r="DA11" s="749">
        <v>2</v>
      </c>
      <c r="DB11" s="747">
        <f>VLOOKUP(CZ11,'Ціни контур теплопостачання'!$Y$5:$AA$17,3,0)</f>
        <v>3.577</v>
      </c>
      <c r="DC11" s="748">
        <f t="shared" si="56"/>
        <v>7.1539999999999999</v>
      </c>
      <c r="DD11" s="745">
        <v>15</v>
      </c>
      <c r="DE11" s="745">
        <v>8</v>
      </c>
      <c r="DF11" s="758">
        <f>VLOOKUP(DD11,'Ціни контур теплопостачання'!$Y$5:$AA$17,3,0)</f>
        <v>2.464</v>
      </c>
      <c r="DG11" s="759">
        <f t="shared" si="57"/>
        <v>19.712</v>
      </c>
      <c r="DH11" s="745">
        <v>15</v>
      </c>
      <c r="DI11" s="745">
        <f t="shared" si="58"/>
        <v>37</v>
      </c>
      <c r="DJ11" s="758">
        <f>VLOOKUP(DH11,'Ціни контур мережний'!$J$71:$M$71,4,0)</f>
        <v>3.3865201135922525</v>
      </c>
      <c r="DK11" s="759">
        <f t="shared" si="59"/>
        <v>125.30124420291334</v>
      </c>
      <c r="DL11" s="751">
        <f t="shared" si="10"/>
        <v>50</v>
      </c>
      <c r="DM11" s="746">
        <v>1</v>
      </c>
      <c r="DN11" s="747">
        <f>VLOOKUP(DL11,'Ціни контур теплопостачання'!$K$5:$M$17,3,0)</f>
        <v>26.284999999999997</v>
      </c>
      <c r="DO11" s="748">
        <f t="shared" si="60"/>
        <v>26.284999999999997</v>
      </c>
      <c r="DP11" s="745">
        <f t="shared" si="11"/>
        <v>32</v>
      </c>
      <c r="DQ11" s="749">
        <v>1</v>
      </c>
      <c r="DR11" s="747">
        <f>VLOOKUP(DP11,'Ціни контур теплопостачання'!$K$5:$M$17,3,0)</f>
        <v>9.48</v>
      </c>
      <c r="DS11" s="748">
        <f t="shared" si="61"/>
        <v>9.48</v>
      </c>
      <c r="DT11" s="745">
        <f t="shared" si="12"/>
        <v>20</v>
      </c>
      <c r="DU11" s="745">
        <v>1</v>
      </c>
      <c r="DV11" s="758">
        <f>VLOOKUP(DT11,'Ціни контур теплопостачання'!$K$5:$M$17,3,0)</f>
        <v>3.48</v>
      </c>
      <c r="DW11" s="759">
        <f t="shared" si="62"/>
        <v>3.48</v>
      </c>
      <c r="DX11" s="745">
        <f t="shared" si="63"/>
        <v>50</v>
      </c>
      <c r="DY11" s="745">
        <v>1</v>
      </c>
      <c r="DZ11" s="758">
        <f>VLOOKUP(DX11,'Ціни контур теплопостачання'!$Y$24:$AA$36,3,0)</f>
        <v>28.560999999999996</v>
      </c>
      <c r="EA11" s="759">
        <f t="shared" si="64"/>
        <v>28.560999999999996</v>
      </c>
      <c r="EB11" s="751">
        <f t="shared" si="13"/>
        <v>50</v>
      </c>
      <c r="EC11" s="746">
        <v>2</v>
      </c>
      <c r="ED11" s="747">
        <f>VLOOKUP(EB11,'Ціни контур теплопостачання'!$Y$24:$AA$36,3,0)</f>
        <v>28.560999999999996</v>
      </c>
      <c r="EE11" s="748">
        <f t="shared" si="65"/>
        <v>57.121999999999993</v>
      </c>
      <c r="EF11" s="745">
        <f t="shared" si="14"/>
        <v>32</v>
      </c>
      <c r="EG11" s="749">
        <v>1</v>
      </c>
      <c r="EH11" s="747">
        <f>VLOOKUP(EF11,'Ціни контур теплопостачання'!$AO$38:$AQ$50,3,0)</f>
        <v>10.773</v>
      </c>
      <c r="EI11" s="748">
        <f t="shared" si="66"/>
        <v>10.773</v>
      </c>
      <c r="EJ11" s="745">
        <f t="shared" si="15"/>
        <v>20</v>
      </c>
      <c r="EK11" s="745">
        <v>1</v>
      </c>
      <c r="EL11" s="758">
        <f>VLOOKUP(EJ11,'Ціни контур теплопостачання'!$AO$38:$AQ$50,3,0)</f>
        <v>4.5359999999999996</v>
      </c>
      <c r="EM11" s="759">
        <f t="shared" si="67"/>
        <v>4.5359999999999996</v>
      </c>
      <c r="EN11" s="745">
        <f t="shared" si="16"/>
        <v>32</v>
      </c>
      <c r="EO11" s="745">
        <f t="shared" si="17"/>
        <v>4</v>
      </c>
      <c r="EP11" s="758">
        <f>VLOOKUP(EN11,'Ціни контур теплопостачання'!$Y$76:$AA$88,3,0)</f>
        <v>13.15</v>
      </c>
      <c r="EQ11" s="759">
        <f t="shared" si="68"/>
        <v>52.6</v>
      </c>
      <c r="ER11" s="745">
        <f t="shared" si="18"/>
        <v>32</v>
      </c>
      <c r="ES11" s="745">
        <v>1</v>
      </c>
      <c r="ET11" s="758">
        <f>VLOOKUP(ER11,'Ціни контур теплопостачання'!$Y$76:$AA$88,3,0)</f>
        <v>13.15</v>
      </c>
      <c r="EU11" s="759">
        <f t="shared" si="69"/>
        <v>13.15</v>
      </c>
      <c r="EV11" s="745">
        <f t="shared" si="19"/>
        <v>20</v>
      </c>
      <c r="EW11" s="745">
        <v>1</v>
      </c>
      <c r="EX11" s="758">
        <f>VLOOKUP(EV11,'Ціни контур теплопостачання'!$Y$76:$AA$88,3,0)</f>
        <v>11.45</v>
      </c>
      <c r="EY11" s="759">
        <f t="shared" si="70"/>
        <v>11.45</v>
      </c>
      <c r="EZ11" s="758">
        <f t="shared" si="20"/>
        <v>19.770432468714485</v>
      </c>
      <c r="FA11" s="760">
        <v>20</v>
      </c>
      <c r="FB11" s="719">
        <v>2</v>
      </c>
      <c r="FC11" s="747">
        <f>VLOOKUP(FA11,'Ціни контур теплопостачання'!$K$74:$M$79,3,0)</f>
        <v>16.440000000000001</v>
      </c>
      <c r="FD11" s="761">
        <f t="shared" si="21"/>
        <v>32.880000000000003</v>
      </c>
      <c r="FE11" s="762">
        <f t="shared" si="71"/>
        <v>6.2993762993762994</v>
      </c>
      <c r="FF11" s="911">
        <v>9</v>
      </c>
      <c r="FG11" s="900">
        <v>8</v>
      </c>
      <c r="FH11" s="830" t="s">
        <v>1091</v>
      </c>
      <c r="FI11" s="708">
        <v>2</v>
      </c>
      <c r="FJ11" s="709">
        <f>VLOOKUP(FH11,'Ціни контур теплопостачання'!$C$89:$M$105,11,0)</f>
        <v>198.83999999999997</v>
      </c>
      <c r="FK11" s="764">
        <f t="shared" si="72"/>
        <v>397.67999999999995</v>
      </c>
      <c r="FL11" s="912">
        <f t="shared" si="73"/>
        <v>0.79716024340770797</v>
      </c>
      <c r="FM11" s="911">
        <v>9</v>
      </c>
      <c r="FN11" s="900">
        <v>9</v>
      </c>
      <c r="FO11" s="666" t="s">
        <v>1097</v>
      </c>
      <c r="FP11" s="749">
        <v>1</v>
      </c>
      <c r="FQ11" s="747">
        <f>VLOOKUP(FO11,'Ціни контур теплопостачання'!$C$89:$M$105,11,0)</f>
        <v>241.2</v>
      </c>
      <c r="FR11" s="904">
        <f t="shared" si="74"/>
        <v>241.2</v>
      </c>
      <c r="FS11" s="758">
        <f t="array" ref="FS11">MIN(IF('Ціни контур теплопостачання'!$AN$68:$AN$77&gt;(V11*1.2),'Ціни контур теплопостачання'!$AN$68:$AN$77))</f>
        <v>5.83</v>
      </c>
      <c r="FT11" s="749">
        <f>VLOOKUP(FS11,'Ціни контур теплопостачання'!$AN$68:$AO$77,2,0)</f>
        <v>25</v>
      </c>
      <c r="FU11" s="749">
        <f t="shared" si="22"/>
        <v>2</v>
      </c>
      <c r="FV11" s="747">
        <f>VLOOKUP(FT11,'Ціни контур теплопостачання'!$AO$68:$AQ$77,3,0)</f>
        <v>26.495000000000001</v>
      </c>
      <c r="FW11" s="765">
        <f t="shared" si="75"/>
        <v>52.99</v>
      </c>
      <c r="FX11" s="750">
        <v>15</v>
      </c>
      <c r="FY11" s="746">
        <v>2</v>
      </c>
      <c r="FZ11" s="747">
        <f>VLOOKUP(FX11,'Ціни контур мережний'!$J$73:$M$73,4,0)</f>
        <v>3.4649999999999999</v>
      </c>
      <c r="GA11" s="748">
        <f t="shared" si="76"/>
        <v>6.93</v>
      </c>
      <c r="GB11" s="750">
        <f>VLOOKUP(GC11,'Ціни контур теплопостачання'!$AN$6:$AO$13,2,0)</f>
        <v>25</v>
      </c>
      <c r="GC11" s="751">
        <f t="array" ref="GC11">MIN(IF('Ціни контур теплопостачання'!$AN$6:$AN$13&gt;N11,'Ціни контур теплопостачання'!$AN$6:$AN$13))</f>
        <v>3.5</v>
      </c>
      <c r="GD11" s="751">
        <v>1</v>
      </c>
      <c r="GE11" s="747">
        <f>VLOOKUP(GB11,'Ціни контур теплопостачання'!$AO$6:$AQ$13,3,0)</f>
        <v>76.3506</v>
      </c>
      <c r="GF11" s="748">
        <f t="shared" si="77"/>
        <v>76.3506</v>
      </c>
      <c r="GG11" s="750">
        <f t="shared" si="23"/>
        <v>32</v>
      </c>
      <c r="GH11" s="746">
        <v>1</v>
      </c>
      <c r="GI11" s="747">
        <f>VLOOKUP(GG11,'Ціни контур теплопостачання'!$AO$55:$AQ$63,3,0)</f>
        <v>150.1</v>
      </c>
      <c r="GJ11" s="768">
        <f t="shared" si="78"/>
        <v>150.1</v>
      </c>
      <c r="GK11" s="655" t="str">
        <f t="shared" si="91"/>
        <v>0-150</v>
      </c>
      <c r="GL11" s="720">
        <v>1</v>
      </c>
      <c r="GM11" s="747">
        <f>VLOOKUP(GK11,'Ціни контур мережний'!$I$79:$M$80,5,0)</f>
        <v>15.050156291498967</v>
      </c>
      <c r="GN11" s="748">
        <f t="shared" si="79"/>
        <v>15.050156291498967</v>
      </c>
      <c r="GO11" s="758" t="s">
        <v>109</v>
      </c>
      <c r="GP11" s="749">
        <v>5</v>
      </c>
      <c r="GQ11" s="747">
        <f>VLOOKUP(GO11,'Ціни контур мережний'!$I$79:$M$80,5,0)</f>
        <v>15.050156291498967</v>
      </c>
      <c r="GR11" s="765">
        <f t="shared" si="80"/>
        <v>75.250781457494838</v>
      </c>
      <c r="GS11" s="655" t="s">
        <v>108</v>
      </c>
      <c r="GT11" s="720">
        <v>5</v>
      </c>
      <c r="GU11" s="747">
        <f>VLOOKUP(GS11,'Ціни контур мережний'!$I$67:$M$69,5,0)</f>
        <v>4.4537969640631703</v>
      </c>
      <c r="GV11" s="748">
        <f t="shared" si="81"/>
        <v>22.26898482031585</v>
      </c>
      <c r="GW11" s="655" t="s">
        <v>106</v>
      </c>
      <c r="GX11" s="720">
        <f>11+T11</f>
        <v>13</v>
      </c>
      <c r="GY11" s="747">
        <f>VLOOKUP(GW11,'Ціни контур мережний'!$I$67:$M$69,5,0)</f>
        <v>4.4537969640631703</v>
      </c>
      <c r="GZ11" s="748">
        <f t="shared" si="82"/>
        <v>57.899360532821213</v>
      </c>
      <c r="HA11" s="655" t="s">
        <v>1013</v>
      </c>
      <c r="HB11" s="720">
        <v>4</v>
      </c>
      <c r="HC11" s="747">
        <f>VLOOKUP(HA11,'Ціни контур мережний'!$I$64:$M$64,5,0)</f>
        <v>29.1312</v>
      </c>
      <c r="HD11" s="748">
        <f t="shared" si="83"/>
        <v>116.5248</v>
      </c>
      <c r="HE11" s="766" t="s">
        <v>1015</v>
      </c>
      <c r="HF11" s="749">
        <v>6</v>
      </c>
      <c r="HG11" s="747">
        <f>VLOOKUP(HE11,'Ціни контур мережний'!$I$89:$M$89,5,0)</f>
        <v>79.523165325760516</v>
      </c>
      <c r="HH11" s="765">
        <f t="shared" si="84"/>
        <v>477.1389919545631</v>
      </c>
      <c r="HI11" s="778" t="s">
        <v>1016</v>
      </c>
      <c r="HJ11" s="720">
        <f t="shared" ref="HJ11:HJ40" si="92">$HJ$8</f>
        <v>7</v>
      </c>
      <c r="HK11" s="747">
        <f>VLOOKUP(HI11,'Ціни контур мережний'!$I$88:$M$88,5,0)</f>
        <v>13.211568975967202</v>
      </c>
      <c r="HL11" s="768">
        <f t="shared" si="85"/>
        <v>92.480982831770419</v>
      </c>
      <c r="HM11" s="757" t="s">
        <v>383</v>
      </c>
      <c r="HN11" s="720">
        <v>1</v>
      </c>
      <c r="HO11" s="747">
        <f>VLOOKUP(HM11,'Ціни контур мережний'!$I$87:$M$87,5,0)</f>
        <v>13.483972460007763</v>
      </c>
      <c r="HP11" s="748">
        <f t="shared" si="86"/>
        <v>13.483972460007763</v>
      </c>
      <c r="HQ11" s="769">
        <f t="shared" si="24"/>
        <v>15</v>
      </c>
      <c r="HR11" s="770">
        <f t="shared" si="87"/>
        <v>4564.687645579832</v>
      </c>
      <c r="HS11" s="771">
        <v>0</v>
      </c>
      <c r="HT11" s="771">
        <f>'Таблиця цін схема №1'!$JE$44/'Ціни контур мережний'!$G$26</f>
        <v>476.70609707098151</v>
      </c>
      <c r="HU11" s="770">
        <f>'Таблиця цін схема №1'!$JG$8</f>
        <v>661.80181284518619</v>
      </c>
      <c r="HV11" s="770">
        <f>'Таблиця цін схема №1'!$JH$8</f>
        <v>487.81784379022207</v>
      </c>
      <c r="HW11" s="770">
        <f>'Таблиця цін схема №1'!$JI$8</f>
        <v>323.47913729816605</v>
      </c>
      <c r="HX11" s="770">
        <f>'Таблиця цін схема №1'!$JJ$8</f>
        <v>66.611999999999995</v>
      </c>
      <c r="HY11" s="772">
        <v>0</v>
      </c>
      <c r="HZ11" s="772">
        <f>'Таблиця цін схема №1'!$JL$8</f>
        <v>62.86234247089866</v>
      </c>
      <c r="IA11" s="772">
        <v>0</v>
      </c>
      <c r="IB11" s="770">
        <v>0</v>
      </c>
      <c r="IC11" s="913">
        <f t="shared" si="25"/>
        <v>465.07768153387013</v>
      </c>
      <c r="ID11" s="914">
        <f t="shared" si="26"/>
        <v>664.39668790552878</v>
      </c>
      <c r="IE11" s="915">
        <f t="shared" si="27"/>
        <v>114.29273605804883</v>
      </c>
      <c r="IF11" s="776">
        <f>'Таблиця цін схема №1'!$JR$8</f>
        <v>300.63036461094771</v>
      </c>
      <c r="IG11" s="777">
        <f t="shared" si="88"/>
        <v>8188.3643491636831</v>
      </c>
      <c r="II11" s="611">
        <f>[3]Расчеты!AX10/1.2</f>
        <v>4013.0253403083561</v>
      </c>
      <c r="IJ11" s="611">
        <f t="shared" si="89"/>
        <v>12201.389689472038</v>
      </c>
      <c r="IK11" s="611" t="e">
        <f>IJ11*1.2*#REF!</f>
        <v>#REF!</v>
      </c>
      <c r="IL11" s="611"/>
    </row>
    <row r="12" spans="1:246" ht="12.6" customHeight="1">
      <c r="A12" s="610" t="s">
        <v>686</v>
      </c>
      <c r="B12" s="905">
        <v>16</v>
      </c>
      <c r="C12" s="1056" t="s">
        <v>889</v>
      </c>
      <c r="D12" s="906">
        <v>0.35749999999999998</v>
      </c>
      <c r="E12" s="907">
        <v>0.31</v>
      </c>
      <c r="F12" s="908">
        <f t="shared" si="28"/>
        <v>14.310544738808996</v>
      </c>
      <c r="G12" s="909">
        <v>65</v>
      </c>
      <c r="H12" s="598">
        <f t="shared" si="29"/>
        <v>6.3862093604858874</v>
      </c>
      <c r="I12" s="599">
        <v>50</v>
      </c>
      <c r="J12" s="598">
        <f t="shared" si="30"/>
        <v>14.864864864864865</v>
      </c>
      <c r="K12" s="599">
        <v>80</v>
      </c>
      <c r="L12" s="598">
        <f t="shared" si="31"/>
        <v>7.924335378323109</v>
      </c>
      <c r="M12" s="599">
        <v>50</v>
      </c>
      <c r="N12" s="598">
        <f t="shared" si="32"/>
        <v>6.2880324543610548</v>
      </c>
      <c r="O12" s="599">
        <v>50</v>
      </c>
      <c r="P12" s="598">
        <f t="shared" si="90"/>
        <v>1.8864097363083163</v>
      </c>
      <c r="Q12" s="599">
        <v>32</v>
      </c>
      <c r="R12" s="598">
        <f t="shared" si="33"/>
        <v>9.0314638897531516</v>
      </c>
      <c r="S12" s="600">
        <f t="shared" si="34"/>
        <v>11.206702564817471</v>
      </c>
      <c r="T12" s="910">
        <v>1</v>
      </c>
      <c r="U12" s="601">
        <f t="shared" si="35"/>
        <v>14.864864864864865</v>
      </c>
      <c r="V12" s="601">
        <f t="shared" si="36"/>
        <v>21.022093494735195</v>
      </c>
      <c r="W12" s="602">
        <v>80</v>
      </c>
      <c r="X12" s="745">
        <f t="shared" si="0"/>
        <v>65</v>
      </c>
      <c r="Y12" s="746">
        <v>2</v>
      </c>
      <c r="Z12" s="747">
        <f>VLOOKUP(X12,'Ціни контур мережний'!$Z$24:$AB$36,3,0)</f>
        <v>30.19184015363556</v>
      </c>
      <c r="AA12" s="748">
        <f t="shared" si="37"/>
        <v>60.383680307271121</v>
      </c>
      <c r="AB12" s="745">
        <f t="shared" si="1"/>
        <v>65</v>
      </c>
      <c r="AC12" s="749">
        <v>2</v>
      </c>
      <c r="AD12" s="747">
        <f>VLOOKUP(AB12,'Ціни контур мережний'!$Z$64:$AB$77,3,0)</f>
        <v>105.883234246566</v>
      </c>
      <c r="AE12" s="748">
        <f t="shared" si="38"/>
        <v>211.76646849313201</v>
      </c>
      <c r="AF12" s="745">
        <f t="shared" si="2"/>
        <v>65</v>
      </c>
      <c r="AG12" s="746">
        <v>0</v>
      </c>
      <c r="AH12" s="747">
        <f>VLOOKUP(AF12,'Ціни контур мережний'!$Z$5:$AB$17,3,0)</f>
        <v>39.731999999999999</v>
      </c>
      <c r="AI12" s="748">
        <f t="shared" si="39"/>
        <v>0</v>
      </c>
      <c r="AJ12" s="750">
        <f t="shared" si="3"/>
        <v>50</v>
      </c>
      <c r="AK12" s="746">
        <v>1</v>
      </c>
      <c r="AL12" s="747">
        <f>VLOOKUP(AJ12,'Ціни контур мережний'!$Z$43:$AB$55,3,0)</f>
        <v>23.2782130224622</v>
      </c>
      <c r="AM12" s="748">
        <f t="shared" si="40"/>
        <v>23.2782130224622</v>
      </c>
      <c r="AN12" s="745">
        <f t="shared" si="4"/>
        <v>50</v>
      </c>
      <c r="AO12" s="749">
        <v>4</v>
      </c>
      <c r="AP12" s="747">
        <f>VLOOKUP(AN12,'Ціни контур мережний'!$Z$43:$AB$55,3,0)</f>
        <v>23.2782130224622</v>
      </c>
      <c r="AQ12" s="759">
        <f t="shared" si="41"/>
        <v>93.112852089848801</v>
      </c>
      <c r="AR12" s="751" t="str">
        <f t="shared" si="42"/>
        <v>AMV20</v>
      </c>
      <c r="AS12" s="751">
        <v>1</v>
      </c>
      <c r="AT12" s="747">
        <f>VLOOKUP(AR12,'Ціни контур мережний'!$I$53:$M$57,5,0)</f>
        <v>110.39869654932889</v>
      </c>
      <c r="AU12" s="748">
        <f t="shared" si="43"/>
        <v>110.39869654932889</v>
      </c>
      <c r="AV12" s="752">
        <f t="array" ref="AV12">MIN(IF('Ціни контур мережний'!$Y$83:$Y$92&gt;(R12*1.2),'Ціни контур мережний'!$Y$83:$Y$92))</f>
        <v>16</v>
      </c>
      <c r="AW12" s="746">
        <f>VLOOKUP(AV12,'Ціни контур мережний'!$Y$83:$Z$92,2,0)</f>
        <v>32</v>
      </c>
      <c r="AX12" s="746">
        <v>1</v>
      </c>
      <c r="AY12" s="747">
        <f>VLOOKUP(AV12,'Ціни контур мережний'!$Y$83:$AB$92,4,0)</f>
        <v>130.5392363168325</v>
      </c>
      <c r="AZ12" s="748">
        <f t="shared" si="44"/>
        <v>130.5392363168325</v>
      </c>
      <c r="BA12" s="1099">
        <f t="array" ref="BA12">MIN(IF('[1]Ціни контур мережний'!$Y$104:$Y$114&gt;(R12*1.2),'[1]Ціни контур мережний'!$Y$104:$Y$114))</f>
        <v>12.5</v>
      </c>
      <c r="BB12" s="1101">
        <f>VLOOKUP(BA12,'[1]Ціни контур мережний'!$Y$104:$Z$114,2,0)</f>
        <v>32</v>
      </c>
      <c r="BC12" s="753">
        <v>1</v>
      </c>
      <c r="BD12" s="754">
        <f>VLOOKUP(BA12,'Ціни контур мережний'!$Y$104:$AB$114,4,0)</f>
        <v>435.76049604674444</v>
      </c>
      <c r="BE12" s="755">
        <f t="shared" si="45"/>
        <v>435.76049604674444</v>
      </c>
      <c r="BF12" s="751" t="s">
        <v>67</v>
      </c>
      <c r="BG12" s="749">
        <v>1</v>
      </c>
      <c r="BH12" s="747">
        <f>VLOOKUP(BF12,'Ціни контур мережний'!$I$53:$M$57,5,0)</f>
        <v>157.67238032974441</v>
      </c>
      <c r="BI12" s="768">
        <f t="shared" si="46"/>
        <v>157.67238032974441</v>
      </c>
      <c r="BJ12" s="894">
        <f t="array" ref="BJ12">MIN(IF('Ціни контур мережний'!$Y$83:$Y$93&gt;(S12*1.2),'Ціни контур мережний'!$Y$83:$Y$93))</f>
        <v>16</v>
      </c>
      <c r="BK12" s="895">
        <f>VLOOKUP(BJ12,'Ціни контур мережний'!$Y$83:$Z$93,2,0)</f>
        <v>32</v>
      </c>
      <c r="BL12" s="895">
        <v>1</v>
      </c>
      <c r="BM12" s="896">
        <f>VLOOKUP(BJ12,'Ціни контур мережний'!$Y$83:$AB$93,4,0)</f>
        <v>130.5392363168325</v>
      </c>
      <c r="BN12" s="916">
        <f t="shared" si="47"/>
        <v>130.5392363168325</v>
      </c>
      <c r="BO12" s="896">
        <f t="array" ref="BO12">MIN(IF('Ціни контур мережний'!$Y$104:$Y$114&gt;(S12*1.2),'Ціни контур мережний'!$Y$104:$Y$114))</f>
        <v>20</v>
      </c>
      <c r="BP12" s="895">
        <f>VLOOKUP(BO12,'Ціни контур мережний'!$Y$104:$Z$114,2,0)</f>
        <v>40</v>
      </c>
      <c r="BQ12" s="895">
        <v>1</v>
      </c>
      <c r="BR12" s="896">
        <f>VLOOKUP(BO12,'Ціни контур мережний'!$Y$104:$AB$114,4,0)</f>
        <v>448.22326189551967</v>
      </c>
      <c r="BS12" s="897">
        <f t="shared" si="48"/>
        <v>448.22326189551967</v>
      </c>
      <c r="BT12" s="751" t="s">
        <v>115</v>
      </c>
      <c r="BU12" s="751" t="s">
        <v>115</v>
      </c>
      <c r="BV12" s="746" t="s">
        <v>1025</v>
      </c>
      <c r="BW12" s="756">
        <v>0</v>
      </c>
      <c r="BX12" s="747">
        <v>0</v>
      </c>
      <c r="BY12" s="748">
        <f t="shared" si="49"/>
        <v>0</v>
      </c>
      <c r="BZ12" s="745">
        <f>VLOOKUP(CA12,'Ціни контур мережний'!$J$5:$L$12,3,0)</f>
        <v>40</v>
      </c>
      <c r="CA12" s="747">
        <f t="array" ref="CA12">MIN(IF('Ціни контур мережний'!$J$5:$J$12&gt;L12,'Ціни контур мережний'!$J$5:$J$12))</f>
        <v>10</v>
      </c>
      <c r="CB12" s="746" t="s">
        <v>130</v>
      </c>
      <c r="CC12" s="749">
        <v>1</v>
      </c>
      <c r="CD12" s="747">
        <f>VLOOKUP(CA12,'Ціни контур мережний'!$J$5:$N$12,5,0)</f>
        <v>375.23999999999995</v>
      </c>
      <c r="CE12" s="748">
        <f t="shared" si="50"/>
        <v>375.23999999999995</v>
      </c>
      <c r="CF12" s="898" t="s">
        <v>1341</v>
      </c>
      <c r="CG12" s="899">
        <v>1</v>
      </c>
      <c r="CH12" s="900">
        <v>677</v>
      </c>
      <c r="CI12" s="901">
        <f t="shared" si="51"/>
        <v>677</v>
      </c>
      <c r="CJ12" s="751">
        <f t="shared" si="5"/>
        <v>80</v>
      </c>
      <c r="CK12" s="746">
        <v>4</v>
      </c>
      <c r="CL12" s="747">
        <f>VLOOKUP(CJ12,'Ціни контур теплопостачання'!$Y$5:$AA$17,3,0)</f>
        <v>37.693832104112609</v>
      </c>
      <c r="CM12" s="748">
        <f t="shared" si="52"/>
        <v>150.77532841645044</v>
      </c>
      <c r="CN12" s="750">
        <f t="shared" si="6"/>
        <v>50</v>
      </c>
      <c r="CO12" s="746">
        <v>6</v>
      </c>
      <c r="CP12" s="747">
        <f>VLOOKUP(CN12,'Ціни контур теплопостачання'!$AO$20:$AQ$29,3,0)</f>
        <v>37.588411955788914</v>
      </c>
      <c r="CQ12" s="748">
        <f t="shared" si="53"/>
        <v>225.53047173473348</v>
      </c>
      <c r="CR12" s="750">
        <f t="shared" si="7"/>
        <v>32</v>
      </c>
      <c r="CS12" s="746">
        <v>3</v>
      </c>
      <c r="CT12" s="747">
        <f>VLOOKUP(CR12,'Ціни контур теплопостачання'!$AO$20:$AQ$29,3,0)</f>
        <v>10.381</v>
      </c>
      <c r="CU12" s="748">
        <f t="shared" si="54"/>
        <v>31.143000000000001</v>
      </c>
      <c r="CV12" s="757">
        <f t="shared" si="8"/>
        <v>80</v>
      </c>
      <c r="CW12" s="746">
        <f t="shared" si="9"/>
        <v>2</v>
      </c>
      <c r="CX12" s="747">
        <f>VLOOKUP(CV12,'Ціни контур теплопостачання'!$Y$5:$AA$17,3,0)</f>
        <v>37.693832104112609</v>
      </c>
      <c r="CY12" s="748">
        <f t="shared" si="55"/>
        <v>75.387664208225218</v>
      </c>
      <c r="CZ12" s="745">
        <v>20</v>
      </c>
      <c r="DA12" s="749">
        <v>2</v>
      </c>
      <c r="DB12" s="747">
        <f>VLOOKUP(CZ12,'Ціни контур теплопостачання'!$Y$5:$AA$17,3,0)</f>
        <v>3.577</v>
      </c>
      <c r="DC12" s="748">
        <f t="shared" si="56"/>
        <v>7.1539999999999999</v>
      </c>
      <c r="DD12" s="745">
        <v>15</v>
      </c>
      <c r="DE12" s="745">
        <v>8</v>
      </c>
      <c r="DF12" s="758">
        <f>VLOOKUP(DD12,'Ціни контур теплопостачання'!$Y$5:$AA$17,3,0)</f>
        <v>2.464</v>
      </c>
      <c r="DG12" s="759">
        <f t="shared" si="57"/>
        <v>19.712</v>
      </c>
      <c r="DH12" s="745">
        <v>15</v>
      </c>
      <c r="DI12" s="745">
        <f>35</f>
        <v>35</v>
      </c>
      <c r="DJ12" s="758">
        <f>VLOOKUP(DH12,'Ціни контур мережний'!$J$71:$M$71,4,0)</f>
        <v>3.3865201135922525</v>
      </c>
      <c r="DK12" s="759">
        <f t="shared" si="59"/>
        <v>118.52820397572884</v>
      </c>
      <c r="DL12" s="751">
        <f t="shared" si="10"/>
        <v>80</v>
      </c>
      <c r="DM12" s="746">
        <v>1</v>
      </c>
      <c r="DN12" s="747">
        <f>VLOOKUP(DL12,'Ціни контур теплопостачання'!$K$5:$M$17,3,0)</f>
        <v>50.12</v>
      </c>
      <c r="DO12" s="748">
        <f t="shared" si="60"/>
        <v>50.12</v>
      </c>
      <c r="DP12" s="745">
        <f t="shared" si="11"/>
        <v>50</v>
      </c>
      <c r="DQ12" s="749">
        <v>1</v>
      </c>
      <c r="DR12" s="747">
        <f>VLOOKUP(DP12,'Ціни контур теплопостачання'!$K$5:$M$17,3,0)</f>
        <v>26.284999999999997</v>
      </c>
      <c r="DS12" s="748">
        <f t="shared" si="61"/>
        <v>26.284999999999997</v>
      </c>
      <c r="DT12" s="745">
        <f t="shared" si="12"/>
        <v>32</v>
      </c>
      <c r="DU12" s="745">
        <v>1</v>
      </c>
      <c r="DV12" s="758">
        <f>VLOOKUP(DT12,'Ціни контур теплопостачання'!$K$5:$M$17,3,0)</f>
        <v>9.48</v>
      </c>
      <c r="DW12" s="759">
        <f t="shared" si="62"/>
        <v>9.48</v>
      </c>
      <c r="DX12" s="745">
        <f t="shared" si="63"/>
        <v>80</v>
      </c>
      <c r="DY12" s="745">
        <v>1</v>
      </c>
      <c r="DZ12" s="758">
        <f>VLOOKUP(DX12,'Ціни контур теплопостачання'!$Y$24:$AA$36,3,0)</f>
        <v>60.079499999999996</v>
      </c>
      <c r="EA12" s="759">
        <f t="shared" si="64"/>
        <v>60.079499999999996</v>
      </c>
      <c r="EB12" s="751">
        <f t="shared" si="13"/>
        <v>80</v>
      </c>
      <c r="EC12" s="746">
        <v>2</v>
      </c>
      <c r="ED12" s="747">
        <f>VLOOKUP(EB12,'Ціни контур теплопостачання'!$Y$24:$AA$36,3,0)</f>
        <v>60.079499999999996</v>
      </c>
      <c r="EE12" s="748">
        <f t="shared" si="65"/>
        <v>120.15899999999999</v>
      </c>
      <c r="EF12" s="745">
        <f t="shared" si="14"/>
        <v>50</v>
      </c>
      <c r="EG12" s="749">
        <v>1</v>
      </c>
      <c r="EH12" s="747">
        <f>VLOOKUP(EF12,'Ціни контур теплопостачання'!$AO$38:$AQ$50,3,0)</f>
        <v>28.560999999999996</v>
      </c>
      <c r="EI12" s="748">
        <f t="shared" si="66"/>
        <v>28.560999999999996</v>
      </c>
      <c r="EJ12" s="745">
        <f t="shared" si="15"/>
        <v>32</v>
      </c>
      <c r="EK12" s="745">
        <v>1</v>
      </c>
      <c r="EL12" s="758">
        <f>VLOOKUP(EJ12,'Ціни контур теплопостачання'!$AO$38:$AQ$50,3,0)</f>
        <v>10.773</v>
      </c>
      <c r="EM12" s="759">
        <f t="shared" si="67"/>
        <v>10.773</v>
      </c>
      <c r="EN12" s="745">
        <f t="shared" si="16"/>
        <v>80</v>
      </c>
      <c r="EO12" s="745">
        <f t="shared" si="17"/>
        <v>2</v>
      </c>
      <c r="EP12" s="758">
        <f>VLOOKUP(EN12,'Ціни контур теплопостачання'!$Y$76:$AA$88,3,0)</f>
        <v>31.42</v>
      </c>
      <c r="EQ12" s="759">
        <f t="shared" si="68"/>
        <v>62.84</v>
      </c>
      <c r="ER12" s="745">
        <f t="shared" si="18"/>
        <v>50</v>
      </c>
      <c r="ES12" s="745">
        <v>1</v>
      </c>
      <c r="ET12" s="758">
        <f>VLOOKUP(ER12,'Ціни контур теплопостачання'!$Y$76:$AA$88,3,0)</f>
        <v>20.6</v>
      </c>
      <c r="EU12" s="759">
        <f t="shared" si="69"/>
        <v>20.6</v>
      </c>
      <c r="EV12" s="745">
        <f t="shared" si="19"/>
        <v>32</v>
      </c>
      <c r="EW12" s="745">
        <v>1</v>
      </c>
      <c r="EX12" s="758">
        <f>VLOOKUP(EV12,'Ціни контур теплопостачання'!$Y$76:$AA$88,3,0)</f>
        <v>13.15</v>
      </c>
      <c r="EY12" s="759">
        <f t="shared" si="70"/>
        <v>13.15</v>
      </c>
      <c r="EZ12" s="758">
        <f t="shared" si="20"/>
        <v>30.370215672596068</v>
      </c>
      <c r="FA12" s="760">
        <v>32</v>
      </c>
      <c r="FB12" s="719">
        <v>2</v>
      </c>
      <c r="FC12" s="747">
        <f>VLOOKUP(FA12,'Ціни контур теплопостачання'!$K$74:$M$79,3,0)</f>
        <v>33.68</v>
      </c>
      <c r="FD12" s="761">
        <f t="shared" si="21"/>
        <v>67.36</v>
      </c>
      <c r="FE12" s="762">
        <f t="shared" si="71"/>
        <v>14.864864864864865</v>
      </c>
      <c r="FF12" s="911">
        <v>5</v>
      </c>
      <c r="FG12" s="900">
        <v>5</v>
      </c>
      <c r="FH12" s="830" t="s">
        <v>123</v>
      </c>
      <c r="FI12" s="708">
        <v>2</v>
      </c>
      <c r="FJ12" s="709">
        <f>VLOOKUP(FH12,'Ціни контур теплопостачання'!$C$89:$M$105,11,0)</f>
        <v>387.45599999999996</v>
      </c>
      <c r="FK12" s="764">
        <f t="shared" si="72"/>
        <v>774.91199999999992</v>
      </c>
      <c r="FL12" s="912">
        <f t="shared" si="73"/>
        <v>1.8864097363083163</v>
      </c>
      <c r="FM12" s="911">
        <v>5</v>
      </c>
      <c r="FN12" s="900">
        <v>6</v>
      </c>
      <c r="FO12" s="900" t="s">
        <v>1097</v>
      </c>
      <c r="FP12" s="749">
        <v>1</v>
      </c>
      <c r="FQ12" s="747">
        <f>VLOOKUP(FO12,'Ціни контур теплопостачання'!$C$89:$M$105,11,0)</f>
        <v>241.2</v>
      </c>
      <c r="FR12" s="904">
        <f t="shared" si="74"/>
        <v>241.2</v>
      </c>
      <c r="FS12" s="758">
        <f t="array" ref="FS12">MIN(IF('Ціни контур теплопостачання'!$AN$68:$AN$77&gt;(V12*1.2),'Ціни контур теплопостачання'!$AN$68:$AN$77))</f>
        <v>32.15</v>
      </c>
      <c r="FT12" s="749">
        <f>VLOOKUP(FS12,'Ціни контур теплопостачання'!$AN$68:$AO$77,2,0)</f>
        <v>50</v>
      </c>
      <c r="FU12" s="749">
        <v>0</v>
      </c>
      <c r="FV12" s="747">
        <f>VLOOKUP(FT12,'Ціни контур теплопостачання'!$AO$68:$AQ$77,3,0)</f>
        <v>0</v>
      </c>
      <c r="FW12" s="765">
        <f t="shared" si="75"/>
        <v>0</v>
      </c>
      <c r="FX12" s="750">
        <v>15</v>
      </c>
      <c r="FY12" s="746">
        <v>2</v>
      </c>
      <c r="FZ12" s="747">
        <f>VLOOKUP(FX12,'Ціни контур мережний'!$J$73:$M$73,4,0)</f>
        <v>3.4649999999999999</v>
      </c>
      <c r="GA12" s="748">
        <f t="shared" si="76"/>
        <v>6.93</v>
      </c>
      <c r="GB12" s="750">
        <f>VLOOKUP(GC12,'Ціни контур теплопостачання'!$AN$6:$AO$13,2,0)</f>
        <v>40</v>
      </c>
      <c r="GC12" s="751">
        <f t="array" ref="GC12">MIN(IF('Ціни контур теплопостачання'!$AN$6:$AN$13&gt;N12,'Ціни контур теплопостачання'!$AN$6:$AN$13))</f>
        <v>15</v>
      </c>
      <c r="GD12" s="751">
        <v>1</v>
      </c>
      <c r="GE12" s="747">
        <f>VLOOKUP(GB12,'Ціни контур теплопостачання'!$AO$6:$AQ$13,3,0)</f>
        <v>140.82444000000001</v>
      </c>
      <c r="GF12" s="748">
        <f t="shared" si="77"/>
        <v>140.82444000000001</v>
      </c>
      <c r="GG12" s="750">
        <f t="shared" si="23"/>
        <v>50</v>
      </c>
      <c r="GH12" s="746">
        <v>1</v>
      </c>
      <c r="GI12" s="747">
        <f>VLOOKUP(GG12,'Ціни контур теплопостачання'!$AO$55:$AQ$63,3,0)</f>
        <v>355.5</v>
      </c>
      <c r="GJ12" s="768">
        <f t="shared" si="78"/>
        <v>355.5</v>
      </c>
      <c r="GK12" s="655" t="str">
        <f t="shared" si="91"/>
        <v>0-150</v>
      </c>
      <c r="GL12" s="720">
        <v>1</v>
      </c>
      <c r="GM12" s="747">
        <f>VLOOKUP(GK12,'Ціни контур мережний'!$I$79:$M$80,5,0)</f>
        <v>15.050156291498967</v>
      </c>
      <c r="GN12" s="748">
        <f t="shared" si="79"/>
        <v>15.050156291498967</v>
      </c>
      <c r="GO12" s="758" t="s">
        <v>109</v>
      </c>
      <c r="GP12" s="749">
        <v>1</v>
      </c>
      <c r="GQ12" s="747">
        <f>VLOOKUP(GO12,'Ціни контур мережний'!$I$79:$M$80,5,0)</f>
        <v>15.050156291498967</v>
      </c>
      <c r="GR12" s="765">
        <f t="shared" si="80"/>
        <v>15.050156291498967</v>
      </c>
      <c r="GS12" s="655" t="s">
        <v>108</v>
      </c>
      <c r="GT12" s="720">
        <v>3</v>
      </c>
      <c r="GU12" s="747">
        <f>VLOOKUP(GS12,'Ціни контур мережний'!$I$67:$M$69,5,0)</f>
        <v>4.4537969640631703</v>
      </c>
      <c r="GV12" s="748">
        <f t="shared" si="81"/>
        <v>13.361390892189512</v>
      </c>
      <c r="GW12" s="655" t="s">
        <v>106</v>
      </c>
      <c r="GX12" s="720">
        <f>11</f>
        <v>11</v>
      </c>
      <c r="GY12" s="747">
        <f>VLOOKUP(GW12,'Ціни контур мережний'!$I$67:$M$69,5,0)</f>
        <v>4.4537969640631703</v>
      </c>
      <c r="GZ12" s="748">
        <f t="shared" si="82"/>
        <v>48.991766604694874</v>
      </c>
      <c r="HA12" s="655" t="s">
        <v>1013</v>
      </c>
      <c r="HB12" s="720">
        <v>4</v>
      </c>
      <c r="HC12" s="747">
        <f>VLOOKUP(HA12,'Ціни контур мережний'!$I$64:$M$64,5,0)</f>
        <v>29.1312</v>
      </c>
      <c r="HD12" s="748">
        <f t="shared" si="83"/>
        <v>116.5248</v>
      </c>
      <c r="HE12" s="766" t="s">
        <v>1015</v>
      </c>
      <c r="HF12" s="749">
        <v>6</v>
      </c>
      <c r="HG12" s="747">
        <f>VLOOKUP(HE12,'Ціни контур мережний'!$I$89:$M$89,5,0)</f>
        <v>79.523165325760516</v>
      </c>
      <c r="HH12" s="765">
        <f t="shared" si="84"/>
        <v>477.1389919545631</v>
      </c>
      <c r="HI12" s="917" t="s">
        <v>1016</v>
      </c>
      <c r="HJ12" s="720">
        <f t="shared" si="92"/>
        <v>7</v>
      </c>
      <c r="HK12" s="747">
        <f>VLOOKUP(HI12,'Ціни контур мережний'!$I$88:$M$88,5,0)</f>
        <v>13.211568975967202</v>
      </c>
      <c r="HL12" s="768">
        <f t="shared" si="85"/>
        <v>92.480982831770419</v>
      </c>
      <c r="HM12" s="917" t="s">
        <v>383</v>
      </c>
      <c r="HN12" s="720">
        <v>1</v>
      </c>
      <c r="HO12" s="747">
        <f>VLOOKUP(HM12,'Ціни контур мережний'!$I$87:$M$87,5,0)</f>
        <v>13.483972460007763</v>
      </c>
      <c r="HP12" s="748">
        <f t="shared" si="86"/>
        <v>13.483972460007763</v>
      </c>
      <c r="HQ12" s="769">
        <f t="shared" si="24"/>
        <v>16</v>
      </c>
      <c r="HR12" s="770">
        <f t="shared" si="87"/>
        <v>6263.0013470290787</v>
      </c>
      <c r="HS12" s="771">
        <v>0</v>
      </c>
      <c r="HT12" s="771">
        <f>'Таблиця цін схема №1'!$JE$45/'Ціни контур мережний'!$G$26</f>
        <v>578.85740358619182</v>
      </c>
      <c r="HU12" s="770">
        <f>'Таблиця цін схема №1'!$JG$8</f>
        <v>661.80181284518619</v>
      </c>
      <c r="HV12" s="770">
        <f>'Таблиця цін схема №1'!$JH$8</f>
        <v>487.81784379022207</v>
      </c>
      <c r="HW12" s="770">
        <f>'Таблиця цін схема №1'!$JI$8</f>
        <v>323.47913729816605</v>
      </c>
      <c r="HX12" s="770">
        <f>'Таблиця цін схема №1'!$JJ$8</f>
        <v>66.611999999999995</v>
      </c>
      <c r="HY12" s="772">
        <v>0</v>
      </c>
      <c r="HZ12" s="772">
        <f>'Таблиця цін схема №1'!$JL$8</f>
        <v>62.86234247089866</v>
      </c>
      <c r="IA12" s="772">
        <v>0</v>
      </c>
      <c r="IB12" s="770">
        <v>0</v>
      </c>
      <c r="IC12" s="913">
        <f t="shared" si="25"/>
        <v>591.11023209138204</v>
      </c>
      <c r="ID12" s="914">
        <f t="shared" si="26"/>
        <v>844.44318870197424</v>
      </c>
      <c r="IE12" s="915">
        <f t="shared" si="27"/>
        <v>145.26520712585989</v>
      </c>
      <c r="IF12" s="776">
        <f>'Таблиця цін схема №1'!$JR$8</f>
        <v>300.63036461094771</v>
      </c>
      <c r="IG12" s="777">
        <f t="shared" si="88"/>
        <v>10325.880879549906</v>
      </c>
      <c r="II12" s="611">
        <f>[3]Расчеты!AX11/1.2</f>
        <v>4115.0288705094972</v>
      </c>
      <c r="IJ12" s="611">
        <f t="shared" si="89"/>
        <v>14440.909750059403</v>
      </c>
      <c r="IK12" s="611" t="e">
        <f>IJ12*1.2*#REF!</f>
        <v>#REF!</v>
      </c>
      <c r="IL12" s="611"/>
    </row>
    <row r="13" spans="1:246" ht="12.6" customHeight="1">
      <c r="A13" s="610" t="s">
        <v>686</v>
      </c>
      <c r="B13" s="905">
        <v>17</v>
      </c>
      <c r="C13" s="1056" t="s">
        <v>890</v>
      </c>
      <c r="D13" s="906">
        <v>0.27</v>
      </c>
      <c r="E13" s="907">
        <v>0.24</v>
      </c>
      <c r="F13" s="908">
        <f t="shared" si="28"/>
        <v>10.958120450555302</v>
      </c>
      <c r="G13" s="909">
        <v>65</v>
      </c>
      <c r="H13" s="598">
        <f t="shared" si="29"/>
        <v>4.823151125401929</v>
      </c>
      <c r="I13" s="599">
        <v>40</v>
      </c>
      <c r="J13" s="598">
        <f t="shared" si="30"/>
        <v>11.226611226611226</v>
      </c>
      <c r="K13" s="599">
        <v>65</v>
      </c>
      <c r="L13" s="598">
        <f t="shared" si="31"/>
        <v>6.1349693251533743</v>
      </c>
      <c r="M13" s="599">
        <v>50</v>
      </c>
      <c r="N13" s="598">
        <f t="shared" si="32"/>
        <v>4.8681541582150105</v>
      </c>
      <c r="O13" s="599">
        <v>40</v>
      </c>
      <c r="P13" s="598">
        <f t="shared" si="90"/>
        <v>1.460446247464503</v>
      </c>
      <c r="Q13" s="599">
        <v>25</v>
      </c>
      <c r="R13" s="598">
        <f t="shared" si="33"/>
        <v>6.820965734918464</v>
      </c>
      <c r="S13" s="600">
        <f t="shared" si="34"/>
        <v>8.6761568243748162</v>
      </c>
      <c r="T13" s="910">
        <v>1</v>
      </c>
      <c r="U13" s="601">
        <f t="shared" si="35"/>
        <v>11.226611226611226</v>
      </c>
      <c r="V13" s="601">
        <f t="shared" si="36"/>
        <v>15.876825856163643</v>
      </c>
      <c r="W13" s="602">
        <v>65</v>
      </c>
      <c r="X13" s="745">
        <f t="shared" si="0"/>
        <v>65</v>
      </c>
      <c r="Y13" s="746">
        <v>2</v>
      </c>
      <c r="Z13" s="747">
        <f>VLOOKUP(X13,'Ціни контур мережний'!$Z$24:$AB$36,3,0)</f>
        <v>30.19184015363556</v>
      </c>
      <c r="AA13" s="748">
        <f t="shared" si="37"/>
        <v>60.383680307271121</v>
      </c>
      <c r="AB13" s="745">
        <f t="shared" si="1"/>
        <v>65</v>
      </c>
      <c r="AC13" s="749">
        <v>2</v>
      </c>
      <c r="AD13" s="747">
        <f>VLOOKUP(AB13,'Ціни контур мережний'!$Z$64:$AB$77,3,0)</f>
        <v>105.883234246566</v>
      </c>
      <c r="AE13" s="748">
        <f t="shared" si="38"/>
        <v>211.76646849313201</v>
      </c>
      <c r="AF13" s="745">
        <f t="shared" si="2"/>
        <v>65</v>
      </c>
      <c r="AG13" s="746">
        <v>0</v>
      </c>
      <c r="AH13" s="747">
        <f>VLOOKUP(AF13,'Ціни контур мережний'!$Z$5:$AB$17,3,0)</f>
        <v>39.731999999999999</v>
      </c>
      <c r="AI13" s="748">
        <f t="shared" si="39"/>
        <v>0</v>
      </c>
      <c r="AJ13" s="750">
        <f t="shared" si="3"/>
        <v>40</v>
      </c>
      <c r="AK13" s="746">
        <v>1</v>
      </c>
      <c r="AL13" s="747">
        <f>VLOOKUP(AJ13,'Ціни контур мережний'!$Z$43:$AB$55,3,0)</f>
        <v>18.42400964308333</v>
      </c>
      <c r="AM13" s="748">
        <f t="shared" si="40"/>
        <v>18.42400964308333</v>
      </c>
      <c r="AN13" s="745">
        <f t="shared" si="4"/>
        <v>50</v>
      </c>
      <c r="AO13" s="749">
        <v>4</v>
      </c>
      <c r="AP13" s="747">
        <f>VLOOKUP(AN13,'Ціни контур мережний'!$Z$43:$AB$55,3,0)</f>
        <v>23.2782130224622</v>
      </c>
      <c r="AQ13" s="759">
        <f t="shared" si="41"/>
        <v>93.112852089848801</v>
      </c>
      <c r="AR13" s="751" t="str">
        <f t="shared" si="42"/>
        <v>AMV20</v>
      </c>
      <c r="AS13" s="751">
        <v>1</v>
      </c>
      <c r="AT13" s="747">
        <f>VLOOKUP(AR13,'Ціни контур мережний'!$I$53:$M$57,5,0)</f>
        <v>110.39869654932889</v>
      </c>
      <c r="AU13" s="748">
        <f t="shared" si="43"/>
        <v>110.39869654932889</v>
      </c>
      <c r="AV13" s="752">
        <f t="array" ref="AV13">MIN(IF('Ціни контур мережний'!$Y$83:$Y$92&gt;(R13*1.2),'Ціни контур мережний'!$Y$83:$Y$92))</f>
        <v>10</v>
      </c>
      <c r="AW13" s="746">
        <f>VLOOKUP(AV13,'Ціни контур мережний'!$Y$83:$Z$92,2,0)</f>
        <v>25</v>
      </c>
      <c r="AX13" s="746">
        <v>1</v>
      </c>
      <c r="AY13" s="747">
        <f>VLOOKUP(AV13,'Ціни контур мережний'!$Y$83:$AB$92,4,0)</f>
        <v>117.50505648967251</v>
      </c>
      <c r="AZ13" s="748">
        <f t="shared" si="44"/>
        <v>117.50505648967251</v>
      </c>
      <c r="BA13" s="1099">
        <f t="array" ref="BA13">MIN(IF('[1]Ціни контур мережний'!$Y$104:$Y$114&gt;(R13*1.2),'[1]Ціни контур мережний'!$Y$104:$Y$114))</f>
        <v>12.5</v>
      </c>
      <c r="BB13" s="1101">
        <f>VLOOKUP(BA13,'[1]Ціни контур мережний'!$Y$104:$Z$114,2,0)</f>
        <v>32</v>
      </c>
      <c r="BC13" s="753">
        <v>1</v>
      </c>
      <c r="BD13" s="754">
        <f>VLOOKUP(BA13,'Ціни контур мережний'!$Y$104:$AB$114,4,0)</f>
        <v>435.76049604674444</v>
      </c>
      <c r="BE13" s="755">
        <f t="shared" si="45"/>
        <v>435.76049604674444</v>
      </c>
      <c r="BF13" s="751" t="s">
        <v>67</v>
      </c>
      <c r="BG13" s="749">
        <v>1</v>
      </c>
      <c r="BH13" s="747">
        <f>VLOOKUP(BF13,'Ціни контур мережний'!$I$53:$M$57,5,0)</f>
        <v>157.67238032974441</v>
      </c>
      <c r="BI13" s="768">
        <f t="shared" si="46"/>
        <v>157.67238032974441</v>
      </c>
      <c r="BJ13" s="894">
        <f t="array" ref="BJ13">MIN(IF('Ціни контур мережний'!$Y$83:$Y$93&gt;(S13*1.2),'Ціни контур мережний'!$Y$83:$Y$93))</f>
        <v>16</v>
      </c>
      <c r="BK13" s="895">
        <f>VLOOKUP(BJ13,'Ціни контур мережний'!$Y$83:$Z$93,2,0)</f>
        <v>32</v>
      </c>
      <c r="BL13" s="895">
        <v>1</v>
      </c>
      <c r="BM13" s="896">
        <f>VLOOKUP(BJ13,'Ціни контур мережний'!$Y$83:$AB$93,4,0)</f>
        <v>130.5392363168325</v>
      </c>
      <c r="BN13" s="916">
        <f t="shared" si="47"/>
        <v>130.5392363168325</v>
      </c>
      <c r="BO13" s="896">
        <f t="array" ref="BO13">MIN(IF('Ціни контур мережний'!$Y$104:$Y$114&gt;(S13*1.2),'Ціни контур мережний'!$Y$104:$Y$114))</f>
        <v>12.5</v>
      </c>
      <c r="BP13" s="895">
        <f>VLOOKUP(BO13,'Ціни контур мережний'!$Y$104:$Z$114,2,0)</f>
        <v>32</v>
      </c>
      <c r="BQ13" s="895">
        <v>1</v>
      </c>
      <c r="BR13" s="896">
        <f>VLOOKUP(BO13,'Ціни контур мережний'!$Y$104:$AB$114,4,0)</f>
        <v>435.76049604674444</v>
      </c>
      <c r="BS13" s="897">
        <f t="shared" si="48"/>
        <v>435.76049604674444</v>
      </c>
      <c r="BT13" s="751" t="s">
        <v>115</v>
      </c>
      <c r="BU13" s="751" t="s">
        <v>115</v>
      </c>
      <c r="BV13" s="746" t="s">
        <v>1025</v>
      </c>
      <c r="BW13" s="756">
        <v>0</v>
      </c>
      <c r="BX13" s="747">
        <v>0</v>
      </c>
      <c r="BY13" s="748">
        <f t="shared" si="49"/>
        <v>0</v>
      </c>
      <c r="BZ13" s="745">
        <f>VLOOKUP(CA13,'Ціни контур мережний'!$J$5:$L$12,3,0)</f>
        <v>40</v>
      </c>
      <c r="CA13" s="747">
        <f t="array" ref="CA13">MIN(IF('Ціни контур мережний'!$J$5:$J$12&gt;L13,'Ціни контур мережний'!$J$5:$J$12))</f>
        <v>10</v>
      </c>
      <c r="CB13" s="746" t="s">
        <v>130</v>
      </c>
      <c r="CC13" s="749">
        <v>1</v>
      </c>
      <c r="CD13" s="747">
        <f>VLOOKUP(CA13,'Ціни контур мережний'!$J$5:$N$12,5,0)</f>
        <v>375.23999999999995</v>
      </c>
      <c r="CE13" s="748">
        <f t="shared" si="50"/>
        <v>375.23999999999995</v>
      </c>
      <c r="CF13" s="898" t="s">
        <v>1342</v>
      </c>
      <c r="CG13" s="899">
        <v>1</v>
      </c>
      <c r="CH13" s="900">
        <v>613</v>
      </c>
      <c r="CI13" s="901">
        <f t="shared" si="51"/>
        <v>613</v>
      </c>
      <c r="CJ13" s="751">
        <f t="shared" si="5"/>
        <v>65</v>
      </c>
      <c r="CK13" s="746">
        <v>4</v>
      </c>
      <c r="CL13" s="747">
        <f>VLOOKUP(CJ13,'Ціни контур теплопостачання'!$Y$5:$AA$17,3,0)</f>
        <v>30.19184015363556</v>
      </c>
      <c r="CM13" s="748">
        <f t="shared" si="52"/>
        <v>120.76736061454224</v>
      </c>
      <c r="CN13" s="750">
        <f t="shared" si="6"/>
        <v>40</v>
      </c>
      <c r="CO13" s="746">
        <v>6</v>
      </c>
      <c r="CP13" s="747">
        <f>VLOOKUP(CN13,'Ціни контур теплопостачання'!$AO$20:$AQ$29,3,0)</f>
        <v>37.980000000000004</v>
      </c>
      <c r="CQ13" s="748">
        <f t="shared" si="53"/>
        <v>227.88000000000002</v>
      </c>
      <c r="CR13" s="750">
        <f t="shared" si="7"/>
        <v>25</v>
      </c>
      <c r="CS13" s="746">
        <v>3</v>
      </c>
      <c r="CT13" s="747">
        <f>VLOOKUP(CR13,'Ціни контур теплопостачання'!$AO$20:$AQ$29,3,0)</f>
        <v>6.3070000000000004</v>
      </c>
      <c r="CU13" s="748">
        <f t="shared" si="54"/>
        <v>18.920999999999999</v>
      </c>
      <c r="CV13" s="757">
        <f t="shared" si="8"/>
        <v>65</v>
      </c>
      <c r="CW13" s="746">
        <f t="shared" si="9"/>
        <v>2</v>
      </c>
      <c r="CX13" s="747">
        <f>VLOOKUP(CV13,'Ціни контур теплопостачання'!$Y$5:$AA$17,3,0)</f>
        <v>30.19184015363556</v>
      </c>
      <c r="CY13" s="748">
        <f t="shared" si="55"/>
        <v>60.383680307271121</v>
      </c>
      <c r="CZ13" s="745">
        <v>20</v>
      </c>
      <c r="DA13" s="749">
        <v>2</v>
      </c>
      <c r="DB13" s="747">
        <f>VLOOKUP(CZ13,'Ціни контур теплопостачання'!$Y$5:$AA$17,3,0)</f>
        <v>3.577</v>
      </c>
      <c r="DC13" s="748">
        <f t="shared" si="56"/>
        <v>7.1539999999999999</v>
      </c>
      <c r="DD13" s="745">
        <v>15</v>
      </c>
      <c r="DE13" s="745">
        <v>8</v>
      </c>
      <c r="DF13" s="758">
        <f>VLOOKUP(DD13,'Ціни контур теплопостачання'!$Y$5:$AA$17,3,0)</f>
        <v>2.464</v>
      </c>
      <c r="DG13" s="759">
        <f t="shared" si="57"/>
        <v>19.712</v>
      </c>
      <c r="DH13" s="745">
        <v>15</v>
      </c>
      <c r="DI13" s="745">
        <f>35</f>
        <v>35</v>
      </c>
      <c r="DJ13" s="758">
        <f>VLOOKUP(DH13,'Ціни контур мережний'!$J$71:$M$71,4,0)</f>
        <v>3.3865201135922525</v>
      </c>
      <c r="DK13" s="759">
        <f t="shared" si="59"/>
        <v>118.52820397572884</v>
      </c>
      <c r="DL13" s="751">
        <f t="shared" si="10"/>
        <v>65</v>
      </c>
      <c r="DM13" s="746">
        <v>1</v>
      </c>
      <c r="DN13" s="747">
        <f>VLOOKUP(DL13,'Ціни контур теплопостачання'!$K$5:$M$17,3,0)</f>
        <v>39.731999999999999</v>
      </c>
      <c r="DO13" s="748">
        <f t="shared" si="60"/>
        <v>39.731999999999999</v>
      </c>
      <c r="DP13" s="745">
        <f t="shared" si="11"/>
        <v>40</v>
      </c>
      <c r="DQ13" s="749">
        <v>1</v>
      </c>
      <c r="DR13" s="747">
        <f>VLOOKUP(DP13,'Ціни контур теплопостачання'!$K$5:$M$17,3,0)</f>
        <v>23.225999999999999</v>
      </c>
      <c r="DS13" s="748">
        <f t="shared" si="61"/>
        <v>23.225999999999999</v>
      </c>
      <c r="DT13" s="745">
        <f t="shared" si="12"/>
        <v>25</v>
      </c>
      <c r="DU13" s="745">
        <v>1</v>
      </c>
      <c r="DV13" s="758">
        <f>VLOOKUP(DT13,'Ціни контур теплопостачання'!$K$5:$M$17,3,0)</f>
        <v>4.78</v>
      </c>
      <c r="DW13" s="759">
        <f t="shared" si="62"/>
        <v>4.78</v>
      </c>
      <c r="DX13" s="745">
        <f t="shared" si="63"/>
        <v>65</v>
      </c>
      <c r="DY13" s="745">
        <v>1</v>
      </c>
      <c r="DZ13" s="758">
        <f>VLOOKUP(DX13,'Ціни контур теплопостачання'!$Y$24:$AA$36,3,0)</f>
        <v>42.080999999999996</v>
      </c>
      <c r="EA13" s="759">
        <f t="shared" si="64"/>
        <v>42.080999999999996</v>
      </c>
      <c r="EB13" s="751">
        <f t="shared" si="13"/>
        <v>65</v>
      </c>
      <c r="EC13" s="746">
        <v>2</v>
      </c>
      <c r="ED13" s="747">
        <f>VLOOKUP(EB13,'Ціни контур теплопостачання'!$Y$24:$AA$36,3,0)</f>
        <v>42.080999999999996</v>
      </c>
      <c r="EE13" s="748">
        <f t="shared" si="65"/>
        <v>84.161999999999992</v>
      </c>
      <c r="EF13" s="745">
        <f t="shared" si="14"/>
        <v>40</v>
      </c>
      <c r="EG13" s="749">
        <v>1</v>
      </c>
      <c r="EH13" s="747">
        <f>VLOOKUP(EF13,'Ціни контур теплопостачання'!$AO$38:$AQ$50,3,0)</f>
        <v>20.3645</v>
      </c>
      <c r="EI13" s="748">
        <f t="shared" si="66"/>
        <v>20.3645</v>
      </c>
      <c r="EJ13" s="745">
        <f t="shared" si="15"/>
        <v>25</v>
      </c>
      <c r="EK13" s="745">
        <v>1</v>
      </c>
      <c r="EL13" s="758">
        <f>VLOOKUP(EJ13,'Ціни контур теплопостачання'!$AO$38:$AQ$50,3,0)</f>
        <v>6.9659999999999993</v>
      </c>
      <c r="EM13" s="759">
        <f t="shared" si="67"/>
        <v>6.9659999999999993</v>
      </c>
      <c r="EN13" s="745">
        <f t="shared" si="16"/>
        <v>65</v>
      </c>
      <c r="EO13" s="745">
        <f t="shared" si="17"/>
        <v>2</v>
      </c>
      <c r="EP13" s="758">
        <f>VLOOKUP(EN13,'Ціни контур теплопостачання'!$Y$76:$AA$88,3,0)</f>
        <v>26.33</v>
      </c>
      <c r="EQ13" s="759">
        <f t="shared" si="68"/>
        <v>52.66</v>
      </c>
      <c r="ER13" s="745">
        <f t="shared" si="18"/>
        <v>40</v>
      </c>
      <c r="ES13" s="745">
        <v>1</v>
      </c>
      <c r="ET13" s="758">
        <f>VLOOKUP(ER13,'Ціни контур теплопостачання'!$Y$76:$AA$88,3,0)</f>
        <v>16.809999999999999</v>
      </c>
      <c r="EU13" s="759">
        <f t="shared" si="69"/>
        <v>16.809999999999999</v>
      </c>
      <c r="EV13" s="745">
        <f t="shared" si="19"/>
        <v>25</v>
      </c>
      <c r="EW13" s="745">
        <v>1</v>
      </c>
      <c r="EX13" s="758">
        <f>VLOOKUP(EV13,'Ціни контур теплопостачання'!$Y$76:$AA$88,3,0)</f>
        <v>11.45</v>
      </c>
      <c r="EY13" s="759">
        <f t="shared" si="70"/>
        <v>11.45</v>
      </c>
      <c r="EZ13" s="758">
        <f t="shared" si="20"/>
        <v>26.393180937507324</v>
      </c>
      <c r="FA13" s="760">
        <v>32</v>
      </c>
      <c r="FB13" s="719">
        <v>2</v>
      </c>
      <c r="FC13" s="747">
        <f>VLOOKUP(FA13,'Ціни контур теплопостачання'!$K$74:$M$79,3,0)</f>
        <v>33.68</v>
      </c>
      <c r="FD13" s="761">
        <f t="shared" si="21"/>
        <v>67.36</v>
      </c>
      <c r="FE13" s="762">
        <f t="shared" si="71"/>
        <v>11.226611226611226</v>
      </c>
      <c r="FF13" s="911">
        <v>5</v>
      </c>
      <c r="FG13" s="900">
        <v>5</v>
      </c>
      <c r="FH13" s="830" t="s">
        <v>1092</v>
      </c>
      <c r="FI13" s="708">
        <v>2</v>
      </c>
      <c r="FJ13" s="709">
        <f>VLOOKUP(FH13,'Ціни контур теплопостачання'!$C$89:$M$105,11,0)</f>
        <v>276.99599999999998</v>
      </c>
      <c r="FK13" s="764">
        <f t="shared" si="72"/>
        <v>553.99199999999996</v>
      </c>
      <c r="FL13" s="912">
        <f t="shared" si="73"/>
        <v>1.460446247464503</v>
      </c>
      <c r="FM13" s="911">
        <v>5</v>
      </c>
      <c r="FN13" s="900">
        <v>6</v>
      </c>
      <c r="FO13" s="900" t="s">
        <v>1097</v>
      </c>
      <c r="FP13" s="749">
        <v>1</v>
      </c>
      <c r="FQ13" s="747">
        <f>VLOOKUP(FO13,'Ціни контур теплопостачання'!$C$89:$M$105,11,0)</f>
        <v>241.2</v>
      </c>
      <c r="FR13" s="904">
        <f t="shared" si="74"/>
        <v>241.2</v>
      </c>
      <c r="FS13" s="758">
        <f t="array" ref="FS13">MIN(IF('Ціни контур теплопостачання'!$AN$68:$AN$77&gt;(V13*1.2),'Ціни контур теплопостачання'!$AN$68:$AN$77))</f>
        <v>22.36</v>
      </c>
      <c r="FT13" s="749">
        <f>VLOOKUP(FS13,'Ціни контур теплопостачання'!$AN$68:$AO$77,2,0)</f>
        <v>40</v>
      </c>
      <c r="FU13" s="749">
        <v>0</v>
      </c>
      <c r="FV13" s="747">
        <f>VLOOKUP(FT13,'Ціни контур теплопостачання'!$AO$68:$AQ$77,3,0)</f>
        <v>43.225000000000001</v>
      </c>
      <c r="FW13" s="765">
        <f t="shared" si="75"/>
        <v>0</v>
      </c>
      <c r="FX13" s="750">
        <v>15</v>
      </c>
      <c r="FY13" s="746">
        <v>2</v>
      </c>
      <c r="FZ13" s="747">
        <f>VLOOKUP(FX13,'Ціни контур мережний'!$J$73:$M$73,4,0)</f>
        <v>3.4649999999999999</v>
      </c>
      <c r="GA13" s="748">
        <f t="shared" si="76"/>
        <v>6.93</v>
      </c>
      <c r="GB13" s="750">
        <f>VLOOKUP(GC13,'Ціни контур теплопостачання'!$AN$6:$AO$13,2,0)</f>
        <v>32</v>
      </c>
      <c r="GC13" s="751">
        <f t="array" ref="GC13">MIN(IF('Ціни контур теплопостачання'!$AN$6:$AN$13&gt;N13,'Ціни контур теплопостачання'!$AN$6:$AN$13))</f>
        <v>6</v>
      </c>
      <c r="GD13" s="751">
        <v>1</v>
      </c>
      <c r="GE13" s="747">
        <f>VLOOKUP(GB13,'Ціни контур теплопостачання'!$AO$6:$AQ$13,3,0)</f>
        <v>85.682340000000011</v>
      </c>
      <c r="GF13" s="748">
        <f t="shared" si="77"/>
        <v>85.682340000000011</v>
      </c>
      <c r="GG13" s="750">
        <f t="shared" si="23"/>
        <v>40</v>
      </c>
      <c r="GH13" s="746">
        <v>1</v>
      </c>
      <c r="GI13" s="747">
        <f>VLOOKUP(GG13,'Ціни контур теплопостачання'!$AO$55:$AQ$63,3,0)</f>
        <v>193.55</v>
      </c>
      <c r="GJ13" s="768">
        <f t="shared" si="78"/>
        <v>193.55</v>
      </c>
      <c r="GK13" s="655" t="str">
        <f t="shared" si="91"/>
        <v>0-150</v>
      </c>
      <c r="GL13" s="720">
        <v>1</v>
      </c>
      <c r="GM13" s="747">
        <f>VLOOKUP(GK13,'Ціни контур мережний'!$I$79:$M$80,5,0)</f>
        <v>15.050156291498967</v>
      </c>
      <c r="GN13" s="748">
        <f t="shared" si="79"/>
        <v>15.050156291498967</v>
      </c>
      <c r="GO13" s="758" t="s">
        <v>109</v>
      </c>
      <c r="GP13" s="749">
        <v>1</v>
      </c>
      <c r="GQ13" s="747">
        <f>VLOOKUP(GO13,'Ціни контур мережний'!$I$79:$M$80,5,0)</f>
        <v>15.050156291498967</v>
      </c>
      <c r="GR13" s="765">
        <f t="shared" si="80"/>
        <v>15.050156291498967</v>
      </c>
      <c r="GS13" s="655" t="s">
        <v>108</v>
      </c>
      <c r="GT13" s="720">
        <v>3</v>
      </c>
      <c r="GU13" s="747">
        <f>VLOOKUP(GS13,'Ціни контур мережний'!$I$67:$M$69,5,0)</f>
        <v>4.4537969640631703</v>
      </c>
      <c r="GV13" s="748">
        <f t="shared" si="81"/>
        <v>13.361390892189512</v>
      </c>
      <c r="GW13" s="655" t="s">
        <v>106</v>
      </c>
      <c r="GX13" s="720">
        <f>11</f>
        <v>11</v>
      </c>
      <c r="GY13" s="747">
        <f>VLOOKUP(GW13,'Ціни контур мережний'!$I$67:$M$69,5,0)</f>
        <v>4.4537969640631703</v>
      </c>
      <c r="GZ13" s="748">
        <f t="shared" si="82"/>
        <v>48.991766604694874</v>
      </c>
      <c r="HA13" s="655" t="s">
        <v>1013</v>
      </c>
      <c r="HB13" s="720">
        <v>4</v>
      </c>
      <c r="HC13" s="747">
        <f>VLOOKUP(HA13,'Ціни контур мережний'!$I$64:$M$64,5,0)</f>
        <v>29.1312</v>
      </c>
      <c r="HD13" s="748">
        <f t="shared" si="83"/>
        <v>116.5248</v>
      </c>
      <c r="HE13" s="766" t="s">
        <v>1015</v>
      </c>
      <c r="HF13" s="749">
        <v>6</v>
      </c>
      <c r="HG13" s="747">
        <f>VLOOKUP(HE13,'Ціни контур мережний'!$I$89:$M$89,5,0)</f>
        <v>79.523165325760516</v>
      </c>
      <c r="HH13" s="765">
        <f t="shared" si="84"/>
        <v>477.1389919545631</v>
      </c>
      <c r="HI13" s="778" t="s">
        <v>1016</v>
      </c>
      <c r="HJ13" s="720">
        <f t="shared" si="92"/>
        <v>7</v>
      </c>
      <c r="HK13" s="747">
        <f>VLOOKUP(HI13,'Ціни контур мережний'!$I$88:$M$88,5,0)</f>
        <v>13.211568975967202</v>
      </c>
      <c r="HL13" s="768">
        <f t="shared" si="85"/>
        <v>92.480982831770419</v>
      </c>
      <c r="HM13" s="757" t="s">
        <v>383</v>
      </c>
      <c r="HN13" s="720">
        <v>1</v>
      </c>
      <c r="HO13" s="747">
        <f>VLOOKUP(HM13,'Ціни контур мережний'!$I$87:$M$87,5,0)</f>
        <v>13.483972460007763</v>
      </c>
      <c r="HP13" s="748">
        <f t="shared" si="86"/>
        <v>13.483972460007763</v>
      </c>
      <c r="HQ13" s="769">
        <f t="shared" si="24"/>
        <v>17</v>
      </c>
      <c r="HR13" s="770">
        <f t="shared" si="87"/>
        <v>5575.9376745361687</v>
      </c>
      <c r="HS13" s="771">
        <v>0</v>
      </c>
      <c r="HT13" s="771">
        <f>'Таблиця цін схема №1'!$JE$44/'Ціни контур мережний'!$G$26</f>
        <v>476.70609707098151</v>
      </c>
      <c r="HU13" s="770">
        <f>'Таблиця цін схема №1'!$JG$8</f>
        <v>661.80181284518619</v>
      </c>
      <c r="HV13" s="770">
        <f>'Таблиця цін схема №1'!$JH$8</f>
        <v>487.81784379022207</v>
      </c>
      <c r="HW13" s="770">
        <f>'Таблиця цін схема №1'!$JI$8</f>
        <v>323.47913729816605</v>
      </c>
      <c r="HX13" s="770">
        <f>'Таблиця цін схема №1'!$JJ$8</f>
        <v>66.611999999999995</v>
      </c>
      <c r="HY13" s="772">
        <v>0</v>
      </c>
      <c r="HZ13" s="772">
        <f>'Таблиця цін схема №1'!$JL$8</f>
        <v>62.86234247089866</v>
      </c>
      <c r="IA13" s="772">
        <v>0</v>
      </c>
      <c r="IB13" s="770">
        <v>0</v>
      </c>
      <c r="IC13" s="913">
        <f t="shared" si="25"/>
        <v>535.86518356081376</v>
      </c>
      <c r="ID13" s="914">
        <f t="shared" si="26"/>
        <v>765.52169080116244</v>
      </c>
      <c r="IE13" s="915">
        <f t="shared" si="27"/>
        <v>131.68874882454111</v>
      </c>
      <c r="IF13" s="776">
        <f>'Таблиця цін схема №1'!$JR$8</f>
        <v>300.63036461094771</v>
      </c>
      <c r="IG13" s="777">
        <f t="shared" si="88"/>
        <v>9388.922895809088</v>
      </c>
      <c r="II13" s="611">
        <f>[3]Расчеты!AX12/1.2</f>
        <v>4115.0288705094972</v>
      </c>
      <c r="IJ13" s="611">
        <f t="shared" si="89"/>
        <v>13503.951766318585</v>
      </c>
      <c r="IK13" s="611" t="e">
        <f>IJ13*1.2*#REF!</f>
        <v>#REF!</v>
      </c>
      <c r="IL13" s="611"/>
    </row>
    <row r="14" spans="1:246" ht="12.6" customHeight="1">
      <c r="A14" s="610" t="s">
        <v>686</v>
      </c>
      <c r="B14" s="905">
        <v>18</v>
      </c>
      <c r="C14" s="1056" t="s">
        <v>1426</v>
      </c>
      <c r="D14" s="906">
        <v>0.40620000000000001</v>
      </c>
      <c r="E14" s="907">
        <v>0.37</v>
      </c>
      <c r="F14" s="908">
        <f t="shared" si="28"/>
        <v>16.714240624938355</v>
      </c>
      <c r="G14" s="909">
        <v>80</v>
      </c>
      <c r="H14" s="598">
        <f t="shared" si="29"/>
        <v>7.2561629153269021</v>
      </c>
      <c r="I14" s="599">
        <v>50</v>
      </c>
      <c r="J14" s="598">
        <f t="shared" si="30"/>
        <v>16.889812889812887</v>
      </c>
      <c r="K14" s="599">
        <v>80</v>
      </c>
      <c r="L14" s="598">
        <f t="shared" si="31"/>
        <v>9.4580777096114534</v>
      </c>
      <c r="M14" s="599">
        <v>65</v>
      </c>
      <c r="N14" s="598">
        <f t="shared" si="32"/>
        <v>7.5050709939148081</v>
      </c>
      <c r="O14" s="599">
        <v>50</v>
      </c>
      <c r="P14" s="598">
        <f>N14*0.3</f>
        <v>2.2515212981744424</v>
      </c>
      <c r="Q14" s="599">
        <v>32</v>
      </c>
      <c r="R14" s="598">
        <f t="shared" si="33"/>
        <v>10.261764005644</v>
      </c>
      <c r="S14" s="600">
        <f t="shared" si="34"/>
        <v>13.375741770911176</v>
      </c>
      <c r="T14" s="910">
        <v>2</v>
      </c>
      <c r="U14" s="601">
        <f t="shared" si="35"/>
        <v>8.4449064449064437</v>
      </c>
      <c r="V14" s="601">
        <f t="shared" si="36"/>
        <v>11.94290122735865</v>
      </c>
      <c r="W14" s="602">
        <v>65</v>
      </c>
      <c r="X14" s="745">
        <f t="shared" si="0"/>
        <v>80</v>
      </c>
      <c r="Y14" s="746">
        <v>2</v>
      </c>
      <c r="Z14" s="747">
        <f>VLOOKUP(X14,'Ціни контур мережний'!$Z$24:$AB$36,3,0)</f>
        <v>37.693832104112609</v>
      </c>
      <c r="AA14" s="748">
        <f t="shared" si="37"/>
        <v>75.387664208225218</v>
      </c>
      <c r="AB14" s="745">
        <f t="shared" si="1"/>
        <v>80</v>
      </c>
      <c r="AC14" s="749">
        <v>2</v>
      </c>
      <c r="AD14" s="747">
        <f>VLOOKUP(AB14,'Ціни контур мережний'!$Z$64:$AB$77,3,0)</f>
        <v>111.00441974652855</v>
      </c>
      <c r="AE14" s="748">
        <f t="shared" si="38"/>
        <v>222.00883949305711</v>
      </c>
      <c r="AF14" s="745">
        <f t="shared" si="2"/>
        <v>80</v>
      </c>
      <c r="AG14" s="746">
        <v>0</v>
      </c>
      <c r="AH14" s="747">
        <f>VLOOKUP(AF14,'Ціни контур мережний'!$Z$5:$AB$17,3,0)</f>
        <v>50.12</v>
      </c>
      <c r="AI14" s="748">
        <f t="shared" si="39"/>
        <v>0</v>
      </c>
      <c r="AJ14" s="750">
        <f t="shared" si="3"/>
        <v>50</v>
      </c>
      <c r="AK14" s="746">
        <v>1</v>
      </c>
      <c r="AL14" s="747">
        <f>VLOOKUP(AJ14,'Ціни контур мережний'!$Z$43:$AB$55,3,0)</f>
        <v>23.2782130224622</v>
      </c>
      <c r="AM14" s="748">
        <f t="shared" si="40"/>
        <v>23.2782130224622</v>
      </c>
      <c r="AN14" s="745">
        <f t="shared" si="4"/>
        <v>65</v>
      </c>
      <c r="AO14" s="749">
        <v>4</v>
      </c>
      <c r="AP14" s="747">
        <f>VLOOKUP(AN14,'Ціни контур мережний'!$Z$43:$AB$55,3,0)</f>
        <v>30.19184015363556</v>
      </c>
      <c r="AQ14" s="759">
        <f t="shared" si="41"/>
        <v>120.76736061454224</v>
      </c>
      <c r="AR14" s="751" t="str">
        <f t="shared" si="42"/>
        <v>AMV20</v>
      </c>
      <c r="AS14" s="751">
        <v>1</v>
      </c>
      <c r="AT14" s="747">
        <f>VLOOKUP(AR14,'Ціни контур мережний'!$I$53:$M$57,5,0)</f>
        <v>110.39869654932889</v>
      </c>
      <c r="AU14" s="748">
        <f t="shared" si="43"/>
        <v>110.39869654932889</v>
      </c>
      <c r="AV14" s="752">
        <f t="array" ref="AV14">MIN(IF('Ціни контур мережний'!$Y$83:$Y$92&gt;(R14*1.2),'Ціни контур мережний'!$Y$83:$Y$92))</f>
        <v>16</v>
      </c>
      <c r="AW14" s="746">
        <f>VLOOKUP(AV14,'Ціни контур мережний'!$Y$83:$Z$92,2,0)</f>
        <v>32</v>
      </c>
      <c r="AX14" s="746">
        <v>1</v>
      </c>
      <c r="AY14" s="747">
        <f>VLOOKUP(AV14,'Ціни контур мережний'!$Y$83:$AB$92,4,0)</f>
        <v>130.5392363168325</v>
      </c>
      <c r="AZ14" s="748">
        <f t="shared" si="44"/>
        <v>130.5392363168325</v>
      </c>
      <c r="BA14" s="1099">
        <f t="array" ref="BA14">MIN(IF('[1]Ціни контур мережний'!$Y$104:$Y$114&gt;(R14*1.2),'[1]Ціни контур мережний'!$Y$104:$Y$114))</f>
        <v>12.5</v>
      </c>
      <c r="BB14" s="1101">
        <f>VLOOKUP(BA14,'[1]Ціни контур мережний'!$Y$104:$Z$114,2,0)</f>
        <v>32</v>
      </c>
      <c r="BC14" s="753">
        <v>1</v>
      </c>
      <c r="BD14" s="754">
        <f>VLOOKUP(BA14,'Ціни контур мережний'!$Y$104:$AB$114,4,0)</f>
        <v>435.76049604674444</v>
      </c>
      <c r="BE14" s="755">
        <f t="shared" si="45"/>
        <v>435.76049604674444</v>
      </c>
      <c r="BF14" s="751" t="s">
        <v>67</v>
      </c>
      <c r="BG14" s="749">
        <v>1</v>
      </c>
      <c r="BH14" s="747">
        <f>VLOOKUP(BF14,'Ціни контур мережний'!$I$53:$M$57,5,0)</f>
        <v>157.67238032974441</v>
      </c>
      <c r="BI14" s="768">
        <f t="shared" si="46"/>
        <v>157.67238032974441</v>
      </c>
      <c r="BJ14" s="894">
        <f t="array" ref="BJ14">MIN(IF('Ціни контур мережний'!$Y$83:$Y$93&gt;(S14*1.2),'Ціни контур мережний'!$Y$83:$Y$93))</f>
        <v>25</v>
      </c>
      <c r="BK14" s="895">
        <f>VLOOKUP(BJ14,'Ціни контур мережний'!$Y$83:$Z$93,2,0)</f>
        <v>40</v>
      </c>
      <c r="BL14" s="895">
        <v>1</v>
      </c>
      <c r="BM14" s="896">
        <f>VLOOKUP(BJ14,'Ціни контур мережний'!$Y$83:$AB$93,4,0)</f>
        <v>156.6569554824606</v>
      </c>
      <c r="BN14" s="916">
        <f t="shared" si="47"/>
        <v>156.6569554824606</v>
      </c>
      <c r="BO14" s="896">
        <f t="array" ref="BO14">MIN(IF('Ціни контур мережний'!$Y$104:$Y$114&gt;(S14*1.2),'Ціни контур мережний'!$Y$104:$Y$114))</f>
        <v>20</v>
      </c>
      <c r="BP14" s="895">
        <f>VLOOKUP(BO14,'Ціни контур мережний'!$Y$104:$Z$114,2,0)</f>
        <v>40</v>
      </c>
      <c r="BQ14" s="895">
        <v>1</v>
      </c>
      <c r="BR14" s="896">
        <f>VLOOKUP(BO14,'Ціни контур мережний'!$Y$104:$AB$114,4,0)</f>
        <v>448.22326189551967</v>
      </c>
      <c r="BS14" s="897">
        <f t="shared" si="48"/>
        <v>448.22326189551967</v>
      </c>
      <c r="BT14" s="751" t="s">
        <v>115</v>
      </c>
      <c r="BU14" s="751" t="s">
        <v>115</v>
      </c>
      <c r="BV14" s="746" t="s">
        <v>1025</v>
      </c>
      <c r="BW14" s="756">
        <v>0</v>
      </c>
      <c r="BX14" s="747">
        <v>0</v>
      </c>
      <c r="BY14" s="748">
        <f t="shared" si="49"/>
        <v>0</v>
      </c>
      <c r="BZ14" s="745">
        <f>VLOOKUP(CA14,'Ціни контур мережний'!$J$5:$L$12,3,0)</f>
        <v>40</v>
      </c>
      <c r="CA14" s="747">
        <f t="array" ref="CA14">MIN(IF('Ціни контур мережний'!$J$5:$J$12&gt;L14,'Ціни контур мережний'!$J$5:$J$12))</f>
        <v>10</v>
      </c>
      <c r="CB14" s="746" t="s">
        <v>130</v>
      </c>
      <c r="CC14" s="749">
        <v>1</v>
      </c>
      <c r="CD14" s="747">
        <f>VLOOKUP(CA14,'Ціни контур мережний'!$J$5:$N$12,5,0)</f>
        <v>375.23999999999995</v>
      </c>
      <c r="CE14" s="748">
        <f t="shared" si="50"/>
        <v>375.23999999999995</v>
      </c>
      <c r="CF14" s="898" t="s">
        <v>1343</v>
      </c>
      <c r="CG14" s="899">
        <v>1</v>
      </c>
      <c r="CH14" s="900">
        <v>709</v>
      </c>
      <c r="CI14" s="901">
        <f t="shared" si="51"/>
        <v>709</v>
      </c>
      <c r="CJ14" s="751">
        <f t="shared" si="5"/>
        <v>80</v>
      </c>
      <c r="CK14" s="746">
        <v>4</v>
      </c>
      <c r="CL14" s="747">
        <f>VLOOKUP(CJ14,'Ціни контур теплопостачання'!$Y$5:$AA$17,3,0)</f>
        <v>37.693832104112609</v>
      </c>
      <c r="CM14" s="748">
        <f t="shared" si="52"/>
        <v>150.77532841645044</v>
      </c>
      <c r="CN14" s="750">
        <f t="shared" si="6"/>
        <v>50</v>
      </c>
      <c r="CO14" s="746">
        <v>6</v>
      </c>
      <c r="CP14" s="747">
        <f>VLOOKUP(CN14,'Ціни контур теплопостачання'!$AO$20:$AQ$29,3,0)</f>
        <v>37.588411955788914</v>
      </c>
      <c r="CQ14" s="748">
        <f t="shared" si="53"/>
        <v>225.53047173473348</v>
      </c>
      <c r="CR14" s="750">
        <f t="shared" si="7"/>
        <v>32</v>
      </c>
      <c r="CS14" s="746">
        <v>3</v>
      </c>
      <c r="CT14" s="747">
        <f>VLOOKUP(CR14,'Ціни контур теплопостачання'!$AO$20:$AQ$29,3,0)</f>
        <v>10.381</v>
      </c>
      <c r="CU14" s="748">
        <f t="shared" si="54"/>
        <v>31.143000000000001</v>
      </c>
      <c r="CV14" s="757">
        <f t="shared" si="8"/>
        <v>65</v>
      </c>
      <c r="CW14" s="746">
        <f t="shared" si="9"/>
        <v>4</v>
      </c>
      <c r="CX14" s="747">
        <f>VLOOKUP(CV14,'Ціни контур теплопостачання'!$Y$5:$AA$17,3,0)</f>
        <v>30.19184015363556</v>
      </c>
      <c r="CY14" s="748">
        <f t="shared" si="55"/>
        <v>120.76736061454224</v>
      </c>
      <c r="CZ14" s="745">
        <v>20</v>
      </c>
      <c r="DA14" s="749">
        <v>2</v>
      </c>
      <c r="DB14" s="747">
        <f>VLOOKUP(CZ14,'Ціни контур теплопостачання'!$Y$5:$AA$17,3,0)</f>
        <v>3.577</v>
      </c>
      <c r="DC14" s="748">
        <f t="shared" si="56"/>
        <v>7.1539999999999999</v>
      </c>
      <c r="DD14" s="745">
        <v>15</v>
      </c>
      <c r="DE14" s="745">
        <v>8</v>
      </c>
      <c r="DF14" s="758">
        <f>VLOOKUP(DD14,'Ціни контур теплопостачання'!$Y$5:$AA$17,3,0)</f>
        <v>2.464</v>
      </c>
      <c r="DG14" s="759">
        <f t="shared" si="57"/>
        <v>19.712</v>
      </c>
      <c r="DH14" s="745">
        <v>15</v>
      </c>
      <c r="DI14" s="745">
        <f t="shared" si="58"/>
        <v>37</v>
      </c>
      <c r="DJ14" s="758">
        <f>VLOOKUP(DH14,'Ціни контур мережний'!$J$71:$M$71,4,0)</f>
        <v>3.3865201135922525</v>
      </c>
      <c r="DK14" s="759">
        <f t="shared" si="59"/>
        <v>125.30124420291334</v>
      </c>
      <c r="DL14" s="751">
        <f t="shared" si="10"/>
        <v>80</v>
      </c>
      <c r="DM14" s="746">
        <v>1</v>
      </c>
      <c r="DN14" s="747">
        <f>VLOOKUP(DL14,'Ціни контур теплопостачання'!$K$5:$M$17,3,0)</f>
        <v>50.12</v>
      </c>
      <c r="DO14" s="748">
        <f t="shared" si="60"/>
        <v>50.12</v>
      </c>
      <c r="DP14" s="745">
        <f t="shared" si="11"/>
        <v>50</v>
      </c>
      <c r="DQ14" s="749">
        <v>1</v>
      </c>
      <c r="DR14" s="747">
        <f>VLOOKUP(DP14,'Ціни контур теплопостачання'!$K$5:$M$17,3,0)</f>
        <v>26.284999999999997</v>
      </c>
      <c r="DS14" s="748">
        <f t="shared" si="61"/>
        <v>26.284999999999997</v>
      </c>
      <c r="DT14" s="745">
        <f t="shared" si="12"/>
        <v>32</v>
      </c>
      <c r="DU14" s="745">
        <v>1</v>
      </c>
      <c r="DV14" s="758">
        <f>VLOOKUP(DT14,'Ціни контур теплопостачання'!$K$5:$M$17,3,0)</f>
        <v>9.48</v>
      </c>
      <c r="DW14" s="759">
        <f t="shared" si="62"/>
        <v>9.48</v>
      </c>
      <c r="DX14" s="745">
        <f t="shared" si="63"/>
        <v>80</v>
      </c>
      <c r="DY14" s="745">
        <v>1</v>
      </c>
      <c r="DZ14" s="758">
        <f>VLOOKUP(DX14,'Ціни контур теплопостачання'!$Y$24:$AA$36,3,0)</f>
        <v>60.079499999999996</v>
      </c>
      <c r="EA14" s="759">
        <f t="shared" si="64"/>
        <v>60.079499999999996</v>
      </c>
      <c r="EB14" s="751">
        <f t="shared" si="13"/>
        <v>80</v>
      </c>
      <c r="EC14" s="746">
        <v>2</v>
      </c>
      <c r="ED14" s="747">
        <f>VLOOKUP(EB14,'Ціни контур теплопостачання'!$Y$24:$AA$36,3,0)</f>
        <v>60.079499999999996</v>
      </c>
      <c r="EE14" s="748">
        <f t="shared" si="65"/>
        <v>120.15899999999999</v>
      </c>
      <c r="EF14" s="745">
        <f t="shared" si="14"/>
        <v>50</v>
      </c>
      <c r="EG14" s="749">
        <v>1</v>
      </c>
      <c r="EH14" s="747">
        <f>VLOOKUP(EF14,'Ціни контур теплопостачання'!$AO$38:$AQ$50,3,0)</f>
        <v>28.560999999999996</v>
      </c>
      <c r="EI14" s="748">
        <f t="shared" si="66"/>
        <v>28.560999999999996</v>
      </c>
      <c r="EJ14" s="745">
        <f t="shared" si="15"/>
        <v>32</v>
      </c>
      <c r="EK14" s="745">
        <v>1</v>
      </c>
      <c r="EL14" s="758">
        <f>VLOOKUP(EJ14,'Ціни контур теплопостачання'!$AO$38:$AQ$50,3,0)</f>
        <v>10.773</v>
      </c>
      <c r="EM14" s="759">
        <f t="shared" si="67"/>
        <v>10.773</v>
      </c>
      <c r="EN14" s="745">
        <f t="shared" si="16"/>
        <v>65</v>
      </c>
      <c r="EO14" s="745">
        <f t="shared" si="17"/>
        <v>4</v>
      </c>
      <c r="EP14" s="758">
        <f>VLOOKUP(EN14,'Ціни контур теплопостачання'!$Y$76:$AA$88,3,0)</f>
        <v>26.33</v>
      </c>
      <c r="EQ14" s="759">
        <f t="shared" si="68"/>
        <v>105.32</v>
      </c>
      <c r="ER14" s="745">
        <f t="shared" si="18"/>
        <v>50</v>
      </c>
      <c r="ES14" s="745">
        <v>1</v>
      </c>
      <c r="ET14" s="758">
        <f>VLOOKUP(ER14,'Ціни контур теплопостачання'!$Y$76:$AA$88,3,0)</f>
        <v>20.6</v>
      </c>
      <c r="EU14" s="759">
        <f t="shared" si="69"/>
        <v>20.6</v>
      </c>
      <c r="EV14" s="745">
        <f t="shared" si="19"/>
        <v>32</v>
      </c>
      <c r="EW14" s="745">
        <v>1</v>
      </c>
      <c r="EX14" s="758">
        <f>VLOOKUP(EV14,'Ціни контур теплопостачання'!$Y$76:$AA$88,3,0)</f>
        <v>13.15</v>
      </c>
      <c r="EY14" s="759">
        <f t="shared" si="70"/>
        <v>13.15</v>
      </c>
      <c r="EZ14" s="758">
        <f t="shared" si="20"/>
        <v>32.372766332212016</v>
      </c>
      <c r="FA14" s="760">
        <v>32</v>
      </c>
      <c r="FB14" s="719">
        <v>2</v>
      </c>
      <c r="FC14" s="747">
        <f>VLOOKUP(FA14,'Ціни контур теплопостачання'!$K$74:$M$79,3,0)</f>
        <v>33.68</v>
      </c>
      <c r="FD14" s="761">
        <f t="shared" si="21"/>
        <v>67.36</v>
      </c>
      <c r="FE14" s="762">
        <f t="shared" si="71"/>
        <v>16.889812889812887</v>
      </c>
      <c r="FF14" s="911">
        <v>9</v>
      </c>
      <c r="FG14" s="900">
        <v>8</v>
      </c>
      <c r="FH14" s="830" t="s">
        <v>1090</v>
      </c>
      <c r="FI14" s="708">
        <v>2</v>
      </c>
      <c r="FJ14" s="709">
        <f>VLOOKUP(FH14,'Ціни контур теплопостачання'!$C$89:$M$105,11,0)</f>
        <v>648.69600000000003</v>
      </c>
      <c r="FK14" s="764">
        <f t="shared" si="72"/>
        <v>1297.3920000000001</v>
      </c>
      <c r="FL14" s="912">
        <f t="shared" si="73"/>
        <v>2.2515212981744424</v>
      </c>
      <c r="FM14" s="911">
        <v>9</v>
      </c>
      <c r="FN14" s="900">
        <v>9</v>
      </c>
      <c r="FO14" s="900" t="s">
        <v>1097</v>
      </c>
      <c r="FP14" s="749">
        <v>1</v>
      </c>
      <c r="FQ14" s="747">
        <f>VLOOKUP(FO14,'Ціни контур теплопостачання'!$C$89:$M$105,11,0)</f>
        <v>241.2</v>
      </c>
      <c r="FR14" s="904">
        <f t="shared" si="74"/>
        <v>241.2</v>
      </c>
      <c r="FS14" s="758">
        <f t="array" ref="FS14">MIN(IF('Ціни контур теплопостачання'!$AN$68:$AN$77&gt;(V14*1.2),'Ціни контур теплопостачання'!$AN$68:$AN$77))</f>
        <v>22.36</v>
      </c>
      <c r="FT14" s="749">
        <f>VLOOKUP(FS14,'Ціни контур теплопостачання'!$AN$68:$AO$77,2,0)</f>
        <v>40</v>
      </c>
      <c r="FU14" s="749">
        <f t="shared" si="22"/>
        <v>2</v>
      </c>
      <c r="FV14" s="747">
        <f>VLOOKUP(FT14,'Ціни контур теплопостачання'!$AO$68:$AQ$77,3,0)</f>
        <v>43.225000000000001</v>
      </c>
      <c r="FW14" s="765">
        <f t="shared" si="75"/>
        <v>86.45</v>
      </c>
      <c r="FX14" s="750">
        <v>15</v>
      </c>
      <c r="FY14" s="746">
        <v>2</v>
      </c>
      <c r="FZ14" s="747">
        <f>VLOOKUP(FX14,'Ціни контур мережний'!$J$73:$M$73,4,0)</f>
        <v>3.4649999999999999</v>
      </c>
      <c r="GA14" s="748">
        <f t="shared" si="76"/>
        <v>6.93</v>
      </c>
      <c r="GB14" s="750">
        <f>VLOOKUP(GC14,'Ціни контур теплопостачання'!$AN$6:$AO$13,2,0)</f>
        <v>40</v>
      </c>
      <c r="GC14" s="751">
        <f t="array" ref="GC14">MIN(IF('Ціни контур теплопостачання'!$AN$6:$AN$13&gt;N14,'Ціни контур теплопостачання'!$AN$6:$AN$13))</f>
        <v>15</v>
      </c>
      <c r="GD14" s="751">
        <v>1</v>
      </c>
      <c r="GE14" s="747">
        <f>VLOOKUP(GB14,'Ціни контур теплопостачання'!$AO$6:$AQ$13,3,0)</f>
        <v>140.82444000000001</v>
      </c>
      <c r="GF14" s="748">
        <f t="shared" si="77"/>
        <v>140.82444000000001</v>
      </c>
      <c r="GG14" s="750">
        <f t="shared" si="23"/>
        <v>50</v>
      </c>
      <c r="GH14" s="746">
        <v>1</v>
      </c>
      <c r="GI14" s="747">
        <f>VLOOKUP(GG14,'Ціни контур теплопостачання'!$AO$55:$AQ$63,3,0)</f>
        <v>355.5</v>
      </c>
      <c r="GJ14" s="768">
        <f t="shared" si="78"/>
        <v>355.5</v>
      </c>
      <c r="GK14" s="655" t="str">
        <f t="shared" si="91"/>
        <v>0-150</v>
      </c>
      <c r="GL14" s="720">
        <v>1</v>
      </c>
      <c r="GM14" s="747">
        <f>VLOOKUP(GK14,'Ціни контур мережний'!$I$79:$M$80,5,0)</f>
        <v>15.050156291498967</v>
      </c>
      <c r="GN14" s="748">
        <f t="shared" si="79"/>
        <v>15.050156291498967</v>
      </c>
      <c r="GO14" s="758" t="s">
        <v>109</v>
      </c>
      <c r="GP14" s="749">
        <v>1</v>
      </c>
      <c r="GQ14" s="747">
        <f>VLOOKUP(GO14,'Ціни контур мережний'!$I$79:$M$80,5,0)</f>
        <v>15.050156291498967</v>
      </c>
      <c r="GR14" s="765">
        <f t="shared" si="80"/>
        <v>15.050156291498967</v>
      </c>
      <c r="GS14" s="655" t="s">
        <v>108</v>
      </c>
      <c r="GT14" s="720">
        <v>3</v>
      </c>
      <c r="GU14" s="747">
        <f>VLOOKUP(GS14,'Ціни контур мережний'!$I$67:$M$69,5,0)</f>
        <v>4.4537969640631703</v>
      </c>
      <c r="GV14" s="748">
        <f t="shared" si="81"/>
        <v>13.361390892189512</v>
      </c>
      <c r="GW14" s="655" t="s">
        <v>106</v>
      </c>
      <c r="GX14" s="720">
        <f>11+T14</f>
        <v>13</v>
      </c>
      <c r="GY14" s="747">
        <f>VLOOKUP(GW14,'Ціни контур мережний'!$I$67:$M$69,5,0)</f>
        <v>4.4537969640631703</v>
      </c>
      <c r="GZ14" s="748">
        <f t="shared" si="82"/>
        <v>57.899360532821213</v>
      </c>
      <c r="HA14" s="655" t="s">
        <v>1013</v>
      </c>
      <c r="HB14" s="720">
        <v>4</v>
      </c>
      <c r="HC14" s="747">
        <f>VLOOKUP(HA14,'Ціни контур мережний'!$I$64:$M$64,5,0)</f>
        <v>29.1312</v>
      </c>
      <c r="HD14" s="748">
        <f t="shared" si="83"/>
        <v>116.5248</v>
      </c>
      <c r="HE14" s="766" t="s">
        <v>1015</v>
      </c>
      <c r="HF14" s="749">
        <v>6</v>
      </c>
      <c r="HG14" s="747">
        <f>VLOOKUP(HE14,'Ціни контур мережний'!$I$89:$M$89,5,0)</f>
        <v>79.523165325760516</v>
      </c>
      <c r="HH14" s="765">
        <f t="shared" si="84"/>
        <v>477.1389919545631</v>
      </c>
      <c r="HI14" s="917" t="s">
        <v>1016</v>
      </c>
      <c r="HJ14" s="720">
        <f t="shared" si="92"/>
        <v>7</v>
      </c>
      <c r="HK14" s="747">
        <f>VLOOKUP(HI14,'Ціни контур мережний'!$I$88:$M$88,5,0)</f>
        <v>13.211568975967202</v>
      </c>
      <c r="HL14" s="768">
        <f t="shared" si="85"/>
        <v>92.480982831770419</v>
      </c>
      <c r="HM14" s="917" t="s">
        <v>383</v>
      </c>
      <c r="HN14" s="720">
        <v>1</v>
      </c>
      <c r="HO14" s="747">
        <f>VLOOKUP(HM14,'Ціни контур мережний'!$I$87:$M$87,5,0)</f>
        <v>13.483972460007763</v>
      </c>
      <c r="HP14" s="748">
        <f t="shared" si="86"/>
        <v>13.483972460007763</v>
      </c>
      <c r="HQ14" s="769">
        <f t="shared" si="24"/>
        <v>18</v>
      </c>
      <c r="HR14" s="770">
        <f t="shared" si="87"/>
        <v>7086.4902601819067</v>
      </c>
      <c r="HS14" s="771">
        <v>0</v>
      </c>
      <c r="HT14" s="771">
        <f>'Таблиця цін схема №1'!$JE$45/'Ціни контур мережний'!$G$26</f>
        <v>578.85740358619182</v>
      </c>
      <c r="HU14" s="770">
        <f>'Таблиця цін схема №1'!$JG$8</f>
        <v>661.80181284518619</v>
      </c>
      <c r="HV14" s="770">
        <f>'Таблиця цін схема №1'!$JH$8</f>
        <v>487.81784379022207</v>
      </c>
      <c r="HW14" s="770">
        <f>'Таблиця цін схема №1'!$JI$8</f>
        <v>323.47913729816605</v>
      </c>
      <c r="HX14" s="770">
        <f>'Таблиця цін схема №1'!$JJ$8</f>
        <v>66.611999999999995</v>
      </c>
      <c r="HY14" s="772">
        <v>0</v>
      </c>
      <c r="HZ14" s="772">
        <f>'Таблиця цін схема №1'!$JL$8</f>
        <v>62.86234247089866</v>
      </c>
      <c r="IA14" s="772">
        <v>0</v>
      </c>
      <c r="IB14" s="770">
        <v>0</v>
      </c>
      <c r="IC14" s="913">
        <f t="shared" si="25"/>
        <v>648.75445601208003</v>
      </c>
      <c r="ID14" s="914">
        <f t="shared" si="26"/>
        <v>926.79208001725715</v>
      </c>
      <c r="IE14" s="915">
        <f t="shared" si="27"/>
        <v>159.43126224188018</v>
      </c>
      <c r="IF14" s="776">
        <f>'Таблиця цін схема №1'!$JR$8</f>
        <v>300.63036461094771</v>
      </c>
      <c r="IG14" s="777">
        <f t="shared" si="88"/>
        <v>11303.528963054738</v>
      </c>
      <c r="II14" s="611">
        <f>[3]Расчеты!AX13/1.2</f>
        <v>4329.2980677217938</v>
      </c>
      <c r="IJ14" s="611">
        <f t="shared" si="89"/>
        <v>15632.827030776531</v>
      </c>
      <c r="IK14" s="611" t="e">
        <f>IJ14*1.2*#REF!</f>
        <v>#REF!</v>
      </c>
      <c r="IL14" s="611"/>
    </row>
    <row r="15" spans="1:246" ht="12.6" customHeight="1">
      <c r="A15" s="610" t="s">
        <v>686</v>
      </c>
      <c r="B15" s="740">
        <v>19</v>
      </c>
      <c r="C15" s="1056" t="s">
        <v>1425</v>
      </c>
      <c r="D15" s="892">
        <v>0.78690000000000004</v>
      </c>
      <c r="E15" s="918">
        <v>0.67700000000000005</v>
      </c>
      <c r="F15" s="742">
        <f t="shared" si="28"/>
        <v>31.362531973513768</v>
      </c>
      <c r="G15" s="743">
        <v>100</v>
      </c>
      <c r="H15" s="598">
        <f t="shared" si="29"/>
        <v>14.056806002143624</v>
      </c>
      <c r="I15" s="599">
        <v>65</v>
      </c>
      <c r="J15" s="598">
        <f t="shared" si="30"/>
        <v>32.719334719334725</v>
      </c>
      <c r="K15" s="599">
        <v>100</v>
      </c>
      <c r="L15" s="598">
        <f t="shared" si="31"/>
        <v>17.305725971370144</v>
      </c>
      <c r="M15" s="599">
        <v>80</v>
      </c>
      <c r="N15" s="598">
        <f t="shared" si="32"/>
        <v>13.732251521298176</v>
      </c>
      <c r="O15" s="599">
        <v>80</v>
      </c>
      <c r="P15" s="598">
        <f t="shared" ref="P15:P40" si="93">N15*0.3</f>
        <v>4.1196754563894524</v>
      </c>
      <c r="Q15" s="599">
        <v>50</v>
      </c>
      <c r="R15" s="598">
        <f t="shared" si="33"/>
        <v>19.879325691879036</v>
      </c>
      <c r="S15" s="600">
        <f t="shared" si="34"/>
        <v>24.473992375423961</v>
      </c>
      <c r="T15" s="744">
        <v>8</v>
      </c>
      <c r="U15" s="601">
        <f t="shared" si="35"/>
        <v>4.0899168399168406</v>
      </c>
      <c r="V15" s="601">
        <f t="shared" si="36"/>
        <v>5.7840158639885066</v>
      </c>
      <c r="W15" s="602">
        <v>40</v>
      </c>
      <c r="X15" s="745">
        <f t="shared" si="0"/>
        <v>100</v>
      </c>
      <c r="Y15" s="746">
        <v>2</v>
      </c>
      <c r="Z15" s="747">
        <f>VLOOKUP(X15,'Ціни контур мережний'!$Z$24:$AB$36,3,0)</f>
        <v>61.045620773489688</v>
      </c>
      <c r="AA15" s="748">
        <f t="shared" si="37"/>
        <v>122.09124154697938</v>
      </c>
      <c r="AB15" s="745">
        <f t="shared" si="1"/>
        <v>100</v>
      </c>
      <c r="AC15" s="749">
        <v>2</v>
      </c>
      <c r="AD15" s="747">
        <f>VLOOKUP(AB15,'Ціни контур мережний'!$Z$64:$AB$77,3,0)</f>
        <v>150.69360737123827</v>
      </c>
      <c r="AE15" s="748">
        <f t="shared" si="38"/>
        <v>301.38721474247654</v>
      </c>
      <c r="AF15" s="745">
        <f t="shared" si="2"/>
        <v>100</v>
      </c>
      <c r="AG15" s="746">
        <v>1</v>
      </c>
      <c r="AH15" s="747">
        <f>VLOOKUP(AF15,'Ціни контур мережний'!$Z$5:$AB$17,3,0)</f>
        <v>70.903000000000006</v>
      </c>
      <c r="AI15" s="748">
        <f t="shared" si="39"/>
        <v>70.903000000000006</v>
      </c>
      <c r="AJ15" s="750">
        <f t="shared" si="3"/>
        <v>65</v>
      </c>
      <c r="AK15" s="746">
        <v>3</v>
      </c>
      <c r="AL15" s="747">
        <f>VLOOKUP(AJ15,'Ціни контур мережний'!$Z$43:$AB$55,3,0)</f>
        <v>30.19184015363556</v>
      </c>
      <c r="AM15" s="748">
        <f t="shared" si="40"/>
        <v>90.575520460906688</v>
      </c>
      <c r="AN15" s="745">
        <f t="shared" si="4"/>
        <v>80</v>
      </c>
      <c r="AO15" s="749">
        <v>4</v>
      </c>
      <c r="AP15" s="747">
        <f>VLOOKUP(AN15,'Ціни контур мережний'!$Z$43:$AB$55,3,0)</f>
        <v>37.693832104112609</v>
      </c>
      <c r="AQ15" s="759">
        <f t="shared" si="41"/>
        <v>150.77532841645044</v>
      </c>
      <c r="AR15" s="751" t="str">
        <f t="shared" si="42"/>
        <v>AMV20</v>
      </c>
      <c r="AS15" s="751">
        <v>1</v>
      </c>
      <c r="AT15" s="747">
        <f>VLOOKUP(AR15,'Ціни контур мережний'!$I$53:$M$57,5,0)</f>
        <v>110.39869654932889</v>
      </c>
      <c r="AU15" s="748">
        <f t="shared" si="43"/>
        <v>110.39869654932889</v>
      </c>
      <c r="AV15" s="752">
        <f t="array" ref="AV15">MIN(IF('Ціни контур мережний'!$Y$83:$Y$92&gt;(R15*1.2),'Ціни контур мережний'!$Y$83:$Y$92))</f>
        <v>25</v>
      </c>
      <c r="AW15" s="746">
        <f>VLOOKUP(AV15,'Ціни контур мережний'!$Y$83:$Z$92,2,0)</f>
        <v>40</v>
      </c>
      <c r="AX15" s="746">
        <v>1</v>
      </c>
      <c r="AY15" s="747">
        <f>VLOOKUP(AV15,'Ціни контур мережний'!$Y$83:$AB$92,4,0)</f>
        <v>156.6569554824606</v>
      </c>
      <c r="AZ15" s="748">
        <f t="shared" si="44"/>
        <v>156.6569554824606</v>
      </c>
      <c r="BA15" s="1099">
        <f t="array" ref="BA15">MIN(IF('[1]Ціни контур мережний'!$Y$104:$Y$114&gt;(R15*1.2),'[1]Ціни контур мережний'!$Y$104:$Y$114))</f>
        <v>32</v>
      </c>
      <c r="BB15" s="1101">
        <f>VLOOKUP(BA15,'[1]Ціни контур мережний'!$Y$104:$Z$114,2,0)</f>
        <v>50</v>
      </c>
      <c r="BC15" s="753">
        <v>1</v>
      </c>
      <c r="BD15" s="754">
        <f>VLOOKUP(BA15,'Ціни контур мережний'!$Y$104:$AB$114,4,0)</f>
        <v>1081.5876151755979</v>
      </c>
      <c r="BE15" s="755">
        <f t="shared" si="45"/>
        <v>1081.5876151755979</v>
      </c>
      <c r="BF15" s="751" t="s">
        <v>67</v>
      </c>
      <c r="BG15" s="749">
        <v>1</v>
      </c>
      <c r="BH15" s="747">
        <f>VLOOKUP(BF15,'Ціни контур мережний'!$I$53:$M$57,5,0)</f>
        <v>157.67238032974441</v>
      </c>
      <c r="BI15" s="768">
        <f t="shared" si="46"/>
        <v>157.67238032974441</v>
      </c>
      <c r="BJ15" s="894">
        <f t="array" ref="BJ15">MIN(IF('Ціни контур мережний'!$Y$83:$Y$93&gt;(S15*1.2),'Ціни контур мережний'!$Y$83:$Y$93))</f>
        <v>40</v>
      </c>
      <c r="BK15" s="895">
        <f>VLOOKUP(BJ15,'Ціни контур мережний'!$Y$83:$Z$93,2,0)</f>
        <v>50</v>
      </c>
      <c r="BL15" s="895">
        <v>1</v>
      </c>
      <c r="BM15" s="896">
        <f>VLOOKUP(BJ15,'Ціни контур мережний'!$Y$83:$AB$93,4,0)</f>
        <v>191.46963041657298</v>
      </c>
      <c r="BN15" s="916">
        <f t="shared" si="47"/>
        <v>191.46963041657298</v>
      </c>
      <c r="BO15" s="896">
        <f t="array" ref="BO15">MIN(IF('Ціни контур мережний'!$Y$104:$Y$114&gt;(S15*1.2),'Ціни контур мережний'!$Y$104:$Y$114))</f>
        <v>32</v>
      </c>
      <c r="BP15" s="895">
        <f>VLOOKUP(BO15,'Ціни контур мережний'!$Y$104:$Z$114,2,0)</f>
        <v>50</v>
      </c>
      <c r="BQ15" s="895">
        <v>1</v>
      </c>
      <c r="BR15" s="896">
        <f>VLOOKUP(BO15,'Ціни контур мережний'!$Y$104:$AB$114,4,0)</f>
        <v>1081.5876151755979</v>
      </c>
      <c r="BS15" s="897">
        <f t="shared" si="48"/>
        <v>1081.5876151755979</v>
      </c>
      <c r="BT15" s="751">
        <f>VLOOKUP(BU15,'Ціни контур мережний'!$J$5:$L$12,3,0)</f>
        <v>50</v>
      </c>
      <c r="BU15" s="751">
        <f t="array" ref="BU15">MIN(IF('Ціни контур мережний'!$J$5:$J$12&gt;H15,'Ціни контур мережний'!$J$5:$J$12))</f>
        <v>15</v>
      </c>
      <c r="BV15" s="746" t="s">
        <v>130</v>
      </c>
      <c r="BW15" s="756">
        <v>1</v>
      </c>
      <c r="BX15" s="747">
        <f>VLOOKUP(BU15,'Ціни контур мережний'!$J$5:$N$12,5,0)</f>
        <v>366.74399999999997</v>
      </c>
      <c r="BY15" s="748">
        <f t="shared" si="49"/>
        <v>366.74399999999997</v>
      </c>
      <c r="BZ15" s="745">
        <f>VLOOKUP(CA15,'Ціни контур мережний'!$J$5:$L$12,3,0)</f>
        <v>65</v>
      </c>
      <c r="CA15" s="747">
        <f t="array" ref="CA15">MIN(IF('Ціни контур мережний'!$J$5:$J$12&gt;L15,'Ціни контур мережний'!$J$5:$J$12))</f>
        <v>25</v>
      </c>
      <c r="CB15" s="746" t="s">
        <v>130</v>
      </c>
      <c r="CC15" s="749">
        <v>1</v>
      </c>
      <c r="CD15" s="747">
        <f>VLOOKUP(CA15,'Ціни контур мережний'!$J$5:$N$12,5,0)</f>
        <v>584.80799999999999</v>
      </c>
      <c r="CE15" s="748">
        <f t="shared" si="50"/>
        <v>584.80799999999999</v>
      </c>
      <c r="CF15" s="898" t="s">
        <v>1344</v>
      </c>
      <c r="CG15" s="899">
        <v>1</v>
      </c>
      <c r="CH15" s="900">
        <v>1058</v>
      </c>
      <c r="CI15" s="901">
        <f t="shared" si="51"/>
        <v>1058</v>
      </c>
      <c r="CJ15" s="751">
        <f t="shared" si="5"/>
        <v>100</v>
      </c>
      <c r="CK15" s="746">
        <v>4</v>
      </c>
      <c r="CL15" s="747">
        <f>VLOOKUP(CJ15,'Ціни контур теплопостачання'!$Y$5:$AA$17,3,0)</f>
        <v>61.045620773489688</v>
      </c>
      <c r="CM15" s="748">
        <f t="shared" si="52"/>
        <v>244.18248309395875</v>
      </c>
      <c r="CN15" s="750">
        <f t="shared" si="6"/>
        <v>80</v>
      </c>
      <c r="CO15" s="746">
        <v>6</v>
      </c>
      <c r="CP15" s="747">
        <f>VLOOKUP(CN15,'Ціни контур теплопостачання'!$AO$20:$AQ$29,3,0)</f>
        <v>67.828467526099658</v>
      </c>
      <c r="CQ15" s="748">
        <f t="shared" si="53"/>
        <v>406.97080515659798</v>
      </c>
      <c r="CR15" s="750">
        <f t="shared" si="7"/>
        <v>50</v>
      </c>
      <c r="CS15" s="746">
        <v>3</v>
      </c>
      <c r="CT15" s="747">
        <f>VLOOKUP(CR15,'Ціни контур теплопостачання'!$AO$20:$AQ$29,3,0)</f>
        <v>37.588411955788914</v>
      </c>
      <c r="CU15" s="748">
        <f t="shared" si="54"/>
        <v>112.76523586736674</v>
      </c>
      <c r="CV15" s="757">
        <f t="shared" si="8"/>
        <v>40</v>
      </c>
      <c r="CW15" s="746">
        <f t="shared" si="9"/>
        <v>16</v>
      </c>
      <c r="CX15" s="747">
        <f>VLOOKUP(CV15,'Ціни контур теплопостачання'!$Y$5:$AA$17,3,0)</f>
        <v>18.42400964308333</v>
      </c>
      <c r="CY15" s="748">
        <f t="shared" si="55"/>
        <v>294.78415428933329</v>
      </c>
      <c r="CZ15" s="745">
        <v>20</v>
      </c>
      <c r="DA15" s="749">
        <v>2</v>
      </c>
      <c r="DB15" s="747">
        <f>VLOOKUP(CZ15,'Ціни контур теплопостачання'!$Y$5:$AA$17,3,0)</f>
        <v>3.577</v>
      </c>
      <c r="DC15" s="748">
        <f t="shared" si="56"/>
        <v>7.1539999999999999</v>
      </c>
      <c r="DD15" s="745">
        <v>15</v>
      </c>
      <c r="DE15" s="745">
        <v>8</v>
      </c>
      <c r="DF15" s="758">
        <f>VLOOKUP(DD15,'Ціни контур теплопостачання'!$Y$5:$AA$17,3,0)</f>
        <v>2.464</v>
      </c>
      <c r="DG15" s="759">
        <f t="shared" si="57"/>
        <v>19.712</v>
      </c>
      <c r="DH15" s="745">
        <v>15</v>
      </c>
      <c r="DI15" s="745">
        <f t="shared" si="58"/>
        <v>43</v>
      </c>
      <c r="DJ15" s="758">
        <f>VLOOKUP(DH15,'Ціни контур мережний'!$J$71:$M$71,4,0)</f>
        <v>3.3865201135922525</v>
      </c>
      <c r="DK15" s="759">
        <f t="shared" si="59"/>
        <v>145.62036488446685</v>
      </c>
      <c r="DL15" s="751">
        <f t="shared" si="10"/>
        <v>100</v>
      </c>
      <c r="DM15" s="746">
        <v>1</v>
      </c>
      <c r="DN15" s="747">
        <f>VLOOKUP(DL15,'Ціни контур теплопостачання'!$K$5:$M$17,3,0)</f>
        <v>70.903000000000006</v>
      </c>
      <c r="DO15" s="748">
        <f t="shared" si="60"/>
        <v>70.903000000000006</v>
      </c>
      <c r="DP15" s="745">
        <f t="shared" si="11"/>
        <v>80</v>
      </c>
      <c r="DQ15" s="749">
        <v>1</v>
      </c>
      <c r="DR15" s="747">
        <f>VLOOKUP(DP15,'Ціни контур теплопостачання'!$K$5:$M$17,3,0)</f>
        <v>50.12</v>
      </c>
      <c r="DS15" s="748">
        <f t="shared" si="61"/>
        <v>50.12</v>
      </c>
      <c r="DT15" s="745">
        <f t="shared" si="12"/>
        <v>50</v>
      </c>
      <c r="DU15" s="745">
        <v>1</v>
      </c>
      <c r="DV15" s="758">
        <f>VLOOKUP(DT15,'Ціни контур теплопостачання'!$K$5:$M$17,3,0)</f>
        <v>26.284999999999997</v>
      </c>
      <c r="DW15" s="759">
        <f t="shared" si="62"/>
        <v>26.284999999999997</v>
      </c>
      <c r="DX15" s="745">
        <f t="shared" si="63"/>
        <v>100</v>
      </c>
      <c r="DY15" s="745">
        <v>1</v>
      </c>
      <c r="DZ15" s="758">
        <f>VLOOKUP(DX15,'Ціни контур теплопостачання'!$Y$24:$AA$36,3,0)</f>
        <v>87.795500000000004</v>
      </c>
      <c r="EA15" s="759">
        <f t="shared" si="64"/>
        <v>87.795500000000004</v>
      </c>
      <c r="EB15" s="751">
        <f t="shared" si="13"/>
        <v>100</v>
      </c>
      <c r="EC15" s="746">
        <v>2</v>
      </c>
      <c r="ED15" s="747">
        <f>VLOOKUP(EB15,'Ціни контур теплопостачання'!$Y$24:$AA$36,3,0)</f>
        <v>87.795500000000004</v>
      </c>
      <c r="EE15" s="748">
        <f t="shared" si="65"/>
        <v>175.59100000000001</v>
      </c>
      <c r="EF15" s="745">
        <f t="shared" si="14"/>
        <v>80</v>
      </c>
      <c r="EG15" s="749">
        <v>1</v>
      </c>
      <c r="EH15" s="747">
        <f>VLOOKUP(EF15,'Ціни контур теплопостачання'!$AO$38:$AQ$50,3,0)</f>
        <v>60.079499999999996</v>
      </c>
      <c r="EI15" s="748">
        <f t="shared" si="66"/>
        <v>60.079499999999996</v>
      </c>
      <c r="EJ15" s="745">
        <f t="shared" si="15"/>
        <v>50</v>
      </c>
      <c r="EK15" s="745">
        <v>1</v>
      </c>
      <c r="EL15" s="758">
        <f>VLOOKUP(EJ15,'Ціни контур теплопостачання'!$AO$38:$AQ$50,3,0)</f>
        <v>28.560999999999996</v>
      </c>
      <c r="EM15" s="759">
        <f t="shared" si="67"/>
        <v>28.560999999999996</v>
      </c>
      <c r="EN15" s="745">
        <f t="shared" si="16"/>
        <v>40</v>
      </c>
      <c r="EO15" s="745">
        <f t="shared" si="17"/>
        <v>16</v>
      </c>
      <c r="EP15" s="758">
        <f>VLOOKUP(EN15,'Ціни контур теплопостачання'!$Y$76:$AA$88,3,0)</f>
        <v>16.809999999999999</v>
      </c>
      <c r="EQ15" s="759">
        <f t="shared" si="68"/>
        <v>268.95999999999998</v>
      </c>
      <c r="ER15" s="745">
        <f t="shared" si="18"/>
        <v>80</v>
      </c>
      <c r="ES15" s="745">
        <v>1</v>
      </c>
      <c r="ET15" s="758">
        <f>VLOOKUP(ER15,'Ціни контур теплопостачання'!$Y$76:$AA$88,3,0)</f>
        <v>31.42</v>
      </c>
      <c r="EU15" s="759">
        <f t="shared" si="69"/>
        <v>31.42</v>
      </c>
      <c r="EV15" s="745">
        <f t="shared" si="19"/>
        <v>50</v>
      </c>
      <c r="EW15" s="745">
        <v>1</v>
      </c>
      <c r="EX15" s="758">
        <f>VLOOKUP(EV15,'Ціни контур теплопостачання'!$Y$76:$AA$88,3,0)</f>
        <v>20.6</v>
      </c>
      <c r="EY15" s="759">
        <f t="shared" si="70"/>
        <v>20.6</v>
      </c>
      <c r="EZ15" s="758">
        <f t="shared" si="20"/>
        <v>45.057762927158286</v>
      </c>
      <c r="FA15" s="760">
        <v>50</v>
      </c>
      <c r="FB15" s="719">
        <v>2</v>
      </c>
      <c r="FC15" s="747">
        <f>VLOOKUP(FA15,'Ціни контур теплопостачання'!$K$74:$M$79,3,0)</f>
        <v>48.94</v>
      </c>
      <c r="FD15" s="761">
        <f t="shared" si="21"/>
        <v>97.88</v>
      </c>
      <c r="FE15" s="762">
        <f t="shared" si="71"/>
        <v>32.719334719334725</v>
      </c>
      <c r="FF15" s="902">
        <v>9</v>
      </c>
      <c r="FG15" s="900">
        <v>8</v>
      </c>
      <c r="FH15" s="830" t="s">
        <v>124</v>
      </c>
      <c r="FI15" s="708">
        <v>2</v>
      </c>
      <c r="FJ15" s="709">
        <f>VLOOKUP(FH15,'Ціни контур теплопостачання'!$C$89:$M$105,11,0)</f>
        <v>678</v>
      </c>
      <c r="FK15" s="764">
        <f t="shared" si="72"/>
        <v>1356</v>
      </c>
      <c r="FL15" s="912">
        <f t="shared" si="73"/>
        <v>4.1196754563894524</v>
      </c>
      <c r="FM15" s="902">
        <v>9</v>
      </c>
      <c r="FN15" s="900">
        <v>9</v>
      </c>
      <c r="FO15" s="900" t="s">
        <v>1097</v>
      </c>
      <c r="FP15" s="749">
        <v>1</v>
      </c>
      <c r="FQ15" s="747">
        <f>VLOOKUP(FO15,'Ціни контур теплопостачання'!$C$89:$M$105,11,0)</f>
        <v>241.2</v>
      </c>
      <c r="FR15" s="904">
        <f t="shared" si="74"/>
        <v>241.2</v>
      </c>
      <c r="FS15" s="758">
        <f t="array" ref="FS15">MIN(IF('Ціни контур теплопостачання'!$AN$68:$AN$77&gt;(V15*1.2),'Ціни контур теплопостачання'!$AN$68:$AN$77))</f>
        <v>11.13</v>
      </c>
      <c r="FT15" s="749">
        <f>VLOOKUP(FS15,'Ціни контур теплопостачання'!$AN$68:$AO$77,2,0)</f>
        <v>32</v>
      </c>
      <c r="FU15" s="749">
        <f t="shared" si="22"/>
        <v>8</v>
      </c>
      <c r="FV15" s="747">
        <f>VLOOKUP(FT15,'Ціни контур теплопостачання'!$AO$68:$AQ$77,3,0)</f>
        <v>37.183999999999997</v>
      </c>
      <c r="FW15" s="765">
        <f t="shared" si="75"/>
        <v>297.47199999999998</v>
      </c>
      <c r="FX15" s="750">
        <v>15</v>
      </c>
      <c r="FY15" s="746">
        <v>2</v>
      </c>
      <c r="FZ15" s="747">
        <f>VLOOKUP(FX15,'Ціни контур мережний'!$J$73:$M$73,4,0)</f>
        <v>3.4649999999999999</v>
      </c>
      <c r="GA15" s="748">
        <f t="shared" si="76"/>
        <v>6.93</v>
      </c>
      <c r="GB15" s="750">
        <f>VLOOKUP(GC15,'Ціни контур теплопостачання'!$AN$6:$AO$13,2,0)</f>
        <v>40</v>
      </c>
      <c r="GC15" s="751">
        <f t="array" ref="GC15">MIN(IF('Ціни контур теплопостачання'!$AN$6:$AN$13&gt;N15,'Ціни контур теплопостачання'!$AN$6:$AN$13))</f>
        <v>15</v>
      </c>
      <c r="GD15" s="751">
        <v>1</v>
      </c>
      <c r="GE15" s="747">
        <f>VLOOKUP(GB15,'Ціни контур теплопостачання'!$AO$6:$AQ$13,3,0)</f>
        <v>140.82444000000001</v>
      </c>
      <c r="GF15" s="748">
        <f t="shared" si="77"/>
        <v>140.82444000000001</v>
      </c>
      <c r="GG15" s="750">
        <f t="shared" si="23"/>
        <v>80</v>
      </c>
      <c r="GH15" s="746">
        <v>1</v>
      </c>
      <c r="GI15" s="747">
        <f>VLOOKUP(GG15,'Ціни контур теплопостачання'!$AO$55:$AQ$63,3,0)</f>
        <v>782.1</v>
      </c>
      <c r="GJ15" s="768">
        <f t="shared" si="78"/>
        <v>782.1</v>
      </c>
      <c r="GK15" s="655" t="str">
        <f t="shared" si="91"/>
        <v>0-150</v>
      </c>
      <c r="GL15" s="720">
        <v>1</v>
      </c>
      <c r="GM15" s="747">
        <f>VLOOKUP(GK15,'Ціни контур мережний'!$I$79:$M$80,5,0)</f>
        <v>15.050156291498967</v>
      </c>
      <c r="GN15" s="748">
        <f t="shared" si="79"/>
        <v>15.050156291498967</v>
      </c>
      <c r="GO15" s="758" t="s">
        <v>109</v>
      </c>
      <c r="GP15" s="749">
        <v>5</v>
      </c>
      <c r="GQ15" s="747">
        <f>VLOOKUP(GO15,'Ціни контур мережний'!$I$79:$M$80,5,0)</f>
        <v>15.050156291498967</v>
      </c>
      <c r="GR15" s="765">
        <f t="shared" si="80"/>
        <v>75.250781457494838</v>
      </c>
      <c r="GS15" s="655" t="s">
        <v>108</v>
      </c>
      <c r="GT15" s="720">
        <v>5</v>
      </c>
      <c r="GU15" s="747">
        <f>VLOOKUP(GS15,'Ціни контур мережний'!$I$67:$M$69,5,0)</f>
        <v>4.4537969640631703</v>
      </c>
      <c r="GV15" s="748">
        <f t="shared" si="81"/>
        <v>22.26898482031585</v>
      </c>
      <c r="GW15" s="655" t="s">
        <v>106</v>
      </c>
      <c r="GX15" s="720">
        <f>11+T15</f>
        <v>19</v>
      </c>
      <c r="GY15" s="747">
        <f>VLOOKUP(GW15,'Ціни контур мережний'!$I$67:$M$69,5,0)</f>
        <v>4.4537969640631703</v>
      </c>
      <c r="GZ15" s="748">
        <f t="shared" si="82"/>
        <v>84.622142317200229</v>
      </c>
      <c r="HA15" s="655" t="s">
        <v>1013</v>
      </c>
      <c r="HB15" s="720">
        <v>4</v>
      </c>
      <c r="HC15" s="747">
        <f>VLOOKUP(HA15,'Ціни контур мережний'!$I$64:$M$64,5,0)</f>
        <v>29.1312</v>
      </c>
      <c r="HD15" s="748">
        <f t="shared" si="83"/>
        <v>116.5248</v>
      </c>
      <c r="HE15" s="766" t="s">
        <v>1015</v>
      </c>
      <c r="HF15" s="749">
        <v>6</v>
      </c>
      <c r="HG15" s="747">
        <f>VLOOKUP(HE15,'Ціни контур мережний'!$I$89:$M$89,5,0)</f>
        <v>79.523165325760516</v>
      </c>
      <c r="HH15" s="765">
        <f t="shared" si="84"/>
        <v>477.1389919545631</v>
      </c>
      <c r="HI15" s="778" t="s">
        <v>1016</v>
      </c>
      <c r="HJ15" s="720">
        <f t="shared" si="92"/>
        <v>7</v>
      </c>
      <c r="HK15" s="747">
        <f>VLOOKUP(HI15,'Ціни контур мережний'!$I$88:$M$88,5,0)</f>
        <v>13.211568975967202</v>
      </c>
      <c r="HL15" s="768">
        <f t="shared" si="85"/>
        <v>92.480982831770419</v>
      </c>
      <c r="HM15" s="779" t="s">
        <v>383</v>
      </c>
      <c r="HN15" s="720">
        <v>1</v>
      </c>
      <c r="HO15" s="747">
        <f>VLOOKUP(HM15,'Ціни контур мережний'!$I$87:$M$87,5,0)</f>
        <v>13.483972460007763</v>
      </c>
      <c r="HP15" s="748">
        <f t="shared" si="86"/>
        <v>13.483972460007763</v>
      </c>
      <c r="HQ15" s="769">
        <f t="shared" si="24"/>
        <v>19</v>
      </c>
      <c r="HR15" s="770">
        <f t="shared" si="87"/>
        <v>11395.388493720693</v>
      </c>
      <c r="HS15" s="771">
        <v>0</v>
      </c>
      <c r="HT15" s="771">
        <f>'Таблиця цін схема №1'!$JE$46/'Ціни контур мережний'!$G$26</f>
        <v>681.00871010140213</v>
      </c>
      <c r="HU15" s="770">
        <f>'Таблиця цін схема №1'!$JG$8</f>
        <v>661.80181284518619</v>
      </c>
      <c r="HV15" s="770">
        <f>'Таблиця цін схема №1'!$JH$8</f>
        <v>487.81784379022207</v>
      </c>
      <c r="HW15" s="770">
        <f>'Таблиця цін схема №1'!$JI$8</f>
        <v>323.47913729816605</v>
      </c>
      <c r="HX15" s="770">
        <f>'Таблиця цін схема №1'!$JJ$8</f>
        <v>66.611999999999995</v>
      </c>
      <c r="HY15" s="772">
        <v>0</v>
      </c>
      <c r="HZ15" s="772">
        <f>'Таблиця цін схема №1'!$JL$8</f>
        <v>62.86234247089866</v>
      </c>
      <c r="IA15" s="772">
        <v>0</v>
      </c>
      <c r="IB15" s="770">
        <v>0</v>
      </c>
      <c r="IC15" s="773">
        <f t="shared" si="25"/>
        <v>957.52792381585971</v>
      </c>
      <c r="ID15" s="774">
        <f t="shared" si="26"/>
        <v>1367.8970340226567</v>
      </c>
      <c r="IE15" s="775">
        <f t="shared" si="27"/>
        <v>235.31227278840561</v>
      </c>
      <c r="IF15" s="776">
        <f>'Таблиця цін схема №1'!$JR$8</f>
        <v>300.63036461094771</v>
      </c>
      <c r="IG15" s="777">
        <f t="shared" si="88"/>
        <v>16540.337935464435</v>
      </c>
      <c r="II15" s="616">
        <f>[3]Расчеты!AX14/1.2</f>
        <v>4329.2980677217938</v>
      </c>
      <c r="IJ15" s="616">
        <f t="shared" si="89"/>
        <v>20869.636003186228</v>
      </c>
      <c r="IK15" s="616" t="e">
        <f>IJ15*1.2*#REF!</f>
        <v>#REF!</v>
      </c>
      <c r="IL15" s="616"/>
    </row>
    <row r="16" spans="1:246" ht="12.6" customHeight="1">
      <c r="A16" s="610" t="s">
        <v>686</v>
      </c>
      <c r="B16" s="905">
        <v>32</v>
      </c>
      <c r="C16" s="1056" t="s">
        <v>893</v>
      </c>
      <c r="D16" s="906">
        <v>0.65800000000000003</v>
      </c>
      <c r="E16" s="907">
        <v>0.66</v>
      </c>
      <c r="F16" s="908">
        <f t="shared" si="28"/>
        <v>28.625363572003145</v>
      </c>
      <c r="G16" s="909">
        <v>100</v>
      </c>
      <c r="H16" s="598">
        <f t="shared" si="29"/>
        <v>11.754197927831367</v>
      </c>
      <c r="I16" s="599">
        <v>65</v>
      </c>
      <c r="J16" s="598">
        <f t="shared" si="30"/>
        <v>27.359667359667359</v>
      </c>
      <c r="K16" s="599">
        <v>100</v>
      </c>
      <c r="L16" s="598">
        <f t="shared" si="31"/>
        <v>16.871165644171779</v>
      </c>
      <c r="M16" s="599">
        <v>80</v>
      </c>
      <c r="N16" s="598">
        <f t="shared" si="32"/>
        <v>13.387423935091279</v>
      </c>
      <c r="O16" s="599">
        <v>80</v>
      </c>
      <c r="P16" s="598">
        <f t="shared" si="93"/>
        <v>4.0162271805273839</v>
      </c>
      <c r="Q16" s="599">
        <v>50</v>
      </c>
      <c r="R16" s="598">
        <f t="shared" si="33"/>
        <v>16.622946124356847</v>
      </c>
      <c r="S16" s="600">
        <f t="shared" si="34"/>
        <v>23.859431267030743</v>
      </c>
      <c r="T16" s="910">
        <v>10</v>
      </c>
      <c r="U16" s="601">
        <f t="shared" si="35"/>
        <v>2.7359667359667359</v>
      </c>
      <c r="V16" s="601">
        <f t="shared" si="36"/>
        <v>3.8692412642058063</v>
      </c>
      <c r="W16" s="602">
        <v>32</v>
      </c>
      <c r="X16" s="745">
        <f t="shared" si="0"/>
        <v>100</v>
      </c>
      <c r="Y16" s="746">
        <v>2</v>
      </c>
      <c r="Z16" s="747">
        <f>VLOOKUP(X16,'Ціни контур мережний'!$Z$24:$AB$36,3,0)</f>
        <v>61.045620773489688</v>
      </c>
      <c r="AA16" s="748">
        <f t="shared" si="37"/>
        <v>122.09124154697938</v>
      </c>
      <c r="AB16" s="745">
        <f t="shared" si="1"/>
        <v>100</v>
      </c>
      <c r="AC16" s="749">
        <v>2</v>
      </c>
      <c r="AD16" s="747">
        <f>VLOOKUP(AB16,'Ціни контур мережний'!$Z$64:$AB$77,3,0)</f>
        <v>150.69360737123827</v>
      </c>
      <c r="AE16" s="748">
        <f t="shared" si="38"/>
        <v>301.38721474247654</v>
      </c>
      <c r="AF16" s="745">
        <f t="shared" si="2"/>
        <v>100</v>
      </c>
      <c r="AG16" s="746">
        <v>0</v>
      </c>
      <c r="AH16" s="747">
        <f>VLOOKUP(AF16,'Ціни контур мережний'!$Z$5:$AB$17,3,0)</f>
        <v>70.903000000000006</v>
      </c>
      <c r="AI16" s="748">
        <f t="shared" si="39"/>
        <v>0</v>
      </c>
      <c r="AJ16" s="750">
        <f t="shared" si="3"/>
        <v>65</v>
      </c>
      <c r="AK16" s="746">
        <v>1</v>
      </c>
      <c r="AL16" s="747">
        <f>VLOOKUP(AJ16,'Ціни контур мережний'!$Z$43:$AB$55,3,0)</f>
        <v>30.19184015363556</v>
      </c>
      <c r="AM16" s="748">
        <f t="shared" si="40"/>
        <v>30.19184015363556</v>
      </c>
      <c r="AN16" s="745">
        <f t="shared" si="4"/>
        <v>80</v>
      </c>
      <c r="AO16" s="749">
        <v>4</v>
      </c>
      <c r="AP16" s="747">
        <f>VLOOKUP(AN16,'Ціни контур мережний'!$Z$43:$AB$55,3,0)</f>
        <v>37.693832104112609</v>
      </c>
      <c r="AQ16" s="759">
        <f t="shared" si="41"/>
        <v>150.77532841645044</v>
      </c>
      <c r="AR16" s="751" t="str">
        <f t="shared" si="42"/>
        <v>AMV20</v>
      </c>
      <c r="AS16" s="751">
        <v>1</v>
      </c>
      <c r="AT16" s="747">
        <f>VLOOKUP(AR16,'Ціни контур мережний'!$I$53:$M$57,5,0)</f>
        <v>110.39869654932889</v>
      </c>
      <c r="AU16" s="748">
        <f t="shared" si="43"/>
        <v>110.39869654932889</v>
      </c>
      <c r="AV16" s="752">
        <f t="array" ref="AV16">MIN(IF('Ціни контур мережний'!$Y$83:$Y$92&gt;(R16*1.2),'Ціни контур мережний'!$Y$83:$Y$92))</f>
        <v>25</v>
      </c>
      <c r="AW16" s="746">
        <f>VLOOKUP(AV16,'Ціни контур мережний'!$Y$83:$Z$92,2,0)</f>
        <v>40</v>
      </c>
      <c r="AX16" s="746">
        <v>1</v>
      </c>
      <c r="AY16" s="747">
        <f>VLOOKUP(AV16,'Ціни контур мережний'!$Y$83:$AB$92,4,0)</f>
        <v>156.6569554824606</v>
      </c>
      <c r="AZ16" s="748">
        <f t="shared" si="44"/>
        <v>156.6569554824606</v>
      </c>
      <c r="BA16" s="1099">
        <f t="array" ref="BA16">MIN(IF('[1]Ціни контур мережний'!$Y$104:$Y$114&gt;(R16*1.2),'[1]Ціни контур мережний'!$Y$104:$Y$114))</f>
        <v>20</v>
      </c>
      <c r="BB16" s="1101">
        <f>VLOOKUP(BA16,'[1]Ціни контур мережний'!$Y$104:$Z$114,2,0)</f>
        <v>50</v>
      </c>
      <c r="BC16" s="753">
        <v>1</v>
      </c>
      <c r="BD16" s="754">
        <f>VLOOKUP(BA16,'Ціни контур мережний'!$Y$104:$AB$114,4,0)</f>
        <v>448.22326189551967</v>
      </c>
      <c r="BE16" s="755">
        <f t="shared" si="45"/>
        <v>448.22326189551967</v>
      </c>
      <c r="BF16" s="751" t="s">
        <v>67</v>
      </c>
      <c r="BG16" s="749">
        <v>1</v>
      </c>
      <c r="BH16" s="747">
        <f>VLOOKUP(BF16,'Ціни контур мережний'!$I$53:$M$57,5,0)</f>
        <v>157.67238032974441</v>
      </c>
      <c r="BI16" s="768">
        <f t="shared" si="46"/>
        <v>157.67238032974441</v>
      </c>
      <c r="BJ16" s="894">
        <f t="array" ref="BJ16">MIN(IF('Ціни контур мережний'!$Y$83:$Y$93&gt;(S16*1.2),'Ціни контур мережний'!$Y$83:$Y$93))</f>
        <v>40</v>
      </c>
      <c r="BK16" s="895">
        <f>VLOOKUP(BJ16,'Ціни контур мережний'!$Y$83:$Z$93,2,0)</f>
        <v>50</v>
      </c>
      <c r="BL16" s="895">
        <v>1</v>
      </c>
      <c r="BM16" s="896">
        <f>VLOOKUP(BJ16,'Ціни контур мережний'!$Y$83:$AB$93,4,0)</f>
        <v>191.46963041657298</v>
      </c>
      <c r="BN16" s="916">
        <f t="shared" si="47"/>
        <v>191.46963041657298</v>
      </c>
      <c r="BO16" s="896">
        <f t="array" ref="BO16">MIN(IF('Ціни контур мережний'!$Y$104:$Y$114&gt;(S16*1.2),'Ціни контур мережний'!$Y$104:$Y$114))</f>
        <v>32</v>
      </c>
      <c r="BP16" s="895">
        <f>VLOOKUP(BO16,'Ціни контур мережний'!$Y$104:$Z$114,2,0)</f>
        <v>50</v>
      </c>
      <c r="BQ16" s="895">
        <v>1</v>
      </c>
      <c r="BR16" s="896">
        <f>VLOOKUP(BO16,'Ціни контур мережний'!$Y$104:$AB$114,4,0)</f>
        <v>1081.5876151755979</v>
      </c>
      <c r="BS16" s="897">
        <f t="shared" si="48"/>
        <v>1081.5876151755979</v>
      </c>
      <c r="BT16" s="751" t="s">
        <v>115</v>
      </c>
      <c r="BU16" s="751" t="s">
        <v>115</v>
      </c>
      <c r="BV16" s="746" t="s">
        <v>1025</v>
      </c>
      <c r="BW16" s="756">
        <v>0</v>
      </c>
      <c r="BX16" s="747">
        <v>0</v>
      </c>
      <c r="BY16" s="748">
        <f t="shared" si="49"/>
        <v>0</v>
      </c>
      <c r="BZ16" s="745">
        <f>VLOOKUP(CA16,'Ціни контур мережний'!$J$5:$L$12,3,0)</f>
        <v>65</v>
      </c>
      <c r="CA16" s="747">
        <f t="array" ref="CA16">MIN(IF('Ціни контур мережний'!$J$5:$J$12&gt;L16,'Ціни контур мережний'!$J$5:$J$12))</f>
        <v>25</v>
      </c>
      <c r="CB16" s="746" t="s">
        <v>130</v>
      </c>
      <c r="CC16" s="749">
        <v>1</v>
      </c>
      <c r="CD16" s="747">
        <f>VLOOKUP(CA16,'Ціни контур мережний'!$J$5:$N$12,5,0)</f>
        <v>584.80799999999999</v>
      </c>
      <c r="CE16" s="748">
        <f t="shared" si="50"/>
        <v>584.80799999999999</v>
      </c>
      <c r="CF16" s="898" t="s">
        <v>1345</v>
      </c>
      <c r="CG16" s="899">
        <v>1</v>
      </c>
      <c r="CH16" s="900">
        <v>1027</v>
      </c>
      <c r="CI16" s="901">
        <f t="shared" si="51"/>
        <v>1027</v>
      </c>
      <c r="CJ16" s="751">
        <f t="shared" si="5"/>
        <v>100</v>
      </c>
      <c r="CK16" s="746">
        <v>4</v>
      </c>
      <c r="CL16" s="747">
        <f>VLOOKUP(CJ16,'Ціни контур теплопостачання'!$Y$5:$AA$17,3,0)</f>
        <v>61.045620773489688</v>
      </c>
      <c r="CM16" s="748">
        <f t="shared" si="52"/>
        <v>244.18248309395875</v>
      </c>
      <c r="CN16" s="750">
        <f t="shared" si="6"/>
        <v>80</v>
      </c>
      <c r="CO16" s="746">
        <v>6</v>
      </c>
      <c r="CP16" s="747">
        <f>VLOOKUP(CN16,'Ціни контур теплопостачання'!$AO$20:$AQ$29,3,0)</f>
        <v>67.828467526099658</v>
      </c>
      <c r="CQ16" s="748">
        <f t="shared" si="53"/>
        <v>406.97080515659798</v>
      </c>
      <c r="CR16" s="750">
        <f t="shared" si="7"/>
        <v>50</v>
      </c>
      <c r="CS16" s="746">
        <v>3</v>
      </c>
      <c r="CT16" s="747">
        <f>VLOOKUP(CR16,'Ціни контур теплопостачання'!$AO$20:$AQ$29,3,0)</f>
        <v>37.588411955788914</v>
      </c>
      <c r="CU16" s="748">
        <f t="shared" si="54"/>
        <v>112.76523586736674</v>
      </c>
      <c r="CV16" s="757">
        <f t="shared" si="8"/>
        <v>32</v>
      </c>
      <c r="CW16" s="746">
        <f t="shared" si="9"/>
        <v>20</v>
      </c>
      <c r="CX16" s="747">
        <f>VLOOKUP(CV16,'Ціни контур теплопостачання'!$Y$5:$AA$17,3,0)</f>
        <v>10.381</v>
      </c>
      <c r="CY16" s="748">
        <f t="shared" si="55"/>
        <v>207.62</v>
      </c>
      <c r="CZ16" s="745">
        <v>20</v>
      </c>
      <c r="DA16" s="749">
        <v>2</v>
      </c>
      <c r="DB16" s="747">
        <f>VLOOKUP(CZ16,'Ціни контур теплопостачання'!$Y$5:$AA$17,3,0)</f>
        <v>3.577</v>
      </c>
      <c r="DC16" s="748">
        <f t="shared" si="56"/>
        <v>7.1539999999999999</v>
      </c>
      <c r="DD16" s="745">
        <v>15</v>
      </c>
      <c r="DE16" s="745">
        <v>8</v>
      </c>
      <c r="DF16" s="758">
        <f>VLOOKUP(DD16,'Ціни контур теплопостачання'!$Y$5:$AA$17,3,0)</f>
        <v>2.464</v>
      </c>
      <c r="DG16" s="759">
        <f t="shared" si="57"/>
        <v>19.712</v>
      </c>
      <c r="DH16" s="745">
        <v>15</v>
      </c>
      <c r="DI16" s="745">
        <f t="shared" si="58"/>
        <v>45</v>
      </c>
      <c r="DJ16" s="758">
        <f>VLOOKUP(DH16,'Ціни контур мережний'!$J$71:$M$71,4,0)</f>
        <v>3.3865201135922525</v>
      </c>
      <c r="DK16" s="759">
        <f t="shared" si="59"/>
        <v>152.39340511165136</v>
      </c>
      <c r="DL16" s="751">
        <f t="shared" si="10"/>
        <v>100</v>
      </c>
      <c r="DM16" s="746">
        <v>1</v>
      </c>
      <c r="DN16" s="747">
        <f>VLOOKUP(DL16,'Ціни контур теплопостачання'!$K$5:$M$17,3,0)</f>
        <v>70.903000000000006</v>
      </c>
      <c r="DO16" s="748">
        <f t="shared" si="60"/>
        <v>70.903000000000006</v>
      </c>
      <c r="DP16" s="745">
        <f t="shared" si="11"/>
        <v>80</v>
      </c>
      <c r="DQ16" s="749">
        <v>1</v>
      </c>
      <c r="DR16" s="747">
        <f>VLOOKUP(DP16,'Ціни контур теплопостачання'!$K$5:$M$17,3,0)</f>
        <v>50.12</v>
      </c>
      <c r="DS16" s="748">
        <f t="shared" si="61"/>
        <v>50.12</v>
      </c>
      <c r="DT16" s="745">
        <f t="shared" si="12"/>
        <v>50</v>
      </c>
      <c r="DU16" s="745">
        <v>1</v>
      </c>
      <c r="DV16" s="758">
        <f>VLOOKUP(DT16,'Ціни контур теплопостачання'!$K$5:$M$17,3,0)</f>
        <v>26.284999999999997</v>
      </c>
      <c r="DW16" s="759">
        <f t="shared" si="62"/>
        <v>26.284999999999997</v>
      </c>
      <c r="DX16" s="745">
        <f t="shared" si="63"/>
        <v>100</v>
      </c>
      <c r="DY16" s="745">
        <v>1</v>
      </c>
      <c r="DZ16" s="758">
        <f>VLOOKUP(DX16,'Ціни контур теплопостачання'!$Y$24:$AA$36,3,0)</f>
        <v>87.795500000000004</v>
      </c>
      <c r="EA16" s="759">
        <f t="shared" si="64"/>
        <v>87.795500000000004</v>
      </c>
      <c r="EB16" s="751">
        <f t="shared" si="13"/>
        <v>100</v>
      </c>
      <c r="EC16" s="746">
        <v>2</v>
      </c>
      <c r="ED16" s="747">
        <f>VLOOKUP(EB16,'Ціни контур теплопостачання'!$Y$24:$AA$36,3,0)</f>
        <v>87.795500000000004</v>
      </c>
      <c r="EE16" s="748">
        <f t="shared" si="65"/>
        <v>175.59100000000001</v>
      </c>
      <c r="EF16" s="745">
        <f t="shared" si="14"/>
        <v>80</v>
      </c>
      <c r="EG16" s="749">
        <v>1</v>
      </c>
      <c r="EH16" s="747">
        <f>VLOOKUP(EF16,'Ціни контур теплопостачання'!$AO$38:$AQ$50,3,0)</f>
        <v>60.079499999999996</v>
      </c>
      <c r="EI16" s="748">
        <f t="shared" si="66"/>
        <v>60.079499999999996</v>
      </c>
      <c r="EJ16" s="745">
        <f t="shared" si="15"/>
        <v>50</v>
      </c>
      <c r="EK16" s="745">
        <v>1</v>
      </c>
      <c r="EL16" s="758">
        <f>VLOOKUP(EJ16,'Ціни контур теплопостачання'!$AO$38:$AQ$50,3,0)</f>
        <v>28.560999999999996</v>
      </c>
      <c r="EM16" s="759">
        <f t="shared" si="67"/>
        <v>28.560999999999996</v>
      </c>
      <c r="EN16" s="745">
        <f t="shared" si="16"/>
        <v>32</v>
      </c>
      <c r="EO16" s="745">
        <f t="shared" si="17"/>
        <v>20</v>
      </c>
      <c r="EP16" s="758">
        <f>VLOOKUP(EN16,'Ціни контур теплопостачання'!$Y$76:$AA$88,3,0)</f>
        <v>13.15</v>
      </c>
      <c r="EQ16" s="759">
        <f t="shared" si="68"/>
        <v>263</v>
      </c>
      <c r="ER16" s="745">
        <f t="shared" si="18"/>
        <v>80</v>
      </c>
      <c r="ES16" s="745">
        <v>1</v>
      </c>
      <c r="ET16" s="758">
        <f>VLOOKUP(ER16,'Ціни контур теплопостачання'!$Y$76:$AA$88,3,0)</f>
        <v>31.42</v>
      </c>
      <c r="EU16" s="759">
        <f t="shared" si="69"/>
        <v>31.42</v>
      </c>
      <c r="EV16" s="745">
        <f t="shared" si="19"/>
        <v>50</v>
      </c>
      <c r="EW16" s="745">
        <v>1</v>
      </c>
      <c r="EX16" s="758">
        <f>VLOOKUP(EV16,'Ціни контур теплопостачання'!$Y$76:$AA$88,3,0)</f>
        <v>20.6</v>
      </c>
      <c r="EY16" s="759">
        <f t="shared" si="70"/>
        <v>20.6</v>
      </c>
      <c r="EZ16" s="758">
        <f t="shared" si="20"/>
        <v>41.202427112974789</v>
      </c>
      <c r="FA16" s="760">
        <v>50</v>
      </c>
      <c r="FB16" s="719">
        <v>2</v>
      </c>
      <c r="FC16" s="747">
        <f>VLOOKUP(FA16,'Ціни контур теплопостачання'!$K$74:$M$79,3,0)</f>
        <v>48.94</v>
      </c>
      <c r="FD16" s="761">
        <f t="shared" si="21"/>
        <v>97.88</v>
      </c>
      <c r="FE16" s="762">
        <f t="shared" si="71"/>
        <v>27.359667359667359</v>
      </c>
      <c r="FF16" s="911">
        <v>5</v>
      </c>
      <c r="FG16" s="900">
        <v>5</v>
      </c>
      <c r="FH16" s="830" t="s">
        <v>125</v>
      </c>
      <c r="FI16" s="708">
        <v>2</v>
      </c>
      <c r="FJ16" s="709">
        <f>VLOOKUP(FH16,'Ціни контур теплопостачання'!$C$89:$M$105,11,0)</f>
        <v>662.4</v>
      </c>
      <c r="FK16" s="764">
        <f t="shared" si="72"/>
        <v>1324.8</v>
      </c>
      <c r="FL16" s="912">
        <f t="shared" si="73"/>
        <v>4.0162271805273839</v>
      </c>
      <c r="FM16" s="911">
        <v>5</v>
      </c>
      <c r="FN16" s="900">
        <v>6</v>
      </c>
      <c r="FO16" s="900" t="s">
        <v>1097</v>
      </c>
      <c r="FP16" s="749">
        <v>1</v>
      </c>
      <c r="FQ16" s="747">
        <f>VLOOKUP(FO16,'Ціни контур теплопостачання'!$C$89:$M$105,11,0)</f>
        <v>241.2</v>
      </c>
      <c r="FR16" s="904">
        <f t="shared" si="74"/>
        <v>241.2</v>
      </c>
      <c r="FS16" s="758">
        <f t="array" ref="FS16">MIN(IF('Ціни контур теплопостачання'!$AN$68:$AN$77&gt;(V16*1.2),'Ціни контур теплопостачання'!$AN$68:$AN$77))</f>
        <v>5.83</v>
      </c>
      <c r="FT16" s="749">
        <f>VLOOKUP(FS16,'Ціни контур теплопостачання'!$AN$68:$AO$77,2,0)</f>
        <v>25</v>
      </c>
      <c r="FU16" s="749">
        <f t="shared" si="22"/>
        <v>10</v>
      </c>
      <c r="FV16" s="747">
        <f>VLOOKUP(FT16,'Ціни контур теплопостачання'!$AO$68:$AQ$77,3,0)</f>
        <v>26.495000000000001</v>
      </c>
      <c r="FW16" s="765">
        <f t="shared" si="75"/>
        <v>264.95</v>
      </c>
      <c r="FX16" s="750">
        <v>15</v>
      </c>
      <c r="FY16" s="746">
        <v>2</v>
      </c>
      <c r="FZ16" s="747">
        <f>VLOOKUP(FX16,'Ціни контур мережний'!$J$73:$M$73,4,0)</f>
        <v>3.4649999999999999</v>
      </c>
      <c r="GA16" s="748">
        <f t="shared" si="76"/>
        <v>6.93</v>
      </c>
      <c r="GB16" s="750">
        <f>VLOOKUP(GC16,'Ціни контур теплопостачання'!$AN$6:$AO$13,2,0)</f>
        <v>40</v>
      </c>
      <c r="GC16" s="751">
        <f t="array" ref="GC16">MIN(IF('Ціни контур теплопостачання'!$AN$6:$AN$13&gt;N16,'Ціни контур теплопостачання'!$AN$6:$AN$13))</f>
        <v>15</v>
      </c>
      <c r="GD16" s="751">
        <v>1</v>
      </c>
      <c r="GE16" s="747">
        <f>VLOOKUP(GB16,'Ціни контур теплопостачання'!$AO$6:$AQ$13,3,0)</f>
        <v>140.82444000000001</v>
      </c>
      <c r="GF16" s="748">
        <f t="shared" si="77"/>
        <v>140.82444000000001</v>
      </c>
      <c r="GG16" s="750">
        <f t="shared" si="23"/>
        <v>80</v>
      </c>
      <c r="GH16" s="746">
        <v>1</v>
      </c>
      <c r="GI16" s="747">
        <f>VLOOKUP(GG16,'Ціни контур теплопостачання'!$AO$55:$AQ$63,3,0)</f>
        <v>782.1</v>
      </c>
      <c r="GJ16" s="768">
        <f t="shared" si="78"/>
        <v>782.1</v>
      </c>
      <c r="GK16" s="655" t="str">
        <f t="shared" si="91"/>
        <v>0-150</v>
      </c>
      <c r="GL16" s="720">
        <v>1</v>
      </c>
      <c r="GM16" s="747">
        <f>VLOOKUP(GK16,'Ціни контур мережний'!$I$79:$M$80,5,0)</f>
        <v>15.050156291498967</v>
      </c>
      <c r="GN16" s="748">
        <f t="shared" si="79"/>
        <v>15.050156291498967</v>
      </c>
      <c r="GO16" s="758" t="s">
        <v>109</v>
      </c>
      <c r="GP16" s="749">
        <v>1</v>
      </c>
      <c r="GQ16" s="747">
        <f>VLOOKUP(GO16,'Ціни контур мережний'!$I$79:$M$80,5,0)</f>
        <v>15.050156291498967</v>
      </c>
      <c r="GR16" s="765">
        <f t="shared" si="80"/>
        <v>15.050156291498967</v>
      </c>
      <c r="GS16" s="655" t="s">
        <v>108</v>
      </c>
      <c r="GT16" s="720">
        <v>3</v>
      </c>
      <c r="GU16" s="747">
        <f>VLOOKUP(GS16,'Ціни контур мережний'!$I$67:$M$69,5,0)</f>
        <v>4.4537969640631703</v>
      </c>
      <c r="GV16" s="748">
        <f t="shared" si="81"/>
        <v>13.361390892189512</v>
      </c>
      <c r="GW16" s="655" t="s">
        <v>106</v>
      </c>
      <c r="GX16" s="720">
        <f>11+T16</f>
        <v>21</v>
      </c>
      <c r="GY16" s="747">
        <f>VLOOKUP(GW16,'Ціни контур мережний'!$I$67:$M$69,5,0)</f>
        <v>4.4537969640631703</v>
      </c>
      <c r="GZ16" s="748">
        <f t="shared" si="82"/>
        <v>93.529736245326575</v>
      </c>
      <c r="HA16" s="655" t="s">
        <v>1013</v>
      </c>
      <c r="HB16" s="720">
        <v>4</v>
      </c>
      <c r="HC16" s="747">
        <f>VLOOKUP(HA16,'Ціни контур мережний'!$I$64:$M$64,5,0)</f>
        <v>29.1312</v>
      </c>
      <c r="HD16" s="748">
        <f t="shared" si="83"/>
        <v>116.5248</v>
      </c>
      <c r="HE16" s="766" t="s">
        <v>1015</v>
      </c>
      <c r="HF16" s="749">
        <v>6</v>
      </c>
      <c r="HG16" s="747">
        <f>VLOOKUP(HE16,'Ціни контур мережний'!$I$89:$M$89,5,0)</f>
        <v>79.523165325760516</v>
      </c>
      <c r="HH16" s="765">
        <f t="shared" si="84"/>
        <v>477.1389919545631</v>
      </c>
      <c r="HI16" s="917" t="s">
        <v>1016</v>
      </c>
      <c r="HJ16" s="720">
        <f t="shared" si="92"/>
        <v>7</v>
      </c>
      <c r="HK16" s="747">
        <f>VLOOKUP(HI16,'Ціни контур мережний'!$I$88:$M$88,5,0)</f>
        <v>13.211568975967202</v>
      </c>
      <c r="HL16" s="768">
        <f t="shared" si="85"/>
        <v>92.480982831770419</v>
      </c>
      <c r="HM16" s="917" t="s">
        <v>383</v>
      </c>
      <c r="HN16" s="720">
        <v>1</v>
      </c>
      <c r="HO16" s="747">
        <f>VLOOKUP(HM16,'Ціни контур мережний'!$I$87:$M$87,5,0)</f>
        <v>13.483972460007763</v>
      </c>
      <c r="HP16" s="748">
        <f t="shared" si="86"/>
        <v>13.483972460007763</v>
      </c>
      <c r="HQ16" s="769">
        <f t="shared" si="24"/>
        <v>32</v>
      </c>
      <c r="HR16" s="770">
        <f t="shared" si="87"/>
        <v>10022.719720905197</v>
      </c>
      <c r="HS16" s="771">
        <v>0</v>
      </c>
      <c r="HT16" s="771">
        <f>'Таблиця цін схема №1'!$JE$46/'Ціни контур мережний'!$G$26</f>
        <v>681.00871010140213</v>
      </c>
      <c r="HU16" s="770">
        <f>'Таблиця цін схема №1'!$JG$8</f>
        <v>661.80181284518619</v>
      </c>
      <c r="HV16" s="770">
        <f>'Таблиця цін схема №1'!$JH$8</f>
        <v>487.81784379022207</v>
      </c>
      <c r="HW16" s="770">
        <f>'Таблиця цін схема №1'!$JI$8</f>
        <v>323.47913729816605</v>
      </c>
      <c r="HX16" s="770">
        <f>'Таблиця цін схема №1'!$JJ$8</f>
        <v>66.611999999999995</v>
      </c>
      <c r="HY16" s="772">
        <v>0</v>
      </c>
      <c r="HZ16" s="772">
        <f>'Таблиця цін схема №1'!$JL$8</f>
        <v>62.86234247089866</v>
      </c>
      <c r="IA16" s="772">
        <v>0</v>
      </c>
      <c r="IB16" s="770">
        <v>0</v>
      </c>
      <c r="IC16" s="913">
        <f t="shared" si="25"/>
        <v>861.44110971877501</v>
      </c>
      <c r="ID16" s="914">
        <f t="shared" si="26"/>
        <v>1230.6301567411072</v>
      </c>
      <c r="IE16" s="915">
        <f t="shared" si="27"/>
        <v>211.69895974780411</v>
      </c>
      <c r="IF16" s="776">
        <f>'Таблиця цін схема №1'!$JR$8</f>
        <v>300.63036461094771</v>
      </c>
      <c r="IG16" s="777">
        <f t="shared" si="88"/>
        <v>14910.702158229704</v>
      </c>
      <c r="II16" s="611">
        <f>[3]Расчеты!AX15/1.2</f>
        <v>4190.9023783485809</v>
      </c>
      <c r="IJ16" s="611">
        <f t="shared" si="89"/>
        <v>19101.604536578285</v>
      </c>
      <c r="IK16" s="611" t="e">
        <f>IJ16*1.2*#REF!</f>
        <v>#REF!</v>
      </c>
      <c r="IL16" s="611"/>
    </row>
    <row r="17" spans="1:248" ht="12.6" customHeight="1">
      <c r="A17" s="610" t="s">
        <v>686</v>
      </c>
      <c r="B17" s="740">
        <v>33</v>
      </c>
      <c r="C17" s="1056" t="s">
        <v>894</v>
      </c>
      <c r="D17" s="892">
        <v>0.32245000000000001</v>
      </c>
      <c r="E17" s="918">
        <v>0.27</v>
      </c>
      <c r="F17" s="742">
        <f t="shared" si="28"/>
        <v>12.661933381115517</v>
      </c>
      <c r="G17" s="743">
        <v>65</v>
      </c>
      <c r="H17" s="598">
        <f t="shared" si="29"/>
        <v>5.7600928903179698</v>
      </c>
      <c r="I17" s="599">
        <v>50</v>
      </c>
      <c r="J17" s="598">
        <f t="shared" si="30"/>
        <v>13.407484407484407</v>
      </c>
      <c r="K17" s="599">
        <v>65</v>
      </c>
      <c r="L17" s="598">
        <f t="shared" si="31"/>
        <v>6.9018404907975466</v>
      </c>
      <c r="M17" s="599">
        <v>50</v>
      </c>
      <c r="N17" s="598">
        <f t="shared" si="32"/>
        <v>5.4766734279918872</v>
      </c>
      <c r="O17" s="599">
        <v>50</v>
      </c>
      <c r="P17" s="598">
        <f t="shared" si="93"/>
        <v>1.6430020283975661</v>
      </c>
      <c r="Q17" s="599">
        <v>32</v>
      </c>
      <c r="R17" s="598">
        <f t="shared" si="33"/>
        <v>8.1460014860165124</v>
      </c>
      <c r="S17" s="600">
        <f t="shared" si="34"/>
        <v>9.760676427421668</v>
      </c>
      <c r="T17" s="744">
        <v>2</v>
      </c>
      <c r="U17" s="601">
        <f t="shared" si="35"/>
        <v>6.7037422037422036</v>
      </c>
      <c r="V17" s="601">
        <f t="shared" si="36"/>
        <v>9.480523143185124</v>
      </c>
      <c r="W17" s="602">
        <v>50</v>
      </c>
      <c r="X17" s="745">
        <f t="shared" si="0"/>
        <v>65</v>
      </c>
      <c r="Y17" s="746">
        <v>2</v>
      </c>
      <c r="Z17" s="747">
        <f>VLOOKUP(X17,'Ціни контур мережний'!$Z$24:$AB$36,3,0)</f>
        <v>30.19184015363556</v>
      </c>
      <c r="AA17" s="748">
        <f t="shared" si="37"/>
        <v>60.383680307271121</v>
      </c>
      <c r="AB17" s="745">
        <f t="shared" si="1"/>
        <v>65</v>
      </c>
      <c r="AC17" s="749">
        <v>2</v>
      </c>
      <c r="AD17" s="747">
        <f>VLOOKUP(AB17,'Ціни контур мережний'!$Z$64:$AB$77,3,0)</f>
        <v>105.883234246566</v>
      </c>
      <c r="AE17" s="748">
        <f t="shared" si="38"/>
        <v>211.76646849313201</v>
      </c>
      <c r="AF17" s="745">
        <f t="shared" si="2"/>
        <v>65</v>
      </c>
      <c r="AG17" s="746">
        <v>1</v>
      </c>
      <c r="AH17" s="747">
        <f>VLOOKUP(AF17,'Ціни контур мережний'!$Z$5:$AB$17,3,0)</f>
        <v>39.731999999999999</v>
      </c>
      <c r="AI17" s="748">
        <f t="shared" si="39"/>
        <v>39.731999999999999</v>
      </c>
      <c r="AJ17" s="750">
        <f t="shared" si="3"/>
        <v>50</v>
      </c>
      <c r="AK17" s="746">
        <v>3</v>
      </c>
      <c r="AL17" s="747">
        <f>VLOOKUP(AJ17,'Ціни контур мережний'!$Z$43:$AB$55,3,0)</f>
        <v>23.2782130224622</v>
      </c>
      <c r="AM17" s="748">
        <f t="shared" si="40"/>
        <v>69.834639067386604</v>
      </c>
      <c r="AN17" s="745">
        <f t="shared" si="4"/>
        <v>50</v>
      </c>
      <c r="AO17" s="749">
        <v>4</v>
      </c>
      <c r="AP17" s="747">
        <f>VLOOKUP(AN17,'Ціни контур мережний'!$Z$43:$AB$55,3,0)</f>
        <v>23.2782130224622</v>
      </c>
      <c r="AQ17" s="759">
        <f t="shared" si="41"/>
        <v>93.112852089848801</v>
      </c>
      <c r="AR17" s="751" t="str">
        <f t="shared" si="42"/>
        <v>AMV20</v>
      </c>
      <c r="AS17" s="751">
        <v>1</v>
      </c>
      <c r="AT17" s="747">
        <f>VLOOKUP(AR17,'Ціни контур мережний'!$I$53:$M$57,5,0)</f>
        <v>110.39869654932889</v>
      </c>
      <c r="AU17" s="748">
        <f t="shared" si="43"/>
        <v>110.39869654932889</v>
      </c>
      <c r="AV17" s="752">
        <f t="array" ref="AV17">MIN(IF('Ціни контур мережний'!$Y$83:$Y$92&gt;(R17*1.2),'Ціни контур мережний'!$Y$83:$Y$92))</f>
        <v>10</v>
      </c>
      <c r="AW17" s="746">
        <f>VLOOKUP(AV17,'Ціни контур мережний'!$Y$83:$Z$92,2,0)</f>
        <v>25</v>
      </c>
      <c r="AX17" s="746">
        <v>1</v>
      </c>
      <c r="AY17" s="747">
        <f>VLOOKUP(AV17,'Ціни контур мережний'!$Y$83:$AB$92,4,0)</f>
        <v>117.50505648967251</v>
      </c>
      <c r="AZ17" s="748">
        <f t="shared" si="44"/>
        <v>117.50505648967251</v>
      </c>
      <c r="BA17" s="1099">
        <f t="array" ref="BA17">MIN(IF('[1]Ціни контур мережний'!$Y$104:$Y$114&gt;(R17*1.2),'[1]Ціни контур мережний'!$Y$104:$Y$114))</f>
        <v>12.5</v>
      </c>
      <c r="BB17" s="1101">
        <f>VLOOKUP(BA17,'[1]Ціни контур мережний'!$Y$104:$Z$114,2,0)</f>
        <v>32</v>
      </c>
      <c r="BC17" s="753">
        <v>1</v>
      </c>
      <c r="BD17" s="754">
        <f>VLOOKUP(BA17,'Ціни контур мережний'!$Y$104:$AB$114,4,0)</f>
        <v>435.76049604674444</v>
      </c>
      <c r="BE17" s="755">
        <f t="shared" si="45"/>
        <v>435.76049604674444</v>
      </c>
      <c r="BF17" s="751" t="s">
        <v>67</v>
      </c>
      <c r="BG17" s="749">
        <v>1</v>
      </c>
      <c r="BH17" s="747">
        <f>VLOOKUP(BF17,'Ціни контур мережний'!$I$53:$M$57,5,0)</f>
        <v>157.67238032974441</v>
      </c>
      <c r="BI17" s="768">
        <f t="shared" si="46"/>
        <v>157.67238032974441</v>
      </c>
      <c r="BJ17" s="894">
        <f t="array" ref="BJ17">MIN(IF('Ціни контур мережний'!$Y$83:$Y$93&gt;(S17*1.2),'Ціни контур мережний'!$Y$83:$Y$93))</f>
        <v>16</v>
      </c>
      <c r="BK17" s="895">
        <f>VLOOKUP(BJ17,'Ціни контур мережний'!$Y$83:$Z$93,2,0)</f>
        <v>32</v>
      </c>
      <c r="BL17" s="895">
        <v>1</v>
      </c>
      <c r="BM17" s="896">
        <f>VLOOKUP(BJ17,'Ціни контур мережний'!$Y$83:$AB$93,4,0)</f>
        <v>130.5392363168325</v>
      </c>
      <c r="BN17" s="916">
        <f t="shared" si="47"/>
        <v>130.5392363168325</v>
      </c>
      <c r="BO17" s="896">
        <f t="array" ref="BO17">MIN(IF('Ціни контур мережний'!$Y$104:$Y$114&gt;(S17*1.2),'Ціни контур мережний'!$Y$104:$Y$114))</f>
        <v>12.5</v>
      </c>
      <c r="BP17" s="895">
        <f>VLOOKUP(BO17,'Ціни контур мережний'!$Y$104:$Z$114,2,0)</f>
        <v>32</v>
      </c>
      <c r="BQ17" s="895">
        <v>1</v>
      </c>
      <c r="BR17" s="896">
        <f>VLOOKUP(BO17,'Ціни контур мережний'!$Y$104:$AB$114,4,0)</f>
        <v>435.76049604674444</v>
      </c>
      <c r="BS17" s="897">
        <f t="shared" si="48"/>
        <v>435.76049604674444</v>
      </c>
      <c r="BT17" s="751">
        <f>VLOOKUP(BU17,'Ціни контур мережний'!$J$5:$L$12,3,0)</f>
        <v>25</v>
      </c>
      <c r="BU17" s="751">
        <f t="array" ref="BU17">MIN(IF('Ціни контур мережний'!$J$5:$J$12&gt;H17,'Ціни контур мережний'!$J$5:$J$12))</f>
        <v>6</v>
      </c>
      <c r="BV17" s="746" t="s">
        <v>130</v>
      </c>
      <c r="BW17" s="756">
        <v>1</v>
      </c>
      <c r="BX17" s="747">
        <f>VLOOKUP(BU17,'Ціни контур мережний'!$J$5:$N$12,5,0)</f>
        <v>341.25599999999997</v>
      </c>
      <c r="BY17" s="748">
        <f t="shared" si="49"/>
        <v>341.25599999999997</v>
      </c>
      <c r="BZ17" s="745">
        <f>VLOOKUP(CA17,'Ціни контур мережний'!$J$5:$L$12,3,0)</f>
        <v>40</v>
      </c>
      <c r="CA17" s="747">
        <f t="array" ref="CA17">MIN(IF('Ціни контур мережний'!$J$5:$J$12&gt;L17,'Ціни контур мережний'!$J$5:$J$12))</f>
        <v>10</v>
      </c>
      <c r="CB17" s="746" t="s">
        <v>130</v>
      </c>
      <c r="CC17" s="749">
        <v>1</v>
      </c>
      <c r="CD17" s="747">
        <f>VLOOKUP(CA17,'Ціни контур мережний'!$J$5:$N$12,5,0)</f>
        <v>375.23999999999995</v>
      </c>
      <c r="CE17" s="748">
        <f t="shared" si="50"/>
        <v>375.23999999999995</v>
      </c>
      <c r="CF17" s="898" t="s">
        <v>1346</v>
      </c>
      <c r="CG17" s="899">
        <v>1</v>
      </c>
      <c r="CH17" s="900">
        <v>645</v>
      </c>
      <c r="CI17" s="901">
        <f t="shared" si="51"/>
        <v>645</v>
      </c>
      <c r="CJ17" s="751">
        <f t="shared" si="5"/>
        <v>65</v>
      </c>
      <c r="CK17" s="746">
        <v>4</v>
      </c>
      <c r="CL17" s="747">
        <f>VLOOKUP(CJ17,'Ціни контур теплопостачання'!$Y$5:$AA$17,3,0)</f>
        <v>30.19184015363556</v>
      </c>
      <c r="CM17" s="748">
        <f t="shared" si="52"/>
        <v>120.76736061454224</v>
      </c>
      <c r="CN17" s="750">
        <f t="shared" si="6"/>
        <v>50</v>
      </c>
      <c r="CO17" s="746">
        <v>6</v>
      </c>
      <c r="CP17" s="747">
        <f>VLOOKUP(CN17,'Ціни контур теплопостачання'!$AO$20:$AQ$29,3,0)</f>
        <v>37.588411955788914</v>
      </c>
      <c r="CQ17" s="748">
        <f t="shared" si="53"/>
        <v>225.53047173473348</v>
      </c>
      <c r="CR17" s="750">
        <f t="shared" si="7"/>
        <v>32</v>
      </c>
      <c r="CS17" s="746">
        <v>3</v>
      </c>
      <c r="CT17" s="747">
        <f>VLOOKUP(CR17,'Ціни контур теплопостачання'!$AO$20:$AQ$29,3,0)</f>
        <v>10.381</v>
      </c>
      <c r="CU17" s="748">
        <f t="shared" si="54"/>
        <v>31.143000000000001</v>
      </c>
      <c r="CV17" s="757">
        <f t="shared" si="8"/>
        <v>50</v>
      </c>
      <c r="CW17" s="746">
        <f t="shared" si="9"/>
        <v>4</v>
      </c>
      <c r="CX17" s="747">
        <f>VLOOKUP(CV17,'Ціни контур теплопостачання'!$Y$5:$AA$17,3,0)</f>
        <v>23.2782130224622</v>
      </c>
      <c r="CY17" s="748">
        <f t="shared" si="55"/>
        <v>93.112852089848801</v>
      </c>
      <c r="CZ17" s="745">
        <v>20</v>
      </c>
      <c r="DA17" s="749">
        <v>2</v>
      </c>
      <c r="DB17" s="747">
        <f>VLOOKUP(CZ17,'Ціни контур теплопостачання'!$Y$5:$AA$17,3,0)</f>
        <v>3.577</v>
      </c>
      <c r="DC17" s="748">
        <f t="shared" si="56"/>
        <v>7.1539999999999999</v>
      </c>
      <c r="DD17" s="745">
        <v>15</v>
      </c>
      <c r="DE17" s="745">
        <v>8</v>
      </c>
      <c r="DF17" s="758">
        <f>VLOOKUP(DD17,'Ціни контур теплопостачання'!$Y$5:$AA$17,3,0)</f>
        <v>2.464</v>
      </c>
      <c r="DG17" s="759">
        <f t="shared" si="57"/>
        <v>19.712</v>
      </c>
      <c r="DH17" s="745">
        <v>15</v>
      </c>
      <c r="DI17" s="745">
        <f t="shared" si="58"/>
        <v>37</v>
      </c>
      <c r="DJ17" s="758">
        <f>VLOOKUP(DH17,'Ціни контур мережний'!$J$71:$M$71,4,0)</f>
        <v>3.3865201135922525</v>
      </c>
      <c r="DK17" s="759">
        <f t="shared" si="59"/>
        <v>125.30124420291334</v>
      </c>
      <c r="DL17" s="751">
        <f t="shared" si="10"/>
        <v>65</v>
      </c>
      <c r="DM17" s="746">
        <v>1</v>
      </c>
      <c r="DN17" s="747">
        <f>VLOOKUP(DL17,'Ціни контур теплопостачання'!$K$5:$M$17,3,0)</f>
        <v>39.731999999999999</v>
      </c>
      <c r="DO17" s="748">
        <f t="shared" si="60"/>
        <v>39.731999999999999</v>
      </c>
      <c r="DP17" s="745">
        <f t="shared" si="11"/>
        <v>50</v>
      </c>
      <c r="DQ17" s="749">
        <v>1</v>
      </c>
      <c r="DR17" s="747">
        <f>VLOOKUP(DP17,'Ціни контур теплопостачання'!$K$5:$M$17,3,0)</f>
        <v>26.284999999999997</v>
      </c>
      <c r="DS17" s="748">
        <f t="shared" si="61"/>
        <v>26.284999999999997</v>
      </c>
      <c r="DT17" s="745">
        <f t="shared" si="12"/>
        <v>32</v>
      </c>
      <c r="DU17" s="745">
        <v>1</v>
      </c>
      <c r="DV17" s="758">
        <f>VLOOKUP(DT17,'Ціни контур теплопостачання'!$K$5:$M$17,3,0)</f>
        <v>9.48</v>
      </c>
      <c r="DW17" s="759">
        <f t="shared" si="62"/>
        <v>9.48</v>
      </c>
      <c r="DX17" s="745">
        <f t="shared" si="63"/>
        <v>65</v>
      </c>
      <c r="DY17" s="745">
        <v>1</v>
      </c>
      <c r="DZ17" s="758">
        <f>VLOOKUP(DX17,'Ціни контур теплопостачання'!$Y$24:$AA$36,3,0)</f>
        <v>42.080999999999996</v>
      </c>
      <c r="EA17" s="759">
        <f t="shared" si="64"/>
        <v>42.080999999999996</v>
      </c>
      <c r="EB17" s="751">
        <f t="shared" si="13"/>
        <v>65</v>
      </c>
      <c r="EC17" s="746">
        <v>2</v>
      </c>
      <c r="ED17" s="747">
        <f>VLOOKUP(EB17,'Ціни контур теплопостачання'!$Y$24:$AA$36,3,0)</f>
        <v>42.080999999999996</v>
      </c>
      <c r="EE17" s="748">
        <f t="shared" si="65"/>
        <v>84.161999999999992</v>
      </c>
      <c r="EF17" s="745">
        <f t="shared" si="14"/>
        <v>50</v>
      </c>
      <c r="EG17" s="749">
        <v>1</v>
      </c>
      <c r="EH17" s="747">
        <f>VLOOKUP(EF17,'Ціни контур теплопостачання'!$AO$38:$AQ$50,3,0)</f>
        <v>28.560999999999996</v>
      </c>
      <c r="EI17" s="748">
        <f t="shared" si="66"/>
        <v>28.560999999999996</v>
      </c>
      <c r="EJ17" s="745">
        <f t="shared" si="15"/>
        <v>32</v>
      </c>
      <c r="EK17" s="745">
        <v>1</v>
      </c>
      <c r="EL17" s="758">
        <f>VLOOKUP(EJ17,'Ціни контур теплопостачання'!$AO$38:$AQ$50,3,0)</f>
        <v>10.773</v>
      </c>
      <c r="EM17" s="759">
        <f t="shared" si="67"/>
        <v>10.773</v>
      </c>
      <c r="EN17" s="745">
        <f t="shared" si="16"/>
        <v>50</v>
      </c>
      <c r="EO17" s="745">
        <f t="shared" si="17"/>
        <v>4</v>
      </c>
      <c r="EP17" s="758">
        <f>VLOOKUP(EN17,'Ціни контур теплопостачання'!$Y$76:$AA$88,3,0)</f>
        <v>20.6</v>
      </c>
      <c r="EQ17" s="759">
        <f t="shared" si="68"/>
        <v>82.4</v>
      </c>
      <c r="ER17" s="745">
        <f t="shared" si="18"/>
        <v>50</v>
      </c>
      <c r="ES17" s="745">
        <v>1</v>
      </c>
      <c r="ET17" s="758">
        <f>VLOOKUP(ER17,'Ціни контур теплопостачання'!$Y$76:$AA$88,3,0)</f>
        <v>20.6</v>
      </c>
      <c r="EU17" s="759">
        <f t="shared" si="69"/>
        <v>20.6</v>
      </c>
      <c r="EV17" s="745">
        <f t="shared" si="19"/>
        <v>32</v>
      </c>
      <c r="EW17" s="745">
        <v>1</v>
      </c>
      <c r="EX17" s="758">
        <f>VLOOKUP(EV17,'Ціни контур теплопостачання'!$Y$76:$AA$88,3,0)</f>
        <v>13.15</v>
      </c>
      <c r="EY17" s="759">
        <f t="shared" si="70"/>
        <v>13.15</v>
      </c>
      <c r="EZ17" s="758">
        <f t="shared" si="20"/>
        <v>28.843040755093767</v>
      </c>
      <c r="FA17" s="760">
        <v>32</v>
      </c>
      <c r="FB17" s="719">
        <v>2</v>
      </c>
      <c r="FC17" s="747">
        <f>VLOOKUP(FA17,'Ціни контур теплопостачання'!$K$74:$M$79,3,0)</f>
        <v>33.68</v>
      </c>
      <c r="FD17" s="761">
        <f t="shared" si="21"/>
        <v>67.36</v>
      </c>
      <c r="FE17" s="762">
        <f t="shared" si="71"/>
        <v>13.407484407484407</v>
      </c>
      <c r="FF17" s="902">
        <v>9</v>
      </c>
      <c r="FG17" s="900">
        <v>8</v>
      </c>
      <c r="FH17" s="830" t="s">
        <v>123</v>
      </c>
      <c r="FI17" s="708">
        <v>2</v>
      </c>
      <c r="FJ17" s="709">
        <f>VLOOKUP(FH17,'Ціни контур теплопостачання'!$C$89:$M$105,11,0)</f>
        <v>387.45599999999996</v>
      </c>
      <c r="FK17" s="764">
        <f t="shared" si="72"/>
        <v>774.91199999999992</v>
      </c>
      <c r="FL17" s="912">
        <f t="shared" si="73"/>
        <v>1.6430020283975661</v>
      </c>
      <c r="FM17" s="902">
        <v>9</v>
      </c>
      <c r="FN17" s="900">
        <v>9</v>
      </c>
      <c r="FO17" s="900" t="s">
        <v>1097</v>
      </c>
      <c r="FP17" s="749">
        <v>1</v>
      </c>
      <c r="FQ17" s="747">
        <f>VLOOKUP(FO17,'Ціни контур теплопостачання'!$C$89:$M$105,11,0)</f>
        <v>241.2</v>
      </c>
      <c r="FR17" s="904">
        <f t="shared" si="74"/>
        <v>241.2</v>
      </c>
      <c r="FS17" s="758">
        <f t="array" ref="FS17">MIN(IF('Ціни контур теплопостачання'!$AN$68:$AN$77&gt;(V17*1.2),'Ціни контур теплопостачання'!$AN$68:$AN$77))</f>
        <v>22.36</v>
      </c>
      <c r="FT17" s="749">
        <f>VLOOKUP(FS17,'Ціни контур теплопостачання'!$AN$68:$AO$77,2,0)</f>
        <v>40</v>
      </c>
      <c r="FU17" s="749">
        <f t="shared" si="22"/>
        <v>2</v>
      </c>
      <c r="FV17" s="747">
        <f>VLOOKUP(FT17,'Ціни контур теплопостачання'!$AO$68:$AQ$77,3,0)</f>
        <v>43.225000000000001</v>
      </c>
      <c r="FW17" s="765">
        <f t="shared" si="75"/>
        <v>86.45</v>
      </c>
      <c r="FX17" s="750">
        <v>15</v>
      </c>
      <c r="FY17" s="746">
        <v>2</v>
      </c>
      <c r="FZ17" s="747">
        <f>VLOOKUP(FX17,'Ціни контур мережний'!$J$73:$M$73,4,0)</f>
        <v>3.4649999999999999</v>
      </c>
      <c r="GA17" s="748">
        <f t="shared" si="76"/>
        <v>6.93</v>
      </c>
      <c r="GB17" s="750">
        <f>VLOOKUP(GC17,'Ціни контур теплопостачання'!$AN$6:$AO$13,2,0)</f>
        <v>32</v>
      </c>
      <c r="GC17" s="751">
        <f t="array" ref="GC17">MIN(IF('Ціни контур теплопостачання'!$AN$6:$AN$13&gt;N17,'Ціни контур теплопостачання'!$AN$6:$AN$13))</f>
        <v>6</v>
      </c>
      <c r="GD17" s="751">
        <v>1</v>
      </c>
      <c r="GE17" s="747">
        <f>VLOOKUP(GB17,'Ціни контур теплопостачання'!$AO$6:$AQ$13,3,0)</f>
        <v>85.682340000000011</v>
      </c>
      <c r="GF17" s="748">
        <f t="shared" si="77"/>
        <v>85.682340000000011</v>
      </c>
      <c r="GG17" s="750">
        <f t="shared" si="23"/>
        <v>50</v>
      </c>
      <c r="GH17" s="746">
        <v>1</v>
      </c>
      <c r="GI17" s="747">
        <f>VLOOKUP(GG17,'Ціни контур теплопостачання'!$AO$55:$AQ$63,3,0)</f>
        <v>355.5</v>
      </c>
      <c r="GJ17" s="768">
        <f t="shared" si="78"/>
        <v>355.5</v>
      </c>
      <c r="GK17" s="655" t="str">
        <f t="shared" si="91"/>
        <v>0-150</v>
      </c>
      <c r="GL17" s="720">
        <v>1</v>
      </c>
      <c r="GM17" s="747">
        <f>VLOOKUP(GK17,'Ціни контур мережний'!$I$79:$M$80,5,0)</f>
        <v>15.050156291498967</v>
      </c>
      <c r="GN17" s="748">
        <f t="shared" si="79"/>
        <v>15.050156291498967</v>
      </c>
      <c r="GO17" s="758" t="s">
        <v>109</v>
      </c>
      <c r="GP17" s="749">
        <v>5</v>
      </c>
      <c r="GQ17" s="747">
        <f>VLOOKUP(GO17,'Ціни контур мережний'!$I$79:$M$80,5,0)</f>
        <v>15.050156291498967</v>
      </c>
      <c r="GR17" s="765">
        <f t="shared" si="80"/>
        <v>75.250781457494838</v>
      </c>
      <c r="GS17" s="655" t="s">
        <v>108</v>
      </c>
      <c r="GT17" s="720">
        <v>5</v>
      </c>
      <c r="GU17" s="747">
        <f>VLOOKUP(GS17,'Ціни контур мережний'!$I$67:$M$69,5,0)</f>
        <v>4.4537969640631703</v>
      </c>
      <c r="GV17" s="748">
        <f t="shared" si="81"/>
        <v>22.26898482031585</v>
      </c>
      <c r="GW17" s="655" t="s">
        <v>106</v>
      </c>
      <c r="GX17" s="720">
        <f>11+T17</f>
        <v>13</v>
      </c>
      <c r="GY17" s="747">
        <f>VLOOKUP(GW17,'Ціни контур мережний'!$I$67:$M$69,5,0)</f>
        <v>4.4537969640631703</v>
      </c>
      <c r="GZ17" s="748">
        <f t="shared" si="82"/>
        <v>57.899360532821213</v>
      </c>
      <c r="HA17" s="655" t="s">
        <v>1013</v>
      </c>
      <c r="HB17" s="720">
        <v>4</v>
      </c>
      <c r="HC17" s="747">
        <f>VLOOKUP(HA17,'Ціни контур мережний'!$I$64:$M$64,5,0)</f>
        <v>29.1312</v>
      </c>
      <c r="HD17" s="748">
        <f t="shared" si="83"/>
        <v>116.5248</v>
      </c>
      <c r="HE17" s="766" t="s">
        <v>1015</v>
      </c>
      <c r="HF17" s="749">
        <v>6</v>
      </c>
      <c r="HG17" s="747">
        <f>VLOOKUP(HE17,'Ціни контур мережний'!$I$89:$M$89,5,0)</f>
        <v>79.523165325760516</v>
      </c>
      <c r="HH17" s="765">
        <f t="shared" si="84"/>
        <v>477.1389919545631</v>
      </c>
      <c r="HI17" s="778" t="s">
        <v>1016</v>
      </c>
      <c r="HJ17" s="720">
        <f t="shared" si="92"/>
        <v>7</v>
      </c>
      <c r="HK17" s="747">
        <f>VLOOKUP(HI17,'Ціни контур мережний'!$I$88:$M$88,5,0)</f>
        <v>13.211568975967202</v>
      </c>
      <c r="HL17" s="768">
        <f t="shared" si="85"/>
        <v>92.480982831770419</v>
      </c>
      <c r="HM17" s="779" t="s">
        <v>383</v>
      </c>
      <c r="HN17" s="720">
        <v>1</v>
      </c>
      <c r="HO17" s="747">
        <f>VLOOKUP(HM17,'Ціни контур мережний'!$I$87:$M$87,5,0)</f>
        <v>13.483972460007763</v>
      </c>
      <c r="HP17" s="748">
        <f t="shared" si="86"/>
        <v>13.483972460007763</v>
      </c>
      <c r="HQ17" s="769">
        <f t="shared" si="24"/>
        <v>33</v>
      </c>
      <c r="HR17" s="770">
        <f t="shared" si="87"/>
        <v>6692.039300727216</v>
      </c>
      <c r="HS17" s="771">
        <v>0</v>
      </c>
      <c r="HT17" s="771">
        <f>'Таблиця цін схема №1'!$JE$45/'Ціни контур мережний'!$G$26</f>
        <v>578.85740358619182</v>
      </c>
      <c r="HU17" s="770">
        <f>'Таблиця цін схема №1'!$JG$8</f>
        <v>661.80181284518619</v>
      </c>
      <c r="HV17" s="770">
        <f>'Таблиця цін схема №1'!$JH$8</f>
        <v>487.81784379022207</v>
      </c>
      <c r="HW17" s="770">
        <f>'Таблиця цін схема №1'!$JI$8</f>
        <v>323.47913729816605</v>
      </c>
      <c r="HX17" s="770">
        <f>'Таблиця цін схема №1'!$JJ$8</f>
        <v>66.611999999999995</v>
      </c>
      <c r="HY17" s="772">
        <v>0</v>
      </c>
      <c r="HZ17" s="772">
        <f>'Таблиця цін схема №1'!$JL$8</f>
        <v>62.86234247089866</v>
      </c>
      <c r="IA17" s="772">
        <v>0</v>
      </c>
      <c r="IB17" s="770">
        <v>0</v>
      </c>
      <c r="IC17" s="773">
        <f t="shared" si="25"/>
        <v>621.14288885025155</v>
      </c>
      <c r="ID17" s="774">
        <f t="shared" si="26"/>
        <v>887.34698407178792</v>
      </c>
      <c r="IE17" s="775">
        <f t="shared" si="27"/>
        <v>152.64572579693959</v>
      </c>
      <c r="IF17" s="776">
        <f>'Таблиця цін схема №1'!$JR$8</f>
        <v>300.63036461094771</v>
      </c>
      <c r="IG17" s="777">
        <f t="shared" si="88"/>
        <v>10835.235804047807</v>
      </c>
      <c r="II17" s="616">
        <f>[3]Расчеты!AX16/1.2</f>
        <v>4190.9023783485809</v>
      </c>
      <c r="IJ17" s="616">
        <f t="shared" si="89"/>
        <v>15026.138182396387</v>
      </c>
      <c r="IK17" s="616" t="e">
        <f>IJ17*1.2*#REF!</f>
        <v>#REF!</v>
      </c>
      <c r="IL17" s="616"/>
    </row>
    <row r="18" spans="1:248" ht="12.6" customHeight="1">
      <c r="A18" s="610" t="s">
        <v>686</v>
      </c>
      <c r="B18" s="905">
        <v>34</v>
      </c>
      <c r="C18" s="1056" t="s">
        <v>895</v>
      </c>
      <c r="D18" s="906">
        <v>0.17527999999999999</v>
      </c>
      <c r="E18" s="907">
        <v>0.14000000000000001</v>
      </c>
      <c r="F18" s="908">
        <f t="shared" si="28"/>
        <v>6.7098503628596537</v>
      </c>
      <c r="G18" s="909">
        <v>50</v>
      </c>
      <c r="H18" s="598">
        <f t="shared" si="29"/>
        <v>3.1311182565201854</v>
      </c>
      <c r="I18" s="599">
        <v>32</v>
      </c>
      <c r="J18" s="598">
        <f t="shared" si="30"/>
        <v>7.2881496881496881</v>
      </c>
      <c r="K18" s="599">
        <v>50</v>
      </c>
      <c r="L18" s="598">
        <f t="shared" si="31"/>
        <v>3.5787321063394684</v>
      </c>
      <c r="M18" s="599">
        <v>40</v>
      </c>
      <c r="N18" s="598">
        <f t="shared" si="32"/>
        <v>2.8397565922920895</v>
      </c>
      <c r="O18" s="599">
        <v>32</v>
      </c>
      <c r="P18" s="598">
        <f t="shared" si="93"/>
        <v>0.85192697768762682</v>
      </c>
      <c r="Q18" s="599">
        <v>20</v>
      </c>
      <c r="R18" s="598">
        <f t="shared" si="33"/>
        <v>4.4280699037648459</v>
      </c>
      <c r="S18" s="600">
        <f t="shared" si="34"/>
        <v>5.0610914808853096</v>
      </c>
      <c r="T18" s="910">
        <v>1</v>
      </c>
      <c r="U18" s="601">
        <f t="shared" si="35"/>
        <v>7.2881496881496881</v>
      </c>
      <c r="V18" s="601">
        <f t="shared" si="36"/>
        <v>10.307000133586531</v>
      </c>
      <c r="W18" s="602">
        <v>50</v>
      </c>
      <c r="X18" s="745">
        <f t="shared" si="0"/>
        <v>50</v>
      </c>
      <c r="Y18" s="746">
        <v>2</v>
      </c>
      <c r="Z18" s="747">
        <f>VLOOKUP(X18,'Ціни контур мережний'!$Z$24:$AB$36,3,0)</f>
        <v>23.2782130224622</v>
      </c>
      <c r="AA18" s="748">
        <f t="shared" si="37"/>
        <v>46.5564260449244</v>
      </c>
      <c r="AB18" s="745">
        <f t="shared" si="1"/>
        <v>50</v>
      </c>
      <c r="AC18" s="749">
        <v>2</v>
      </c>
      <c r="AD18" s="747">
        <f>VLOOKUP(AB18,'Ціни контур мережний'!$Z$64:$AB$77,3,0)</f>
        <v>80.03214361111678</v>
      </c>
      <c r="AE18" s="748">
        <f t="shared" si="38"/>
        <v>160.06428722223356</v>
      </c>
      <c r="AF18" s="745">
        <f t="shared" si="2"/>
        <v>50</v>
      </c>
      <c r="AG18" s="746">
        <v>1</v>
      </c>
      <c r="AH18" s="747">
        <f>VLOOKUP(AF18,'Ціни контур мережний'!$Z$5:$AB$17,3,0)</f>
        <v>26.284999999999997</v>
      </c>
      <c r="AI18" s="748">
        <f t="shared" si="39"/>
        <v>26.284999999999997</v>
      </c>
      <c r="AJ18" s="750">
        <f t="shared" si="3"/>
        <v>32</v>
      </c>
      <c r="AK18" s="746">
        <v>3</v>
      </c>
      <c r="AL18" s="747">
        <f>VLOOKUP(AJ18,'Ціни контур мережний'!$Z$43:$AB$55,3,0)</f>
        <v>16.107218011318363</v>
      </c>
      <c r="AM18" s="748">
        <f t="shared" si="40"/>
        <v>48.321654033955085</v>
      </c>
      <c r="AN18" s="745">
        <f t="shared" si="4"/>
        <v>40</v>
      </c>
      <c r="AO18" s="749">
        <v>4</v>
      </c>
      <c r="AP18" s="747">
        <f>VLOOKUP(AN18,'Ціни контур мережний'!$Z$43:$AB$55,3,0)</f>
        <v>18.42400964308333</v>
      </c>
      <c r="AQ18" s="759">
        <f t="shared" si="41"/>
        <v>73.696038572333322</v>
      </c>
      <c r="AR18" s="751" t="str">
        <f t="shared" si="42"/>
        <v>AMV20</v>
      </c>
      <c r="AS18" s="751">
        <v>1</v>
      </c>
      <c r="AT18" s="747">
        <f>VLOOKUP(AR18,'Ціни контур мережний'!$I$53:$M$57,5,0)</f>
        <v>110.39869654932889</v>
      </c>
      <c r="AU18" s="748">
        <f t="shared" si="43"/>
        <v>110.39869654932889</v>
      </c>
      <c r="AV18" s="752">
        <f t="array" ref="AV18">MIN(IF('Ціни контур мережний'!$Y$83:$Y$92&gt;(R18*1.2),'Ціни контур мережний'!$Y$83:$Y$92))</f>
        <v>6.3</v>
      </c>
      <c r="AW18" s="746">
        <f>VLOOKUP(AV18,'Ціни контур мережний'!$Y$83:$Z$92,2,0)</f>
        <v>20</v>
      </c>
      <c r="AX18" s="746">
        <v>1</v>
      </c>
      <c r="AY18" s="747">
        <f>VLOOKUP(AV18,'Ціни контур мережний'!$Y$83:$AB$92,4,0)</f>
        <v>113.14115267534271</v>
      </c>
      <c r="AZ18" s="748">
        <f t="shared" si="44"/>
        <v>113.14115267534271</v>
      </c>
      <c r="BA18" s="1099">
        <f t="array" ref="BA18">MIN(IF('[1]Ціни контур мережний'!$Y$104:$Y$114&gt;(R18*1.2),'[1]Ціни контур мережний'!$Y$104:$Y$114))</f>
        <v>6.3</v>
      </c>
      <c r="BB18" s="1101">
        <f>VLOOKUP(BA18,'[1]Ціни контур мережний'!$Y$104:$Z$114,2,0)</f>
        <v>20</v>
      </c>
      <c r="BC18" s="753">
        <v>1</v>
      </c>
      <c r="BD18" s="754">
        <f>VLOOKUP(BA18,'Ціни контур мережний'!$Y$104:$AB$114,4,0)</f>
        <v>259.83406541769665</v>
      </c>
      <c r="BE18" s="755">
        <f t="shared" si="45"/>
        <v>259.83406541769665</v>
      </c>
      <c r="BF18" s="751" t="s">
        <v>67</v>
      </c>
      <c r="BG18" s="749">
        <v>1</v>
      </c>
      <c r="BH18" s="747">
        <f>VLOOKUP(BF18,'Ціни контур мережний'!$I$53:$M$57,5,0)</f>
        <v>157.67238032974441</v>
      </c>
      <c r="BI18" s="768">
        <f t="shared" si="46"/>
        <v>157.67238032974441</v>
      </c>
      <c r="BJ18" s="894">
        <f t="array" ref="BJ18">MIN(IF('Ціни контур мережний'!$Y$83:$Y$93&gt;(S18*1.2),'Ціни контур мережний'!$Y$83:$Y$93))</f>
        <v>6.3</v>
      </c>
      <c r="BK18" s="895">
        <f>VLOOKUP(BJ18,'Ціни контур мережний'!$Y$83:$Z$93,2,0)</f>
        <v>20</v>
      </c>
      <c r="BL18" s="895">
        <v>1</v>
      </c>
      <c r="BM18" s="896">
        <f>VLOOKUP(BJ18,'Ціни контур мережний'!$Y$83:$AB$93,4,0)</f>
        <v>113.14115267534271</v>
      </c>
      <c r="BN18" s="916">
        <f t="shared" si="47"/>
        <v>113.14115267534271</v>
      </c>
      <c r="BO18" s="896">
        <f t="array" ref="BO18">MIN(IF('Ціни контур мережний'!$Y$104:$Y$114&gt;(S18*1.2),'Ціни контур мережний'!$Y$104:$Y$114))</f>
        <v>6.3</v>
      </c>
      <c r="BP18" s="895">
        <f>VLOOKUP(BO18,'Ціни контур мережний'!$Y$104:$Z$114,2,0)</f>
        <v>20</v>
      </c>
      <c r="BQ18" s="895">
        <v>1</v>
      </c>
      <c r="BR18" s="896">
        <f>VLOOKUP(BO18,'Ціни контур мережний'!$Y$104:$AB$114,4,0)</f>
        <v>259.83406541769665</v>
      </c>
      <c r="BS18" s="897">
        <f t="shared" si="48"/>
        <v>259.83406541769665</v>
      </c>
      <c r="BT18" s="751">
        <f>VLOOKUP(BU18,'Ціни контур мережний'!$J$5:$L$12,3,0)</f>
        <v>25</v>
      </c>
      <c r="BU18" s="751">
        <f t="array" ref="BU18">MIN(IF('Ціни контур мережний'!$J$5:$J$12&gt;H18,'Ціни контур мережний'!$J$5:$J$12))</f>
        <v>3.5</v>
      </c>
      <c r="BV18" s="746" t="s">
        <v>130</v>
      </c>
      <c r="BW18" s="756">
        <v>1</v>
      </c>
      <c r="BX18" s="747">
        <f>VLOOKUP(BU18,'Ціни контур мережний'!$J$5:$N$12,5,0)</f>
        <v>341.25599999999997</v>
      </c>
      <c r="BY18" s="748">
        <f t="shared" si="49"/>
        <v>341.25599999999997</v>
      </c>
      <c r="BZ18" s="745">
        <f>VLOOKUP(CA18,'Ціни контур мережний'!$J$5:$L$12,3,0)</f>
        <v>25</v>
      </c>
      <c r="CA18" s="747">
        <f t="array" ref="CA18">MIN(IF('Ціни контур мережний'!$J$5:$J$12&gt;L18,'Ціни контур мережний'!$J$5:$J$12))</f>
        <v>6</v>
      </c>
      <c r="CB18" s="746" t="s">
        <v>130</v>
      </c>
      <c r="CC18" s="749">
        <v>1</v>
      </c>
      <c r="CD18" s="747">
        <f>VLOOKUP(CA18,'Ціни контур мережний'!$J$5:$N$12,5,0)</f>
        <v>341.25599999999997</v>
      </c>
      <c r="CE18" s="748">
        <f t="shared" si="50"/>
        <v>341.25599999999997</v>
      </c>
      <c r="CF18" s="898" t="s">
        <v>1347</v>
      </c>
      <c r="CG18" s="899">
        <v>1</v>
      </c>
      <c r="CH18" s="900">
        <v>465</v>
      </c>
      <c r="CI18" s="901">
        <f t="shared" si="51"/>
        <v>465</v>
      </c>
      <c r="CJ18" s="751">
        <f t="shared" si="5"/>
        <v>50</v>
      </c>
      <c r="CK18" s="746">
        <v>4</v>
      </c>
      <c r="CL18" s="747">
        <f>VLOOKUP(CJ18,'Ціни контур теплопостачання'!$Y$5:$AA$17,3,0)</f>
        <v>23.2782130224622</v>
      </c>
      <c r="CM18" s="748">
        <f t="shared" si="52"/>
        <v>93.112852089848801</v>
      </c>
      <c r="CN18" s="750">
        <f t="shared" si="6"/>
        <v>32</v>
      </c>
      <c r="CO18" s="746">
        <v>6</v>
      </c>
      <c r="CP18" s="747">
        <f>VLOOKUP(CN18,'Ціни контур теплопостачання'!$AO$20:$AQ$29,3,0)</f>
        <v>10.381</v>
      </c>
      <c r="CQ18" s="748">
        <f t="shared" si="53"/>
        <v>62.286000000000001</v>
      </c>
      <c r="CR18" s="750">
        <f t="shared" si="7"/>
        <v>20</v>
      </c>
      <c r="CS18" s="746">
        <v>3</v>
      </c>
      <c r="CT18" s="747">
        <f>VLOOKUP(CR18,'Ціни контур теплопостачання'!$AO$20:$AQ$29,3,0)</f>
        <v>3.577</v>
      </c>
      <c r="CU18" s="748">
        <f t="shared" si="54"/>
        <v>10.731</v>
      </c>
      <c r="CV18" s="757">
        <f t="shared" si="8"/>
        <v>50</v>
      </c>
      <c r="CW18" s="746">
        <f t="shared" si="9"/>
        <v>2</v>
      </c>
      <c r="CX18" s="747">
        <f>VLOOKUP(CV18,'Ціни контур теплопостачання'!$Y$5:$AA$17,3,0)</f>
        <v>23.2782130224622</v>
      </c>
      <c r="CY18" s="748">
        <f t="shared" si="55"/>
        <v>46.5564260449244</v>
      </c>
      <c r="CZ18" s="745">
        <v>20</v>
      </c>
      <c r="DA18" s="749">
        <v>2</v>
      </c>
      <c r="DB18" s="747">
        <f>VLOOKUP(CZ18,'Ціни контур теплопостачання'!$Y$5:$AA$17,3,0)</f>
        <v>3.577</v>
      </c>
      <c r="DC18" s="748">
        <f t="shared" si="56"/>
        <v>7.1539999999999999</v>
      </c>
      <c r="DD18" s="745">
        <v>15</v>
      </c>
      <c r="DE18" s="745">
        <v>8</v>
      </c>
      <c r="DF18" s="758">
        <f>VLOOKUP(DD18,'Ціни контур теплопостачання'!$Y$5:$AA$17,3,0)</f>
        <v>2.464</v>
      </c>
      <c r="DG18" s="759">
        <f t="shared" si="57"/>
        <v>19.712</v>
      </c>
      <c r="DH18" s="745">
        <v>15</v>
      </c>
      <c r="DI18" s="745">
        <f>35</f>
        <v>35</v>
      </c>
      <c r="DJ18" s="758">
        <f>VLOOKUP(DH18,'Ціни контур мережний'!$J$71:$M$71,4,0)</f>
        <v>3.3865201135922525</v>
      </c>
      <c r="DK18" s="759">
        <f t="shared" si="59"/>
        <v>118.52820397572884</v>
      </c>
      <c r="DL18" s="751">
        <f t="shared" si="10"/>
        <v>50</v>
      </c>
      <c r="DM18" s="746">
        <v>1</v>
      </c>
      <c r="DN18" s="747">
        <f>VLOOKUP(DL18,'Ціни контур теплопостачання'!$K$5:$M$17,3,0)</f>
        <v>26.284999999999997</v>
      </c>
      <c r="DO18" s="748">
        <f t="shared" si="60"/>
        <v>26.284999999999997</v>
      </c>
      <c r="DP18" s="745">
        <f t="shared" si="11"/>
        <v>32</v>
      </c>
      <c r="DQ18" s="749">
        <v>1</v>
      </c>
      <c r="DR18" s="747">
        <f>VLOOKUP(DP18,'Ціни контур теплопостачання'!$K$5:$M$17,3,0)</f>
        <v>9.48</v>
      </c>
      <c r="DS18" s="748">
        <f t="shared" si="61"/>
        <v>9.48</v>
      </c>
      <c r="DT18" s="745">
        <f t="shared" si="12"/>
        <v>20</v>
      </c>
      <c r="DU18" s="745">
        <v>1</v>
      </c>
      <c r="DV18" s="758">
        <f>VLOOKUP(DT18,'Ціни контур теплопостачання'!$K$5:$M$17,3,0)</f>
        <v>3.48</v>
      </c>
      <c r="DW18" s="759">
        <f t="shared" si="62"/>
        <v>3.48</v>
      </c>
      <c r="DX18" s="745">
        <f t="shared" si="63"/>
        <v>50</v>
      </c>
      <c r="DY18" s="745">
        <v>1</v>
      </c>
      <c r="DZ18" s="758">
        <f>VLOOKUP(DX18,'Ціни контур теплопостачання'!$Y$24:$AA$36,3,0)</f>
        <v>28.560999999999996</v>
      </c>
      <c r="EA18" s="759">
        <f t="shared" si="64"/>
        <v>28.560999999999996</v>
      </c>
      <c r="EB18" s="751">
        <f t="shared" si="13"/>
        <v>50</v>
      </c>
      <c r="EC18" s="746">
        <v>2</v>
      </c>
      <c r="ED18" s="747">
        <f>VLOOKUP(EB18,'Ціни контур теплопостачання'!$Y$24:$AA$36,3,0)</f>
        <v>28.560999999999996</v>
      </c>
      <c r="EE18" s="748">
        <f t="shared" si="65"/>
        <v>57.121999999999993</v>
      </c>
      <c r="EF18" s="745">
        <f t="shared" si="14"/>
        <v>32</v>
      </c>
      <c r="EG18" s="749">
        <v>1</v>
      </c>
      <c r="EH18" s="747">
        <f>VLOOKUP(EF18,'Ціни контур теплопостачання'!$AO$38:$AQ$50,3,0)</f>
        <v>10.773</v>
      </c>
      <c r="EI18" s="748">
        <f t="shared" si="66"/>
        <v>10.773</v>
      </c>
      <c r="EJ18" s="745">
        <f t="shared" si="15"/>
        <v>20</v>
      </c>
      <c r="EK18" s="745">
        <v>1</v>
      </c>
      <c r="EL18" s="758">
        <f>VLOOKUP(EJ18,'Ціни контур теплопостачання'!$AO$38:$AQ$50,3,0)</f>
        <v>4.5359999999999996</v>
      </c>
      <c r="EM18" s="759">
        <f t="shared" si="67"/>
        <v>4.5359999999999996</v>
      </c>
      <c r="EN18" s="745">
        <f t="shared" si="16"/>
        <v>50</v>
      </c>
      <c r="EO18" s="745">
        <f t="shared" si="17"/>
        <v>2</v>
      </c>
      <c r="EP18" s="758">
        <f>VLOOKUP(EN18,'Ціни контур теплопостачання'!$Y$76:$AA$88,3,0)</f>
        <v>20.6</v>
      </c>
      <c r="EQ18" s="759">
        <f t="shared" si="68"/>
        <v>41.2</v>
      </c>
      <c r="ER18" s="745">
        <f t="shared" si="18"/>
        <v>32</v>
      </c>
      <c r="ES18" s="745">
        <v>1</v>
      </c>
      <c r="ET18" s="758">
        <f>VLOOKUP(ER18,'Ціни контур теплопостачання'!$Y$76:$AA$88,3,0)</f>
        <v>13.15</v>
      </c>
      <c r="EU18" s="759">
        <f t="shared" si="69"/>
        <v>13.15</v>
      </c>
      <c r="EV18" s="745">
        <f t="shared" si="19"/>
        <v>20</v>
      </c>
      <c r="EW18" s="745">
        <v>1</v>
      </c>
      <c r="EX18" s="758">
        <f>VLOOKUP(EV18,'Ціни контур теплопостачання'!$Y$76:$AA$88,3,0)</f>
        <v>11.45</v>
      </c>
      <c r="EY18" s="759">
        <f t="shared" si="70"/>
        <v>11.45</v>
      </c>
      <c r="EZ18" s="758">
        <f t="shared" si="20"/>
        <v>21.265521390269271</v>
      </c>
      <c r="FA18" s="760">
        <v>25</v>
      </c>
      <c r="FB18" s="719">
        <v>2</v>
      </c>
      <c r="FC18" s="747">
        <f>VLOOKUP(FA18,'Ціни контур теплопостачання'!$K$74:$M$79,3,0)</f>
        <v>22.22</v>
      </c>
      <c r="FD18" s="761">
        <f t="shared" si="21"/>
        <v>44.44</v>
      </c>
      <c r="FE18" s="762">
        <f t="shared" si="71"/>
        <v>7.2881496881496881</v>
      </c>
      <c r="FF18" s="911">
        <v>9</v>
      </c>
      <c r="FG18" s="900">
        <v>8</v>
      </c>
      <c r="FH18" s="830" t="s">
        <v>1091</v>
      </c>
      <c r="FI18" s="708">
        <v>2</v>
      </c>
      <c r="FJ18" s="709">
        <f>VLOOKUP(FH18,'Ціни контур теплопостачання'!$C$89:$M$105,11,0)</f>
        <v>198.83999999999997</v>
      </c>
      <c r="FK18" s="764">
        <f t="shared" si="72"/>
        <v>397.67999999999995</v>
      </c>
      <c r="FL18" s="912">
        <f t="shared" si="73"/>
        <v>0.85192697768762682</v>
      </c>
      <c r="FM18" s="911">
        <v>9</v>
      </c>
      <c r="FN18" s="900">
        <v>9</v>
      </c>
      <c r="FO18" s="900" t="s">
        <v>1097</v>
      </c>
      <c r="FP18" s="749">
        <v>1</v>
      </c>
      <c r="FQ18" s="747">
        <f>VLOOKUP(FO18,'Ціни контур теплопостачання'!$C$89:$M$105,11,0)</f>
        <v>241.2</v>
      </c>
      <c r="FR18" s="904">
        <f t="shared" si="74"/>
        <v>241.2</v>
      </c>
      <c r="FS18" s="758">
        <f t="array" ref="FS18">MIN(IF('Ціни контур теплопостачання'!$AN$68:$AN$77&gt;(V18*1.2),'Ціни контур теплопостачання'!$AN$68:$AN$77))</f>
        <v>22.36</v>
      </c>
      <c r="FT18" s="749">
        <f>VLOOKUP(FS18,'Ціни контур теплопостачання'!$AN$68:$AO$77,2,0)</f>
        <v>40</v>
      </c>
      <c r="FU18" s="749">
        <v>0</v>
      </c>
      <c r="FV18" s="747">
        <f>VLOOKUP(FT18,'Ціни контур теплопостачання'!$AO$68:$AQ$77,3,0)</f>
        <v>43.225000000000001</v>
      </c>
      <c r="FW18" s="765">
        <f t="shared" si="75"/>
        <v>0</v>
      </c>
      <c r="FX18" s="750">
        <v>15</v>
      </c>
      <c r="FY18" s="746">
        <v>2</v>
      </c>
      <c r="FZ18" s="747">
        <f>VLOOKUP(FX18,'Ціни контур мережний'!$J$73:$M$73,4,0)</f>
        <v>3.4649999999999999</v>
      </c>
      <c r="GA18" s="748">
        <f t="shared" si="76"/>
        <v>6.93</v>
      </c>
      <c r="GB18" s="750">
        <f>VLOOKUP(GC18,'Ціни контур теплопостачання'!$AN$6:$AO$13,2,0)</f>
        <v>25</v>
      </c>
      <c r="GC18" s="751">
        <f t="array" ref="GC18">MIN(IF('Ціни контур теплопостачання'!$AN$6:$AN$13&gt;N18,'Ціни контур теплопостачання'!$AN$6:$AN$13))</f>
        <v>3.5</v>
      </c>
      <c r="GD18" s="751">
        <v>1</v>
      </c>
      <c r="GE18" s="747">
        <f>VLOOKUP(GB18,'Ціни контур теплопостачання'!$AO$6:$AQ$13,3,0)</f>
        <v>76.3506</v>
      </c>
      <c r="GF18" s="748">
        <f t="shared" si="77"/>
        <v>76.3506</v>
      </c>
      <c r="GG18" s="750">
        <f t="shared" si="23"/>
        <v>32</v>
      </c>
      <c r="GH18" s="746">
        <v>1</v>
      </c>
      <c r="GI18" s="747">
        <f>VLOOKUP(GG18,'Ціни контур теплопостачання'!$AO$55:$AQ$63,3,0)</f>
        <v>150.1</v>
      </c>
      <c r="GJ18" s="768">
        <f t="shared" si="78"/>
        <v>150.1</v>
      </c>
      <c r="GK18" s="655" t="str">
        <f t="shared" si="91"/>
        <v>0-150</v>
      </c>
      <c r="GL18" s="720">
        <v>1</v>
      </c>
      <c r="GM18" s="747">
        <f>VLOOKUP(GK18,'Ціни контур мережний'!$I$79:$M$80,5,0)</f>
        <v>15.050156291498967</v>
      </c>
      <c r="GN18" s="748">
        <f t="shared" si="79"/>
        <v>15.050156291498967</v>
      </c>
      <c r="GO18" s="758" t="s">
        <v>109</v>
      </c>
      <c r="GP18" s="749">
        <v>5</v>
      </c>
      <c r="GQ18" s="747">
        <f>VLOOKUP(GO18,'Ціни контур мережний'!$I$79:$M$80,5,0)</f>
        <v>15.050156291498967</v>
      </c>
      <c r="GR18" s="765">
        <f t="shared" si="80"/>
        <v>75.250781457494838</v>
      </c>
      <c r="GS18" s="655" t="s">
        <v>108</v>
      </c>
      <c r="GT18" s="720">
        <v>5</v>
      </c>
      <c r="GU18" s="747">
        <f>VLOOKUP(GS18,'Ціни контур мережний'!$I$67:$M$69,5,0)</f>
        <v>4.4537969640631703</v>
      </c>
      <c r="GV18" s="748">
        <f t="shared" si="81"/>
        <v>22.26898482031585</v>
      </c>
      <c r="GW18" s="655" t="s">
        <v>106</v>
      </c>
      <c r="GX18" s="720">
        <f>11</f>
        <v>11</v>
      </c>
      <c r="GY18" s="747">
        <f>VLOOKUP(GW18,'Ціни контур мережний'!$I$67:$M$69,5,0)</f>
        <v>4.4537969640631703</v>
      </c>
      <c r="GZ18" s="748">
        <f t="shared" si="82"/>
        <v>48.991766604694874</v>
      </c>
      <c r="HA18" s="655" t="s">
        <v>1013</v>
      </c>
      <c r="HB18" s="720">
        <v>4</v>
      </c>
      <c r="HC18" s="747">
        <f>VLOOKUP(HA18,'Ціни контур мережний'!$I$64:$M$64,5,0)</f>
        <v>29.1312</v>
      </c>
      <c r="HD18" s="748">
        <f t="shared" si="83"/>
        <v>116.5248</v>
      </c>
      <c r="HE18" s="766" t="s">
        <v>1015</v>
      </c>
      <c r="HF18" s="749">
        <v>6</v>
      </c>
      <c r="HG18" s="747">
        <f>VLOOKUP(HE18,'Ціни контур мережний'!$I$89:$M$89,5,0)</f>
        <v>79.523165325760516</v>
      </c>
      <c r="HH18" s="765">
        <f t="shared" si="84"/>
        <v>477.1389919545631</v>
      </c>
      <c r="HI18" s="767" t="s">
        <v>1016</v>
      </c>
      <c r="HJ18" s="720">
        <f t="shared" si="92"/>
        <v>7</v>
      </c>
      <c r="HK18" s="747">
        <f>VLOOKUP(HI18,'Ціни контур мережний'!$I$88:$M$88,5,0)</f>
        <v>13.211568975967202</v>
      </c>
      <c r="HL18" s="768">
        <f t="shared" si="85"/>
        <v>92.480982831770419</v>
      </c>
      <c r="HM18" s="767" t="s">
        <v>383</v>
      </c>
      <c r="HN18" s="720">
        <v>1</v>
      </c>
      <c r="HO18" s="747">
        <f>VLOOKUP(HM18,'Ціни контур мережний'!$I$87:$M$87,5,0)</f>
        <v>13.483972460007763</v>
      </c>
      <c r="HP18" s="748">
        <f t="shared" si="86"/>
        <v>13.483972460007763</v>
      </c>
      <c r="HQ18" s="769">
        <f t="shared" si="24"/>
        <v>34</v>
      </c>
      <c r="HR18" s="770">
        <f t="shared" si="87"/>
        <v>4858.4654374694455</v>
      </c>
      <c r="HS18" s="771">
        <v>0</v>
      </c>
      <c r="HT18" s="771">
        <f>'Таблиця цін схема №1'!$JE$44/'Ціни контур мережний'!$G$26</f>
        <v>476.70609707098151</v>
      </c>
      <c r="HU18" s="770">
        <f>'Таблиця цін схема №1'!$JG$8</f>
        <v>661.80181284518619</v>
      </c>
      <c r="HV18" s="770">
        <f>'Таблиця цін схема №1'!$JH$8</f>
        <v>487.81784379022207</v>
      </c>
      <c r="HW18" s="770">
        <f>'Таблиця цін схема №1'!$JI$8</f>
        <v>323.47913729816605</v>
      </c>
      <c r="HX18" s="770">
        <f>'Таблиця цін схема №1'!$JJ$8</f>
        <v>66.611999999999995</v>
      </c>
      <c r="HY18" s="772">
        <v>0</v>
      </c>
      <c r="HZ18" s="772">
        <f>'Таблиця цін схема №1'!$JL$8</f>
        <v>62.86234247089866</v>
      </c>
      <c r="IA18" s="772">
        <v>0</v>
      </c>
      <c r="IB18" s="770">
        <v>0</v>
      </c>
      <c r="IC18" s="913">
        <f t="shared" si="25"/>
        <v>485.64212696614305</v>
      </c>
      <c r="ID18" s="914">
        <f t="shared" si="26"/>
        <v>693.77446709449009</v>
      </c>
      <c r="IE18" s="915">
        <f t="shared" si="27"/>
        <v>119.34644391652728</v>
      </c>
      <c r="IF18" s="776">
        <f>'Таблиця цін схема №1'!$JR$8</f>
        <v>300.63036461094771</v>
      </c>
      <c r="IG18" s="777">
        <f t="shared" si="88"/>
        <v>8537.1380735330094</v>
      </c>
      <c r="II18" s="611">
        <f>[3]Расчеты!AX17/1.2</f>
        <v>4190.9023783485809</v>
      </c>
      <c r="IJ18" s="611">
        <f t="shared" si="89"/>
        <v>12728.04045188159</v>
      </c>
      <c r="IK18" s="611" t="e">
        <f>IJ18*1.2*#REF!</f>
        <v>#REF!</v>
      </c>
      <c r="IL18" s="611"/>
    </row>
    <row r="19" spans="1:248" ht="12.6" customHeight="1">
      <c r="A19" s="610" t="s">
        <v>686</v>
      </c>
      <c r="B19" s="740">
        <v>35</v>
      </c>
      <c r="C19" s="1056" t="s">
        <v>896</v>
      </c>
      <c r="D19" s="892">
        <v>0.54100000000000004</v>
      </c>
      <c r="E19" s="918">
        <v>0.52100000000000002</v>
      </c>
      <c r="F19" s="742">
        <f t="shared" si="28"/>
        <v>22.982161683510981</v>
      </c>
      <c r="G19" s="743">
        <v>100</v>
      </c>
      <c r="H19" s="598">
        <f t="shared" si="29"/>
        <v>9.6641657734905309</v>
      </c>
      <c r="I19" s="599">
        <v>65</v>
      </c>
      <c r="J19" s="598">
        <f t="shared" si="30"/>
        <v>22.494802494802496</v>
      </c>
      <c r="K19" s="599">
        <v>100</v>
      </c>
      <c r="L19" s="598">
        <f t="shared" si="31"/>
        <v>13.31799591002045</v>
      </c>
      <c r="M19" s="599">
        <v>65</v>
      </c>
      <c r="N19" s="598">
        <f t="shared" si="32"/>
        <v>10.567951318458418</v>
      </c>
      <c r="O19" s="599">
        <v>65</v>
      </c>
      <c r="P19" s="598">
        <f t="shared" si="93"/>
        <v>3.1703853955375254</v>
      </c>
      <c r="Q19" s="599">
        <v>40</v>
      </c>
      <c r="R19" s="598">
        <f t="shared" si="33"/>
        <v>13.667194305892179</v>
      </c>
      <c r="S19" s="600">
        <f t="shared" si="34"/>
        <v>18.834490439580328</v>
      </c>
      <c r="T19" s="744">
        <v>9</v>
      </c>
      <c r="U19" s="601">
        <f t="shared" si="35"/>
        <v>2.4994224994224994</v>
      </c>
      <c r="V19" s="601">
        <f t="shared" si="36"/>
        <v>3.5347171967837578</v>
      </c>
      <c r="W19" s="602">
        <v>32</v>
      </c>
      <c r="X19" s="745">
        <f t="shared" si="0"/>
        <v>100</v>
      </c>
      <c r="Y19" s="746">
        <v>2</v>
      </c>
      <c r="Z19" s="747">
        <f>VLOOKUP(X19,'Ціни контур мережний'!$Z$24:$AB$36,3,0)</f>
        <v>61.045620773489688</v>
      </c>
      <c r="AA19" s="748">
        <f t="shared" si="37"/>
        <v>122.09124154697938</v>
      </c>
      <c r="AB19" s="745">
        <f t="shared" si="1"/>
        <v>100</v>
      </c>
      <c r="AC19" s="749">
        <v>2</v>
      </c>
      <c r="AD19" s="747">
        <f>VLOOKUP(AB19,'Ціни контур мережний'!$Z$64:$AB$77,3,0)</f>
        <v>150.69360737123827</v>
      </c>
      <c r="AE19" s="748">
        <f t="shared" si="38"/>
        <v>301.38721474247654</v>
      </c>
      <c r="AF19" s="745">
        <f t="shared" si="2"/>
        <v>100</v>
      </c>
      <c r="AG19" s="746">
        <v>1</v>
      </c>
      <c r="AH19" s="747">
        <f>VLOOKUP(AF19,'Ціни контур мережний'!$Z$5:$AB$17,3,0)</f>
        <v>70.903000000000006</v>
      </c>
      <c r="AI19" s="748">
        <f t="shared" si="39"/>
        <v>70.903000000000006</v>
      </c>
      <c r="AJ19" s="750">
        <f t="shared" si="3"/>
        <v>65</v>
      </c>
      <c r="AK19" s="746">
        <v>3</v>
      </c>
      <c r="AL19" s="747">
        <f>VLOOKUP(AJ19,'Ціни контур мережний'!$Z$43:$AB$55,3,0)</f>
        <v>30.19184015363556</v>
      </c>
      <c r="AM19" s="748">
        <f t="shared" si="40"/>
        <v>90.575520460906688</v>
      </c>
      <c r="AN19" s="745">
        <f t="shared" si="4"/>
        <v>65</v>
      </c>
      <c r="AO19" s="749">
        <v>4</v>
      </c>
      <c r="AP19" s="747">
        <f>VLOOKUP(AN19,'Ціни контур мережний'!$Z$43:$AB$55,3,0)</f>
        <v>30.19184015363556</v>
      </c>
      <c r="AQ19" s="759">
        <f t="shared" si="41"/>
        <v>120.76736061454224</v>
      </c>
      <c r="AR19" s="751" t="str">
        <f t="shared" si="42"/>
        <v>AMV20</v>
      </c>
      <c r="AS19" s="751">
        <v>1</v>
      </c>
      <c r="AT19" s="747">
        <f>VLOOKUP(AR19,'Ціни контур мережний'!$I$53:$M$57,5,0)</f>
        <v>110.39869654932889</v>
      </c>
      <c r="AU19" s="748">
        <f t="shared" si="43"/>
        <v>110.39869654932889</v>
      </c>
      <c r="AV19" s="752">
        <f t="array" ref="AV19">MIN(IF('Ціни контур мережний'!$Y$83:$Y$92&gt;(R19*1.2),'Ціни контур мережний'!$Y$83:$Y$92))</f>
        <v>25</v>
      </c>
      <c r="AW19" s="746">
        <f>VLOOKUP(AV19,'Ціни контур мережний'!$Y$83:$Z$92,2,0)</f>
        <v>40</v>
      </c>
      <c r="AX19" s="746">
        <v>1</v>
      </c>
      <c r="AY19" s="747">
        <f>VLOOKUP(AV19,'Ціни контур мережний'!$Y$83:$AB$92,4,0)</f>
        <v>156.6569554824606</v>
      </c>
      <c r="AZ19" s="748">
        <f t="shared" si="44"/>
        <v>156.6569554824606</v>
      </c>
      <c r="BA19" s="1099">
        <f t="array" ref="BA19">MIN(IF('[1]Ціни контур мережний'!$Y$104:$Y$114&gt;(R19*1.2),'[1]Ціни контур мережний'!$Y$104:$Y$114))</f>
        <v>20</v>
      </c>
      <c r="BB19" s="1101">
        <f>VLOOKUP(BA19,'[1]Ціни контур мережний'!$Y$104:$Z$114,2,0)</f>
        <v>50</v>
      </c>
      <c r="BC19" s="753">
        <v>1</v>
      </c>
      <c r="BD19" s="754">
        <f>VLOOKUP(BA19,'Ціни контур мережний'!$Y$104:$AB$114,4,0)</f>
        <v>448.22326189551967</v>
      </c>
      <c r="BE19" s="755">
        <f t="shared" si="45"/>
        <v>448.22326189551967</v>
      </c>
      <c r="BF19" s="751" t="s">
        <v>67</v>
      </c>
      <c r="BG19" s="749">
        <v>1</v>
      </c>
      <c r="BH19" s="747">
        <f>VLOOKUP(BF19,'Ціни контур мережний'!$I$53:$M$57,5,0)</f>
        <v>157.67238032974441</v>
      </c>
      <c r="BI19" s="768">
        <f t="shared" si="46"/>
        <v>157.67238032974441</v>
      </c>
      <c r="BJ19" s="894">
        <f t="array" ref="BJ19">MIN(IF('Ціни контур мережний'!$Y$83:$Y$93&gt;(S19*1.2),'Ціни контур мережний'!$Y$83:$Y$93))</f>
        <v>25</v>
      </c>
      <c r="BK19" s="895">
        <f>VLOOKUP(BJ19,'Ціни контур мережний'!$Y$83:$Z$93,2,0)</f>
        <v>40</v>
      </c>
      <c r="BL19" s="895">
        <v>1</v>
      </c>
      <c r="BM19" s="896">
        <f>VLOOKUP(BJ19,'Ціни контур мережний'!$Y$83:$AB$93,4,0)</f>
        <v>156.6569554824606</v>
      </c>
      <c r="BN19" s="916">
        <f t="shared" si="47"/>
        <v>156.6569554824606</v>
      </c>
      <c r="BO19" s="896">
        <f t="array" ref="BO19">MIN(IF('Ціни контур мережний'!$Y$104:$Y$114&gt;(S19*1.2),'Ціни контур мережний'!$Y$104:$Y$114))</f>
        <v>25</v>
      </c>
      <c r="BP19" s="895">
        <f>VLOOKUP(BO19,'Ціни контур мережний'!$Y$104:$Z$114,2,0)</f>
        <v>50</v>
      </c>
      <c r="BQ19" s="895">
        <v>1</v>
      </c>
      <c r="BR19" s="896">
        <f>VLOOKUP(BO19,'Ціни контур мережний'!$Y$104:$AB$114,4,0)</f>
        <v>471.1197417614971</v>
      </c>
      <c r="BS19" s="897">
        <f t="shared" si="48"/>
        <v>471.1197417614971</v>
      </c>
      <c r="BT19" s="751">
        <f>VLOOKUP(BU19,'Ціни контур мережний'!$J$5:$L$12,3,0)</f>
        <v>40</v>
      </c>
      <c r="BU19" s="751">
        <f t="array" ref="BU19">MIN(IF('Ціни контур мережний'!$J$5:$J$12&gt;H19,'Ціни контур мережний'!$J$5:$J$12))</f>
        <v>10</v>
      </c>
      <c r="BV19" s="746" t="s">
        <v>130</v>
      </c>
      <c r="BW19" s="756">
        <v>1</v>
      </c>
      <c r="BX19" s="747">
        <f>VLOOKUP(BU19,'Ціни контур мережний'!$J$5:$N$12,5,0)</f>
        <v>375.23999999999995</v>
      </c>
      <c r="BY19" s="748">
        <f t="shared" si="49"/>
        <v>375.23999999999995</v>
      </c>
      <c r="BZ19" s="745">
        <f>VLOOKUP(CA19,'Ціни контур мережний'!$J$5:$L$12,3,0)</f>
        <v>50</v>
      </c>
      <c r="CA19" s="747">
        <f t="array" ref="CA19">MIN(IF('Ціни контур мережний'!$J$5:$J$12&gt;L19,'Ціни контур мережний'!$J$5:$J$12))</f>
        <v>15</v>
      </c>
      <c r="CB19" s="746" t="s">
        <v>130</v>
      </c>
      <c r="CC19" s="749">
        <v>1</v>
      </c>
      <c r="CD19" s="747">
        <f>VLOOKUP(CA19,'Ціни контур мережний'!$J$5:$N$12,5,0)</f>
        <v>366.74399999999997</v>
      </c>
      <c r="CE19" s="748">
        <f t="shared" si="50"/>
        <v>366.74399999999997</v>
      </c>
      <c r="CF19" s="898" t="s">
        <v>1348</v>
      </c>
      <c r="CG19" s="899">
        <v>1</v>
      </c>
      <c r="CH19" s="900">
        <v>868</v>
      </c>
      <c r="CI19" s="901">
        <f t="shared" si="51"/>
        <v>868</v>
      </c>
      <c r="CJ19" s="751">
        <f t="shared" si="5"/>
        <v>100</v>
      </c>
      <c r="CK19" s="746">
        <v>4</v>
      </c>
      <c r="CL19" s="747">
        <f>VLOOKUP(CJ19,'Ціни контур теплопостачання'!$Y$5:$AA$17,3,0)</f>
        <v>61.045620773489688</v>
      </c>
      <c r="CM19" s="748">
        <f t="shared" si="52"/>
        <v>244.18248309395875</v>
      </c>
      <c r="CN19" s="750">
        <f t="shared" si="6"/>
        <v>65</v>
      </c>
      <c r="CO19" s="746">
        <v>6</v>
      </c>
      <c r="CP19" s="747">
        <f>VLOOKUP(CN19,'Ціни контур теплопостачання'!$AO$20:$AQ$29,3,0)</f>
        <v>42.675547020246391</v>
      </c>
      <c r="CQ19" s="748">
        <f t="shared" si="53"/>
        <v>256.05328212147833</v>
      </c>
      <c r="CR19" s="750">
        <f t="shared" si="7"/>
        <v>40</v>
      </c>
      <c r="CS19" s="746">
        <v>3</v>
      </c>
      <c r="CT19" s="747">
        <f>VLOOKUP(CR19,'Ціни контур теплопостачання'!$AO$20:$AQ$29,3,0)</f>
        <v>37.980000000000004</v>
      </c>
      <c r="CU19" s="748">
        <f t="shared" si="54"/>
        <v>113.94000000000001</v>
      </c>
      <c r="CV19" s="757">
        <f t="shared" si="8"/>
        <v>32</v>
      </c>
      <c r="CW19" s="746">
        <f t="shared" si="9"/>
        <v>18</v>
      </c>
      <c r="CX19" s="747">
        <f>VLOOKUP(CV19,'Ціни контур теплопостачання'!$Y$5:$AA$17,3,0)</f>
        <v>10.381</v>
      </c>
      <c r="CY19" s="748">
        <f t="shared" si="55"/>
        <v>186.858</v>
      </c>
      <c r="CZ19" s="745">
        <v>20</v>
      </c>
      <c r="DA19" s="749">
        <v>2</v>
      </c>
      <c r="DB19" s="747">
        <f>VLOOKUP(CZ19,'Ціни контур теплопостачання'!$Y$5:$AA$17,3,0)</f>
        <v>3.577</v>
      </c>
      <c r="DC19" s="748">
        <f t="shared" si="56"/>
        <v>7.1539999999999999</v>
      </c>
      <c r="DD19" s="745">
        <v>15</v>
      </c>
      <c r="DE19" s="745">
        <v>8</v>
      </c>
      <c r="DF19" s="758">
        <f>VLOOKUP(DD19,'Ціни контур теплопостачання'!$Y$5:$AA$17,3,0)</f>
        <v>2.464</v>
      </c>
      <c r="DG19" s="759">
        <f t="shared" si="57"/>
        <v>19.712</v>
      </c>
      <c r="DH19" s="745">
        <v>15</v>
      </c>
      <c r="DI19" s="745">
        <f t="shared" si="58"/>
        <v>44</v>
      </c>
      <c r="DJ19" s="758">
        <f>VLOOKUP(DH19,'Ціни контур мережний'!$J$71:$M$71,4,0)</f>
        <v>3.3865201135922525</v>
      </c>
      <c r="DK19" s="759">
        <f t="shared" si="59"/>
        <v>149.00688499805912</v>
      </c>
      <c r="DL19" s="751">
        <f t="shared" si="10"/>
        <v>100</v>
      </c>
      <c r="DM19" s="746">
        <v>1</v>
      </c>
      <c r="DN19" s="747">
        <f>VLOOKUP(DL19,'Ціни контур теплопостачання'!$K$5:$M$17,3,0)</f>
        <v>70.903000000000006</v>
      </c>
      <c r="DO19" s="748">
        <f t="shared" si="60"/>
        <v>70.903000000000006</v>
      </c>
      <c r="DP19" s="745">
        <f t="shared" si="11"/>
        <v>65</v>
      </c>
      <c r="DQ19" s="749">
        <v>1</v>
      </c>
      <c r="DR19" s="747">
        <f>VLOOKUP(DP19,'Ціни контур теплопостачання'!$K$5:$M$17,3,0)</f>
        <v>39.731999999999999</v>
      </c>
      <c r="DS19" s="748">
        <f t="shared" si="61"/>
        <v>39.731999999999999</v>
      </c>
      <c r="DT19" s="745">
        <f t="shared" si="12"/>
        <v>40</v>
      </c>
      <c r="DU19" s="745">
        <v>1</v>
      </c>
      <c r="DV19" s="758">
        <f>VLOOKUP(DT19,'Ціни контур теплопостачання'!$K$5:$M$17,3,0)</f>
        <v>23.225999999999999</v>
      </c>
      <c r="DW19" s="759">
        <f t="shared" si="62"/>
        <v>23.225999999999999</v>
      </c>
      <c r="DX19" s="745">
        <f t="shared" si="63"/>
        <v>100</v>
      </c>
      <c r="DY19" s="745">
        <v>1</v>
      </c>
      <c r="DZ19" s="758">
        <f>VLOOKUP(DX19,'Ціни контур теплопостачання'!$Y$24:$AA$36,3,0)</f>
        <v>87.795500000000004</v>
      </c>
      <c r="EA19" s="759">
        <f t="shared" si="64"/>
        <v>87.795500000000004</v>
      </c>
      <c r="EB19" s="751">
        <f t="shared" si="13"/>
        <v>100</v>
      </c>
      <c r="EC19" s="746">
        <v>2</v>
      </c>
      <c r="ED19" s="747">
        <f>VLOOKUP(EB19,'Ціни контур теплопостачання'!$Y$24:$AA$36,3,0)</f>
        <v>87.795500000000004</v>
      </c>
      <c r="EE19" s="748">
        <f t="shared" si="65"/>
        <v>175.59100000000001</v>
      </c>
      <c r="EF19" s="745">
        <f t="shared" si="14"/>
        <v>65</v>
      </c>
      <c r="EG19" s="749">
        <v>1</v>
      </c>
      <c r="EH19" s="747">
        <f>VLOOKUP(EF19,'Ціни контур теплопостачання'!$AO$38:$AQ$50,3,0)</f>
        <v>42.080999999999996</v>
      </c>
      <c r="EI19" s="748">
        <f t="shared" si="66"/>
        <v>42.080999999999996</v>
      </c>
      <c r="EJ19" s="745">
        <f t="shared" si="15"/>
        <v>40</v>
      </c>
      <c r="EK19" s="745">
        <v>1</v>
      </c>
      <c r="EL19" s="758">
        <f>VLOOKUP(EJ19,'Ціни контур теплопостачання'!$AO$38:$AQ$50,3,0)</f>
        <v>20.3645</v>
      </c>
      <c r="EM19" s="759">
        <f t="shared" si="67"/>
        <v>20.3645</v>
      </c>
      <c r="EN19" s="745">
        <f t="shared" si="16"/>
        <v>32</v>
      </c>
      <c r="EO19" s="745">
        <f t="shared" si="17"/>
        <v>18</v>
      </c>
      <c r="EP19" s="758">
        <f>VLOOKUP(EN19,'Ціни контур теплопостачання'!$Y$76:$AA$88,3,0)</f>
        <v>13.15</v>
      </c>
      <c r="EQ19" s="759">
        <f t="shared" si="68"/>
        <v>236.70000000000002</v>
      </c>
      <c r="ER19" s="745">
        <f t="shared" si="18"/>
        <v>65</v>
      </c>
      <c r="ES19" s="745">
        <v>1</v>
      </c>
      <c r="ET19" s="758">
        <f>VLOOKUP(ER19,'Ціни контур теплопостачання'!$Y$76:$AA$88,3,0)</f>
        <v>26.33</v>
      </c>
      <c r="EU19" s="759">
        <f t="shared" si="69"/>
        <v>26.33</v>
      </c>
      <c r="EV19" s="745">
        <f t="shared" si="19"/>
        <v>40</v>
      </c>
      <c r="EW19" s="745">
        <v>1</v>
      </c>
      <c r="EX19" s="758">
        <f>VLOOKUP(EV19,'Ціни контур теплопостачання'!$Y$76:$AA$88,3,0)</f>
        <v>16.809999999999999</v>
      </c>
      <c r="EY19" s="759">
        <f t="shared" si="70"/>
        <v>16.809999999999999</v>
      </c>
      <c r="EZ19" s="758">
        <f t="shared" si="20"/>
        <v>37.360139186036236</v>
      </c>
      <c r="FA19" s="760">
        <v>40</v>
      </c>
      <c r="FB19" s="719">
        <v>2</v>
      </c>
      <c r="FC19" s="747">
        <f>VLOOKUP(FA19,'Ціни контур теплопостачання'!$K$74:$M$79,3,0)</f>
        <v>43.19</v>
      </c>
      <c r="FD19" s="761">
        <f t="shared" si="21"/>
        <v>86.38</v>
      </c>
      <c r="FE19" s="762">
        <f t="shared" si="71"/>
        <v>22.494802494802496</v>
      </c>
      <c r="FF19" s="902">
        <v>5</v>
      </c>
      <c r="FG19" s="900">
        <v>5</v>
      </c>
      <c r="FH19" s="830" t="s">
        <v>1090</v>
      </c>
      <c r="FI19" s="708">
        <v>2</v>
      </c>
      <c r="FJ19" s="709">
        <f>VLOOKUP(FH19,'Ціни контур теплопостачання'!$C$89:$M$105,11,0)</f>
        <v>648.69600000000003</v>
      </c>
      <c r="FK19" s="764">
        <f t="shared" si="72"/>
        <v>1297.3920000000001</v>
      </c>
      <c r="FL19" s="912">
        <f t="shared" si="73"/>
        <v>3.1703853955375254</v>
      </c>
      <c r="FM19" s="902">
        <v>5</v>
      </c>
      <c r="FN19" s="900">
        <v>6</v>
      </c>
      <c r="FO19" s="900" t="s">
        <v>1097</v>
      </c>
      <c r="FP19" s="749">
        <v>1</v>
      </c>
      <c r="FQ19" s="747">
        <f>VLOOKUP(FO19,'Ціни контур теплопостачання'!$C$89:$M$105,11,0)</f>
        <v>241.2</v>
      </c>
      <c r="FR19" s="904">
        <f t="shared" si="74"/>
        <v>241.2</v>
      </c>
      <c r="FS19" s="758">
        <f t="array" ref="FS19">MIN(IF('Ціни контур теплопостачання'!$AN$68:$AN$77&gt;(V19*1.2),'Ціни контур теплопостачання'!$AN$68:$AN$77))</f>
        <v>5.83</v>
      </c>
      <c r="FT19" s="749">
        <f>VLOOKUP(FS19,'Ціни контур теплопостачання'!$AN$68:$AO$77,2,0)</f>
        <v>25</v>
      </c>
      <c r="FU19" s="749">
        <f t="shared" si="22"/>
        <v>9</v>
      </c>
      <c r="FV19" s="747">
        <f>VLOOKUP(FT19,'Ціни контур теплопостачання'!$AO$68:$AQ$77,3,0)</f>
        <v>26.495000000000001</v>
      </c>
      <c r="FW19" s="765">
        <f t="shared" si="75"/>
        <v>238.45500000000001</v>
      </c>
      <c r="FX19" s="750">
        <v>15</v>
      </c>
      <c r="FY19" s="746">
        <v>2</v>
      </c>
      <c r="FZ19" s="747">
        <f>VLOOKUP(FX19,'Ціни контур мережний'!$J$73:$M$73,4,0)</f>
        <v>3.4649999999999999</v>
      </c>
      <c r="GA19" s="748">
        <f t="shared" si="76"/>
        <v>6.93</v>
      </c>
      <c r="GB19" s="750">
        <f>VLOOKUP(GC19,'Ціни контур теплопостачання'!$AN$6:$AO$13,2,0)</f>
        <v>40</v>
      </c>
      <c r="GC19" s="751">
        <f t="array" ref="GC19">MIN(IF('Ціни контур теплопостачання'!$AN$6:$AN$13&gt;N19,'Ціни контур теплопостачання'!$AN$6:$AN$13))</f>
        <v>15</v>
      </c>
      <c r="GD19" s="751">
        <v>1</v>
      </c>
      <c r="GE19" s="747">
        <f>VLOOKUP(GB19,'Ціни контур теплопостачання'!$AO$6:$AQ$13,3,0)</f>
        <v>140.82444000000001</v>
      </c>
      <c r="GF19" s="748">
        <f t="shared" si="77"/>
        <v>140.82444000000001</v>
      </c>
      <c r="GG19" s="750">
        <f t="shared" si="23"/>
        <v>65</v>
      </c>
      <c r="GH19" s="746">
        <v>1</v>
      </c>
      <c r="GI19" s="747">
        <f>VLOOKUP(GG19,'Ціни контур теплопостачання'!$AO$55:$AQ$63,3,0)</f>
        <v>426.6</v>
      </c>
      <c r="GJ19" s="768">
        <f t="shared" si="78"/>
        <v>426.6</v>
      </c>
      <c r="GK19" s="655" t="str">
        <f t="shared" si="91"/>
        <v>0-150</v>
      </c>
      <c r="GL19" s="720">
        <v>1</v>
      </c>
      <c r="GM19" s="747">
        <f>VLOOKUP(GK19,'Ціни контур мережний'!$I$79:$M$80,5,0)</f>
        <v>15.050156291498967</v>
      </c>
      <c r="GN19" s="748">
        <f t="shared" si="79"/>
        <v>15.050156291498967</v>
      </c>
      <c r="GO19" s="758" t="s">
        <v>109</v>
      </c>
      <c r="GP19" s="749">
        <v>5</v>
      </c>
      <c r="GQ19" s="747">
        <f>VLOOKUP(GO19,'Ціни контур мережний'!$I$79:$M$80,5,0)</f>
        <v>15.050156291498967</v>
      </c>
      <c r="GR19" s="765">
        <f t="shared" si="80"/>
        <v>75.250781457494838</v>
      </c>
      <c r="GS19" s="655" t="s">
        <v>108</v>
      </c>
      <c r="GT19" s="720">
        <v>5</v>
      </c>
      <c r="GU19" s="747">
        <f>VLOOKUP(GS19,'Ціни контур мережний'!$I$67:$M$69,5,0)</f>
        <v>4.4537969640631703</v>
      </c>
      <c r="GV19" s="748">
        <f t="shared" si="81"/>
        <v>22.26898482031585</v>
      </c>
      <c r="GW19" s="655" t="s">
        <v>106</v>
      </c>
      <c r="GX19" s="720">
        <f>11+T19</f>
        <v>20</v>
      </c>
      <c r="GY19" s="747">
        <f>VLOOKUP(GW19,'Ціни контур мережний'!$I$67:$M$69,5,0)</f>
        <v>4.4537969640631703</v>
      </c>
      <c r="GZ19" s="748">
        <f t="shared" si="82"/>
        <v>89.075939281263402</v>
      </c>
      <c r="HA19" s="655" t="s">
        <v>1013</v>
      </c>
      <c r="HB19" s="720">
        <v>4</v>
      </c>
      <c r="HC19" s="747">
        <f>VLOOKUP(HA19,'Ціни контур мережний'!$I$64:$M$64,5,0)</f>
        <v>29.1312</v>
      </c>
      <c r="HD19" s="748">
        <f t="shared" si="83"/>
        <v>116.5248</v>
      </c>
      <c r="HE19" s="766" t="s">
        <v>1015</v>
      </c>
      <c r="HF19" s="749">
        <v>6</v>
      </c>
      <c r="HG19" s="747">
        <f>VLOOKUP(HE19,'Ціни контур мережний'!$I$89:$M$89,5,0)</f>
        <v>79.523165325760516</v>
      </c>
      <c r="HH19" s="765">
        <f t="shared" si="84"/>
        <v>477.1389919545631</v>
      </c>
      <c r="HI19" s="778" t="s">
        <v>1016</v>
      </c>
      <c r="HJ19" s="720">
        <f t="shared" si="92"/>
        <v>7</v>
      </c>
      <c r="HK19" s="747">
        <f>VLOOKUP(HI19,'Ціни контур мережний'!$I$88:$M$88,5,0)</f>
        <v>13.211568975967202</v>
      </c>
      <c r="HL19" s="768">
        <f t="shared" si="85"/>
        <v>92.480982831770419</v>
      </c>
      <c r="HM19" s="779" t="s">
        <v>383</v>
      </c>
      <c r="HN19" s="720">
        <v>1</v>
      </c>
      <c r="HO19" s="747">
        <f>VLOOKUP(HM19,'Ціни контур мережний'!$I$87:$M$87,5,0)</f>
        <v>13.483972460007763</v>
      </c>
      <c r="HP19" s="748">
        <f t="shared" si="86"/>
        <v>13.483972460007763</v>
      </c>
      <c r="HQ19" s="769">
        <f t="shared" si="24"/>
        <v>35</v>
      </c>
      <c r="HR19" s="770">
        <f t="shared" si="87"/>
        <v>8871.9320281763285</v>
      </c>
      <c r="HS19" s="771">
        <v>0</v>
      </c>
      <c r="HT19" s="771">
        <f>'Таблиця цін схема №1'!$JE$45/'Ціни контур мережний'!$G$26</f>
        <v>578.85740358619182</v>
      </c>
      <c r="HU19" s="770">
        <f>'Таблиця цін схема №1'!$JG$8</f>
        <v>661.80181284518619</v>
      </c>
      <c r="HV19" s="770">
        <f>'Таблиця цін схема №1'!$JH$8</f>
        <v>487.81784379022207</v>
      </c>
      <c r="HW19" s="770">
        <f>'Таблиця цін схема №1'!$JI$8</f>
        <v>323.47913729816605</v>
      </c>
      <c r="HX19" s="770">
        <f>'Таблиця цін схема №1'!$JJ$8</f>
        <v>66.611999999999995</v>
      </c>
      <c r="HY19" s="772">
        <v>0</v>
      </c>
      <c r="HZ19" s="772">
        <f>'Таблиця цін схема №1'!$JL$8</f>
        <v>62.86234247089866</v>
      </c>
      <c r="IA19" s="772">
        <v>0</v>
      </c>
      <c r="IB19" s="770">
        <v>0</v>
      </c>
      <c r="IC19" s="773">
        <f t="shared" si="25"/>
        <v>773.7353797716894</v>
      </c>
      <c r="ID19" s="774">
        <f t="shared" si="26"/>
        <v>1105.3362568166992</v>
      </c>
      <c r="IE19" s="775">
        <f t="shared" si="27"/>
        <v>190.14529625967407</v>
      </c>
      <c r="IF19" s="776">
        <f>'Таблиця цін схема №1'!$JR$8</f>
        <v>300.63036461094771</v>
      </c>
      <c r="IG19" s="777">
        <f t="shared" si="88"/>
        <v>13423.209865626002</v>
      </c>
      <c r="II19" s="919">
        <f>[3]Расчеты!AX18/1.2</f>
        <v>4852.2601761721444</v>
      </c>
      <c r="IJ19" s="919">
        <f t="shared" si="89"/>
        <v>18275.470041798148</v>
      </c>
      <c r="IK19" s="616" t="e">
        <f>IJ19*1.2*#REF!</f>
        <v>#REF!</v>
      </c>
      <c r="IL19" s="919"/>
      <c r="IN19" s="610" t="s">
        <v>686</v>
      </c>
    </row>
    <row r="20" spans="1:248" ht="12.6" customHeight="1">
      <c r="A20" s="610" t="s">
        <v>686</v>
      </c>
      <c r="B20" s="740">
        <v>36</v>
      </c>
      <c r="C20" s="1056" t="s">
        <v>897</v>
      </c>
      <c r="D20" s="892">
        <v>0.66766000000000003</v>
      </c>
      <c r="E20" s="918">
        <v>0.54400000000000004</v>
      </c>
      <c r="F20" s="742">
        <f t="shared" si="28"/>
        <v>25.832690027332287</v>
      </c>
      <c r="G20" s="743">
        <v>100</v>
      </c>
      <c r="H20" s="598">
        <f t="shared" si="29"/>
        <v>11.926759556984639</v>
      </c>
      <c r="I20" s="599">
        <v>65</v>
      </c>
      <c r="J20" s="598">
        <f t="shared" si="30"/>
        <v>27.761330561330563</v>
      </c>
      <c r="K20" s="599">
        <v>100</v>
      </c>
      <c r="L20" s="598">
        <f t="shared" si="31"/>
        <v>13.905930470347649</v>
      </c>
      <c r="M20" s="599">
        <v>65</v>
      </c>
      <c r="N20" s="598">
        <f t="shared" si="32"/>
        <v>11.03448275862069</v>
      </c>
      <c r="O20" s="599">
        <v>65</v>
      </c>
      <c r="P20" s="598">
        <f t="shared" si="93"/>
        <v>3.3103448275862069</v>
      </c>
      <c r="Q20" s="599">
        <v>40</v>
      </c>
      <c r="R20" s="598">
        <f t="shared" si="33"/>
        <v>16.8669851206506</v>
      </c>
      <c r="S20" s="600">
        <f t="shared" si="34"/>
        <v>19.665955468582915</v>
      </c>
      <c r="T20" s="744">
        <v>6</v>
      </c>
      <c r="U20" s="601">
        <f t="shared" si="35"/>
        <v>4.6268884268884269</v>
      </c>
      <c r="V20" s="601">
        <f t="shared" si="36"/>
        <v>6.5434083648927279</v>
      </c>
      <c r="W20" s="602">
        <v>40</v>
      </c>
      <c r="X20" s="745">
        <f t="shared" si="0"/>
        <v>100</v>
      </c>
      <c r="Y20" s="746">
        <v>2</v>
      </c>
      <c r="Z20" s="747">
        <f>VLOOKUP(X20,'Ціни контур мережний'!$Z$24:$AB$36,3,0)</f>
        <v>61.045620773489688</v>
      </c>
      <c r="AA20" s="748">
        <f t="shared" si="37"/>
        <v>122.09124154697938</v>
      </c>
      <c r="AB20" s="745">
        <f t="shared" si="1"/>
        <v>100</v>
      </c>
      <c r="AC20" s="749">
        <v>2</v>
      </c>
      <c r="AD20" s="747">
        <f>VLOOKUP(AB20,'Ціни контур мережний'!$Z$64:$AB$77,3,0)</f>
        <v>150.69360737123827</v>
      </c>
      <c r="AE20" s="748">
        <f t="shared" si="38"/>
        <v>301.38721474247654</v>
      </c>
      <c r="AF20" s="745">
        <f t="shared" si="2"/>
        <v>100</v>
      </c>
      <c r="AG20" s="746">
        <v>1</v>
      </c>
      <c r="AH20" s="747">
        <f>VLOOKUP(AF20,'Ціни контур мережний'!$Z$5:$AB$17,3,0)</f>
        <v>70.903000000000006</v>
      </c>
      <c r="AI20" s="748">
        <f t="shared" si="39"/>
        <v>70.903000000000006</v>
      </c>
      <c r="AJ20" s="750">
        <f t="shared" si="3"/>
        <v>65</v>
      </c>
      <c r="AK20" s="746">
        <v>3</v>
      </c>
      <c r="AL20" s="747">
        <f>VLOOKUP(AJ20,'Ціни контур мережний'!$Z$43:$AB$55,3,0)</f>
        <v>30.19184015363556</v>
      </c>
      <c r="AM20" s="748">
        <f t="shared" si="40"/>
        <v>90.575520460906688</v>
      </c>
      <c r="AN20" s="745">
        <f t="shared" si="4"/>
        <v>65</v>
      </c>
      <c r="AO20" s="749">
        <v>4</v>
      </c>
      <c r="AP20" s="747">
        <f>VLOOKUP(AN20,'Ціни контур мережний'!$Z$43:$AB$55,3,0)</f>
        <v>30.19184015363556</v>
      </c>
      <c r="AQ20" s="759">
        <f t="shared" si="41"/>
        <v>120.76736061454224</v>
      </c>
      <c r="AR20" s="751" t="str">
        <f t="shared" si="42"/>
        <v>AMV20</v>
      </c>
      <c r="AS20" s="751">
        <v>1</v>
      </c>
      <c r="AT20" s="747">
        <f>VLOOKUP(AR20,'Ціни контур мережний'!$I$53:$M$57,5,0)</f>
        <v>110.39869654932889</v>
      </c>
      <c r="AU20" s="748">
        <f t="shared" si="43"/>
        <v>110.39869654932889</v>
      </c>
      <c r="AV20" s="752">
        <f t="array" ref="AV20">MIN(IF('Ціни контур мережний'!$Y$83:$Y$92&gt;(R20*1.2),'Ціни контур мережний'!$Y$83:$Y$92))</f>
        <v>25</v>
      </c>
      <c r="AW20" s="746">
        <f>VLOOKUP(AV20,'Ціни контур мережний'!$Y$83:$Z$92,2,0)</f>
        <v>40</v>
      </c>
      <c r="AX20" s="746">
        <v>1</v>
      </c>
      <c r="AY20" s="747">
        <f>VLOOKUP(AV20,'Ціни контур мережний'!$Y$83:$AB$92,4,0)</f>
        <v>156.6569554824606</v>
      </c>
      <c r="AZ20" s="748">
        <f t="shared" si="44"/>
        <v>156.6569554824606</v>
      </c>
      <c r="BA20" s="1099">
        <f t="array" ref="BA20">MIN(IF('[1]Ціни контур мережний'!$Y$104:$Y$114&gt;(R20*1.2),'[1]Ціни контур мережний'!$Y$104:$Y$114))</f>
        <v>32</v>
      </c>
      <c r="BB20" s="1101">
        <f>VLOOKUP(BA20,'[1]Ціни контур мережний'!$Y$104:$Z$114,2,0)</f>
        <v>50</v>
      </c>
      <c r="BC20" s="753">
        <v>1</v>
      </c>
      <c r="BD20" s="754">
        <f>VLOOKUP(BA20,'Ціни контур мережний'!$Y$104:$AB$114,4,0)</f>
        <v>1081.5876151755979</v>
      </c>
      <c r="BE20" s="755">
        <f t="shared" si="45"/>
        <v>1081.5876151755979</v>
      </c>
      <c r="BF20" s="751" t="s">
        <v>67</v>
      </c>
      <c r="BG20" s="749">
        <v>1</v>
      </c>
      <c r="BH20" s="747">
        <f>VLOOKUP(BF20,'Ціни контур мережний'!$I$53:$M$57,5,0)</f>
        <v>157.67238032974441</v>
      </c>
      <c r="BI20" s="768">
        <f t="shared" si="46"/>
        <v>157.67238032974441</v>
      </c>
      <c r="BJ20" s="894">
        <f t="array" ref="BJ20">MIN(IF('Ціни контур мережний'!$Y$83:$Y$93&gt;(S20*1.2),'Ціни контур мережний'!$Y$83:$Y$93))</f>
        <v>25</v>
      </c>
      <c r="BK20" s="895">
        <f>VLOOKUP(BJ20,'Ціни контур мережний'!$Y$83:$Z$93,2,0)</f>
        <v>40</v>
      </c>
      <c r="BL20" s="895">
        <v>1</v>
      </c>
      <c r="BM20" s="896">
        <f>VLOOKUP(BJ20,'Ціни контур мережний'!$Y$83:$AB$93,4,0)</f>
        <v>156.6569554824606</v>
      </c>
      <c r="BN20" s="916">
        <f t="shared" si="47"/>
        <v>156.6569554824606</v>
      </c>
      <c r="BO20" s="896">
        <f t="array" ref="BO20">MIN(IF('Ціни контур мережний'!$Y$104:$Y$114&gt;(S20*1.2),'Ціни контур мережний'!$Y$104:$Y$114))</f>
        <v>25</v>
      </c>
      <c r="BP20" s="895">
        <f>VLOOKUP(BO20,'Ціни контур мережний'!$Y$104:$Z$114,2,0)</f>
        <v>50</v>
      </c>
      <c r="BQ20" s="895">
        <v>1</v>
      </c>
      <c r="BR20" s="896">
        <f>VLOOKUP(BO20,'Ціни контур мережний'!$Y$104:$AB$114,4,0)</f>
        <v>471.1197417614971</v>
      </c>
      <c r="BS20" s="897">
        <f t="shared" si="48"/>
        <v>471.1197417614971</v>
      </c>
      <c r="BT20" s="751">
        <f>VLOOKUP(BU20,'Ціни контур мережний'!$J$5:$L$12,3,0)</f>
        <v>50</v>
      </c>
      <c r="BU20" s="751">
        <f t="array" ref="BU20">MIN(IF('Ціни контур мережний'!$J$5:$J$12&gt;H20,'Ціни контур мережний'!$J$5:$J$12))</f>
        <v>15</v>
      </c>
      <c r="BV20" s="746" t="s">
        <v>130</v>
      </c>
      <c r="BW20" s="756">
        <v>1</v>
      </c>
      <c r="BX20" s="747">
        <f>VLOOKUP(BU20,'Ціни контур мережний'!$J$5:$N$12,5,0)</f>
        <v>366.74399999999997</v>
      </c>
      <c r="BY20" s="748">
        <f t="shared" si="49"/>
        <v>366.74399999999997</v>
      </c>
      <c r="BZ20" s="745">
        <f>VLOOKUP(CA20,'Ціни контур мережний'!$J$5:$L$12,3,0)</f>
        <v>50</v>
      </c>
      <c r="CA20" s="747">
        <f t="array" ref="CA20">MIN(IF('Ціни контур мережний'!$J$5:$J$12&gt;L20,'Ціни контур мережний'!$J$5:$J$12))</f>
        <v>15</v>
      </c>
      <c r="CB20" s="746" t="s">
        <v>130</v>
      </c>
      <c r="CC20" s="749">
        <v>1</v>
      </c>
      <c r="CD20" s="747">
        <f>VLOOKUP(CA20,'Ціни контур мережний'!$J$5:$N$12,5,0)</f>
        <v>366.74399999999997</v>
      </c>
      <c r="CE20" s="748">
        <f t="shared" si="50"/>
        <v>366.74399999999997</v>
      </c>
      <c r="CF20" s="898" t="s">
        <v>1349</v>
      </c>
      <c r="CG20" s="899">
        <v>1</v>
      </c>
      <c r="CH20" s="900">
        <v>899</v>
      </c>
      <c r="CI20" s="901">
        <f t="shared" si="51"/>
        <v>899</v>
      </c>
      <c r="CJ20" s="751">
        <f t="shared" si="5"/>
        <v>100</v>
      </c>
      <c r="CK20" s="746">
        <v>4</v>
      </c>
      <c r="CL20" s="747">
        <f>VLOOKUP(CJ20,'Ціни контур теплопостачання'!$Y$5:$AA$17,3,0)</f>
        <v>61.045620773489688</v>
      </c>
      <c r="CM20" s="748">
        <f t="shared" si="52"/>
        <v>244.18248309395875</v>
      </c>
      <c r="CN20" s="750">
        <f t="shared" si="6"/>
        <v>65</v>
      </c>
      <c r="CO20" s="746">
        <v>6</v>
      </c>
      <c r="CP20" s="747">
        <f>VLOOKUP(CN20,'Ціни контур теплопостачання'!$AO$20:$AQ$29,3,0)</f>
        <v>42.675547020246391</v>
      </c>
      <c r="CQ20" s="748">
        <f t="shared" si="53"/>
        <v>256.05328212147833</v>
      </c>
      <c r="CR20" s="750">
        <f t="shared" si="7"/>
        <v>40</v>
      </c>
      <c r="CS20" s="746">
        <v>3</v>
      </c>
      <c r="CT20" s="747">
        <f>VLOOKUP(CR20,'Ціни контур теплопостачання'!$AO$20:$AQ$29,3,0)</f>
        <v>37.980000000000004</v>
      </c>
      <c r="CU20" s="748">
        <f t="shared" si="54"/>
        <v>113.94000000000001</v>
      </c>
      <c r="CV20" s="757">
        <f t="shared" si="8"/>
        <v>40</v>
      </c>
      <c r="CW20" s="746">
        <f t="shared" si="9"/>
        <v>12</v>
      </c>
      <c r="CX20" s="747">
        <f>VLOOKUP(CV20,'Ціни контур теплопостачання'!$Y$5:$AA$17,3,0)</f>
        <v>18.42400964308333</v>
      </c>
      <c r="CY20" s="748">
        <f t="shared" si="55"/>
        <v>221.08811571699997</v>
      </c>
      <c r="CZ20" s="745">
        <v>20</v>
      </c>
      <c r="DA20" s="749">
        <v>2</v>
      </c>
      <c r="DB20" s="747">
        <f>VLOOKUP(CZ20,'Ціни контур теплопостачання'!$Y$5:$AA$17,3,0)</f>
        <v>3.577</v>
      </c>
      <c r="DC20" s="748">
        <f t="shared" si="56"/>
        <v>7.1539999999999999</v>
      </c>
      <c r="DD20" s="745">
        <v>15</v>
      </c>
      <c r="DE20" s="745">
        <v>8</v>
      </c>
      <c r="DF20" s="758">
        <f>VLOOKUP(DD20,'Ціни контур теплопостачання'!$Y$5:$AA$17,3,0)</f>
        <v>2.464</v>
      </c>
      <c r="DG20" s="759">
        <f t="shared" si="57"/>
        <v>19.712</v>
      </c>
      <c r="DH20" s="745">
        <v>15</v>
      </c>
      <c r="DI20" s="745">
        <f t="shared" si="58"/>
        <v>41</v>
      </c>
      <c r="DJ20" s="758">
        <f>VLOOKUP(DH20,'Ціни контур мережний'!$J$71:$M$71,4,0)</f>
        <v>3.3865201135922525</v>
      </c>
      <c r="DK20" s="759">
        <f t="shared" si="59"/>
        <v>138.84732465728234</v>
      </c>
      <c r="DL20" s="751">
        <f t="shared" si="10"/>
        <v>100</v>
      </c>
      <c r="DM20" s="746">
        <v>1</v>
      </c>
      <c r="DN20" s="747">
        <f>VLOOKUP(DL20,'Ціни контур теплопостачання'!$K$5:$M$17,3,0)</f>
        <v>70.903000000000006</v>
      </c>
      <c r="DO20" s="748">
        <f t="shared" si="60"/>
        <v>70.903000000000006</v>
      </c>
      <c r="DP20" s="745">
        <f t="shared" si="11"/>
        <v>65</v>
      </c>
      <c r="DQ20" s="749">
        <v>1</v>
      </c>
      <c r="DR20" s="747">
        <f>VLOOKUP(DP20,'Ціни контур теплопостачання'!$K$5:$M$17,3,0)</f>
        <v>39.731999999999999</v>
      </c>
      <c r="DS20" s="748">
        <f t="shared" si="61"/>
        <v>39.731999999999999</v>
      </c>
      <c r="DT20" s="745">
        <f t="shared" si="12"/>
        <v>40</v>
      </c>
      <c r="DU20" s="745">
        <v>1</v>
      </c>
      <c r="DV20" s="758">
        <f>VLOOKUP(DT20,'Ціни контур теплопостачання'!$K$5:$M$17,3,0)</f>
        <v>23.225999999999999</v>
      </c>
      <c r="DW20" s="759">
        <f t="shared" si="62"/>
        <v>23.225999999999999</v>
      </c>
      <c r="DX20" s="745">
        <f t="shared" si="63"/>
        <v>100</v>
      </c>
      <c r="DY20" s="745">
        <v>1</v>
      </c>
      <c r="DZ20" s="758">
        <f>VLOOKUP(DX20,'Ціни контур теплопостачання'!$Y$24:$AA$36,3,0)</f>
        <v>87.795500000000004</v>
      </c>
      <c r="EA20" s="759">
        <f t="shared" si="64"/>
        <v>87.795500000000004</v>
      </c>
      <c r="EB20" s="751">
        <f t="shared" si="13"/>
        <v>100</v>
      </c>
      <c r="EC20" s="746">
        <v>2</v>
      </c>
      <c r="ED20" s="747">
        <f>VLOOKUP(EB20,'Ціни контур теплопостачання'!$Y$24:$AA$36,3,0)</f>
        <v>87.795500000000004</v>
      </c>
      <c r="EE20" s="748">
        <f t="shared" si="65"/>
        <v>175.59100000000001</v>
      </c>
      <c r="EF20" s="745">
        <f t="shared" si="14"/>
        <v>65</v>
      </c>
      <c r="EG20" s="749">
        <v>1</v>
      </c>
      <c r="EH20" s="747">
        <f>VLOOKUP(EF20,'Ціни контур теплопостачання'!$AO$38:$AQ$50,3,0)</f>
        <v>42.080999999999996</v>
      </c>
      <c r="EI20" s="748">
        <f t="shared" si="66"/>
        <v>42.080999999999996</v>
      </c>
      <c r="EJ20" s="745">
        <f t="shared" si="15"/>
        <v>40</v>
      </c>
      <c r="EK20" s="745">
        <v>1</v>
      </c>
      <c r="EL20" s="758">
        <f>VLOOKUP(EJ20,'Ціни контур теплопостачання'!$AO$38:$AQ$50,3,0)</f>
        <v>20.3645</v>
      </c>
      <c r="EM20" s="759">
        <f t="shared" si="67"/>
        <v>20.3645</v>
      </c>
      <c r="EN20" s="745">
        <f t="shared" si="16"/>
        <v>40</v>
      </c>
      <c r="EO20" s="745">
        <f t="shared" si="17"/>
        <v>12</v>
      </c>
      <c r="EP20" s="758">
        <f>VLOOKUP(EN20,'Ціни контур теплопостачання'!$Y$76:$AA$88,3,0)</f>
        <v>16.809999999999999</v>
      </c>
      <c r="EQ20" s="759">
        <f t="shared" si="68"/>
        <v>201.71999999999997</v>
      </c>
      <c r="ER20" s="745">
        <f t="shared" si="18"/>
        <v>65</v>
      </c>
      <c r="ES20" s="745">
        <v>1</v>
      </c>
      <c r="ET20" s="758">
        <f>VLOOKUP(ER20,'Ціни контур теплопостачання'!$Y$76:$AA$88,3,0)</f>
        <v>26.33</v>
      </c>
      <c r="EU20" s="759">
        <f t="shared" si="69"/>
        <v>26.33</v>
      </c>
      <c r="EV20" s="745">
        <f t="shared" si="19"/>
        <v>40</v>
      </c>
      <c r="EW20" s="745">
        <v>1</v>
      </c>
      <c r="EX20" s="758">
        <f>VLOOKUP(EV20,'Ціни контур теплопостачання'!$Y$76:$AA$88,3,0)</f>
        <v>16.809999999999999</v>
      </c>
      <c r="EY20" s="759">
        <f t="shared" si="70"/>
        <v>16.809999999999999</v>
      </c>
      <c r="EZ20" s="758">
        <f t="shared" si="20"/>
        <v>41.503768503594941</v>
      </c>
      <c r="FA20" s="760">
        <v>50</v>
      </c>
      <c r="FB20" s="719">
        <v>2</v>
      </c>
      <c r="FC20" s="747">
        <f>VLOOKUP(FA20,'Ціни контур теплопостачання'!$K$74:$M$79,3,0)</f>
        <v>48.94</v>
      </c>
      <c r="FD20" s="761">
        <f t="shared" si="21"/>
        <v>97.88</v>
      </c>
      <c r="FE20" s="762">
        <f t="shared" si="71"/>
        <v>27.761330561330563</v>
      </c>
      <c r="FF20" s="902">
        <v>9</v>
      </c>
      <c r="FG20" s="900">
        <v>8</v>
      </c>
      <c r="FH20" s="830" t="s">
        <v>124</v>
      </c>
      <c r="FI20" s="708">
        <v>2</v>
      </c>
      <c r="FJ20" s="709">
        <f>VLOOKUP(FH20,'Ціни контур теплопостачання'!$C$89:$M$105,11,0)</f>
        <v>678</v>
      </c>
      <c r="FK20" s="764">
        <f t="shared" si="72"/>
        <v>1356</v>
      </c>
      <c r="FL20" s="912">
        <f t="shared" si="73"/>
        <v>3.3103448275862069</v>
      </c>
      <c r="FM20" s="902">
        <v>9</v>
      </c>
      <c r="FN20" s="900">
        <v>9</v>
      </c>
      <c r="FO20" s="900" t="s">
        <v>1097</v>
      </c>
      <c r="FP20" s="749">
        <v>1</v>
      </c>
      <c r="FQ20" s="747">
        <f>VLOOKUP(FO20,'Ціни контур теплопостачання'!$C$89:$M$105,11,0)</f>
        <v>241.2</v>
      </c>
      <c r="FR20" s="904">
        <f t="shared" si="74"/>
        <v>241.2</v>
      </c>
      <c r="FS20" s="758">
        <f t="array" ref="FS20">MIN(IF('Ціни контур теплопостачання'!$AN$68:$AN$77&gt;(V20*1.2),'Ціни контур теплопостачання'!$AN$68:$AN$77))</f>
        <v>11.13</v>
      </c>
      <c r="FT20" s="749">
        <f>VLOOKUP(FS20,'Ціни контур теплопостачання'!$AN$68:$AO$77,2,0)</f>
        <v>32</v>
      </c>
      <c r="FU20" s="749">
        <f t="shared" si="22"/>
        <v>6</v>
      </c>
      <c r="FV20" s="747">
        <f>VLOOKUP(FT20,'Ціни контур теплопостачання'!$AO$68:$AQ$77,3,0)</f>
        <v>37.183999999999997</v>
      </c>
      <c r="FW20" s="765">
        <f t="shared" si="75"/>
        <v>223.10399999999998</v>
      </c>
      <c r="FX20" s="750">
        <v>15</v>
      </c>
      <c r="FY20" s="746">
        <v>2</v>
      </c>
      <c r="FZ20" s="747">
        <f>VLOOKUP(FX20,'Ціни контур мережний'!$J$73:$M$73,4,0)</f>
        <v>3.4649999999999999</v>
      </c>
      <c r="GA20" s="748">
        <f t="shared" si="76"/>
        <v>6.93</v>
      </c>
      <c r="GB20" s="750">
        <f>VLOOKUP(GC20,'Ціни контур теплопостачання'!$AN$6:$AO$13,2,0)</f>
        <v>40</v>
      </c>
      <c r="GC20" s="751">
        <f t="array" ref="GC20">MIN(IF('Ціни контур теплопостачання'!$AN$6:$AN$13&gt;N20,'Ціни контур теплопостачання'!$AN$6:$AN$13))</f>
        <v>15</v>
      </c>
      <c r="GD20" s="751">
        <v>1</v>
      </c>
      <c r="GE20" s="747">
        <f>VLOOKUP(GB20,'Ціни контур теплопостачання'!$AO$6:$AQ$13,3,0)</f>
        <v>140.82444000000001</v>
      </c>
      <c r="GF20" s="748">
        <f t="shared" si="77"/>
        <v>140.82444000000001</v>
      </c>
      <c r="GG20" s="750">
        <f t="shared" si="23"/>
        <v>65</v>
      </c>
      <c r="GH20" s="746">
        <v>1</v>
      </c>
      <c r="GI20" s="747">
        <f>VLOOKUP(GG20,'Ціни контур теплопостачання'!$AO$55:$AQ$63,3,0)</f>
        <v>426.6</v>
      </c>
      <c r="GJ20" s="768">
        <f t="shared" si="78"/>
        <v>426.6</v>
      </c>
      <c r="GK20" s="655" t="str">
        <f t="shared" si="91"/>
        <v>0-150</v>
      </c>
      <c r="GL20" s="720">
        <v>1</v>
      </c>
      <c r="GM20" s="747">
        <f>VLOOKUP(GK20,'Ціни контур мережний'!$I$79:$M$80,5,0)</f>
        <v>15.050156291498967</v>
      </c>
      <c r="GN20" s="748">
        <f t="shared" si="79"/>
        <v>15.050156291498967</v>
      </c>
      <c r="GO20" s="758" t="s">
        <v>109</v>
      </c>
      <c r="GP20" s="749">
        <v>5</v>
      </c>
      <c r="GQ20" s="747">
        <f>VLOOKUP(GO20,'Ціни контур мережний'!$I$79:$M$80,5,0)</f>
        <v>15.050156291498967</v>
      </c>
      <c r="GR20" s="765">
        <f t="shared" si="80"/>
        <v>75.250781457494838</v>
      </c>
      <c r="GS20" s="655" t="s">
        <v>108</v>
      </c>
      <c r="GT20" s="720">
        <v>5</v>
      </c>
      <c r="GU20" s="747">
        <f>VLOOKUP(GS20,'Ціни контур мережний'!$I$67:$M$69,5,0)</f>
        <v>4.4537969640631703</v>
      </c>
      <c r="GV20" s="748">
        <f t="shared" si="81"/>
        <v>22.26898482031585</v>
      </c>
      <c r="GW20" s="655" t="s">
        <v>106</v>
      </c>
      <c r="GX20" s="720">
        <f>11+T20</f>
        <v>17</v>
      </c>
      <c r="GY20" s="747">
        <f>VLOOKUP(GW20,'Ціни контур мережний'!$I$67:$M$69,5,0)</f>
        <v>4.4537969640631703</v>
      </c>
      <c r="GZ20" s="748">
        <f t="shared" si="82"/>
        <v>75.714548389073897</v>
      </c>
      <c r="HA20" s="655" t="s">
        <v>1013</v>
      </c>
      <c r="HB20" s="720">
        <v>4</v>
      </c>
      <c r="HC20" s="747">
        <f>VLOOKUP(HA20,'Ціни контур мережний'!$I$64:$M$64,5,0)</f>
        <v>29.1312</v>
      </c>
      <c r="HD20" s="748">
        <f t="shared" si="83"/>
        <v>116.5248</v>
      </c>
      <c r="HE20" s="766" t="s">
        <v>1015</v>
      </c>
      <c r="HF20" s="749">
        <v>6</v>
      </c>
      <c r="HG20" s="747">
        <f>VLOOKUP(HE20,'Ціни контур мережний'!$I$89:$M$89,5,0)</f>
        <v>79.523165325760516</v>
      </c>
      <c r="HH20" s="765">
        <f t="shared" si="84"/>
        <v>477.1389919545631</v>
      </c>
      <c r="HI20" s="767" t="s">
        <v>1016</v>
      </c>
      <c r="HJ20" s="720">
        <f t="shared" si="92"/>
        <v>7</v>
      </c>
      <c r="HK20" s="747">
        <f>VLOOKUP(HI20,'Ціни контур мережний'!$I$88:$M$88,5,0)</f>
        <v>13.211568975967202</v>
      </c>
      <c r="HL20" s="768">
        <f t="shared" si="85"/>
        <v>92.480982831770419</v>
      </c>
      <c r="HM20" s="767" t="s">
        <v>383</v>
      </c>
      <c r="HN20" s="720">
        <v>1</v>
      </c>
      <c r="HO20" s="747">
        <f>VLOOKUP(HM20,'Ціни контур мережний'!$I$87:$M$87,5,0)</f>
        <v>13.483972460007763</v>
      </c>
      <c r="HP20" s="748">
        <f t="shared" si="86"/>
        <v>13.483972460007763</v>
      </c>
      <c r="HQ20" s="769">
        <f t="shared" si="24"/>
        <v>36</v>
      </c>
      <c r="HR20" s="770">
        <f t="shared" si="87"/>
        <v>9558.2865459404402</v>
      </c>
      <c r="HS20" s="771">
        <v>0</v>
      </c>
      <c r="HT20" s="771">
        <f>'Таблиця цін схема №1'!$JE$46/'Ціни контур мережний'!$G$26</f>
        <v>681.00871010140213</v>
      </c>
      <c r="HU20" s="770">
        <f>'Таблиця цін схема №1'!$JG$8</f>
        <v>661.80181284518619</v>
      </c>
      <c r="HV20" s="770">
        <f>'Таблиця цін схема №1'!$JH$8</f>
        <v>487.81784379022207</v>
      </c>
      <c r="HW20" s="770">
        <f>'Таблиця цін схема №1'!$JI$8</f>
        <v>323.47913729816605</v>
      </c>
      <c r="HX20" s="770">
        <f>'Таблиця цін схема №1'!$JJ$8</f>
        <v>66.611999999999995</v>
      </c>
      <c r="HY20" s="772">
        <v>0</v>
      </c>
      <c r="HZ20" s="772">
        <f>'Таблиця цін схема №1'!$JL$8</f>
        <v>62.86234247089866</v>
      </c>
      <c r="IA20" s="772">
        <v>0</v>
      </c>
      <c r="IB20" s="770">
        <v>0</v>
      </c>
      <c r="IC20" s="773">
        <f t="shared" si="25"/>
        <v>828.93078747124196</v>
      </c>
      <c r="ID20" s="774">
        <f t="shared" si="26"/>
        <v>1184.1868392446313</v>
      </c>
      <c r="IE20" s="775">
        <f t="shared" si="27"/>
        <v>203.70955533788947</v>
      </c>
      <c r="IF20" s="776">
        <f>'Таблиця цін схема №1'!$JR$8</f>
        <v>300.63036461094771</v>
      </c>
      <c r="IG20" s="777">
        <f t="shared" si="88"/>
        <v>14359.325939111022</v>
      </c>
      <c r="II20" s="616">
        <f>[3]Расчеты!AX19/1.2</f>
        <v>4852.2601761721444</v>
      </c>
      <c r="IJ20" s="616">
        <f t="shared" si="89"/>
        <v>19211.586115283168</v>
      </c>
      <c r="IK20" s="616" t="e">
        <f>IJ20*1.2*#REF!</f>
        <v>#REF!</v>
      </c>
      <c r="IL20" s="616"/>
    </row>
    <row r="21" spans="1:248" ht="12.6" customHeight="1">
      <c r="A21" s="610" t="s">
        <v>686</v>
      </c>
      <c r="B21" s="905">
        <v>37</v>
      </c>
      <c r="C21" s="1056" t="s">
        <v>898</v>
      </c>
      <c r="D21" s="906">
        <v>0.45973999999999998</v>
      </c>
      <c r="E21" s="907">
        <v>0.42049999999999998</v>
      </c>
      <c r="F21" s="908">
        <f t="shared" si="28"/>
        <v>18.961553425083892</v>
      </c>
      <c r="G21" s="909">
        <v>80</v>
      </c>
      <c r="H21" s="598">
        <f t="shared" si="29"/>
        <v>8.2125759199714174</v>
      </c>
      <c r="I21" s="599">
        <v>50</v>
      </c>
      <c r="J21" s="598">
        <f t="shared" si="30"/>
        <v>19.116008316008315</v>
      </c>
      <c r="K21" s="599">
        <v>80</v>
      </c>
      <c r="L21" s="598">
        <f t="shared" si="31"/>
        <v>10.748977505112475</v>
      </c>
      <c r="M21" s="599">
        <v>65</v>
      </c>
      <c r="N21" s="598">
        <f t="shared" si="32"/>
        <v>8.5294117647058822</v>
      </c>
      <c r="O21" s="599">
        <v>65</v>
      </c>
      <c r="P21" s="598">
        <f t="shared" si="93"/>
        <v>2.5588235294117645</v>
      </c>
      <c r="Q21" s="599">
        <v>40</v>
      </c>
      <c r="R21" s="598">
        <f t="shared" si="33"/>
        <v>11.614336248042276</v>
      </c>
      <c r="S21" s="600">
        <f t="shared" si="34"/>
        <v>15.201349769373374</v>
      </c>
      <c r="T21" s="910">
        <v>4</v>
      </c>
      <c r="U21" s="601">
        <f t="shared" si="35"/>
        <v>4.7790020790020789</v>
      </c>
      <c r="V21" s="601">
        <f t="shared" si="36"/>
        <v>6.7585295547339568</v>
      </c>
      <c r="W21" s="602">
        <v>40</v>
      </c>
      <c r="X21" s="745">
        <f t="shared" si="0"/>
        <v>80</v>
      </c>
      <c r="Y21" s="746">
        <v>2</v>
      </c>
      <c r="Z21" s="747">
        <f>VLOOKUP(X21,'Ціни контур мережний'!$Z$24:$AB$36,3,0)</f>
        <v>37.693832104112609</v>
      </c>
      <c r="AA21" s="748">
        <f t="shared" si="37"/>
        <v>75.387664208225218</v>
      </c>
      <c r="AB21" s="745">
        <f t="shared" si="1"/>
        <v>80</v>
      </c>
      <c r="AC21" s="749">
        <v>2</v>
      </c>
      <c r="AD21" s="747">
        <f>VLOOKUP(AB21,'Ціни контур мережний'!$Z$64:$AB$77,3,0)</f>
        <v>111.00441974652855</v>
      </c>
      <c r="AE21" s="748">
        <f t="shared" si="38"/>
        <v>222.00883949305711</v>
      </c>
      <c r="AF21" s="745">
        <f t="shared" si="2"/>
        <v>80</v>
      </c>
      <c r="AG21" s="746">
        <v>1</v>
      </c>
      <c r="AH21" s="747">
        <f>VLOOKUP(AF21,'Ціни контур мережний'!$Z$5:$AB$17,3,0)</f>
        <v>50.12</v>
      </c>
      <c r="AI21" s="748">
        <f t="shared" si="39"/>
        <v>50.12</v>
      </c>
      <c r="AJ21" s="750">
        <f t="shared" si="3"/>
        <v>50</v>
      </c>
      <c r="AK21" s="746">
        <v>3</v>
      </c>
      <c r="AL21" s="747">
        <f>VLOOKUP(AJ21,'Ціни контур мережний'!$Z$43:$AB$55,3,0)</f>
        <v>23.2782130224622</v>
      </c>
      <c r="AM21" s="748">
        <f t="shared" si="40"/>
        <v>69.834639067386604</v>
      </c>
      <c r="AN21" s="745">
        <f t="shared" si="4"/>
        <v>65</v>
      </c>
      <c r="AO21" s="749">
        <v>4</v>
      </c>
      <c r="AP21" s="747">
        <f>VLOOKUP(AN21,'Ціни контур мережний'!$Z$43:$AB$55,3,0)</f>
        <v>30.19184015363556</v>
      </c>
      <c r="AQ21" s="759">
        <f t="shared" si="41"/>
        <v>120.76736061454224</v>
      </c>
      <c r="AR21" s="751" t="str">
        <f t="shared" si="42"/>
        <v>AMV20</v>
      </c>
      <c r="AS21" s="751">
        <v>1</v>
      </c>
      <c r="AT21" s="747">
        <f>VLOOKUP(AR21,'Ціни контур мережний'!$I$53:$M$57,5,0)</f>
        <v>110.39869654932889</v>
      </c>
      <c r="AU21" s="748">
        <f t="shared" si="43"/>
        <v>110.39869654932889</v>
      </c>
      <c r="AV21" s="752">
        <f t="array" ref="AV21">MIN(IF('Ціни контур мережний'!$Y$83:$Y$92&gt;(R21*1.2),'Ціни контур мережний'!$Y$83:$Y$92))</f>
        <v>16</v>
      </c>
      <c r="AW21" s="746">
        <f>VLOOKUP(AV21,'Ціни контур мережний'!$Y$83:$Z$92,2,0)</f>
        <v>32</v>
      </c>
      <c r="AX21" s="746">
        <v>1</v>
      </c>
      <c r="AY21" s="747">
        <f>VLOOKUP(AV21,'Ціни контур мережний'!$Y$83:$AB$92,4,0)</f>
        <v>130.5392363168325</v>
      </c>
      <c r="AZ21" s="748">
        <f t="shared" si="44"/>
        <v>130.5392363168325</v>
      </c>
      <c r="BA21" s="1099">
        <v>20</v>
      </c>
      <c r="BB21" s="1101">
        <f>VLOOKUP(BA21,'[1]Ціни контур мережний'!$Y$104:$Z$114,2,0)</f>
        <v>50</v>
      </c>
      <c r="BC21" s="753">
        <v>1</v>
      </c>
      <c r="BD21" s="754">
        <f>VLOOKUP(BA21,'Ціни контур мережний'!$Y$104:$AB$114,4,0)</f>
        <v>448.22326189551967</v>
      </c>
      <c r="BE21" s="755">
        <f t="shared" si="45"/>
        <v>448.22326189551967</v>
      </c>
      <c r="BF21" s="751" t="s">
        <v>67</v>
      </c>
      <c r="BG21" s="749">
        <v>1</v>
      </c>
      <c r="BH21" s="747">
        <f>VLOOKUP(BF21,'Ціни контур мережний'!$I$53:$M$57,5,0)</f>
        <v>157.67238032974441</v>
      </c>
      <c r="BI21" s="768">
        <f t="shared" si="46"/>
        <v>157.67238032974441</v>
      </c>
      <c r="BJ21" s="894">
        <f t="array" ref="BJ21">MIN(IF('Ціни контур мережний'!$Y$83:$Y$93&gt;(S21*1.2),'Ціни контур мережний'!$Y$83:$Y$93))</f>
        <v>25</v>
      </c>
      <c r="BK21" s="895">
        <f>VLOOKUP(BJ21,'Ціни контур мережний'!$Y$83:$Z$93,2,0)</f>
        <v>40</v>
      </c>
      <c r="BL21" s="895">
        <v>1</v>
      </c>
      <c r="BM21" s="896">
        <f>VLOOKUP(BJ21,'Ціни контур мережний'!$Y$83:$AB$93,4,0)</f>
        <v>156.6569554824606</v>
      </c>
      <c r="BN21" s="916">
        <f t="shared" si="47"/>
        <v>156.6569554824606</v>
      </c>
      <c r="BO21" s="896">
        <f t="array" ref="BO21">MIN(IF('Ціни контур мережний'!$Y$104:$Y$114&gt;(S21*1.2),'Ціни контур мережний'!$Y$104:$Y$114))</f>
        <v>20</v>
      </c>
      <c r="BP21" s="895">
        <f>VLOOKUP(BO21,'Ціни контур мережний'!$Y$104:$Z$114,2,0)</f>
        <v>40</v>
      </c>
      <c r="BQ21" s="895">
        <v>1</v>
      </c>
      <c r="BR21" s="896">
        <f>VLOOKUP(BO21,'Ціни контур мережний'!$Y$104:$AB$114,4,0)</f>
        <v>448.22326189551967</v>
      </c>
      <c r="BS21" s="897">
        <f t="shared" si="48"/>
        <v>448.22326189551967</v>
      </c>
      <c r="BT21" s="751" t="s">
        <v>115</v>
      </c>
      <c r="BU21" s="751" t="s">
        <v>115</v>
      </c>
      <c r="BV21" s="746" t="s">
        <v>1025</v>
      </c>
      <c r="BW21" s="756">
        <v>0</v>
      </c>
      <c r="BX21" s="747">
        <v>0</v>
      </c>
      <c r="BY21" s="748">
        <f t="shared" si="49"/>
        <v>0</v>
      </c>
      <c r="BZ21" s="745">
        <f>VLOOKUP(CA21,'Ціни контур мережний'!$J$5:$L$12,3,0)</f>
        <v>50</v>
      </c>
      <c r="CA21" s="747">
        <f t="array" ref="CA21">MIN(IF('Ціни контур мережний'!$J$5:$J$12&gt;L21,'Ціни контур мережний'!$J$5:$J$12))</f>
        <v>15</v>
      </c>
      <c r="CB21" s="746" t="s">
        <v>130</v>
      </c>
      <c r="CC21" s="749">
        <v>1</v>
      </c>
      <c r="CD21" s="747">
        <f>VLOOKUP(CA21,'Ціни контур мережний'!$J$5:$N$12,5,0)</f>
        <v>366.74399999999997</v>
      </c>
      <c r="CE21" s="748">
        <f t="shared" si="50"/>
        <v>366.74399999999997</v>
      </c>
      <c r="CF21" s="898" t="s">
        <v>1350</v>
      </c>
      <c r="CG21" s="899">
        <v>1</v>
      </c>
      <c r="CH21" s="900">
        <v>772</v>
      </c>
      <c r="CI21" s="901">
        <f t="shared" si="51"/>
        <v>772</v>
      </c>
      <c r="CJ21" s="751">
        <f t="shared" si="5"/>
        <v>80</v>
      </c>
      <c r="CK21" s="746">
        <v>4</v>
      </c>
      <c r="CL21" s="747">
        <f>VLOOKUP(CJ21,'Ціни контур теплопостачання'!$Y$5:$AA$17,3,0)</f>
        <v>37.693832104112609</v>
      </c>
      <c r="CM21" s="748">
        <f t="shared" si="52"/>
        <v>150.77532841645044</v>
      </c>
      <c r="CN21" s="750">
        <f t="shared" si="6"/>
        <v>65</v>
      </c>
      <c r="CO21" s="746">
        <v>6</v>
      </c>
      <c r="CP21" s="747">
        <f>VLOOKUP(CN21,'Ціни контур теплопостачання'!$AO$20:$AQ$29,3,0)</f>
        <v>42.675547020246391</v>
      </c>
      <c r="CQ21" s="748">
        <f t="shared" si="53"/>
        <v>256.05328212147833</v>
      </c>
      <c r="CR21" s="750">
        <f t="shared" si="7"/>
        <v>40</v>
      </c>
      <c r="CS21" s="746">
        <v>3</v>
      </c>
      <c r="CT21" s="747">
        <f>VLOOKUP(CR21,'Ціни контур теплопостачання'!$AO$20:$AQ$29,3,0)</f>
        <v>37.980000000000004</v>
      </c>
      <c r="CU21" s="748">
        <f t="shared" si="54"/>
        <v>113.94000000000001</v>
      </c>
      <c r="CV21" s="757">
        <f t="shared" si="8"/>
        <v>40</v>
      </c>
      <c r="CW21" s="746">
        <f t="shared" si="9"/>
        <v>8</v>
      </c>
      <c r="CX21" s="747">
        <f>VLOOKUP(CV21,'Ціни контур теплопостачання'!$Y$5:$AA$17,3,0)</f>
        <v>18.42400964308333</v>
      </c>
      <c r="CY21" s="748">
        <f t="shared" si="55"/>
        <v>147.39207714466664</v>
      </c>
      <c r="CZ21" s="745">
        <v>20</v>
      </c>
      <c r="DA21" s="749">
        <v>2</v>
      </c>
      <c r="DB21" s="747">
        <f>VLOOKUP(CZ21,'Ціни контур теплопостачання'!$Y$5:$AA$17,3,0)</f>
        <v>3.577</v>
      </c>
      <c r="DC21" s="748">
        <f t="shared" si="56"/>
        <v>7.1539999999999999</v>
      </c>
      <c r="DD21" s="745">
        <v>15</v>
      </c>
      <c r="DE21" s="745">
        <v>8</v>
      </c>
      <c r="DF21" s="758">
        <f>VLOOKUP(DD21,'Ціни контур теплопостачання'!$Y$5:$AA$17,3,0)</f>
        <v>2.464</v>
      </c>
      <c r="DG21" s="759">
        <f t="shared" si="57"/>
        <v>19.712</v>
      </c>
      <c r="DH21" s="745">
        <v>15</v>
      </c>
      <c r="DI21" s="745">
        <f t="shared" si="58"/>
        <v>39</v>
      </c>
      <c r="DJ21" s="758">
        <f>VLOOKUP(DH21,'Ціни контур мережний'!$J$71:$M$71,4,0)</f>
        <v>3.3865201135922525</v>
      </c>
      <c r="DK21" s="759">
        <f t="shared" si="59"/>
        <v>132.07428443009783</v>
      </c>
      <c r="DL21" s="751">
        <f t="shared" si="10"/>
        <v>80</v>
      </c>
      <c r="DM21" s="746">
        <v>1</v>
      </c>
      <c r="DN21" s="747">
        <f>VLOOKUP(DL21,'Ціни контур теплопостачання'!$K$5:$M$17,3,0)</f>
        <v>50.12</v>
      </c>
      <c r="DO21" s="748">
        <f t="shared" si="60"/>
        <v>50.12</v>
      </c>
      <c r="DP21" s="745">
        <f t="shared" si="11"/>
        <v>65</v>
      </c>
      <c r="DQ21" s="749">
        <v>1</v>
      </c>
      <c r="DR21" s="747">
        <f>VLOOKUP(DP21,'Ціни контур теплопостачання'!$K$5:$M$17,3,0)</f>
        <v>39.731999999999999</v>
      </c>
      <c r="DS21" s="748">
        <f t="shared" si="61"/>
        <v>39.731999999999999</v>
      </c>
      <c r="DT21" s="745">
        <f t="shared" si="12"/>
        <v>40</v>
      </c>
      <c r="DU21" s="745">
        <v>1</v>
      </c>
      <c r="DV21" s="758">
        <f>VLOOKUP(DT21,'Ціни контур теплопостачання'!$K$5:$M$17,3,0)</f>
        <v>23.225999999999999</v>
      </c>
      <c r="DW21" s="759">
        <f t="shared" si="62"/>
        <v>23.225999999999999</v>
      </c>
      <c r="DX21" s="745">
        <f t="shared" si="63"/>
        <v>80</v>
      </c>
      <c r="DY21" s="745">
        <v>1</v>
      </c>
      <c r="DZ21" s="758">
        <f>VLOOKUP(DX21,'Ціни контур теплопостачання'!$Y$24:$AA$36,3,0)</f>
        <v>60.079499999999996</v>
      </c>
      <c r="EA21" s="759">
        <f t="shared" si="64"/>
        <v>60.079499999999996</v>
      </c>
      <c r="EB21" s="751">
        <f t="shared" si="13"/>
        <v>80</v>
      </c>
      <c r="EC21" s="746">
        <v>2</v>
      </c>
      <c r="ED21" s="747">
        <f>VLOOKUP(EB21,'Ціни контур теплопостачання'!$Y$24:$AA$36,3,0)</f>
        <v>60.079499999999996</v>
      </c>
      <c r="EE21" s="748">
        <f t="shared" si="65"/>
        <v>120.15899999999999</v>
      </c>
      <c r="EF21" s="745">
        <f t="shared" si="14"/>
        <v>65</v>
      </c>
      <c r="EG21" s="749">
        <v>1</v>
      </c>
      <c r="EH21" s="747">
        <f>VLOOKUP(EF21,'Ціни контур теплопостачання'!$AO$38:$AQ$50,3,0)</f>
        <v>42.080999999999996</v>
      </c>
      <c r="EI21" s="748">
        <f t="shared" si="66"/>
        <v>42.080999999999996</v>
      </c>
      <c r="EJ21" s="745">
        <f t="shared" si="15"/>
        <v>40</v>
      </c>
      <c r="EK21" s="745">
        <v>1</v>
      </c>
      <c r="EL21" s="758">
        <f>VLOOKUP(EJ21,'Ціни контур теплопостачання'!$AO$38:$AQ$50,3,0)</f>
        <v>20.3645</v>
      </c>
      <c r="EM21" s="759">
        <f t="shared" si="67"/>
        <v>20.3645</v>
      </c>
      <c r="EN21" s="745">
        <f t="shared" si="16"/>
        <v>40</v>
      </c>
      <c r="EO21" s="745">
        <f t="shared" si="17"/>
        <v>8</v>
      </c>
      <c r="EP21" s="758">
        <f>VLOOKUP(EN21,'Ціни контур теплопостачання'!$Y$76:$AA$88,3,0)</f>
        <v>16.809999999999999</v>
      </c>
      <c r="EQ21" s="759">
        <f t="shared" si="68"/>
        <v>134.47999999999999</v>
      </c>
      <c r="ER21" s="745">
        <f t="shared" si="18"/>
        <v>65</v>
      </c>
      <c r="ES21" s="745">
        <v>1</v>
      </c>
      <c r="ET21" s="758">
        <f>VLOOKUP(ER21,'Ціни контур теплопостачання'!$Y$76:$AA$88,3,0)</f>
        <v>26.33</v>
      </c>
      <c r="EU21" s="759">
        <f t="shared" si="69"/>
        <v>26.33</v>
      </c>
      <c r="EV21" s="745">
        <f t="shared" si="19"/>
        <v>40</v>
      </c>
      <c r="EW21" s="745">
        <v>1</v>
      </c>
      <c r="EX21" s="758">
        <f>VLOOKUP(EV21,'Ціни контур теплопостачання'!$Y$76:$AA$88,3,0)</f>
        <v>16.809999999999999</v>
      </c>
      <c r="EY21" s="759">
        <f t="shared" si="70"/>
        <v>16.809999999999999</v>
      </c>
      <c r="EZ21" s="758">
        <f t="shared" si="20"/>
        <v>34.440226480091567</v>
      </c>
      <c r="FA21" s="760">
        <v>40</v>
      </c>
      <c r="FB21" s="719">
        <v>2</v>
      </c>
      <c r="FC21" s="747">
        <f>VLOOKUP(FA21,'Ціни контур теплопостачання'!$K$74:$M$79,3,0)</f>
        <v>43.19</v>
      </c>
      <c r="FD21" s="761">
        <f t="shared" si="21"/>
        <v>86.38</v>
      </c>
      <c r="FE21" s="762">
        <f t="shared" si="71"/>
        <v>19.116008316008315</v>
      </c>
      <c r="FF21" s="911">
        <v>9</v>
      </c>
      <c r="FG21" s="900">
        <v>8</v>
      </c>
      <c r="FH21" s="830" t="s">
        <v>1090</v>
      </c>
      <c r="FI21" s="708">
        <v>2</v>
      </c>
      <c r="FJ21" s="709">
        <f>VLOOKUP(FH21,'Ціни контур теплопостачання'!$C$89:$M$105,11,0)</f>
        <v>648.69600000000003</v>
      </c>
      <c r="FK21" s="764">
        <f t="shared" si="72"/>
        <v>1297.3920000000001</v>
      </c>
      <c r="FL21" s="912">
        <f t="shared" si="73"/>
        <v>2.5588235294117645</v>
      </c>
      <c r="FM21" s="911">
        <v>9</v>
      </c>
      <c r="FN21" s="900">
        <v>9</v>
      </c>
      <c r="FO21" s="900" t="s">
        <v>1097</v>
      </c>
      <c r="FP21" s="749">
        <v>1</v>
      </c>
      <c r="FQ21" s="747">
        <f>VLOOKUP(FO21,'Ціни контур теплопостачання'!$C$89:$M$105,11,0)</f>
        <v>241.2</v>
      </c>
      <c r="FR21" s="904">
        <f t="shared" si="74"/>
        <v>241.2</v>
      </c>
      <c r="FS21" s="758">
        <f t="array" ref="FS21">MIN(IF('Ціни контур теплопостачання'!$AN$68:$AN$77&gt;(V21*1.2),'Ціни контур теплопостачання'!$AN$68:$AN$77))</f>
        <v>11.13</v>
      </c>
      <c r="FT21" s="749">
        <f>VLOOKUP(FS21,'Ціни контур теплопостачання'!$AN$68:$AO$77,2,0)</f>
        <v>32</v>
      </c>
      <c r="FU21" s="749">
        <f t="shared" si="22"/>
        <v>4</v>
      </c>
      <c r="FV21" s="747">
        <f>VLOOKUP(FT21,'Ціни контур теплопостачання'!$AO$68:$AQ$77,3,0)</f>
        <v>37.183999999999997</v>
      </c>
      <c r="FW21" s="765">
        <f t="shared" si="75"/>
        <v>148.73599999999999</v>
      </c>
      <c r="FX21" s="750">
        <v>15</v>
      </c>
      <c r="FY21" s="746">
        <v>2</v>
      </c>
      <c r="FZ21" s="747">
        <f>VLOOKUP(FX21,'Ціни контур мережний'!$J$73:$M$73,4,0)</f>
        <v>3.4649999999999999</v>
      </c>
      <c r="GA21" s="748">
        <f t="shared" si="76"/>
        <v>6.93</v>
      </c>
      <c r="GB21" s="750">
        <f>VLOOKUP(GC21,'Ціни контур теплопостачання'!$AN$6:$AO$13,2,0)</f>
        <v>40</v>
      </c>
      <c r="GC21" s="751">
        <f t="array" ref="GC21">MIN(IF('Ціни контур теплопостачання'!$AN$6:$AN$13&gt;N21,'Ціни контур теплопостачання'!$AN$6:$AN$13))</f>
        <v>15</v>
      </c>
      <c r="GD21" s="751">
        <v>1</v>
      </c>
      <c r="GE21" s="747">
        <f>VLOOKUP(GB21,'Ціни контур теплопостачання'!$AO$6:$AQ$13,3,0)</f>
        <v>140.82444000000001</v>
      </c>
      <c r="GF21" s="748">
        <f t="shared" si="77"/>
        <v>140.82444000000001</v>
      </c>
      <c r="GG21" s="750">
        <f t="shared" si="23"/>
        <v>65</v>
      </c>
      <c r="GH21" s="746">
        <v>1</v>
      </c>
      <c r="GI21" s="747">
        <f>VLOOKUP(GG21,'Ціни контур теплопостачання'!$AO$55:$AQ$63,3,0)</f>
        <v>426.6</v>
      </c>
      <c r="GJ21" s="768">
        <f t="shared" si="78"/>
        <v>426.6</v>
      </c>
      <c r="GK21" s="655" t="str">
        <f t="shared" si="91"/>
        <v>0-150</v>
      </c>
      <c r="GL21" s="720">
        <v>1</v>
      </c>
      <c r="GM21" s="747">
        <f>VLOOKUP(GK21,'Ціни контур мережний'!$I$79:$M$80,5,0)</f>
        <v>15.050156291498967</v>
      </c>
      <c r="GN21" s="748">
        <f t="shared" si="79"/>
        <v>15.050156291498967</v>
      </c>
      <c r="GO21" s="758" t="s">
        <v>109</v>
      </c>
      <c r="GP21" s="749">
        <v>5</v>
      </c>
      <c r="GQ21" s="747">
        <f>VLOOKUP(GO21,'Ціни контур мережний'!$I$79:$M$80,5,0)</f>
        <v>15.050156291498967</v>
      </c>
      <c r="GR21" s="765">
        <f t="shared" si="80"/>
        <v>75.250781457494838</v>
      </c>
      <c r="GS21" s="655" t="s">
        <v>108</v>
      </c>
      <c r="GT21" s="720">
        <v>5</v>
      </c>
      <c r="GU21" s="747">
        <f>VLOOKUP(GS21,'Ціни контур мережний'!$I$67:$M$69,5,0)</f>
        <v>4.4537969640631703</v>
      </c>
      <c r="GV21" s="748">
        <f t="shared" si="81"/>
        <v>22.26898482031585</v>
      </c>
      <c r="GW21" s="655" t="s">
        <v>106</v>
      </c>
      <c r="GX21" s="720">
        <f>11+T21</f>
        <v>15</v>
      </c>
      <c r="GY21" s="747">
        <f>VLOOKUP(GW21,'Ціни контур мережний'!$I$67:$M$69,5,0)</f>
        <v>4.4537969640631703</v>
      </c>
      <c r="GZ21" s="748">
        <f t="shared" si="82"/>
        <v>66.806954460947551</v>
      </c>
      <c r="HA21" s="655" t="s">
        <v>1013</v>
      </c>
      <c r="HB21" s="720">
        <v>4</v>
      </c>
      <c r="HC21" s="747">
        <f>VLOOKUP(HA21,'Ціни контур мережний'!$I$64:$M$64,5,0)</f>
        <v>29.1312</v>
      </c>
      <c r="HD21" s="748">
        <f t="shared" si="83"/>
        <v>116.5248</v>
      </c>
      <c r="HE21" s="766" t="s">
        <v>1015</v>
      </c>
      <c r="HF21" s="749">
        <v>6</v>
      </c>
      <c r="HG21" s="747">
        <f>VLOOKUP(HE21,'Ціни контур мережний'!$I$89:$M$89,5,0)</f>
        <v>79.523165325760516</v>
      </c>
      <c r="HH21" s="765">
        <f t="shared" si="84"/>
        <v>477.1389919545631</v>
      </c>
      <c r="HI21" s="778" t="s">
        <v>1016</v>
      </c>
      <c r="HJ21" s="720">
        <f t="shared" si="92"/>
        <v>7</v>
      </c>
      <c r="HK21" s="747">
        <f>VLOOKUP(HI21,'Ціни контур мережний'!$I$88:$M$88,5,0)</f>
        <v>13.211568975967202</v>
      </c>
      <c r="HL21" s="768">
        <f t="shared" si="85"/>
        <v>92.480982831770419</v>
      </c>
      <c r="HM21" s="757" t="s">
        <v>383</v>
      </c>
      <c r="HN21" s="720">
        <v>1</v>
      </c>
      <c r="HO21" s="747">
        <f>VLOOKUP(HM21,'Ціни контур мережний'!$I$87:$M$87,5,0)</f>
        <v>13.483972460007763</v>
      </c>
      <c r="HP21" s="748">
        <f t="shared" si="86"/>
        <v>13.483972460007763</v>
      </c>
      <c r="HQ21" s="769">
        <f t="shared" si="24"/>
        <v>37</v>
      </c>
      <c r="HR21" s="770">
        <f t="shared" si="87"/>
        <v>7716.1273322419092</v>
      </c>
      <c r="HS21" s="771">
        <v>0</v>
      </c>
      <c r="HT21" s="771">
        <f>'Таблиця цін схема №1'!$JE$45/'Ціни контур мережний'!$G$26</f>
        <v>578.85740358619182</v>
      </c>
      <c r="HU21" s="770">
        <f>'Таблиця цін схема №1'!$JG$8</f>
        <v>661.80181284518619</v>
      </c>
      <c r="HV21" s="770">
        <f>'Таблиця цін схема №1'!$JH$8</f>
        <v>487.81784379022207</v>
      </c>
      <c r="HW21" s="770">
        <f>'Таблиця цін схема №1'!$JI$8</f>
        <v>323.47913729816605</v>
      </c>
      <c r="HX21" s="770">
        <f>'Таблиця цін схема №1'!$JJ$8</f>
        <v>66.611999999999995</v>
      </c>
      <c r="HY21" s="772">
        <v>0</v>
      </c>
      <c r="HZ21" s="772">
        <f>'Таблиця цін схема №1'!$JL$8</f>
        <v>62.86234247089866</v>
      </c>
      <c r="IA21" s="772">
        <v>0</v>
      </c>
      <c r="IB21" s="770">
        <v>0</v>
      </c>
      <c r="IC21" s="913">
        <f t="shared" si="25"/>
        <v>692.82905105628004</v>
      </c>
      <c r="ID21" s="914">
        <f t="shared" si="26"/>
        <v>989.75578722325724</v>
      </c>
      <c r="IE21" s="915">
        <f t="shared" si="27"/>
        <v>170.26258410113951</v>
      </c>
      <c r="IF21" s="776">
        <f>'Таблиця цін схема №1'!$JR$8</f>
        <v>300.63036461094771</v>
      </c>
      <c r="IG21" s="777">
        <f t="shared" si="88"/>
        <v>12051.035659224197</v>
      </c>
      <c r="II21" s="611">
        <f>[3]Расчеты!AX20/1.2</f>
        <v>4126.6472368538725</v>
      </c>
      <c r="IJ21" s="611">
        <f t="shared" si="89"/>
        <v>16177.682896078069</v>
      </c>
      <c r="IK21" s="611" t="e">
        <f>IJ21*1.2*#REF!</f>
        <v>#REF!</v>
      </c>
      <c r="IL21" s="611"/>
    </row>
    <row r="22" spans="1:248" ht="12.6" customHeight="1">
      <c r="A22" s="610" t="s">
        <v>686</v>
      </c>
      <c r="B22" s="905">
        <v>38</v>
      </c>
      <c r="C22" s="1056" t="s">
        <v>899</v>
      </c>
      <c r="D22" s="906">
        <v>0.43380999999999997</v>
      </c>
      <c r="E22" s="907">
        <v>0.315</v>
      </c>
      <c r="F22" s="908">
        <f t="shared" si="28"/>
        <v>15.80152201596977</v>
      </c>
      <c r="G22" s="909">
        <v>80</v>
      </c>
      <c r="H22" s="598">
        <f t="shared" si="29"/>
        <v>7.7493747767059649</v>
      </c>
      <c r="I22" s="599">
        <v>50</v>
      </c>
      <c r="J22" s="598">
        <f t="shared" si="30"/>
        <v>18.037837837837834</v>
      </c>
      <c r="K22" s="599">
        <v>80</v>
      </c>
      <c r="L22" s="598">
        <f t="shared" si="31"/>
        <v>8.0521472392638049</v>
      </c>
      <c r="M22" s="599">
        <v>50</v>
      </c>
      <c r="N22" s="598">
        <f t="shared" si="32"/>
        <v>6.3894523326572008</v>
      </c>
      <c r="O22" s="599">
        <v>50</v>
      </c>
      <c r="P22" s="598">
        <f t="shared" si="93"/>
        <v>1.9168356997971601</v>
      </c>
      <c r="Q22" s="599">
        <v>32</v>
      </c>
      <c r="R22" s="598">
        <f t="shared" si="33"/>
        <v>10.95927090912955</v>
      </c>
      <c r="S22" s="600">
        <f t="shared" si="34"/>
        <v>11.387455831991947</v>
      </c>
      <c r="T22" s="910">
        <v>3</v>
      </c>
      <c r="U22" s="601">
        <f t="shared" si="35"/>
        <v>6.0126126126126112</v>
      </c>
      <c r="V22" s="601">
        <f t="shared" si="36"/>
        <v>8.5031183020522825</v>
      </c>
      <c r="W22" s="602">
        <v>50</v>
      </c>
      <c r="X22" s="745">
        <f t="shared" si="0"/>
        <v>80</v>
      </c>
      <c r="Y22" s="746">
        <v>2</v>
      </c>
      <c r="Z22" s="747">
        <f>VLOOKUP(X22,'Ціни контур мережний'!$Z$24:$AB$36,3,0)</f>
        <v>37.693832104112609</v>
      </c>
      <c r="AA22" s="748">
        <f t="shared" si="37"/>
        <v>75.387664208225218</v>
      </c>
      <c r="AB22" s="745">
        <f t="shared" si="1"/>
        <v>80</v>
      </c>
      <c r="AC22" s="749">
        <v>2</v>
      </c>
      <c r="AD22" s="747">
        <f>VLOOKUP(AB22,'Ціни контур мережний'!$Z$64:$AB$77,3,0)</f>
        <v>111.00441974652855</v>
      </c>
      <c r="AE22" s="748">
        <f t="shared" si="38"/>
        <v>222.00883949305711</v>
      </c>
      <c r="AF22" s="745">
        <f t="shared" si="2"/>
        <v>80</v>
      </c>
      <c r="AG22" s="746">
        <v>0</v>
      </c>
      <c r="AH22" s="747">
        <f>VLOOKUP(AF22,'Ціни контур мережний'!$Z$5:$AB$17,3,0)</f>
        <v>50.12</v>
      </c>
      <c r="AI22" s="748">
        <f t="shared" si="39"/>
        <v>0</v>
      </c>
      <c r="AJ22" s="750">
        <f t="shared" si="3"/>
        <v>50</v>
      </c>
      <c r="AK22" s="746">
        <v>1</v>
      </c>
      <c r="AL22" s="747">
        <f>VLOOKUP(AJ22,'Ціни контур мережний'!$Z$43:$AB$55,3,0)</f>
        <v>23.2782130224622</v>
      </c>
      <c r="AM22" s="748">
        <f t="shared" si="40"/>
        <v>23.2782130224622</v>
      </c>
      <c r="AN22" s="745">
        <f t="shared" si="4"/>
        <v>50</v>
      </c>
      <c r="AO22" s="749">
        <v>4</v>
      </c>
      <c r="AP22" s="747">
        <f>VLOOKUP(AN22,'Ціни контур мережний'!$Z$43:$AB$55,3,0)</f>
        <v>23.2782130224622</v>
      </c>
      <c r="AQ22" s="759">
        <f t="shared" si="41"/>
        <v>93.112852089848801</v>
      </c>
      <c r="AR22" s="751" t="str">
        <f t="shared" si="42"/>
        <v>AMV20</v>
      </c>
      <c r="AS22" s="751">
        <v>1</v>
      </c>
      <c r="AT22" s="747">
        <f>VLOOKUP(AR22,'Ціни контур мережний'!$I$53:$M$57,5,0)</f>
        <v>110.39869654932889</v>
      </c>
      <c r="AU22" s="748">
        <f t="shared" si="43"/>
        <v>110.39869654932889</v>
      </c>
      <c r="AV22" s="752">
        <f t="array" ref="AV22">MIN(IF('Ціни контур мережний'!$Y$83:$Y$92&gt;(R22*1.2),'Ціни контур мережний'!$Y$83:$Y$92))</f>
        <v>16</v>
      </c>
      <c r="AW22" s="746">
        <f>VLOOKUP(AV22,'Ціни контур мережний'!$Y$83:$Z$92,2,0)</f>
        <v>32</v>
      </c>
      <c r="AX22" s="746">
        <v>1</v>
      </c>
      <c r="AY22" s="747">
        <f>VLOOKUP(AV22,'Ціни контур мережний'!$Y$83:$AB$92,4,0)</f>
        <v>130.5392363168325</v>
      </c>
      <c r="AZ22" s="748">
        <f t="shared" si="44"/>
        <v>130.5392363168325</v>
      </c>
      <c r="BA22" s="1099">
        <v>20</v>
      </c>
      <c r="BB22" s="1101">
        <f>VLOOKUP(BA22,'[1]Ціни контур мережний'!$Y$104:$Z$114,2,0)</f>
        <v>50</v>
      </c>
      <c r="BC22" s="753">
        <v>1</v>
      </c>
      <c r="BD22" s="754">
        <f>VLOOKUP(BA22,'Ціни контур мережний'!$Y$104:$AB$114,4,0)</f>
        <v>448.22326189551967</v>
      </c>
      <c r="BE22" s="755">
        <f t="shared" si="45"/>
        <v>448.22326189551967</v>
      </c>
      <c r="BF22" s="751" t="s">
        <v>67</v>
      </c>
      <c r="BG22" s="749">
        <v>1</v>
      </c>
      <c r="BH22" s="747">
        <f>VLOOKUP(BF22,'Ціни контур мережний'!$I$53:$M$57,5,0)</f>
        <v>157.67238032974441</v>
      </c>
      <c r="BI22" s="768">
        <f t="shared" si="46"/>
        <v>157.67238032974441</v>
      </c>
      <c r="BJ22" s="894">
        <f t="array" ref="BJ22">MIN(IF('Ціни контур мережний'!$Y$83:$Y$93&gt;(S22*1.2),'Ціни контур мережний'!$Y$83:$Y$93))</f>
        <v>16</v>
      </c>
      <c r="BK22" s="895">
        <f>VLOOKUP(BJ22,'Ціни контур мережний'!$Y$83:$Z$93,2,0)</f>
        <v>32</v>
      </c>
      <c r="BL22" s="895">
        <v>1</v>
      </c>
      <c r="BM22" s="896">
        <f>VLOOKUP(BJ22,'Ціни контур мережний'!$Y$83:$AB$93,4,0)</f>
        <v>130.5392363168325</v>
      </c>
      <c r="BN22" s="916">
        <f t="shared" si="47"/>
        <v>130.5392363168325</v>
      </c>
      <c r="BO22" s="896">
        <f t="array" ref="BO22">MIN(IF('Ціни контур мережний'!$Y$104:$Y$114&gt;(S22*1.2),'Ціни контур мережний'!$Y$104:$Y$114))</f>
        <v>20</v>
      </c>
      <c r="BP22" s="895">
        <f>VLOOKUP(BO22,'Ціни контур мережний'!$Y$104:$Z$114,2,0)</f>
        <v>40</v>
      </c>
      <c r="BQ22" s="895">
        <v>1</v>
      </c>
      <c r="BR22" s="896">
        <f>VLOOKUP(BO22,'Ціни контур мережний'!$Y$104:$AB$114,4,0)</f>
        <v>448.22326189551967</v>
      </c>
      <c r="BS22" s="897">
        <f t="shared" si="48"/>
        <v>448.22326189551967</v>
      </c>
      <c r="BT22" s="751" t="s">
        <v>115</v>
      </c>
      <c r="BU22" s="751" t="s">
        <v>115</v>
      </c>
      <c r="BV22" s="746" t="s">
        <v>1025</v>
      </c>
      <c r="BW22" s="756">
        <v>0</v>
      </c>
      <c r="BX22" s="747">
        <v>0</v>
      </c>
      <c r="BY22" s="748">
        <f t="shared" si="49"/>
        <v>0</v>
      </c>
      <c r="BZ22" s="745">
        <f>VLOOKUP(CA22,'Ціни контур мережний'!$J$5:$L$12,3,0)</f>
        <v>40</v>
      </c>
      <c r="CA22" s="747">
        <f t="array" ref="CA22">MIN(IF('Ціни контур мережний'!$J$5:$J$12&gt;L22,'Ціни контур мережний'!$J$5:$J$12))</f>
        <v>10</v>
      </c>
      <c r="CB22" s="746" t="s">
        <v>130</v>
      </c>
      <c r="CC22" s="749">
        <v>1</v>
      </c>
      <c r="CD22" s="747">
        <f>VLOOKUP(CA22,'Ціни контур мережний'!$J$5:$N$12,5,0)</f>
        <v>375.23999999999995</v>
      </c>
      <c r="CE22" s="748">
        <f t="shared" si="50"/>
        <v>375.23999999999995</v>
      </c>
      <c r="CF22" s="898" t="s">
        <v>1351</v>
      </c>
      <c r="CG22" s="899">
        <v>1</v>
      </c>
      <c r="CH22" s="900">
        <v>677</v>
      </c>
      <c r="CI22" s="901">
        <f t="shared" si="51"/>
        <v>677</v>
      </c>
      <c r="CJ22" s="751">
        <f t="shared" si="5"/>
        <v>80</v>
      </c>
      <c r="CK22" s="746">
        <v>4</v>
      </c>
      <c r="CL22" s="747">
        <f>VLOOKUP(CJ22,'Ціни контур теплопостачання'!$Y$5:$AA$17,3,0)</f>
        <v>37.693832104112609</v>
      </c>
      <c r="CM22" s="748">
        <f t="shared" si="52"/>
        <v>150.77532841645044</v>
      </c>
      <c r="CN22" s="750">
        <f t="shared" si="6"/>
        <v>50</v>
      </c>
      <c r="CO22" s="746">
        <v>6</v>
      </c>
      <c r="CP22" s="747">
        <f>VLOOKUP(CN22,'Ціни контур теплопостачання'!$AO$20:$AQ$29,3,0)</f>
        <v>37.588411955788914</v>
      </c>
      <c r="CQ22" s="748">
        <f t="shared" si="53"/>
        <v>225.53047173473348</v>
      </c>
      <c r="CR22" s="750">
        <f t="shared" si="7"/>
        <v>32</v>
      </c>
      <c r="CS22" s="746">
        <v>3</v>
      </c>
      <c r="CT22" s="747">
        <f>VLOOKUP(CR22,'Ціни контур теплопостачання'!$AO$20:$AQ$29,3,0)</f>
        <v>10.381</v>
      </c>
      <c r="CU22" s="748">
        <f t="shared" si="54"/>
        <v>31.143000000000001</v>
      </c>
      <c r="CV22" s="757">
        <f t="shared" si="8"/>
        <v>50</v>
      </c>
      <c r="CW22" s="746">
        <f t="shared" si="9"/>
        <v>6</v>
      </c>
      <c r="CX22" s="747">
        <f>VLOOKUP(CV22,'Ціни контур теплопостачання'!$Y$5:$AA$17,3,0)</f>
        <v>23.2782130224622</v>
      </c>
      <c r="CY22" s="748">
        <f t="shared" si="55"/>
        <v>139.66927813477321</v>
      </c>
      <c r="CZ22" s="745">
        <v>20</v>
      </c>
      <c r="DA22" s="749">
        <v>2</v>
      </c>
      <c r="DB22" s="747">
        <f>VLOOKUP(CZ22,'Ціни контур теплопостачання'!$Y$5:$AA$17,3,0)</f>
        <v>3.577</v>
      </c>
      <c r="DC22" s="748">
        <f t="shared" si="56"/>
        <v>7.1539999999999999</v>
      </c>
      <c r="DD22" s="745">
        <v>15</v>
      </c>
      <c r="DE22" s="745">
        <v>8</v>
      </c>
      <c r="DF22" s="758">
        <f>VLOOKUP(DD22,'Ціни контур теплопостачання'!$Y$5:$AA$17,3,0)</f>
        <v>2.464</v>
      </c>
      <c r="DG22" s="759">
        <f t="shared" si="57"/>
        <v>19.712</v>
      </c>
      <c r="DH22" s="745">
        <v>15</v>
      </c>
      <c r="DI22" s="745">
        <f t="shared" si="58"/>
        <v>38</v>
      </c>
      <c r="DJ22" s="758">
        <f>VLOOKUP(DH22,'Ціни контур мережний'!$J$71:$M$71,4,0)</f>
        <v>3.3865201135922525</v>
      </c>
      <c r="DK22" s="759">
        <f t="shared" si="59"/>
        <v>128.68776431650559</v>
      </c>
      <c r="DL22" s="751">
        <f t="shared" si="10"/>
        <v>80</v>
      </c>
      <c r="DM22" s="746">
        <v>1</v>
      </c>
      <c r="DN22" s="747">
        <f>VLOOKUP(DL22,'Ціни контур теплопостачання'!$K$5:$M$17,3,0)</f>
        <v>50.12</v>
      </c>
      <c r="DO22" s="748">
        <f t="shared" si="60"/>
        <v>50.12</v>
      </c>
      <c r="DP22" s="745">
        <f t="shared" si="11"/>
        <v>50</v>
      </c>
      <c r="DQ22" s="749">
        <v>1</v>
      </c>
      <c r="DR22" s="747">
        <f>VLOOKUP(DP22,'Ціни контур теплопостачання'!$K$5:$M$17,3,0)</f>
        <v>26.284999999999997</v>
      </c>
      <c r="DS22" s="748">
        <f t="shared" si="61"/>
        <v>26.284999999999997</v>
      </c>
      <c r="DT22" s="745">
        <f t="shared" si="12"/>
        <v>32</v>
      </c>
      <c r="DU22" s="745">
        <v>1</v>
      </c>
      <c r="DV22" s="758">
        <f>VLOOKUP(DT22,'Ціни контур теплопостачання'!$K$5:$M$17,3,0)</f>
        <v>9.48</v>
      </c>
      <c r="DW22" s="759">
        <f t="shared" si="62"/>
        <v>9.48</v>
      </c>
      <c r="DX22" s="745">
        <f t="shared" si="63"/>
        <v>80</v>
      </c>
      <c r="DY22" s="745">
        <v>1</v>
      </c>
      <c r="DZ22" s="758">
        <f>VLOOKUP(DX22,'Ціни контур теплопостачання'!$Y$24:$AA$36,3,0)</f>
        <v>60.079499999999996</v>
      </c>
      <c r="EA22" s="759">
        <f t="shared" si="64"/>
        <v>60.079499999999996</v>
      </c>
      <c r="EB22" s="751">
        <f t="shared" si="13"/>
        <v>80</v>
      </c>
      <c r="EC22" s="746">
        <v>2</v>
      </c>
      <c r="ED22" s="747">
        <f>VLOOKUP(EB22,'Ціни контур теплопостачання'!$Y$24:$AA$36,3,0)</f>
        <v>60.079499999999996</v>
      </c>
      <c r="EE22" s="748">
        <f t="shared" si="65"/>
        <v>120.15899999999999</v>
      </c>
      <c r="EF22" s="745">
        <f t="shared" si="14"/>
        <v>50</v>
      </c>
      <c r="EG22" s="749">
        <v>1</v>
      </c>
      <c r="EH22" s="747">
        <f>VLOOKUP(EF22,'Ціни контур теплопостачання'!$AO$38:$AQ$50,3,0)</f>
        <v>28.560999999999996</v>
      </c>
      <c r="EI22" s="748">
        <f t="shared" si="66"/>
        <v>28.560999999999996</v>
      </c>
      <c r="EJ22" s="745">
        <f t="shared" si="15"/>
        <v>32</v>
      </c>
      <c r="EK22" s="745">
        <v>1</v>
      </c>
      <c r="EL22" s="758">
        <f>VLOOKUP(EJ22,'Ціни контур теплопостачання'!$AO$38:$AQ$50,3,0)</f>
        <v>10.773</v>
      </c>
      <c r="EM22" s="759">
        <f t="shared" si="67"/>
        <v>10.773</v>
      </c>
      <c r="EN22" s="745">
        <f t="shared" si="16"/>
        <v>50</v>
      </c>
      <c r="EO22" s="745">
        <f t="shared" si="17"/>
        <v>6</v>
      </c>
      <c r="EP22" s="758">
        <f>VLOOKUP(EN22,'Ціни контур теплопостачання'!$Y$76:$AA$88,3,0)</f>
        <v>20.6</v>
      </c>
      <c r="EQ22" s="759">
        <f t="shared" si="68"/>
        <v>123.60000000000001</v>
      </c>
      <c r="ER22" s="745">
        <f t="shared" si="18"/>
        <v>50</v>
      </c>
      <c r="ES22" s="745">
        <v>1</v>
      </c>
      <c r="ET22" s="758">
        <f>VLOOKUP(ER22,'Ціни контур теплопостачання'!$Y$76:$AA$88,3,0)</f>
        <v>20.6</v>
      </c>
      <c r="EU22" s="759">
        <f t="shared" si="69"/>
        <v>20.6</v>
      </c>
      <c r="EV22" s="745">
        <f t="shared" si="19"/>
        <v>32</v>
      </c>
      <c r="EW22" s="745">
        <v>1</v>
      </c>
      <c r="EX22" s="758">
        <f>VLOOKUP(EV22,'Ціни контур теплопостачання'!$Y$76:$AA$88,3,0)</f>
        <v>13.15</v>
      </c>
      <c r="EY22" s="759">
        <f t="shared" si="70"/>
        <v>13.15</v>
      </c>
      <c r="EZ22" s="758">
        <f t="shared" si="20"/>
        <v>33.454892018955903</v>
      </c>
      <c r="FA22" s="760">
        <v>40</v>
      </c>
      <c r="FB22" s="719">
        <v>2</v>
      </c>
      <c r="FC22" s="747">
        <f>VLOOKUP(FA22,'Ціни контур теплопостачання'!$K$74:$M$79,3,0)</f>
        <v>43.19</v>
      </c>
      <c r="FD22" s="761">
        <f t="shared" si="21"/>
        <v>86.38</v>
      </c>
      <c r="FE22" s="762">
        <f t="shared" si="71"/>
        <v>18.037837837837834</v>
      </c>
      <c r="FF22" s="911">
        <v>9</v>
      </c>
      <c r="FG22" s="900">
        <v>8</v>
      </c>
      <c r="FH22" s="830" t="s">
        <v>1090</v>
      </c>
      <c r="FI22" s="708">
        <v>2</v>
      </c>
      <c r="FJ22" s="709">
        <f>VLOOKUP(FH22,'Ціни контур теплопостачання'!$C$89:$M$105,11,0)</f>
        <v>648.69600000000003</v>
      </c>
      <c r="FK22" s="764">
        <f t="shared" si="72"/>
        <v>1297.3920000000001</v>
      </c>
      <c r="FL22" s="912">
        <f t="shared" si="73"/>
        <v>1.9168356997971601</v>
      </c>
      <c r="FM22" s="911">
        <v>9</v>
      </c>
      <c r="FN22" s="900">
        <v>9</v>
      </c>
      <c r="FO22" s="900" t="s">
        <v>1097</v>
      </c>
      <c r="FP22" s="749">
        <v>1</v>
      </c>
      <c r="FQ22" s="747">
        <f>VLOOKUP(FO22,'Ціни контур теплопостачання'!$C$89:$M$105,11,0)</f>
        <v>241.2</v>
      </c>
      <c r="FR22" s="904">
        <f t="shared" si="74"/>
        <v>241.2</v>
      </c>
      <c r="FS22" s="758">
        <f t="array" ref="FS22">MIN(IF('Ціни контур теплопостачання'!$AN$68:$AN$77&gt;(V22*1.2),'Ціни контур теплопостачання'!$AN$68:$AN$77))</f>
        <v>11.13</v>
      </c>
      <c r="FT22" s="749">
        <f>VLOOKUP(FS22,'Ціни контур теплопостачання'!$AN$68:$AO$77,2,0)</f>
        <v>32</v>
      </c>
      <c r="FU22" s="749">
        <f t="shared" si="22"/>
        <v>3</v>
      </c>
      <c r="FV22" s="747">
        <f>VLOOKUP(FT22,'Ціни контур теплопостачання'!$AO$68:$AQ$77,3,0)</f>
        <v>37.183999999999997</v>
      </c>
      <c r="FW22" s="765">
        <f t="shared" si="75"/>
        <v>111.55199999999999</v>
      </c>
      <c r="FX22" s="750">
        <v>15</v>
      </c>
      <c r="FY22" s="746">
        <v>2</v>
      </c>
      <c r="FZ22" s="747">
        <f>VLOOKUP(FX22,'Ціни контур мережний'!$J$73:$M$73,4,0)</f>
        <v>3.4649999999999999</v>
      </c>
      <c r="GA22" s="748">
        <f t="shared" si="76"/>
        <v>6.93</v>
      </c>
      <c r="GB22" s="750">
        <f>VLOOKUP(GC22,'Ціни контур теплопостачання'!$AN$6:$AO$13,2,0)</f>
        <v>40</v>
      </c>
      <c r="GC22" s="751">
        <f t="array" ref="GC22">MIN(IF('Ціни контур теплопостачання'!$AN$6:$AN$13&gt;N22,'Ціни контур теплопостачання'!$AN$6:$AN$13))</f>
        <v>15</v>
      </c>
      <c r="GD22" s="751">
        <v>1</v>
      </c>
      <c r="GE22" s="747">
        <f>VLOOKUP(GB22,'Ціни контур теплопостачання'!$AO$6:$AQ$13,3,0)</f>
        <v>140.82444000000001</v>
      </c>
      <c r="GF22" s="748">
        <f t="shared" si="77"/>
        <v>140.82444000000001</v>
      </c>
      <c r="GG22" s="750">
        <f t="shared" si="23"/>
        <v>50</v>
      </c>
      <c r="GH22" s="746">
        <v>1</v>
      </c>
      <c r="GI22" s="747">
        <f>VLOOKUP(GG22,'Ціни контур теплопостачання'!$AO$55:$AQ$63,3,0)</f>
        <v>355.5</v>
      </c>
      <c r="GJ22" s="768">
        <f t="shared" si="78"/>
        <v>355.5</v>
      </c>
      <c r="GK22" s="655" t="str">
        <f t="shared" si="91"/>
        <v>0-150</v>
      </c>
      <c r="GL22" s="720">
        <v>1</v>
      </c>
      <c r="GM22" s="747">
        <f>VLOOKUP(GK22,'Ціни контур мережний'!$I$79:$M$80,5,0)</f>
        <v>15.050156291498967</v>
      </c>
      <c r="GN22" s="748">
        <f t="shared" si="79"/>
        <v>15.050156291498967</v>
      </c>
      <c r="GO22" s="758" t="s">
        <v>109</v>
      </c>
      <c r="GP22" s="749">
        <v>1</v>
      </c>
      <c r="GQ22" s="747">
        <f>VLOOKUP(GO22,'Ціни контур мережний'!$I$79:$M$80,5,0)</f>
        <v>15.050156291498967</v>
      </c>
      <c r="GR22" s="765">
        <f t="shared" si="80"/>
        <v>15.050156291498967</v>
      </c>
      <c r="GS22" s="655" t="s">
        <v>108</v>
      </c>
      <c r="GT22" s="720">
        <v>3</v>
      </c>
      <c r="GU22" s="747">
        <f>VLOOKUP(GS22,'Ціни контур мережний'!$I$67:$M$69,5,0)</f>
        <v>4.4537969640631703</v>
      </c>
      <c r="GV22" s="748">
        <f t="shared" si="81"/>
        <v>13.361390892189512</v>
      </c>
      <c r="GW22" s="655" t="s">
        <v>106</v>
      </c>
      <c r="GX22" s="720">
        <f>11+T22</f>
        <v>14</v>
      </c>
      <c r="GY22" s="747">
        <f>VLOOKUP(GW22,'Ціни контур мережний'!$I$67:$M$69,5,0)</f>
        <v>4.4537969640631703</v>
      </c>
      <c r="GZ22" s="748">
        <f t="shared" si="82"/>
        <v>62.353157496884386</v>
      </c>
      <c r="HA22" s="655" t="s">
        <v>1013</v>
      </c>
      <c r="HB22" s="720">
        <v>4</v>
      </c>
      <c r="HC22" s="747">
        <f>VLOOKUP(HA22,'Ціни контур мережний'!$I$64:$M$64,5,0)</f>
        <v>29.1312</v>
      </c>
      <c r="HD22" s="748">
        <f t="shared" si="83"/>
        <v>116.5248</v>
      </c>
      <c r="HE22" s="766" t="s">
        <v>1015</v>
      </c>
      <c r="HF22" s="749">
        <v>6</v>
      </c>
      <c r="HG22" s="747">
        <f>VLOOKUP(HE22,'Ціни контур мережний'!$I$89:$M$89,5,0)</f>
        <v>79.523165325760516</v>
      </c>
      <c r="HH22" s="765">
        <f t="shared" si="84"/>
        <v>477.1389919545631</v>
      </c>
      <c r="HI22" s="917" t="s">
        <v>1016</v>
      </c>
      <c r="HJ22" s="720">
        <f t="shared" si="92"/>
        <v>7</v>
      </c>
      <c r="HK22" s="747">
        <f>VLOOKUP(HI22,'Ціни контур мережний'!$I$88:$M$88,5,0)</f>
        <v>13.211568975967202</v>
      </c>
      <c r="HL22" s="768">
        <f t="shared" si="85"/>
        <v>92.480982831770419</v>
      </c>
      <c r="HM22" s="917" t="s">
        <v>383</v>
      </c>
      <c r="HN22" s="720">
        <v>1</v>
      </c>
      <c r="HO22" s="747">
        <f>VLOOKUP(HM22,'Ціни контур мережний'!$I$87:$M$87,5,0)</f>
        <v>13.483972460007763</v>
      </c>
      <c r="HP22" s="748">
        <f t="shared" si="86"/>
        <v>13.483972460007763</v>
      </c>
      <c r="HQ22" s="769">
        <f t="shared" si="24"/>
        <v>38</v>
      </c>
      <c r="HR22" s="770">
        <f t="shared" si="87"/>
        <v>7102.3250329382463</v>
      </c>
      <c r="HS22" s="771">
        <v>0</v>
      </c>
      <c r="HT22" s="771">
        <f>'Таблиця цін схема №1'!$JE$45/'Ціни контур мережний'!$G$26</f>
        <v>578.85740358619182</v>
      </c>
      <c r="HU22" s="770">
        <f>'Таблиця цін схема №1'!$JG$8</f>
        <v>661.80181284518619</v>
      </c>
      <c r="HV22" s="770">
        <f>'Таблиця цін схема №1'!$JH$8</f>
        <v>487.81784379022207</v>
      </c>
      <c r="HW22" s="770">
        <f>'Таблиця цін схема №1'!$JI$8</f>
        <v>323.47913729816605</v>
      </c>
      <c r="HX22" s="770">
        <f>'Таблиця цін схема №1'!$JJ$8</f>
        <v>66.611999999999995</v>
      </c>
      <c r="HY22" s="772">
        <v>0</v>
      </c>
      <c r="HZ22" s="772">
        <f>'Таблиця цін схема №1'!$JL$8</f>
        <v>62.86234247089866</v>
      </c>
      <c r="IA22" s="772">
        <v>0</v>
      </c>
      <c r="IB22" s="770">
        <v>0</v>
      </c>
      <c r="IC22" s="913">
        <f t="shared" si="25"/>
        <v>649.86289010502378</v>
      </c>
      <c r="ID22" s="914">
        <f t="shared" si="26"/>
        <v>928.37555729289113</v>
      </c>
      <c r="IE22" s="915">
        <f t="shared" si="27"/>
        <v>159.70365967192811</v>
      </c>
      <c r="IF22" s="776">
        <f>'Таблиця цін схема №1'!$JR$8</f>
        <v>300.63036461094771</v>
      </c>
      <c r="IG22" s="777">
        <f t="shared" si="88"/>
        <v>11322.328044609701</v>
      </c>
      <c r="II22" s="611">
        <f>[3]Расчеты!AX21/1.2</f>
        <v>4304.2680982042739</v>
      </c>
      <c r="IJ22" s="611">
        <f t="shared" si="89"/>
        <v>15626.596142813974</v>
      </c>
      <c r="IK22" s="611" t="e">
        <f>IJ22*1.2*#REF!</f>
        <v>#REF!</v>
      </c>
      <c r="IL22" s="611"/>
    </row>
    <row r="23" spans="1:248" ht="12.6" customHeight="1">
      <c r="A23" s="610" t="s">
        <v>686</v>
      </c>
      <c r="B23" s="905">
        <v>39</v>
      </c>
      <c r="C23" s="1056" t="s">
        <v>900</v>
      </c>
      <c r="D23" s="906">
        <v>0.13743</v>
      </c>
      <c r="E23" s="907">
        <v>0.125</v>
      </c>
      <c r="F23" s="908">
        <f t="shared" si="28"/>
        <v>5.6502804463469651</v>
      </c>
      <c r="G23" s="909">
        <v>50</v>
      </c>
      <c r="H23" s="598">
        <f t="shared" si="29"/>
        <v>2.454983922829582</v>
      </c>
      <c r="I23" s="599">
        <v>32</v>
      </c>
      <c r="J23" s="598">
        <f t="shared" si="30"/>
        <v>5.7143451143451145</v>
      </c>
      <c r="K23" s="599">
        <v>50</v>
      </c>
      <c r="L23" s="598">
        <f t="shared" si="31"/>
        <v>3.1952965235173827</v>
      </c>
      <c r="M23" s="599">
        <v>40</v>
      </c>
      <c r="N23" s="598">
        <f t="shared" si="32"/>
        <v>2.5354969574036512</v>
      </c>
      <c r="O23" s="599">
        <v>32</v>
      </c>
      <c r="P23" s="598">
        <f t="shared" si="93"/>
        <v>0.76064908722109537</v>
      </c>
      <c r="Q23" s="599">
        <v>20</v>
      </c>
      <c r="R23" s="598">
        <f t="shared" si="33"/>
        <v>3.4718715590734983</v>
      </c>
      <c r="S23" s="600">
        <f t="shared" si="34"/>
        <v>4.5188316793618837</v>
      </c>
      <c r="T23" s="910">
        <v>1</v>
      </c>
      <c r="U23" s="601">
        <f t="shared" si="35"/>
        <v>5.7143451143451145</v>
      </c>
      <c r="V23" s="601">
        <f t="shared" si="36"/>
        <v>8.0813043607872945</v>
      </c>
      <c r="W23" s="602">
        <v>50</v>
      </c>
      <c r="X23" s="745">
        <f t="shared" si="0"/>
        <v>50</v>
      </c>
      <c r="Y23" s="746">
        <v>2</v>
      </c>
      <c r="Z23" s="747">
        <f>VLOOKUP(X23,'Ціни контур мережний'!$Z$24:$AB$36,3,0)</f>
        <v>23.2782130224622</v>
      </c>
      <c r="AA23" s="748">
        <f t="shared" si="37"/>
        <v>46.5564260449244</v>
      </c>
      <c r="AB23" s="745">
        <f t="shared" si="1"/>
        <v>50</v>
      </c>
      <c r="AC23" s="749">
        <v>2</v>
      </c>
      <c r="AD23" s="747">
        <f>VLOOKUP(AB23,'Ціни контур мережний'!$Z$64:$AB$77,3,0)</f>
        <v>80.03214361111678</v>
      </c>
      <c r="AE23" s="748">
        <f t="shared" si="38"/>
        <v>160.06428722223356</v>
      </c>
      <c r="AF23" s="745">
        <f t="shared" si="2"/>
        <v>50</v>
      </c>
      <c r="AG23" s="746">
        <v>0</v>
      </c>
      <c r="AH23" s="747">
        <f>VLOOKUP(AF23,'Ціни контур мережний'!$Z$5:$AB$17,3,0)</f>
        <v>26.284999999999997</v>
      </c>
      <c r="AI23" s="748">
        <f t="shared" si="39"/>
        <v>0</v>
      </c>
      <c r="AJ23" s="750">
        <f t="shared" si="3"/>
        <v>32</v>
      </c>
      <c r="AK23" s="746">
        <v>1</v>
      </c>
      <c r="AL23" s="747">
        <f>VLOOKUP(AJ23,'Ціни контур мережний'!$Z$43:$AB$55,3,0)</f>
        <v>16.107218011318363</v>
      </c>
      <c r="AM23" s="748">
        <f t="shared" si="40"/>
        <v>16.107218011318363</v>
      </c>
      <c r="AN23" s="745">
        <f t="shared" si="4"/>
        <v>40</v>
      </c>
      <c r="AO23" s="749">
        <v>4</v>
      </c>
      <c r="AP23" s="747">
        <f>VLOOKUP(AN23,'Ціни контур мережний'!$Z$43:$AB$55,3,0)</f>
        <v>18.42400964308333</v>
      </c>
      <c r="AQ23" s="759">
        <f t="shared" si="41"/>
        <v>73.696038572333322</v>
      </c>
      <c r="AR23" s="751" t="str">
        <f t="shared" si="42"/>
        <v>AMV20</v>
      </c>
      <c r="AS23" s="751">
        <v>1</v>
      </c>
      <c r="AT23" s="747">
        <f>VLOOKUP(AR23,'Ціни контур мережний'!$I$53:$M$57,5,0)</f>
        <v>110.39869654932889</v>
      </c>
      <c r="AU23" s="748">
        <f t="shared" si="43"/>
        <v>110.39869654932889</v>
      </c>
      <c r="AV23" s="752">
        <f t="array" ref="AV23">MIN(IF('Ціни контур мережний'!$Y$83:$Y$92&gt;(R23*1.2),'Ціни контур мережний'!$Y$83:$Y$92))</f>
        <v>6.3</v>
      </c>
      <c r="AW23" s="746">
        <f>VLOOKUP(AV23,'Ціни контур мережний'!$Y$83:$Z$92,2,0)</f>
        <v>20</v>
      </c>
      <c r="AX23" s="746">
        <v>1</v>
      </c>
      <c r="AY23" s="747">
        <f>VLOOKUP(AV23,'Ціни контур мережний'!$Y$83:$AB$92,4,0)</f>
        <v>113.14115267534271</v>
      </c>
      <c r="AZ23" s="748">
        <f t="shared" si="44"/>
        <v>113.14115267534271</v>
      </c>
      <c r="BA23" s="1099">
        <f t="array" ref="BA23">MIN(IF('[1]Ціни контур мережний'!$Y$104:$Y$114&gt;(R23*1.2),'[1]Ціни контур мережний'!$Y$104:$Y$114))</f>
        <v>6.3</v>
      </c>
      <c r="BB23" s="1101">
        <f>VLOOKUP(BA23,'[1]Ціни контур мережний'!$Y$104:$Z$114,2,0)</f>
        <v>20</v>
      </c>
      <c r="BC23" s="753">
        <v>1</v>
      </c>
      <c r="BD23" s="754">
        <f>VLOOKUP(BA23,'Ціни контур мережний'!$Y$104:$AB$114,4,0)</f>
        <v>259.83406541769665</v>
      </c>
      <c r="BE23" s="755">
        <f t="shared" si="45"/>
        <v>259.83406541769665</v>
      </c>
      <c r="BF23" s="751" t="s">
        <v>67</v>
      </c>
      <c r="BG23" s="749">
        <v>1</v>
      </c>
      <c r="BH23" s="747">
        <f>VLOOKUP(BF23,'Ціни контур мережний'!$I$53:$M$57,5,0)</f>
        <v>157.67238032974441</v>
      </c>
      <c r="BI23" s="768">
        <f t="shared" si="46"/>
        <v>157.67238032974441</v>
      </c>
      <c r="BJ23" s="894">
        <f t="array" ref="BJ23">MIN(IF('Ціни контур мережний'!$Y$83:$Y$93&gt;(S23*1.2),'Ціни контур мережний'!$Y$83:$Y$93))</f>
        <v>6.3</v>
      </c>
      <c r="BK23" s="895">
        <f>VLOOKUP(BJ23,'Ціни контур мережний'!$Y$83:$Z$93,2,0)</f>
        <v>20</v>
      </c>
      <c r="BL23" s="895">
        <v>1</v>
      </c>
      <c r="BM23" s="896">
        <f>VLOOKUP(BJ23,'Ціни контур мережний'!$Y$83:$AB$93,4,0)</f>
        <v>113.14115267534271</v>
      </c>
      <c r="BN23" s="916">
        <f t="shared" si="47"/>
        <v>113.14115267534271</v>
      </c>
      <c r="BO23" s="896">
        <f t="array" ref="BO23">MIN(IF('Ціни контур мережний'!$Y$104:$Y$114&gt;(S23*1.2),'Ціни контур мережний'!$Y$104:$Y$114))</f>
        <v>6.3</v>
      </c>
      <c r="BP23" s="895">
        <f>VLOOKUP(BO23,'Ціни контур мережний'!$Y$104:$Z$114,2,0)</f>
        <v>20</v>
      </c>
      <c r="BQ23" s="895">
        <v>1</v>
      </c>
      <c r="BR23" s="896">
        <f>VLOOKUP(BO23,'Ціни контур мережний'!$Y$104:$AB$114,4,0)</f>
        <v>259.83406541769665</v>
      </c>
      <c r="BS23" s="897">
        <f t="shared" si="48"/>
        <v>259.83406541769665</v>
      </c>
      <c r="BT23" s="751" t="s">
        <v>115</v>
      </c>
      <c r="BU23" s="751" t="s">
        <v>115</v>
      </c>
      <c r="BV23" s="746" t="s">
        <v>1025</v>
      </c>
      <c r="BW23" s="756">
        <v>0</v>
      </c>
      <c r="BX23" s="747">
        <v>0</v>
      </c>
      <c r="BY23" s="748">
        <f t="shared" si="49"/>
        <v>0</v>
      </c>
      <c r="BZ23" s="745">
        <f>VLOOKUP(CA23,'Ціни контур мережний'!$J$5:$L$12,3,0)</f>
        <v>25</v>
      </c>
      <c r="CA23" s="747">
        <f t="array" ref="CA23">MIN(IF('Ціни контур мережний'!$J$5:$J$12&gt;L23,'Ціни контур мережний'!$J$5:$J$12))</f>
        <v>3.5</v>
      </c>
      <c r="CB23" s="746" t="s">
        <v>130</v>
      </c>
      <c r="CC23" s="749">
        <v>1</v>
      </c>
      <c r="CD23" s="747">
        <f>VLOOKUP(CA23,'Ціни контур мережний'!$J$5:$N$12,5,0)</f>
        <v>341.25599999999997</v>
      </c>
      <c r="CE23" s="748">
        <f t="shared" si="50"/>
        <v>341.25599999999997</v>
      </c>
      <c r="CF23" s="898" t="s">
        <v>1352</v>
      </c>
      <c r="CG23" s="899">
        <v>1</v>
      </c>
      <c r="CH23" s="900">
        <v>433</v>
      </c>
      <c r="CI23" s="901">
        <f t="shared" si="51"/>
        <v>433</v>
      </c>
      <c r="CJ23" s="751">
        <f t="shared" si="5"/>
        <v>50</v>
      </c>
      <c r="CK23" s="746">
        <v>4</v>
      </c>
      <c r="CL23" s="747">
        <f>VLOOKUP(CJ23,'Ціни контур теплопостачання'!$Y$5:$AA$17,3,0)</f>
        <v>23.2782130224622</v>
      </c>
      <c r="CM23" s="748">
        <f t="shared" si="52"/>
        <v>93.112852089848801</v>
      </c>
      <c r="CN23" s="750">
        <f t="shared" si="6"/>
        <v>32</v>
      </c>
      <c r="CO23" s="746">
        <v>6</v>
      </c>
      <c r="CP23" s="747">
        <f>VLOOKUP(CN23,'Ціни контур теплопостачання'!$AO$20:$AQ$29,3,0)</f>
        <v>10.381</v>
      </c>
      <c r="CQ23" s="748">
        <f t="shared" si="53"/>
        <v>62.286000000000001</v>
      </c>
      <c r="CR23" s="750">
        <f t="shared" si="7"/>
        <v>20</v>
      </c>
      <c r="CS23" s="746">
        <v>3</v>
      </c>
      <c r="CT23" s="747">
        <f>VLOOKUP(CR23,'Ціни контур теплопостачання'!$AO$20:$AQ$29,3,0)</f>
        <v>3.577</v>
      </c>
      <c r="CU23" s="748">
        <f t="shared" si="54"/>
        <v>10.731</v>
      </c>
      <c r="CV23" s="757">
        <f t="shared" si="8"/>
        <v>50</v>
      </c>
      <c r="CW23" s="746">
        <f t="shared" si="9"/>
        <v>2</v>
      </c>
      <c r="CX23" s="747">
        <f>VLOOKUP(CV23,'Ціни контур теплопостачання'!$Y$5:$AA$17,3,0)</f>
        <v>23.2782130224622</v>
      </c>
      <c r="CY23" s="748">
        <f t="shared" si="55"/>
        <v>46.5564260449244</v>
      </c>
      <c r="CZ23" s="745">
        <v>20</v>
      </c>
      <c r="DA23" s="749">
        <v>2</v>
      </c>
      <c r="DB23" s="747">
        <f>VLOOKUP(CZ23,'Ціни контур теплопостачання'!$Y$5:$AA$17,3,0)</f>
        <v>3.577</v>
      </c>
      <c r="DC23" s="748">
        <f t="shared" si="56"/>
        <v>7.1539999999999999</v>
      </c>
      <c r="DD23" s="745">
        <v>15</v>
      </c>
      <c r="DE23" s="745">
        <v>8</v>
      </c>
      <c r="DF23" s="758">
        <f>VLOOKUP(DD23,'Ціни контур теплопостачання'!$Y$5:$AA$17,3,0)</f>
        <v>2.464</v>
      </c>
      <c r="DG23" s="759">
        <f t="shared" si="57"/>
        <v>19.712</v>
      </c>
      <c r="DH23" s="745">
        <v>15</v>
      </c>
      <c r="DI23" s="745">
        <f>35</f>
        <v>35</v>
      </c>
      <c r="DJ23" s="758">
        <f>VLOOKUP(DH23,'Ціни контур мережний'!$J$71:$M$71,4,0)</f>
        <v>3.3865201135922525</v>
      </c>
      <c r="DK23" s="759">
        <f t="shared" si="59"/>
        <v>118.52820397572884</v>
      </c>
      <c r="DL23" s="751">
        <f t="shared" si="10"/>
        <v>50</v>
      </c>
      <c r="DM23" s="746">
        <v>1</v>
      </c>
      <c r="DN23" s="747">
        <f>VLOOKUP(DL23,'Ціни контур теплопостачання'!$K$5:$M$17,3,0)</f>
        <v>26.284999999999997</v>
      </c>
      <c r="DO23" s="748">
        <f t="shared" si="60"/>
        <v>26.284999999999997</v>
      </c>
      <c r="DP23" s="745">
        <f t="shared" si="11"/>
        <v>32</v>
      </c>
      <c r="DQ23" s="749">
        <v>1</v>
      </c>
      <c r="DR23" s="747">
        <f>VLOOKUP(DP23,'Ціни контур теплопостачання'!$K$5:$M$17,3,0)</f>
        <v>9.48</v>
      </c>
      <c r="DS23" s="748">
        <f t="shared" si="61"/>
        <v>9.48</v>
      </c>
      <c r="DT23" s="745">
        <f t="shared" si="12"/>
        <v>20</v>
      </c>
      <c r="DU23" s="745">
        <v>1</v>
      </c>
      <c r="DV23" s="758">
        <f>VLOOKUP(DT23,'Ціни контур теплопостачання'!$K$5:$M$17,3,0)</f>
        <v>3.48</v>
      </c>
      <c r="DW23" s="759">
        <f t="shared" si="62"/>
        <v>3.48</v>
      </c>
      <c r="DX23" s="745">
        <f t="shared" si="63"/>
        <v>50</v>
      </c>
      <c r="DY23" s="745">
        <v>1</v>
      </c>
      <c r="DZ23" s="758">
        <f>VLOOKUP(DX23,'Ціни контур теплопостачання'!$Y$24:$AA$36,3,0)</f>
        <v>28.560999999999996</v>
      </c>
      <c r="EA23" s="759">
        <f t="shared" si="64"/>
        <v>28.560999999999996</v>
      </c>
      <c r="EB23" s="751">
        <f t="shared" si="13"/>
        <v>50</v>
      </c>
      <c r="EC23" s="746">
        <v>2</v>
      </c>
      <c r="ED23" s="747">
        <f>VLOOKUP(EB23,'Ціни контур теплопостачання'!$Y$24:$AA$36,3,0)</f>
        <v>28.560999999999996</v>
      </c>
      <c r="EE23" s="748">
        <f t="shared" si="65"/>
        <v>57.121999999999993</v>
      </c>
      <c r="EF23" s="745">
        <f t="shared" si="14"/>
        <v>32</v>
      </c>
      <c r="EG23" s="749">
        <v>1</v>
      </c>
      <c r="EH23" s="747">
        <f>VLOOKUP(EF23,'Ціни контур теплопостачання'!$AO$38:$AQ$50,3,0)</f>
        <v>10.773</v>
      </c>
      <c r="EI23" s="748">
        <f t="shared" si="66"/>
        <v>10.773</v>
      </c>
      <c r="EJ23" s="745">
        <f t="shared" si="15"/>
        <v>20</v>
      </c>
      <c r="EK23" s="745">
        <v>1</v>
      </c>
      <c r="EL23" s="758">
        <f>VLOOKUP(EJ23,'Ціни контур теплопостачання'!$AO$38:$AQ$50,3,0)</f>
        <v>4.5359999999999996</v>
      </c>
      <c r="EM23" s="759">
        <f t="shared" si="67"/>
        <v>4.5359999999999996</v>
      </c>
      <c r="EN23" s="745">
        <f t="shared" si="16"/>
        <v>50</v>
      </c>
      <c r="EO23" s="745">
        <f t="shared" si="17"/>
        <v>2</v>
      </c>
      <c r="EP23" s="758">
        <f>VLOOKUP(EN23,'Ціни контур теплопостачання'!$Y$76:$AA$88,3,0)</f>
        <v>20.6</v>
      </c>
      <c r="EQ23" s="759">
        <f t="shared" si="68"/>
        <v>41.2</v>
      </c>
      <c r="ER23" s="745">
        <f t="shared" si="18"/>
        <v>32</v>
      </c>
      <c r="ES23" s="745">
        <v>1</v>
      </c>
      <c r="ET23" s="758">
        <f>VLOOKUP(ER23,'Ціни контур теплопостачання'!$Y$76:$AA$88,3,0)</f>
        <v>13.15</v>
      </c>
      <c r="EU23" s="759">
        <f t="shared" si="69"/>
        <v>13.15</v>
      </c>
      <c r="EV23" s="745">
        <f t="shared" si="19"/>
        <v>20</v>
      </c>
      <c r="EW23" s="745">
        <v>1</v>
      </c>
      <c r="EX23" s="758">
        <f>VLOOKUP(EV23,'Ціни контур теплопостачання'!$Y$76:$AA$88,3,0)</f>
        <v>11.45</v>
      </c>
      <c r="EY23" s="759">
        <f t="shared" si="70"/>
        <v>11.45</v>
      </c>
      <c r="EZ23" s="758">
        <f t="shared" si="20"/>
        <v>18.830013276681459</v>
      </c>
      <c r="FA23" s="760">
        <v>20</v>
      </c>
      <c r="FB23" s="719">
        <v>2</v>
      </c>
      <c r="FC23" s="747">
        <f>VLOOKUP(FA23,'Ціни контур теплопостачання'!$K$74:$M$79,3,0)</f>
        <v>16.440000000000001</v>
      </c>
      <c r="FD23" s="761">
        <f t="shared" si="21"/>
        <v>32.880000000000003</v>
      </c>
      <c r="FE23" s="762">
        <f t="shared" si="71"/>
        <v>5.7143451143451145</v>
      </c>
      <c r="FF23" s="911">
        <v>9</v>
      </c>
      <c r="FG23" s="900">
        <v>8</v>
      </c>
      <c r="FH23" s="830" t="s">
        <v>1091</v>
      </c>
      <c r="FI23" s="708">
        <v>2</v>
      </c>
      <c r="FJ23" s="709">
        <f>VLOOKUP(FH23,'Ціни контур теплопостачання'!$C$89:$M$105,11,0)</f>
        <v>198.83999999999997</v>
      </c>
      <c r="FK23" s="764">
        <f t="shared" si="72"/>
        <v>397.67999999999995</v>
      </c>
      <c r="FL23" s="912">
        <f t="shared" si="73"/>
        <v>0.76064908722109537</v>
      </c>
      <c r="FM23" s="911">
        <v>9</v>
      </c>
      <c r="FN23" s="900">
        <v>9</v>
      </c>
      <c r="FO23" s="900" t="s">
        <v>1097</v>
      </c>
      <c r="FP23" s="749">
        <v>1</v>
      </c>
      <c r="FQ23" s="747">
        <f>VLOOKUP(FO23,'Ціни контур теплопостачання'!$C$89:$M$105,11,0)</f>
        <v>241.2</v>
      </c>
      <c r="FR23" s="904">
        <f t="shared" si="74"/>
        <v>241.2</v>
      </c>
      <c r="FS23" s="758">
        <f t="array" ref="FS23">MIN(IF('Ціни контур теплопостачання'!$AN$68:$AN$77&gt;(V23*1.2),'Ціни контур теплопостачання'!$AN$68:$AN$77))</f>
        <v>11.13</v>
      </c>
      <c r="FT23" s="749">
        <f>VLOOKUP(FS23,'Ціни контур теплопостачання'!$AN$68:$AO$77,2,0)</f>
        <v>32</v>
      </c>
      <c r="FU23" s="749">
        <v>0</v>
      </c>
      <c r="FV23" s="747">
        <f>VLOOKUP(FT23,'Ціни контур теплопостачання'!$AO$68:$AQ$77,3,0)</f>
        <v>37.183999999999997</v>
      </c>
      <c r="FW23" s="765">
        <f t="shared" si="75"/>
        <v>0</v>
      </c>
      <c r="FX23" s="750">
        <v>15</v>
      </c>
      <c r="FY23" s="746">
        <v>2</v>
      </c>
      <c r="FZ23" s="747">
        <f>VLOOKUP(FX23,'Ціни контур мережний'!$J$73:$M$73,4,0)</f>
        <v>3.4649999999999999</v>
      </c>
      <c r="GA23" s="748">
        <f t="shared" si="76"/>
        <v>6.93</v>
      </c>
      <c r="GB23" s="750">
        <f>VLOOKUP(GC23,'Ціни контур теплопостачання'!$AN$6:$AO$13,2,0)</f>
        <v>25</v>
      </c>
      <c r="GC23" s="751">
        <f t="array" ref="GC23">MIN(IF('Ціни контур теплопостачання'!$AN$6:$AN$13&gt;N23,'Ціни контур теплопостачання'!$AN$6:$AN$13))</f>
        <v>3.5</v>
      </c>
      <c r="GD23" s="751">
        <v>1</v>
      </c>
      <c r="GE23" s="747">
        <f>VLOOKUP(GB23,'Ціни контур теплопостачання'!$AO$6:$AQ$13,3,0)</f>
        <v>76.3506</v>
      </c>
      <c r="GF23" s="748">
        <f t="shared" si="77"/>
        <v>76.3506</v>
      </c>
      <c r="GG23" s="750">
        <f t="shared" si="23"/>
        <v>32</v>
      </c>
      <c r="GH23" s="746">
        <v>1</v>
      </c>
      <c r="GI23" s="747">
        <f>VLOOKUP(GG23,'Ціни контур теплопостачання'!$AO$55:$AQ$63,3,0)</f>
        <v>150.1</v>
      </c>
      <c r="GJ23" s="768">
        <f t="shared" si="78"/>
        <v>150.1</v>
      </c>
      <c r="GK23" s="655" t="str">
        <f t="shared" si="91"/>
        <v>0-150</v>
      </c>
      <c r="GL23" s="720">
        <v>1</v>
      </c>
      <c r="GM23" s="747">
        <f>VLOOKUP(GK23,'Ціни контур мережний'!$I$79:$M$80,5,0)</f>
        <v>15.050156291498967</v>
      </c>
      <c r="GN23" s="748">
        <f t="shared" si="79"/>
        <v>15.050156291498967</v>
      </c>
      <c r="GO23" s="758" t="s">
        <v>109</v>
      </c>
      <c r="GP23" s="749">
        <v>1</v>
      </c>
      <c r="GQ23" s="747">
        <f>VLOOKUP(GO23,'Ціни контур мережний'!$I$79:$M$80,5,0)</f>
        <v>15.050156291498967</v>
      </c>
      <c r="GR23" s="765">
        <f t="shared" si="80"/>
        <v>15.050156291498967</v>
      </c>
      <c r="GS23" s="655" t="s">
        <v>108</v>
      </c>
      <c r="GT23" s="720">
        <v>3</v>
      </c>
      <c r="GU23" s="747">
        <f>VLOOKUP(GS23,'Ціни контур мережний'!$I$67:$M$69,5,0)</f>
        <v>4.4537969640631703</v>
      </c>
      <c r="GV23" s="748">
        <f t="shared" si="81"/>
        <v>13.361390892189512</v>
      </c>
      <c r="GW23" s="655" t="s">
        <v>106</v>
      </c>
      <c r="GX23" s="720">
        <f>11</f>
        <v>11</v>
      </c>
      <c r="GY23" s="747">
        <f>VLOOKUP(GW23,'Ціни контур мережний'!$I$67:$M$69,5,0)</f>
        <v>4.4537969640631703</v>
      </c>
      <c r="GZ23" s="748">
        <f t="shared" si="82"/>
        <v>48.991766604694874</v>
      </c>
      <c r="HA23" s="655" t="s">
        <v>1013</v>
      </c>
      <c r="HB23" s="720">
        <v>4</v>
      </c>
      <c r="HC23" s="747">
        <f>VLOOKUP(HA23,'Ціни контур мережний'!$I$64:$M$64,5,0)</f>
        <v>29.1312</v>
      </c>
      <c r="HD23" s="748">
        <f t="shared" si="83"/>
        <v>116.5248</v>
      </c>
      <c r="HE23" s="766" t="s">
        <v>1015</v>
      </c>
      <c r="HF23" s="749">
        <v>6</v>
      </c>
      <c r="HG23" s="747">
        <f>VLOOKUP(HE23,'Ціни контур мережний'!$I$89:$M$89,5,0)</f>
        <v>79.523165325760516</v>
      </c>
      <c r="HH23" s="765">
        <f t="shared" si="84"/>
        <v>477.1389919545631</v>
      </c>
      <c r="HI23" s="778" t="s">
        <v>1016</v>
      </c>
      <c r="HJ23" s="720">
        <f t="shared" si="92"/>
        <v>7</v>
      </c>
      <c r="HK23" s="747">
        <f>VLOOKUP(HI23,'Ціни контур мережний'!$I$88:$M$88,5,0)</f>
        <v>13.211568975967202</v>
      </c>
      <c r="HL23" s="768">
        <f t="shared" si="85"/>
        <v>92.480982831770419</v>
      </c>
      <c r="HM23" s="757" t="s">
        <v>383</v>
      </c>
      <c r="HN23" s="720">
        <v>1</v>
      </c>
      <c r="HO23" s="747">
        <f>VLOOKUP(HM23,'Ціни контур мережний'!$I$87:$M$87,5,0)</f>
        <v>13.483972460007763</v>
      </c>
      <c r="HP23" s="748">
        <f t="shared" si="86"/>
        <v>13.483972460007763</v>
      </c>
      <c r="HQ23" s="769">
        <f t="shared" si="24"/>
        <v>39</v>
      </c>
      <c r="HR23" s="770">
        <f t="shared" si="87"/>
        <v>4346.0417823526868</v>
      </c>
      <c r="HS23" s="771">
        <v>0</v>
      </c>
      <c r="HT23" s="771">
        <f>'Таблиця цін схема №1'!$JE$44/'Ціни контур мережний'!$G$26</f>
        <v>476.70609707098151</v>
      </c>
      <c r="HU23" s="770">
        <f>'Таблиця цін схема №1'!$JG$8</f>
        <v>661.80181284518619</v>
      </c>
      <c r="HV23" s="770">
        <f>'Таблиця цін схема №1'!$JH$8</f>
        <v>487.81784379022207</v>
      </c>
      <c r="HW23" s="770">
        <f>'Таблиця цін схема №1'!$JI$8</f>
        <v>323.47913729816605</v>
      </c>
      <c r="HX23" s="770">
        <f>'Таблиця цін схема №1'!$JJ$8</f>
        <v>66.611999999999995</v>
      </c>
      <c r="HY23" s="772">
        <v>0</v>
      </c>
      <c r="HZ23" s="772">
        <f>'Таблиця цін схема №1'!$JL$8</f>
        <v>62.86234247089866</v>
      </c>
      <c r="IA23" s="772">
        <v>0</v>
      </c>
      <c r="IB23" s="770">
        <v>0</v>
      </c>
      <c r="IC23" s="913">
        <f t="shared" si="25"/>
        <v>449.77247110796998</v>
      </c>
      <c r="ID23" s="914">
        <f t="shared" si="26"/>
        <v>642.53210158281422</v>
      </c>
      <c r="IE23" s="915">
        <f t="shared" si="27"/>
        <v>110.53148402430088</v>
      </c>
      <c r="IF23" s="776">
        <f>'Таблиця цін схема №1'!$JR$8</f>
        <v>300.63036461094771</v>
      </c>
      <c r="IG23" s="777">
        <f t="shared" si="88"/>
        <v>7928.7874371541748</v>
      </c>
      <c r="II23" s="611">
        <f>[3]Расчеты!AX22/1.2</f>
        <v>4304.2680982042739</v>
      </c>
      <c r="IJ23" s="611">
        <f t="shared" si="89"/>
        <v>12233.05553535845</v>
      </c>
      <c r="IK23" s="611" t="e">
        <f>IJ23*1.2*#REF!</f>
        <v>#REF!</v>
      </c>
      <c r="IL23" s="611"/>
    </row>
    <row r="24" spans="1:248" ht="12.6" customHeight="1">
      <c r="A24" s="610" t="s">
        <v>686</v>
      </c>
      <c r="B24" s="740">
        <v>40</v>
      </c>
      <c r="C24" s="1056" t="s">
        <v>901</v>
      </c>
      <c r="D24" s="892">
        <v>0.43609999999999999</v>
      </c>
      <c r="E24" s="918">
        <v>0.42049999999999998</v>
      </c>
      <c r="F24" s="742">
        <f t="shared" si="28"/>
        <v>18.539259748770924</v>
      </c>
      <c r="G24" s="743">
        <v>80</v>
      </c>
      <c r="H24" s="598">
        <f t="shared" si="29"/>
        <v>7.7902822436584485</v>
      </c>
      <c r="I24" s="599">
        <v>50</v>
      </c>
      <c r="J24" s="598">
        <f t="shared" si="30"/>
        <v>18.13305613305613</v>
      </c>
      <c r="K24" s="599">
        <v>80</v>
      </c>
      <c r="L24" s="598">
        <f t="shared" si="31"/>
        <v>10.748977505112475</v>
      </c>
      <c r="M24" s="599">
        <v>65</v>
      </c>
      <c r="N24" s="598">
        <f t="shared" si="32"/>
        <v>8.5294117647058822</v>
      </c>
      <c r="O24" s="599">
        <v>65</v>
      </c>
      <c r="P24" s="598">
        <f t="shared" si="93"/>
        <v>2.5588235294117645</v>
      </c>
      <c r="Q24" s="599">
        <v>40</v>
      </c>
      <c r="R24" s="598">
        <f t="shared" si="33"/>
        <v>11.017122803696081</v>
      </c>
      <c r="S24" s="600">
        <f t="shared" si="34"/>
        <v>15.201349769373374</v>
      </c>
      <c r="T24" s="744">
        <v>4</v>
      </c>
      <c r="U24" s="601">
        <f t="shared" si="35"/>
        <v>4.5332640332640324</v>
      </c>
      <c r="V24" s="601">
        <f t="shared" si="36"/>
        <v>6.4110034776601514</v>
      </c>
      <c r="W24" s="602">
        <v>40</v>
      </c>
      <c r="X24" s="745">
        <f t="shared" si="0"/>
        <v>80</v>
      </c>
      <c r="Y24" s="746">
        <v>2</v>
      </c>
      <c r="Z24" s="747">
        <f>VLOOKUP(X24,'Ціни контур мережний'!$Z$24:$AB$36,3,0)</f>
        <v>37.693832104112609</v>
      </c>
      <c r="AA24" s="748">
        <f t="shared" si="37"/>
        <v>75.387664208225218</v>
      </c>
      <c r="AB24" s="745">
        <f t="shared" si="1"/>
        <v>80</v>
      </c>
      <c r="AC24" s="749">
        <v>2</v>
      </c>
      <c r="AD24" s="747">
        <f>VLOOKUP(AB24,'Ціни контур мережний'!$Z$64:$AB$77,3,0)</f>
        <v>111.00441974652855</v>
      </c>
      <c r="AE24" s="748">
        <f t="shared" si="38"/>
        <v>222.00883949305711</v>
      </c>
      <c r="AF24" s="745">
        <f t="shared" si="2"/>
        <v>80</v>
      </c>
      <c r="AG24" s="746">
        <v>1</v>
      </c>
      <c r="AH24" s="747">
        <f>VLOOKUP(AF24,'Ціни контур мережний'!$Z$5:$AB$17,3,0)</f>
        <v>50.12</v>
      </c>
      <c r="AI24" s="748">
        <f t="shared" si="39"/>
        <v>50.12</v>
      </c>
      <c r="AJ24" s="750">
        <f t="shared" si="3"/>
        <v>50</v>
      </c>
      <c r="AK24" s="746">
        <v>3</v>
      </c>
      <c r="AL24" s="747">
        <f>VLOOKUP(AJ24,'Ціни контур мережний'!$Z$43:$AB$55,3,0)</f>
        <v>23.2782130224622</v>
      </c>
      <c r="AM24" s="748">
        <f t="shared" si="40"/>
        <v>69.834639067386604</v>
      </c>
      <c r="AN24" s="745">
        <f t="shared" si="4"/>
        <v>65</v>
      </c>
      <c r="AO24" s="749">
        <v>4</v>
      </c>
      <c r="AP24" s="747">
        <f>VLOOKUP(AN24,'Ціни контур мережний'!$Z$43:$AB$55,3,0)</f>
        <v>30.19184015363556</v>
      </c>
      <c r="AQ24" s="759">
        <f t="shared" si="41"/>
        <v>120.76736061454224</v>
      </c>
      <c r="AR24" s="751" t="str">
        <f t="shared" si="42"/>
        <v>AMV20</v>
      </c>
      <c r="AS24" s="751">
        <v>1</v>
      </c>
      <c r="AT24" s="747">
        <f>VLOOKUP(AR24,'Ціни контур мережний'!$I$53:$M$57,5,0)</f>
        <v>110.39869654932889</v>
      </c>
      <c r="AU24" s="748">
        <f t="shared" si="43"/>
        <v>110.39869654932889</v>
      </c>
      <c r="AV24" s="752">
        <f t="array" ref="AV24">MIN(IF('Ціни контур мережний'!$Y$83:$Y$92&gt;(R24*1.2),'Ціни контур мережний'!$Y$83:$Y$92))</f>
        <v>16</v>
      </c>
      <c r="AW24" s="746">
        <f>VLOOKUP(AV24,'Ціни контур мережний'!$Y$83:$Z$92,2,0)</f>
        <v>32</v>
      </c>
      <c r="AX24" s="746">
        <v>1</v>
      </c>
      <c r="AY24" s="747">
        <f>VLOOKUP(AV24,'Ціни контур мережний'!$Y$83:$AB$92,4,0)</f>
        <v>130.5392363168325</v>
      </c>
      <c r="AZ24" s="748">
        <f t="shared" si="44"/>
        <v>130.5392363168325</v>
      </c>
      <c r="BA24" s="1099">
        <v>20</v>
      </c>
      <c r="BB24" s="1101">
        <f>VLOOKUP(BA24,'[1]Ціни контур мережний'!$Y$104:$Z$114,2,0)</f>
        <v>50</v>
      </c>
      <c r="BC24" s="753">
        <v>1</v>
      </c>
      <c r="BD24" s="754">
        <f>VLOOKUP(BA24,'Ціни контур мережний'!$Y$104:$AB$114,4,0)</f>
        <v>448.22326189551967</v>
      </c>
      <c r="BE24" s="755">
        <f t="shared" si="45"/>
        <v>448.22326189551967</v>
      </c>
      <c r="BF24" s="751" t="s">
        <v>67</v>
      </c>
      <c r="BG24" s="749">
        <v>1</v>
      </c>
      <c r="BH24" s="747">
        <f>VLOOKUP(BF24,'Ціни контур мережний'!$I$53:$M$57,5,0)</f>
        <v>157.67238032974441</v>
      </c>
      <c r="BI24" s="768">
        <f t="shared" si="46"/>
        <v>157.67238032974441</v>
      </c>
      <c r="BJ24" s="894">
        <f t="array" ref="BJ24">MIN(IF('Ціни контур мережний'!$Y$83:$Y$93&gt;(S24*1.2),'Ціни контур мережний'!$Y$83:$Y$93))</f>
        <v>25</v>
      </c>
      <c r="BK24" s="895">
        <f>VLOOKUP(BJ24,'Ціни контур мережний'!$Y$83:$Z$93,2,0)</f>
        <v>40</v>
      </c>
      <c r="BL24" s="895">
        <v>1</v>
      </c>
      <c r="BM24" s="896">
        <f>VLOOKUP(BJ24,'Ціни контур мережний'!$Y$83:$AB$93,4,0)</f>
        <v>156.6569554824606</v>
      </c>
      <c r="BN24" s="916">
        <f t="shared" si="47"/>
        <v>156.6569554824606</v>
      </c>
      <c r="BO24" s="896">
        <f t="array" ref="BO24">MIN(IF('Ціни контур мережний'!$Y$104:$Y$114&gt;(S24*1.2),'Ціни контур мережний'!$Y$104:$Y$114))</f>
        <v>20</v>
      </c>
      <c r="BP24" s="895">
        <f>VLOOKUP(BO24,'Ціни контур мережний'!$Y$104:$Z$114,2,0)</f>
        <v>40</v>
      </c>
      <c r="BQ24" s="895">
        <v>1</v>
      </c>
      <c r="BR24" s="896">
        <f>VLOOKUP(BO24,'Ціни контур мережний'!$Y$104:$AB$114,4,0)</f>
        <v>448.22326189551967</v>
      </c>
      <c r="BS24" s="897">
        <f t="shared" si="48"/>
        <v>448.22326189551967</v>
      </c>
      <c r="BT24" s="751">
        <f>VLOOKUP(BU24,'Ціни контур мережний'!$J$5:$L$12,3,0)</f>
        <v>40</v>
      </c>
      <c r="BU24" s="751">
        <f t="array" ref="BU24">MIN(IF('Ціни контур мережний'!$J$5:$J$12&gt;H24,'Ціни контур мережний'!$J$5:$J$12))</f>
        <v>10</v>
      </c>
      <c r="BV24" s="746" t="s">
        <v>130</v>
      </c>
      <c r="BW24" s="756">
        <v>1</v>
      </c>
      <c r="BX24" s="747">
        <f>VLOOKUP(BU24,'Ціни контур мережний'!$J$5:$N$12,5,0)</f>
        <v>375.23999999999995</v>
      </c>
      <c r="BY24" s="748">
        <f t="shared" si="49"/>
        <v>375.23999999999995</v>
      </c>
      <c r="BZ24" s="745">
        <f>VLOOKUP(CA24,'Ціни контур мережний'!$J$5:$L$12,3,0)</f>
        <v>50</v>
      </c>
      <c r="CA24" s="747">
        <f t="array" ref="CA24">MIN(IF('Ціни контур мережний'!$J$5:$J$12&gt;L24,'Ціни контур мережний'!$J$5:$J$12))</f>
        <v>15</v>
      </c>
      <c r="CB24" s="746" t="s">
        <v>130</v>
      </c>
      <c r="CC24" s="749">
        <v>1</v>
      </c>
      <c r="CD24" s="747">
        <f>VLOOKUP(CA24,'Ціни контур мережний'!$J$5:$N$12,5,0)</f>
        <v>366.74399999999997</v>
      </c>
      <c r="CE24" s="748">
        <f t="shared" si="50"/>
        <v>366.74399999999997</v>
      </c>
      <c r="CF24" s="898" t="s">
        <v>1350</v>
      </c>
      <c r="CG24" s="899">
        <v>1</v>
      </c>
      <c r="CH24" s="900">
        <v>772</v>
      </c>
      <c r="CI24" s="901">
        <f t="shared" si="51"/>
        <v>772</v>
      </c>
      <c r="CJ24" s="751">
        <f t="shared" si="5"/>
        <v>80</v>
      </c>
      <c r="CK24" s="746">
        <v>4</v>
      </c>
      <c r="CL24" s="747">
        <f>VLOOKUP(CJ24,'Ціни контур теплопостачання'!$Y$5:$AA$17,3,0)</f>
        <v>37.693832104112609</v>
      </c>
      <c r="CM24" s="748">
        <f t="shared" si="52"/>
        <v>150.77532841645044</v>
      </c>
      <c r="CN24" s="750">
        <f t="shared" si="6"/>
        <v>65</v>
      </c>
      <c r="CO24" s="746">
        <v>6</v>
      </c>
      <c r="CP24" s="747">
        <f>VLOOKUP(CN24,'Ціни контур теплопостачання'!$AO$20:$AQ$29,3,0)</f>
        <v>42.675547020246391</v>
      </c>
      <c r="CQ24" s="748">
        <f t="shared" si="53"/>
        <v>256.05328212147833</v>
      </c>
      <c r="CR24" s="750">
        <f t="shared" si="7"/>
        <v>40</v>
      </c>
      <c r="CS24" s="746">
        <v>3</v>
      </c>
      <c r="CT24" s="747">
        <f>VLOOKUP(CR24,'Ціни контур теплопостачання'!$AO$20:$AQ$29,3,0)</f>
        <v>37.980000000000004</v>
      </c>
      <c r="CU24" s="748">
        <f t="shared" si="54"/>
        <v>113.94000000000001</v>
      </c>
      <c r="CV24" s="757">
        <f t="shared" si="8"/>
        <v>40</v>
      </c>
      <c r="CW24" s="746">
        <f t="shared" si="9"/>
        <v>8</v>
      </c>
      <c r="CX24" s="747">
        <f>VLOOKUP(CV24,'Ціни контур теплопостачання'!$Y$5:$AA$17,3,0)</f>
        <v>18.42400964308333</v>
      </c>
      <c r="CY24" s="748">
        <f t="shared" si="55"/>
        <v>147.39207714466664</v>
      </c>
      <c r="CZ24" s="745">
        <v>20</v>
      </c>
      <c r="DA24" s="749">
        <v>2</v>
      </c>
      <c r="DB24" s="747">
        <f>VLOOKUP(CZ24,'Ціни контур теплопостачання'!$Y$5:$AA$17,3,0)</f>
        <v>3.577</v>
      </c>
      <c r="DC24" s="748">
        <f t="shared" si="56"/>
        <v>7.1539999999999999</v>
      </c>
      <c r="DD24" s="745">
        <v>15</v>
      </c>
      <c r="DE24" s="745">
        <v>8</v>
      </c>
      <c r="DF24" s="758">
        <f>VLOOKUP(DD24,'Ціни контур теплопостачання'!$Y$5:$AA$17,3,0)</f>
        <v>2.464</v>
      </c>
      <c r="DG24" s="759">
        <f t="shared" si="57"/>
        <v>19.712</v>
      </c>
      <c r="DH24" s="745">
        <v>15</v>
      </c>
      <c r="DI24" s="745">
        <f t="shared" si="58"/>
        <v>39</v>
      </c>
      <c r="DJ24" s="758">
        <f>VLOOKUP(DH24,'Ціни контур мережний'!$J$71:$M$71,4,0)</f>
        <v>3.3865201135922525</v>
      </c>
      <c r="DK24" s="759">
        <f t="shared" si="59"/>
        <v>132.07428443009783</v>
      </c>
      <c r="DL24" s="751">
        <f t="shared" si="10"/>
        <v>80</v>
      </c>
      <c r="DM24" s="746">
        <v>1</v>
      </c>
      <c r="DN24" s="747">
        <f>VLOOKUP(DL24,'Ціни контур теплопостачання'!$K$5:$M$17,3,0)</f>
        <v>50.12</v>
      </c>
      <c r="DO24" s="748">
        <f t="shared" si="60"/>
        <v>50.12</v>
      </c>
      <c r="DP24" s="745">
        <f t="shared" si="11"/>
        <v>65</v>
      </c>
      <c r="DQ24" s="749">
        <v>1</v>
      </c>
      <c r="DR24" s="747">
        <f>VLOOKUP(DP24,'Ціни контур теплопостачання'!$K$5:$M$17,3,0)</f>
        <v>39.731999999999999</v>
      </c>
      <c r="DS24" s="748">
        <f t="shared" si="61"/>
        <v>39.731999999999999</v>
      </c>
      <c r="DT24" s="745">
        <f t="shared" si="12"/>
        <v>40</v>
      </c>
      <c r="DU24" s="745">
        <v>1</v>
      </c>
      <c r="DV24" s="758">
        <f>VLOOKUP(DT24,'Ціни контур теплопостачання'!$K$5:$M$17,3,0)</f>
        <v>23.225999999999999</v>
      </c>
      <c r="DW24" s="759">
        <f t="shared" si="62"/>
        <v>23.225999999999999</v>
      </c>
      <c r="DX24" s="745">
        <f t="shared" si="63"/>
        <v>80</v>
      </c>
      <c r="DY24" s="745">
        <v>1</v>
      </c>
      <c r="DZ24" s="758">
        <f>VLOOKUP(DX24,'Ціни контур теплопостачання'!$Y$24:$AA$36,3,0)</f>
        <v>60.079499999999996</v>
      </c>
      <c r="EA24" s="759">
        <f t="shared" si="64"/>
        <v>60.079499999999996</v>
      </c>
      <c r="EB24" s="751">
        <f t="shared" si="13"/>
        <v>80</v>
      </c>
      <c r="EC24" s="746">
        <v>2</v>
      </c>
      <c r="ED24" s="747">
        <f>VLOOKUP(EB24,'Ціни контур теплопостачання'!$Y$24:$AA$36,3,0)</f>
        <v>60.079499999999996</v>
      </c>
      <c r="EE24" s="748">
        <f t="shared" si="65"/>
        <v>120.15899999999999</v>
      </c>
      <c r="EF24" s="745">
        <f t="shared" si="14"/>
        <v>65</v>
      </c>
      <c r="EG24" s="749">
        <v>1</v>
      </c>
      <c r="EH24" s="747">
        <f>VLOOKUP(EF24,'Ціни контур теплопостачання'!$AO$38:$AQ$50,3,0)</f>
        <v>42.080999999999996</v>
      </c>
      <c r="EI24" s="748">
        <f t="shared" si="66"/>
        <v>42.080999999999996</v>
      </c>
      <c r="EJ24" s="745">
        <f t="shared" si="15"/>
        <v>40</v>
      </c>
      <c r="EK24" s="745">
        <v>1</v>
      </c>
      <c r="EL24" s="758">
        <f>VLOOKUP(EJ24,'Ціни контур теплопостачання'!$AO$38:$AQ$50,3,0)</f>
        <v>20.3645</v>
      </c>
      <c r="EM24" s="759">
        <f t="shared" si="67"/>
        <v>20.3645</v>
      </c>
      <c r="EN24" s="745">
        <f t="shared" si="16"/>
        <v>40</v>
      </c>
      <c r="EO24" s="745">
        <f t="shared" si="17"/>
        <v>8</v>
      </c>
      <c r="EP24" s="758">
        <f>VLOOKUP(EN24,'Ціни контур теплопостачання'!$Y$76:$AA$88,3,0)</f>
        <v>16.809999999999999</v>
      </c>
      <c r="EQ24" s="759">
        <f t="shared" si="68"/>
        <v>134.47999999999999</v>
      </c>
      <c r="ER24" s="745">
        <f t="shared" si="18"/>
        <v>65</v>
      </c>
      <c r="ES24" s="745">
        <v>1</v>
      </c>
      <c r="ET24" s="758">
        <f>VLOOKUP(ER24,'Ціни контур теплопостачання'!$Y$76:$AA$88,3,0)</f>
        <v>26.33</v>
      </c>
      <c r="EU24" s="759">
        <f t="shared" si="69"/>
        <v>26.33</v>
      </c>
      <c r="EV24" s="745">
        <f t="shared" si="19"/>
        <v>40</v>
      </c>
      <c r="EW24" s="745">
        <v>1</v>
      </c>
      <c r="EX24" s="758">
        <f>VLOOKUP(EV24,'Ціни контур теплопостачання'!$Y$76:$AA$88,3,0)</f>
        <v>16.809999999999999</v>
      </c>
      <c r="EY24" s="759">
        <f t="shared" si="70"/>
        <v>16.809999999999999</v>
      </c>
      <c r="EZ24" s="758">
        <f t="shared" si="20"/>
        <v>33.543076781953083</v>
      </c>
      <c r="FA24" s="760">
        <v>40</v>
      </c>
      <c r="FB24" s="719">
        <v>2</v>
      </c>
      <c r="FC24" s="747">
        <f>VLOOKUP(FA24,'Ціни контур теплопостачання'!$K$74:$M$79,3,0)</f>
        <v>43.19</v>
      </c>
      <c r="FD24" s="761">
        <f t="shared" si="21"/>
        <v>86.38</v>
      </c>
      <c r="FE24" s="762">
        <f t="shared" si="71"/>
        <v>18.13305613305613</v>
      </c>
      <c r="FF24" s="902">
        <v>9</v>
      </c>
      <c r="FG24" s="900">
        <v>8</v>
      </c>
      <c r="FH24" s="830" t="s">
        <v>1090</v>
      </c>
      <c r="FI24" s="708">
        <v>2</v>
      </c>
      <c r="FJ24" s="709">
        <f>VLOOKUP(FH24,'Ціни контур теплопостачання'!$C$89:$M$105,11,0)</f>
        <v>648.69600000000003</v>
      </c>
      <c r="FK24" s="764">
        <f t="shared" si="72"/>
        <v>1297.3920000000001</v>
      </c>
      <c r="FL24" s="912">
        <f t="shared" si="73"/>
        <v>2.5588235294117645</v>
      </c>
      <c r="FM24" s="902">
        <v>9</v>
      </c>
      <c r="FN24" s="900">
        <v>9</v>
      </c>
      <c r="FO24" s="900" t="s">
        <v>1097</v>
      </c>
      <c r="FP24" s="749">
        <v>1</v>
      </c>
      <c r="FQ24" s="747">
        <f>VLOOKUP(FO24,'Ціни контур теплопостачання'!$C$89:$M$105,11,0)</f>
        <v>241.2</v>
      </c>
      <c r="FR24" s="904">
        <f t="shared" si="74"/>
        <v>241.2</v>
      </c>
      <c r="FS24" s="758">
        <f t="array" ref="FS24">MIN(IF('Ціни контур теплопостачання'!$AN$68:$AN$77&gt;(V24*1.2),'Ціни контур теплопостачання'!$AN$68:$AN$77))</f>
        <v>11.13</v>
      </c>
      <c r="FT24" s="749">
        <f>VLOOKUP(FS24,'Ціни контур теплопостачання'!$AN$68:$AO$77,2,0)</f>
        <v>32</v>
      </c>
      <c r="FU24" s="749">
        <f t="shared" si="22"/>
        <v>4</v>
      </c>
      <c r="FV24" s="747">
        <f>VLOOKUP(FT24,'Ціни контур теплопостачання'!$AO$68:$AQ$77,3,0)</f>
        <v>37.183999999999997</v>
      </c>
      <c r="FW24" s="765">
        <f t="shared" si="75"/>
        <v>148.73599999999999</v>
      </c>
      <c r="FX24" s="750">
        <v>15</v>
      </c>
      <c r="FY24" s="746">
        <v>2</v>
      </c>
      <c r="FZ24" s="747">
        <f>VLOOKUP(FX24,'Ціни контур мережний'!$J$73:$M$73,4,0)</f>
        <v>3.4649999999999999</v>
      </c>
      <c r="GA24" s="748">
        <f t="shared" si="76"/>
        <v>6.93</v>
      </c>
      <c r="GB24" s="750">
        <f>VLOOKUP(GC24,'Ціни контур теплопостачання'!$AN$6:$AO$13,2,0)</f>
        <v>40</v>
      </c>
      <c r="GC24" s="751">
        <f t="array" ref="GC24">MIN(IF('Ціни контур теплопостачання'!$AN$6:$AN$13&gt;N24,'Ціни контур теплопостачання'!$AN$6:$AN$13))</f>
        <v>15</v>
      </c>
      <c r="GD24" s="751">
        <v>1</v>
      </c>
      <c r="GE24" s="747">
        <f>VLOOKUP(GB24,'Ціни контур теплопостачання'!$AO$6:$AQ$13,3,0)</f>
        <v>140.82444000000001</v>
      </c>
      <c r="GF24" s="748">
        <f t="shared" si="77"/>
        <v>140.82444000000001</v>
      </c>
      <c r="GG24" s="750">
        <f t="shared" si="23"/>
        <v>65</v>
      </c>
      <c r="GH24" s="746">
        <v>1</v>
      </c>
      <c r="GI24" s="747">
        <f>VLOOKUP(GG24,'Ціни контур теплопостачання'!$AO$55:$AQ$63,3,0)</f>
        <v>426.6</v>
      </c>
      <c r="GJ24" s="768">
        <f t="shared" si="78"/>
        <v>426.6</v>
      </c>
      <c r="GK24" s="655" t="str">
        <f t="shared" si="91"/>
        <v>0-150</v>
      </c>
      <c r="GL24" s="720">
        <v>1</v>
      </c>
      <c r="GM24" s="747">
        <f>VLOOKUP(GK24,'Ціни контур мережний'!$I$79:$M$80,5,0)</f>
        <v>15.050156291498967</v>
      </c>
      <c r="GN24" s="748">
        <f t="shared" si="79"/>
        <v>15.050156291498967</v>
      </c>
      <c r="GO24" s="758" t="s">
        <v>109</v>
      </c>
      <c r="GP24" s="749">
        <v>5</v>
      </c>
      <c r="GQ24" s="747">
        <f>VLOOKUP(GO24,'Ціни контур мережний'!$I$79:$M$80,5,0)</f>
        <v>15.050156291498967</v>
      </c>
      <c r="GR24" s="765">
        <f t="shared" si="80"/>
        <v>75.250781457494838</v>
      </c>
      <c r="GS24" s="655" t="s">
        <v>108</v>
      </c>
      <c r="GT24" s="720">
        <v>5</v>
      </c>
      <c r="GU24" s="747">
        <f>VLOOKUP(GS24,'Ціни контур мережний'!$I$67:$M$69,5,0)</f>
        <v>4.4537969640631703</v>
      </c>
      <c r="GV24" s="748">
        <f t="shared" si="81"/>
        <v>22.26898482031585</v>
      </c>
      <c r="GW24" s="655" t="s">
        <v>106</v>
      </c>
      <c r="GX24" s="720">
        <f>11+T24</f>
        <v>15</v>
      </c>
      <c r="GY24" s="747">
        <f>VLOOKUP(GW24,'Ціни контур мережний'!$I$67:$M$69,5,0)</f>
        <v>4.4537969640631703</v>
      </c>
      <c r="GZ24" s="748">
        <f t="shared" si="82"/>
        <v>66.806954460947551</v>
      </c>
      <c r="HA24" s="655" t="s">
        <v>1013</v>
      </c>
      <c r="HB24" s="720">
        <v>4</v>
      </c>
      <c r="HC24" s="747">
        <f>VLOOKUP(HA24,'Ціни контур мережний'!$I$64:$M$64,5,0)</f>
        <v>29.1312</v>
      </c>
      <c r="HD24" s="748">
        <f t="shared" si="83"/>
        <v>116.5248</v>
      </c>
      <c r="HE24" s="766" t="s">
        <v>1015</v>
      </c>
      <c r="HF24" s="749">
        <v>6</v>
      </c>
      <c r="HG24" s="747">
        <f>VLOOKUP(HE24,'Ціни контур мережний'!$I$89:$M$89,5,0)</f>
        <v>79.523165325760516</v>
      </c>
      <c r="HH24" s="765">
        <f t="shared" si="84"/>
        <v>477.1389919545631</v>
      </c>
      <c r="HI24" s="767" t="s">
        <v>1016</v>
      </c>
      <c r="HJ24" s="720">
        <f t="shared" si="92"/>
        <v>7</v>
      </c>
      <c r="HK24" s="747">
        <f>VLOOKUP(HI24,'Ціни контур мережний'!$I$88:$M$88,5,0)</f>
        <v>13.211568975967202</v>
      </c>
      <c r="HL24" s="768">
        <f t="shared" si="85"/>
        <v>92.480982831770419</v>
      </c>
      <c r="HM24" s="767" t="s">
        <v>383</v>
      </c>
      <c r="HN24" s="720">
        <v>1</v>
      </c>
      <c r="HO24" s="747">
        <f>VLOOKUP(HM24,'Ціни контур мережний'!$I$87:$M$87,5,0)</f>
        <v>13.483972460007763</v>
      </c>
      <c r="HP24" s="748">
        <f t="shared" si="86"/>
        <v>13.483972460007763</v>
      </c>
      <c r="HQ24" s="769">
        <f t="shared" si="24"/>
        <v>40</v>
      </c>
      <c r="HR24" s="770">
        <f t="shared" si="87"/>
        <v>8091.367332241909</v>
      </c>
      <c r="HS24" s="771">
        <v>0</v>
      </c>
      <c r="HT24" s="771">
        <f>'Таблиця цін схема №1'!$JE$45/'Ціни контур мережний'!$G$26</f>
        <v>578.85740358619182</v>
      </c>
      <c r="HU24" s="770">
        <f>'Таблиця цін схема №1'!$JG$8</f>
        <v>661.80181284518619</v>
      </c>
      <c r="HV24" s="770">
        <f>'Таблиця цін схема №1'!$JH$8</f>
        <v>487.81784379022207</v>
      </c>
      <c r="HW24" s="770">
        <f>'Таблиця цін схема №1'!$JI$8</f>
        <v>323.47913729816605</v>
      </c>
      <c r="HX24" s="770">
        <f>'Таблиця цін схема №1'!$JJ$8</f>
        <v>66.611999999999995</v>
      </c>
      <c r="HY24" s="772">
        <v>0</v>
      </c>
      <c r="HZ24" s="772">
        <f>'Таблиця цін схема №1'!$JL$8</f>
        <v>62.86234247089866</v>
      </c>
      <c r="IA24" s="772">
        <v>0</v>
      </c>
      <c r="IB24" s="770">
        <v>0</v>
      </c>
      <c r="IC24" s="773">
        <f t="shared" si="25"/>
        <v>719.09585105628003</v>
      </c>
      <c r="ID24" s="774">
        <f t="shared" si="26"/>
        <v>1027.2797872232572</v>
      </c>
      <c r="IE24" s="775">
        <f t="shared" si="27"/>
        <v>176.71764431729207</v>
      </c>
      <c r="IF24" s="776">
        <f>'Таблиця цін схема №1'!$JR$8</f>
        <v>300.63036461094771</v>
      </c>
      <c r="IG24" s="777">
        <f t="shared" si="88"/>
        <v>12496.521519440348</v>
      </c>
      <c r="II24" s="616">
        <f>[3]Расчеты!AX23/1.2</f>
        <v>4539.4533686798559</v>
      </c>
      <c r="IJ24" s="616">
        <f t="shared" si="89"/>
        <v>17035.974888120203</v>
      </c>
      <c r="IK24" s="616" t="e">
        <f>IJ24*1.2*#REF!</f>
        <v>#REF!</v>
      </c>
      <c r="IL24" s="616"/>
    </row>
    <row r="25" spans="1:248" ht="12.6" customHeight="1">
      <c r="A25" s="610" t="s">
        <v>686</v>
      </c>
      <c r="B25" s="905">
        <v>41</v>
      </c>
      <c r="C25" s="1056" t="s">
        <v>902</v>
      </c>
      <c r="D25" s="906">
        <v>0.43609999999999999</v>
      </c>
      <c r="E25" s="907">
        <v>0.42049999999999998</v>
      </c>
      <c r="F25" s="908">
        <f t="shared" si="28"/>
        <v>18.539259748770924</v>
      </c>
      <c r="G25" s="909">
        <v>80</v>
      </c>
      <c r="H25" s="598">
        <f t="shared" si="29"/>
        <v>7.7902822436584485</v>
      </c>
      <c r="I25" s="599">
        <v>50</v>
      </c>
      <c r="J25" s="598">
        <f t="shared" si="30"/>
        <v>18.13305613305613</v>
      </c>
      <c r="K25" s="599">
        <v>80</v>
      </c>
      <c r="L25" s="598">
        <f t="shared" si="31"/>
        <v>10.748977505112475</v>
      </c>
      <c r="M25" s="599">
        <v>65</v>
      </c>
      <c r="N25" s="598">
        <f t="shared" si="32"/>
        <v>8.5294117647058822</v>
      </c>
      <c r="O25" s="599">
        <v>65</v>
      </c>
      <c r="P25" s="598">
        <f t="shared" si="93"/>
        <v>2.5588235294117645</v>
      </c>
      <c r="Q25" s="599">
        <v>40</v>
      </c>
      <c r="R25" s="598">
        <f t="shared" si="33"/>
        <v>11.017122803696081</v>
      </c>
      <c r="S25" s="600">
        <f t="shared" si="34"/>
        <v>15.201349769373374</v>
      </c>
      <c r="T25" s="910">
        <v>4</v>
      </c>
      <c r="U25" s="601">
        <f t="shared" si="35"/>
        <v>4.5332640332640324</v>
      </c>
      <c r="V25" s="601">
        <f t="shared" si="36"/>
        <v>6.4110034776601514</v>
      </c>
      <c r="W25" s="602">
        <v>40</v>
      </c>
      <c r="X25" s="745">
        <f t="shared" si="0"/>
        <v>80</v>
      </c>
      <c r="Y25" s="746">
        <v>2</v>
      </c>
      <c r="Z25" s="747">
        <f>VLOOKUP(X25,'Ціни контур мережний'!$Z$24:$AB$36,3,0)</f>
        <v>37.693832104112609</v>
      </c>
      <c r="AA25" s="748">
        <f t="shared" si="37"/>
        <v>75.387664208225218</v>
      </c>
      <c r="AB25" s="745">
        <f t="shared" si="1"/>
        <v>80</v>
      </c>
      <c r="AC25" s="749">
        <v>2</v>
      </c>
      <c r="AD25" s="747">
        <f>VLOOKUP(AB25,'Ціни контур мережний'!$Z$64:$AB$77,3,0)</f>
        <v>111.00441974652855</v>
      </c>
      <c r="AE25" s="748">
        <f t="shared" si="38"/>
        <v>222.00883949305711</v>
      </c>
      <c r="AF25" s="745">
        <f t="shared" si="2"/>
        <v>80</v>
      </c>
      <c r="AG25" s="746">
        <v>0</v>
      </c>
      <c r="AH25" s="747">
        <f>VLOOKUP(AF25,'Ціни контур мережний'!$Z$5:$AB$17,3,0)</f>
        <v>50.12</v>
      </c>
      <c r="AI25" s="748">
        <f t="shared" si="39"/>
        <v>0</v>
      </c>
      <c r="AJ25" s="750">
        <f t="shared" si="3"/>
        <v>50</v>
      </c>
      <c r="AK25" s="746">
        <v>1</v>
      </c>
      <c r="AL25" s="747">
        <f>VLOOKUP(AJ25,'Ціни контур мережний'!$Z$43:$AB$55,3,0)</f>
        <v>23.2782130224622</v>
      </c>
      <c r="AM25" s="748">
        <f t="shared" si="40"/>
        <v>23.2782130224622</v>
      </c>
      <c r="AN25" s="745">
        <f t="shared" si="4"/>
        <v>65</v>
      </c>
      <c r="AO25" s="749">
        <v>4</v>
      </c>
      <c r="AP25" s="747">
        <f>VLOOKUP(AN25,'Ціни контур мережний'!$Z$43:$AB$55,3,0)</f>
        <v>30.19184015363556</v>
      </c>
      <c r="AQ25" s="759">
        <f t="shared" si="41"/>
        <v>120.76736061454224</v>
      </c>
      <c r="AR25" s="751" t="str">
        <f t="shared" si="42"/>
        <v>AMV20</v>
      </c>
      <c r="AS25" s="751">
        <v>1</v>
      </c>
      <c r="AT25" s="747">
        <f>VLOOKUP(AR25,'Ціни контур мережний'!$I$53:$M$57,5,0)</f>
        <v>110.39869654932889</v>
      </c>
      <c r="AU25" s="748">
        <f t="shared" si="43"/>
        <v>110.39869654932889</v>
      </c>
      <c r="AV25" s="752">
        <f t="array" ref="AV25">MIN(IF('Ціни контур мережний'!$Y$83:$Y$92&gt;(R25*1.2),'Ціни контур мережний'!$Y$83:$Y$92))</f>
        <v>16</v>
      </c>
      <c r="AW25" s="746">
        <f>VLOOKUP(AV25,'Ціни контур мережний'!$Y$83:$Z$92,2,0)</f>
        <v>32</v>
      </c>
      <c r="AX25" s="746">
        <v>1</v>
      </c>
      <c r="AY25" s="747">
        <f>VLOOKUP(AV25,'Ціни контур мережний'!$Y$83:$AB$92,4,0)</f>
        <v>130.5392363168325</v>
      </c>
      <c r="AZ25" s="748">
        <f t="shared" si="44"/>
        <v>130.5392363168325</v>
      </c>
      <c r="BA25" s="1099">
        <v>20</v>
      </c>
      <c r="BB25" s="1101">
        <f>VLOOKUP(BA25,'[1]Ціни контур мережний'!$Y$104:$Z$114,2,0)</f>
        <v>50</v>
      </c>
      <c r="BC25" s="753">
        <v>1</v>
      </c>
      <c r="BD25" s="754">
        <f>VLOOKUP(BA25,'Ціни контур мережний'!$Y$104:$AB$114,4,0)</f>
        <v>448.22326189551967</v>
      </c>
      <c r="BE25" s="755">
        <f t="shared" si="45"/>
        <v>448.22326189551967</v>
      </c>
      <c r="BF25" s="751" t="s">
        <v>67</v>
      </c>
      <c r="BG25" s="749">
        <v>1</v>
      </c>
      <c r="BH25" s="747">
        <f>VLOOKUP(BF25,'Ціни контур мережний'!$I$53:$M$57,5,0)</f>
        <v>157.67238032974441</v>
      </c>
      <c r="BI25" s="768">
        <f t="shared" si="46"/>
        <v>157.67238032974441</v>
      </c>
      <c r="BJ25" s="894">
        <f t="array" ref="BJ25">MIN(IF('Ціни контур мережний'!$Y$83:$Y$93&gt;(S25*1.2),'Ціни контур мережний'!$Y$83:$Y$93))</f>
        <v>25</v>
      </c>
      <c r="BK25" s="895">
        <f>VLOOKUP(BJ25,'Ціни контур мережний'!$Y$83:$Z$93,2,0)</f>
        <v>40</v>
      </c>
      <c r="BL25" s="895">
        <v>1</v>
      </c>
      <c r="BM25" s="896">
        <f>VLOOKUP(BJ25,'Ціни контур мережний'!$Y$83:$AB$93,4,0)</f>
        <v>156.6569554824606</v>
      </c>
      <c r="BN25" s="916">
        <f t="shared" si="47"/>
        <v>156.6569554824606</v>
      </c>
      <c r="BO25" s="896">
        <f t="array" ref="BO25">MIN(IF('Ціни контур мережний'!$Y$104:$Y$114&gt;(S25*1.2),'Ціни контур мережний'!$Y$104:$Y$114))</f>
        <v>20</v>
      </c>
      <c r="BP25" s="895">
        <f>VLOOKUP(BO25,'Ціни контур мережний'!$Y$104:$Z$114,2,0)</f>
        <v>40</v>
      </c>
      <c r="BQ25" s="895">
        <v>1</v>
      </c>
      <c r="BR25" s="896">
        <f>VLOOKUP(BO25,'Ціни контур мережний'!$Y$104:$AB$114,4,0)</f>
        <v>448.22326189551967</v>
      </c>
      <c r="BS25" s="897">
        <f t="shared" si="48"/>
        <v>448.22326189551967</v>
      </c>
      <c r="BT25" s="751" t="s">
        <v>115</v>
      </c>
      <c r="BU25" s="751" t="s">
        <v>115</v>
      </c>
      <c r="BV25" s="746" t="s">
        <v>1025</v>
      </c>
      <c r="BW25" s="756">
        <v>0</v>
      </c>
      <c r="BX25" s="747">
        <v>0</v>
      </c>
      <c r="BY25" s="748">
        <f t="shared" si="49"/>
        <v>0</v>
      </c>
      <c r="BZ25" s="745">
        <f>VLOOKUP(CA25,'Ціни контур мережний'!$J$5:$L$12,3,0)</f>
        <v>50</v>
      </c>
      <c r="CA25" s="747">
        <f t="array" ref="CA25">MIN(IF('Ціни контур мережний'!$J$5:$J$12&gt;L25,'Ціни контур мережний'!$J$5:$J$12))</f>
        <v>15</v>
      </c>
      <c r="CB25" s="746" t="s">
        <v>130</v>
      </c>
      <c r="CC25" s="749">
        <v>1</v>
      </c>
      <c r="CD25" s="747">
        <f>VLOOKUP(CA25,'Ціни контур мережний'!$J$5:$N$12,5,0)</f>
        <v>366.74399999999997</v>
      </c>
      <c r="CE25" s="748">
        <f t="shared" si="50"/>
        <v>366.74399999999997</v>
      </c>
      <c r="CF25" s="898" t="s">
        <v>1350</v>
      </c>
      <c r="CG25" s="899">
        <v>1</v>
      </c>
      <c r="CH25" s="900">
        <v>772</v>
      </c>
      <c r="CI25" s="901">
        <f t="shared" si="51"/>
        <v>772</v>
      </c>
      <c r="CJ25" s="751">
        <f t="shared" si="5"/>
        <v>80</v>
      </c>
      <c r="CK25" s="746">
        <v>4</v>
      </c>
      <c r="CL25" s="747">
        <f>VLOOKUP(CJ25,'Ціни контур теплопостачання'!$Y$5:$AA$17,3,0)</f>
        <v>37.693832104112609</v>
      </c>
      <c r="CM25" s="748">
        <f t="shared" si="52"/>
        <v>150.77532841645044</v>
      </c>
      <c r="CN25" s="750">
        <f t="shared" si="6"/>
        <v>65</v>
      </c>
      <c r="CO25" s="746">
        <v>6</v>
      </c>
      <c r="CP25" s="747">
        <f>VLOOKUP(CN25,'Ціни контур теплопостачання'!$AO$20:$AQ$29,3,0)</f>
        <v>42.675547020246391</v>
      </c>
      <c r="CQ25" s="748">
        <f t="shared" si="53"/>
        <v>256.05328212147833</v>
      </c>
      <c r="CR25" s="750">
        <f t="shared" si="7"/>
        <v>40</v>
      </c>
      <c r="CS25" s="746">
        <v>3</v>
      </c>
      <c r="CT25" s="747">
        <f>VLOOKUP(CR25,'Ціни контур теплопостачання'!$AO$20:$AQ$29,3,0)</f>
        <v>37.980000000000004</v>
      </c>
      <c r="CU25" s="748">
        <f t="shared" si="54"/>
        <v>113.94000000000001</v>
      </c>
      <c r="CV25" s="757">
        <f t="shared" si="8"/>
        <v>40</v>
      </c>
      <c r="CW25" s="746">
        <f t="shared" si="9"/>
        <v>8</v>
      </c>
      <c r="CX25" s="747">
        <f>VLOOKUP(CV25,'Ціни контур теплопостачання'!$Y$5:$AA$17,3,0)</f>
        <v>18.42400964308333</v>
      </c>
      <c r="CY25" s="748">
        <f t="shared" si="55"/>
        <v>147.39207714466664</v>
      </c>
      <c r="CZ25" s="745">
        <v>20</v>
      </c>
      <c r="DA25" s="749">
        <v>2</v>
      </c>
      <c r="DB25" s="747">
        <f>VLOOKUP(CZ25,'Ціни контур теплопостачання'!$Y$5:$AA$17,3,0)</f>
        <v>3.577</v>
      </c>
      <c r="DC25" s="748">
        <f t="shared" si="56"/>
        <v>7.1539999999999999</v>
      </c>
      <c r="DD25" s="745">
        <v>15</v>
      </c>
      <c r="DE25" s="745">
        <v>8</v>
      </c>
      <c r="DF25" s="758">
        <f>VLOOKUP(DD25,'Ціни контур теплопостачання'!$Y$5:$AA$17,3,0)</f>
        <v>2.464</v>
      </c>
      <c r="DG25" s="759">
        <f t="shared" si="57"/>
        <v>19.712</v>
      </c>
      <c r="DH25" s="745">
        <v>15</v>
      </c>
      <c r="DI25" s="745">
        <f t="shared" si="58"/>
        <v>39</v>
      </c>
      <c r="DJ25" s="758">
        <f>VLOOKUP(DH25,'Ціни контур мережний'!$J$71:$M$71,4,0)</f>
        <v>3.3865201135922525</v>
      </c>
      <c r="DK25" s="759">
        <f t="shared" si="59"/>
        <v>132.07428443009783</v>
      </c>
      <c r="DL25" s="751">
        <f t="shared" si="10"/>
        <v>80</v>
      </c>
      <c r="DM25" s="746">
        <v>1</v>
      </c>
      <c r="DN25" s="747">
        <f>VLOOKUP(DL25,'Ціни контур теплопостачання'!$K$5:$M$17,3,0)</f>
        <v>50.12</v>
      </c>
      <c r="DO25" s="748">
        <f t="shared" si="60"/>
        <v>50.12</v>
      </c>
      <c r="DP25" s="745">
        <f t="shared" si="11"/>
        <v>65</v>
      </c>
      <c r="DQ25" s="749">
        <v>1</v>
      </c>
      <c r="DR25" s="747">
        <f>VLOOKUP(DP25,'Ціни контур теплопостачання'!$K$5:$M$17,3,0)</f>
        <v>39.731999999999999</v>
      </c>
      <c r="DS25" s="748">
        <f t="shared" si="61"/>
        <v>39.731999999999999</v>
      </c>
      <c r="DT25" s="745">
        <f t="shared" si="12"/>
        <v>40</v>
      </c>
      <c r="DU25" s="745">
        <v>1</v>
      </c>
      <c r="DV25" s="758">
        <f>VLOOKUP(DT25,'Ціни контур теплопостачання'!$K$5:$M$17,3,0)</f>
        <v>23.225999999999999</v>
      </c>
      <c r="DW25" s="759">
        <f t="shared" si="62"/>
        <v>23.225999999999999</v>
      </c>
      <c r="DX25" s="745">
        <f t="shared" si="63"/>
        <v>80</v>
      </c>
      <c r="DY25" s="745">
        <v>1</v>
      </c>
      <c r="DZ25" s="758">
        <f>VLOOKUP(DX25,'Ціни контур теплопостачання'!$Y$24:$AA$36,3,0)</f>
        <v>60.079499999999996</v>
      </c>
      <c r="EA25" s="759">
        <f t="shared" si="64"/>
        <v>60.079499999999996</v>
      </c>
      <c r="EB25" s="751">
        <f t="shared" si="13"/>
        <v>80</v>
      </c>
      <c r="EC25" s="746">
        <v>2</v>
      </c>
      <c r="ED25" s="747">
        <f>VLOOKUP(EB25,'Ціни контур теплопостачання'!$Y$24:$AA$36,3,0)</f>
        <v>60.079499999999996</v>
      </c>
      <c r="EE25" s="748">
        <f t="shared" si="65"/>
        <v>120.15899999999999</v>
      </c>
      <c r="EF25" s="745">
        <f t="shared" si="14"/>
        <v>65</v>
      </c>
      <c r="EG25" s="749">
        <v>1</v>
      </c>
      <c r="EH25" s="747">
        <f>VLOOKUP(EF25,'Ціни контур теплопостачання'!$AO$38:$AQ$50,3,0)</f>
        <v>42.080999999999996</v>
      </c>
      <c r="EI25" s="748">
        <f t="shared" si="66"/>
        <v>42.080999999999996</v>
      </c>
      <c r="EJ25" s="745">
        <f t="shared" si="15"/>
        <v>40</v>
      </c>
      <c r="EK25" s="745">
        <v>1</v>
      </c>
      <c r="EL25" s="758">
        <f>VLOOKUP(EJ25,'Ціни контур теплопостачання'!$AO$38:$AQ$50,3,0)</f>
        <v>20.3645</v>
      </c>
      <c r="EM25" s="759">
        <f t="shared" si="67"/>
        <v>20.3645</v>
      </c>
      <c r="EN25" s="745">
        <f t="shared" si="16"/>
        <v>40</v>
      </c>
      <c r="EO25" s="745">
        <f t="shared" si="17"/>
        <v>8</v>
      </c>
      <c r="EP25" s="758">
        <f>VLOOKUP(EN25,'Ціни контур теплопостачання'!$Y$76:$AA$88,3,0)</f>
        <v>16.809999999999999</v>
      </c>
      <c r="EQ25" s="759">
        <f t="shared" si="68"/>
        <v>134.47999999999999</v>
      </c>
      <c r="ER25" s="745">
        <f t="shared" si="18"/>
        <v>65</v>
      </c>
      <c r="ES25" s="745">
        <v>1</v>
      </c>
      <c r="ET25" s="758">
        <f>VLOOKUP(ER25,'Ціни контур теплопостачання'!$Y$76:$AA$88,3,0)</f>
        <v>26.33</v>
      </c>
      <c r="EU25" s="759">
        <f t="shared" si="69"/>
        <v>26.33</v>
      </c>
      <c r="EV25" s="745">
        <f t="shared" si="19"/>
        <v>40</v>
      </c>
      <c r="EW25" s="745">
        <v>1</v>
      </c>
      <c r="EX25" s="758">
        <f>VLOOKUP(EV25,'Ціни контур теплопостачання'!$Y$76:$AA$88,3,0)</f>
        <v>16.809999999999999</v>
      </c>
      <c r="EY25" s="759">
        <f t="shared" si="70"/>
        <v>16.809999999999999</v>
      </c>
      <c r="EZ25" s="758">
        <f t="shared" si="20"/>
        <v>33.543076781953083</v>
      </c>
      <c r="FA25" s="760">
        <v>40</v>
      </c>
      <c r="FB25" s="719">
        <v>2</v>
      </c>
      <c r="FC25" s="747">
        <f>VLOOKUP(FA25,'Ціни контур теплопостачання'!$K$74:$M$79,3,0)</f>
        <v>43.19</v>
      </c>
      <c r="FD25" s="761">
        <f t="shared" si="21"/>
        <v>86.38</v>
      </c>
      <c r="FE25" s="762">
        <f t="shared" si="71"/>
        <v>18.13305613305613</v>
      </c>
      <c r="FF25" s="911">
        <v>9</v>
      </c>
      <c r="FG25" s="900">
        <v>8</v>
      </c>
      <c r="FH25" s="830" t="s">
        <v>1090</v>
      </c>
      <c r="FI25" s="708">
        <v>2</v>
      </c>
      <c r="FJ25" s="709">
        <f>VLOOKUP(FH25,'Ціни контур теплопостачання'!$C$89:$M$105,11,0)</f>
        <v>648.69600000000003</v>
      </c>
      <c r="FK25" s="764">
        <f t="shared" si="72"/>
        <v>1297.3920000000001</v>
      </c>
      <c r="FL25" s="912">
        <f t="shared" si="73"/>
        <v>2.5588235294117645</v>
      </c>
      <c r="FM25" s="911">
        <v>9</v>
      </c>
      <c r="FN25" s="900">
        <v>9</v>
      </c>
      <c r="FO25" s="900" t="s">
        <v>1097</v>
      </c>
      <c r="FP25" s="749">
        <v>1</v>
      </c>
      <c r="FQ25" s="747">
        <f>VLOOKUP(FO25,'Ціни контур теплопостачання'!$C$89:$M$105,11,0)</f>
        <v>241.2</v>
      </c>
      <c r="FR25" s="904">
        <f t="shared" si="74"/>
        <v>241.2</v>
      </c>
      <c r="FS25" s="758">
        <f t="array" ref="FS25">MIN(IF('Ціни контур теплопостачання'!$AN$68:$AN$77&gt;(V25*1.2),'Ціни контур теплопостачання'!$AN$68:$AN$77))</f>
        <v>11.13</v>
      </c>
      <c r="FT25" s="749">
        <f>VLOOKUP(FS25,'Ціни контур теплопостачання'!$AN$68:$AO$77,2,0)</f>
        <v>32</v>
      </c>
      <c r="FU25" s="749">
        <f t="shared" si="22"/>
        <v>4</v>
      </c>
      <c r="FV25" s="747">
        <f>VLOOKUP(FT25,'Ціни контур теплопостачання'!$AO$68:$AQ$77,3,0)</f>
        <v>37.183999999999997</v>
      </c>
      <c r="FW25" s="765">
        <f t="shared" si="75"/>
        <v>148.73599999999999</v>
      </c>
      <c r="FX25" s="750">
        <v>15</v>
      </c>
      <c r="FY25" s="746">
        <v>2</v>
      </c>
      <c r="FZ25" s="747">
        <f>VLOOKUP(FX25,'Ціни контур мережний'!$J$73:$M$73,4,0)</f>
        <v>3.4649999999999999</v>
      </c>
      <c r="GA25" s="748">
        <f t="shared" si="76"/>
        <v>6.93</v>
      </c>
      <c r="GB25" s="750">
        <f>VLOOKUP(GC25,'Ціни контур теплопостачання'!$AN$6:$AO$13,2,0)</f>
        <v>40</v>
      </c>
      <c r="GC25" s="751">
        <f t="array" ref="GC25">MIN(IF('Ціни контур теплопостачання'!$AN$6:$AN$13&gt;N25,'Ціни контур теплопостачання'!$AN$6:$AN$13))</f>
        <v>15</v>
      </c>
      <c r="GD25" s="751">
        <v>1</v>
      </c>
      <c r="GE25" s="747">
        <f>VLOOKUP(GB25,'Ціни контур теплопостачання'!$AO$6:$AQ$13,3,0)</f>
        <v>140.82444000000001</v>
      </c>
      <c r="GF25" s="748">
        <f t="shared" si="77"/>
        <v>140.82444000000001</v>
      </c>
      <c r="GG25" s="750">
        <f t="shared" si="23"/>
        <v>65</v>
      </c>
      <c r="GH25" s="746">
        <v>1</v>
      </c>
      <c r="GI25" s="747">
        <f>VLOOKUP(GG25,'Ціни контур теплопостачання'!$AO$55:$AQ$63,3,0)</f>
        <v>426.6</v>
      </c>
      <c r="GJ25" s="768">
        <f t="shared" si="78"/>
        <v>426.6</v>
      </c>
      <c r="GK25" s="655" t="str">
        <f t="shared" si="91"/>
        <v>0-150</v>
      </c>
      <c r="GL25" s="720">
        <v>1</v>
      </c>
      <c r="GM25" s="747">
        <f>VLOOKUP(GK25,'Ціни контур мережний'!$I$79:$M$80,5,0)</f>
        <v>15.050156291498967</v>
      </c>
      <c r="GN25" s="748">
        <f t="shared" si="79"/>
        <v>15.050156291498967</v>
      </c>
      <c r="GO25" s="758" t="s">
        <v>109</v>
      </c>
      <c r="GP25" s="749">
        <v>1</v>
      </c>
      <c r="GQ25" s="747">
        <f>VLOOKUP(GO25,'Ціни контур мережний'!$I$79:$M$80,5,0)</f>
        <v>15.050156291498967</v>
      </c>
      <c r="GR25" s="765">
        <f t="shared" si="80"/>
        <v>15.050156291498967</v>
      </c>
      <c r="GS25" s="655" t="s">
        <v>108</v>
      </c>
      <c r="GT25" s="720">
        <v>3</v>
      </c>
      <c r="GU25" s="747">
        <f>VLOOKUP(GS25,'Ціни контур мережний'!$I$67:$M$69,5,0)</f>
        <v>4.4537969640631703</v>
      </c>
      <c r="GV25" s="748">
        <f t="shared" si="81"/>
        <v>13.361390892189512</v>
      </c>
      <c r="GW25" s="655" t="s">
        <v>106</v>
      </c>
      <c r="GX25" s="720">
        <f>11+T25</f>
        <v>15</v>
      </c>
      <c r="GY25" s="747">
        <f>VLOOKUP(GW25,'Ціни контур мережний'!$I$67:$M$69,5,0)</f>
        <v>4.4537969640631703</v>
      </c>
      <c r="GZ25" s="748">
        <f t="shared" si="82"/>
        <v>66.806954460947551</v>
      </c>
      <c r="HA25" s="655" t="s">
        <v>1013</v>
      </c>
      <c r="HB25" s="720">
        <v>4</v>
      </c>
      <c r="HC25" s="747">
        <f>VLOOKUP(HA25,'Ціни контур мережний'!$I$64:$M$64,5,0)</f>
        <v>29.1312</v>
      </c>
      <c r="HD25" s="748">
        <f t="shared" si="83"/>
        <v>116.5248</v>
      </c>
      <c r="HE25" s="766" t="s">
        <v>1015</v>
      </c>
      <c r="HF25" s="749">
        <v>6</v>
      </c>
      <c r="HG25" s="747">
        <f>VLOOKUP(HE25,'Ціни контур мережний'!$I$89:$M$89,5,0)</f>
        <v>79.523165325760516</v>
      </c>
      <c r="HH25" s="765">
        <f t="shared" si="84"/>
        <v>477.1389919545631</v>
      </c>
      <c r="HI25" s="778" t="s">
        <v>1016</v>
      </c>
      <c r="HJ25" s="720">
        <f t="shared" si="92"/>
        <v>7</v>
      </c>
      <c r="HK25" s="747">
        <f>VLOOKUP(HI25,'Ціни контур мережний'!$I$88:$M$88,5,0)</f>
        <v>13.211568975967202</v>
      </c>
      <c r="HL25" s="768">
        <f t="shared" si="85"/>
        <v>92.480982831770419</v>
      </c>
      <c r="HM25" s="757" t="s">
        <v>383</v>
      </c>
      <c r="HN25" s="720">
        <v>1</v>
      </c>
      <c r="HO25" s="747">
        <f>VLOOKUP(HM25,'Ціни контур мережний'!$I$87:$M$87,5,0)</f>
        <v>13.483972460007763</v>
      </c>
      <c r="HP25" s="748">
        <f t="shared" si="86"/>
        <v>13.483972460007763</v>
      </c>
      <c r="HQ25" s="769">
        <f t="shared" si="24"/>
        <v>41</v>
      </c>
      <c r="HR25" s="770">
        <f t="shared" si="87"/>
        <v>7550.3426871028623</v>
      </c>
      <c r="HS25" s="771">
        <v>0</v>
      </c>
      <c r="HT25" s="771">
        <f>'Таблиця цін схема №1'!$JE$45/'Ціни контур мережний'!$G$26</f>
        <v>578.85740358619182</v>
      </c>
      <c r="HU25" s="770">
        <f>'Таблиця цін схема №1'!$JG$8</f>
        <v>661.80181284518619</v>
      </c>
      <c r="HV25" s="770">
        <f>'Таблиця цін схема №1'!$JH$8</f>
        <v>487.81784379022207</v>
      </c>
      <c r="HW25" s="770">
        <f>'Таблиця цін схема №1'!$JI$8</f>
        <v>323.47913729816605</v>
      </c>
      <c r="HX25" s="770">
        <f>'Таблиця цін схема №1'!$JJ$8</f>
        <v>66.611999999999995</v>
      </c>
      <c r="HY25" s="772">
        <v>0</v>
      </c>
      <c r="HZ25" s="772">
        <f>'Таблиця цін схема №1'!$JL$8</f>
        <v>62.86234247089866</v>
      </c>
      <c r="IA25" s="772">
        <v>0</v>
      </c>
      <c r="IB25" s="770">
        <v>0</v>
      </c>
      <c r="IC25" s="913">
        <f t="shared" si="25"/>
        <v>681.22412589654698</v>
      </c>
      <c r="ID25" s="914">
        <f t="shared" si="26"/>
        <v>973.17732270935267</v>
      </c>
      <c r="IE25" s="915">
        <f t="shared" si="27"/>
        <v>167.41067634267711</v>
      </c>
      <c r="IF25" s="776">
        <f>'Таблиця цін схема №1'!$JR$8</f>
        <v>300.63036461094771</v>
      </c>
      <c r="IG25" s="777">
        <f t="shared" si="88"/>
        <v>11854.215716653052</v>
      </c>
      <c r="II25" s="611">
        <f>[3]Расчеты!AX24/1.2</f>
        <v>4026.3163897451122</v>
      </c>
      <c r="IJ25" s="611">
        <f t="shared" si="89"/>
        <v>15880.532106398165</v>
      </c>
      <c r="IK25" s="611" t="e">
        <f>IJ25*1.2*#REF!</f>
        <v>#REF!</v>
      </c>
      <c r="IL25" s="611"/>
    </row>
    <row r="26" spans="1:248" ht="12.6" customHeight="1">
      <c r="A26" s="610" t="s">
        <v>686</v>
      </c>
      <c r="B26" s="905">
        <v>42</v>
      </c>
      <c r="C26" s="1056" t="s">
        <v>903</v>
      </c>
      <c r="D26" s="906">
        <v>0.125</v>
      </c>
      <c r="E26" s="907">
        <v>0.13200000000000001</v>
      </c>
      <c r="F26" s="908">
        <f t="shared" si="28"/>
        <v>5.6071734646685822</v>
      </c>
      <c r="G26" s="909">
        <v>50</v>
      </c>
      <c r="H26" s="598">
        <f t="shared" si="29"/>
        <v>2.2329403358342264</v>
      </c>
      <c r="I26" s="599">
        <v>32</v>
      </c>
      <c r="J26" s="598">
        <f t="shared" si="30"/>
        <v>5.1975051975051976</v>
      </c>
      <c r="K26" s="599">
        <v>50</v>
      </c>
      <c r="L26" s="598">
        <f t="shared" si="31"/>
        <v>3.3742331288343559</v>
      </c>
      <c r="M26" s="599">
        <v>40</v>
      </c>
      <c r="N26" s="598">
        <f t="shared" si="32"/>
        <v>2.6774847870182557</v>
      </c>
      <c r="O26" s="599">
        <v>32</v>
      </c>
      <c r="P26" s="598">
        <f t="shared" si="93"/>
        <v>0.80324543610547672</v>
      </c>
      <c r="Q26" s="599">
        <v>20</v>
      </c>
      <c r="R26" s="598">
        <f t="shared" si="33"/>
        <v>3.1578545069066961</v>
      </c>
      <c r="S26" s="600">
        <f t="shared" si="34"/>
        <v>4.7718862534061488</v>
      </c>
      <c r="T26" s="910">
        <v>1</v>
      </c>
      <c r="U26" s="601">
        <f t="shared" si="35"/>
        <v>5.1975051975051976</v>
      </c>
      <c r="V26" s="601">
        <f t="shared" si="36"/>
        <v>7.3503823408165019</v>
      </c>
      <c r="W26" s="602">
        <v>50</v>
      </c>
      <c r="X26" s="745">
        <f t="shared" si="0"/>
        <v>50</v>
      </c>
      <c r="Y26" s="746">
        <v>2</v>
      </c>
      <c r="Z26" s="747">
        <f>VLOOKUP(X26,'Ціни контур мережний'!$Z$24:$AB$36,3,0)</f>
        <v>23.2782130224622</v>
      </c>
      <c r="AA26" s="748">
        <f t="shared" si="37"/>
        <v>46.5564260449244</v>
      </c>
      <c r="AB26" s="745">
        <f t="shared" si="1"/>
        <v>50</v>
      </c>
      <c r="AC26" s="749">
        <v>2</v>
      </c>
      <c r="AD26" s="747">
        <f>VLOOKUP(AB26,'Ціни контур мережний'!$Z$64:$AB$77,3,0)</f>
        <v>80.03214361111678</v>
      </c>
      <c r="AE26" s="748">
        <f t="shared" si="38"/>
        <v>160.06428722223356</v>
      </c>
      <c r="AF26" s="745">
        <f t="shared" si="2"/>
        <v>50</v>
      </c>
      <c r="AG26" s="746">
        <v>0</v>
      </c>
      <c r="AH26" s="747">
        <f>VLOOKUP(AF26,'Ціни контур мережний'!$Z$5:$AB$17,3,0)</f>
        <v>26.284999999999997</v>
      </c>
      <c r="AI26" s="748">
        <f t="shared" si="39"/>
        <v>0</v>
      </c>
      <c r="AJ26" s="750">
        <f t="shared" si="3"/>
        <v>32</v>
      </c>
      <c r="AK26" s="746">
        <v>1</v>
      </c>
      <c r="AL26" s="747">
        <f>VLOOKUP(AJ26,'Ціни контур мережний'!$Z$43:$AB$55,3,0)</f>
        <v>16.107218011318363</v>
      </c>
      <c r="AM26" s="748">
        <f t="shared" si="40"/>
        <v>16.107218011318363</v>
      </c>
      <c r="AN26" s="745">
        <f t="shared" si="4"/>
        <v>40</v>
      </c>
      <c r="AO26" s="749">
        <v>4</v>
      </c>
      <c r="AP26" s="747">
        <f>VLOOKUP(AN26,'Ціни контур мережний'!$Z$43:$AB$55,3,0)</f>
        <v>18.42400964308333</v>
      </c>
      <c r="AQ26" s="759">
        <f t="shared" si="41"/>
        <v>73.696038572333322</v>
      </c>
      <c r="AR26" s="751" t="str">
        <f t="shared" si="42"/>
        <v>AMV20</v>
      </c>
      <c r="AS26" s="751">
        <v>1</v>
      </c>
      <c r="AT26" s="747">
        <f>VLOOKUP(AR26,'Ціни контур мережний'!$I$53:$M$57,5,0)</f>
        <v>110.39869654932889</v>
      </c>
      <c r="AU26" s="748">
        <f t="shared" si="43"/>
        <v>110.39869654932889</v>
      </c>
      <c r="AV26" s="752">
        <f t="array" ref="AV26">MIN(IF('Ціни контур мережний'!$Y$83:$Y$92&gt;(R26*1.2),'Ціни контур мережний'!$Y$83:$Y$92))</f>
        <v>4</v>
      </c>
      <c r="AW26" s="746">
        <f>VLOOKUP(AV26,'Ціни контур мережний'!$Y$83:$Z$92,2,0)</f>
        <v>15</v>
      </c>
      <c r="AX26" s="746">
        <v>1</v>
      </c>
      <c r="AY26" s="747">
        <f>VLOOKUP(AV26,'Ціни контур мережний'!$Y$83:$AB$92,4,0)</f>
        <v>104.44472592804462</v>
      </c>
      <c r="AZ26" s="748">
        <f t="shared" si="44"/>
        <v>104.44472592804462</v>
      </c>
      <c r="BA26" s="1099">
        <f t="array" ref="BA26">MIN(IF('[1]Ціни контур мережний'!$Y$104:$Y$114&gt;(R26*1.2),'[1]Ціни контур мережний'!$Y$104:$Y$114))</f>
        <v>4</v>
      </c>
      <c r="BB26" s="1101">
        <f>VLOOKUP(BA26,'[1]Ціни контур мережний'!$Y$104:$Z$114,2,0)</f>
        <v>15</v>
      </c>
      <c r="BC26" s="753">
        <v>1</v>
      </c>
      <c r="BD26" s="754">
        <f>VLOOKUP(BA26,'Ціни контур мережний'!$Y$104:$AB$114,4,0)</f>
        <v>251.13923223078018</v>
      </c>
      <c r="BE26" s="755">
        <f t="shared" si="45"/>
        <v>251.13923223078018</v>
      </c>
      <c r="BF26" s="751" t="s">
        <v>67</v>
      </c>
      <c r="BG26" s="749">
        <v>1</v>
      </c>
      <c r="BH26" s="747">
        <f>VLOOKUP(BF26,'Ціни контур мережний'!$I$53:$M$57,5,0)</f>
        <v>157.67238032974441</v>
      </c>
      <c r="BI26" s="768">
        <f t="shared" si="46"/>
        <v>157.67238032974441</v>
      </c>
      <c r="BJ26" s="894">
        <f t="array" ref="BJ26">MIN(IF('Ціни контур мережний'!$Y$83:$Y$93&gt;(S26*1.2),'Ціни контур мережний'!$Y$83:$Y$93))</f>
        <v>6.3</v>
      </c>
      <c r="BK26" s="895">
        <f>VLOOKUP(BJ26,'Ціни контур мережний'!$Y$83:$Z$93,2,0)</f>
        <v>20</v>
      </c>
      <c r="BL26" s="895">
        <v>1</v>
      </c>
      <c r="BM26" s="896">
        <f>VLOOKUP(BJ26,'Ціни контур мережний'!$Y$83:$AB$93,4,0)</f>
        <v>113.14115267534271</v>
      </c>
      <c r="BN26" s="916">
        <f t="shared" si="47"/>
        <v>113.14115267534271</v>
      </c>
      <c r="BO26" s="896">
        <f t="array" ref="BO26">MIN(IF('Ціни контур мережний'!$Y$104:$Y$114&gt;(S26*1.2),'Ціни контур мережний'!$Y$104:$Y$114))</f>
        <v>6.3</v>
      </c>
      <c r="BP26" s="895">
        <f>VLOOKUP(BO26,'Ціни контур мережний'!$Y$104:$Z$114,2,0)</f>
        <v>20</v>
      </c>
      <c r="BQ26" s="895">
        <v>1</v>
      </c>
      <c r="BR26" s="896">
        <f>VLOOKUP(BO26,'Ціни контур мережний'!$Y$104:$AB$114,4,0)</f>
        <v>259.83406541769665</v>
      </c>
      <c r="BS26" s="897">
        <f t="shared" si="48"/>
        <v>259.83406541769665</v>
      </c>
      <c r="BT26" s="751" t="s">
        <v>115</v>
      </c>
      <c r="BU26" s="751" t="s">
        <v>115</v>
      </c>
      <c r="BV26" s="746" t="s">
        <v>1025</v>
      </c>
      <c r="BW26" s="756">
        <v>0</v>
      </c>
      <c r="BX26" s="747">
        <v>0</v>
      </c>
      <c r="BY26" s="748">
        <f t="shared" si="49"/>
        <v>0</v>
      </c>
      <c r="BZ26" s="745">
        <f>VLOOKUP(CA26,'Ціни контур мережний'!$J$5:$L$12,3,0)</f>
        <v>25</v>
      </c>
      <c r="CA26" s="747">
        <f t="array" ref="CA26">MIN(IF('Ціни контур мережний'!$J$5:$J$12&gt;L26,'Ціни контур мережний'!$J$5:$J$12))</f>
        <v>3.5</v>
      </c>
      <c r="CB26" s="746" t="s">
        <v>130</v>
      </c>
      <c r="CC26" s="749">
        <v>1</v>
      </c>
      <c r="CD26" s="747">
        <f>VLOOKUP(CA26,'Ціни контур мережний'!$J$5:$N$12,5,0)</f>
        <v>341.25599999999997</v>
      </c>
      <c r="CE26" s="748">
        <f t="shared" si="50"/>
        <v>341.25599999999997</v>
      </c>
      <c r="CF26" s="898" t="s">
        <v>1353</v>
      </c>
      <c r="CG26" s="899">
        <v>1</v>
      </c>
      <c r="CH26" s="900">
        <v>449</v>
      </c>
      <c r="CI26" s="901">
        <f t="shared" si="51"/>
        <v>449</v>
      </c>
      <c r="CJ26" s="751">
        <f t="shared" si="5"/>
        <v>50</v>
      </c>
      <c r="CK26" s="746">
        <v>4</v>
      </c>
      <c r="CL26" s="747">
        <f>VLOOKUP(CJ26,'Ціни контур теплопостачання'!$Y$5:$AA$17,3,0)</f>
        <v>23.2782130224622</v>
      </c>
      <c r="CM26" s="748">
        <f t="shared" si="52"/>
        <v>93.112852089848801</v>
      </c>
      <c r="CN26" s="750">
        <f t="shared" si="6"/>
        <v>32</v>
      </c>
      <c r="CO26" s="746">
        <v>6</v>
      </c>
      <c r="CP26" s="747">
        <f>VLOOKUP(CN26,'Ціни контур теплопостачання'!$AO$20:$AQ$29,3,0)</f>
        <v>10.381</v>
      </c>
      <c r="CQ26" s="748">
        <f t="shared" si="53"/>
        <v>62.286000000000001</v>
      </c>
      <c r="CR26" s="750">
        <f t="shared" si="7"/>
        <v>20</v>
      </c>
      <c r="CS26" s="746">
        <v>3</v>
      </c>
      <c r="CT26" s="747">
        <f>VLOOKUP(CR26,'Ціни контур теплопостачання'!$AO$20:$AQ$29,3,0)</f>
        <v>3.577</v>
      </c>
      <c r="CU26" s="748">
        <f t="shared" si="54"/>
        <v>10.731</v>
      </c>
      <c r="CV26" s="757">
        <f t="shared" si="8"/>
        <v>50</v>
      </c>
      <c r="CW26" s="746">
        <f t="shared" si="9"/>
        <v>2</v>
      </c>
      <c r="CX26" s="747">
        <f>VLOOKUP(CV26,'Ціни контур теплопостачання'!$Y$5:$AA$17,3,0)</f>
        <v>23.2782130224622</v>
      </c>
      <c r="CY26" s="748">
        <f t="shared" si="55"/>
        <v>46.5564260449244</v>
      </c>
      <c r="CZ26" s="745">
        <v>20</v>
      </c>
      <c r="DA26" s="749">
        <v>2</v>
      </c>
      <c r="DB26" s="747">
        <f>VLOOKUP(CZ26,'Ціни контур теплопостачання'!$Y$5:$AA$17,3,0)</f>
        <v>3.577</v>
      </c>
      <c r="DC26" s="748">
        <f t="shared" si="56"/>
        <v>7.1539999999999999</v>
      </c>
      <c r="DD26" s="745">
        <v>15</v>
      </c>
      <c r="DE26" s="745">
        <v>8</v>
      </c>
      <c r="DF26" s="758">
        <f>VLOOKUP(DD26,'Ціни контур теплопостачання'!$Y$5:$AA$17,3,0)</f>
        <v>2.464</v>
      </c>
      <c r="DG26" s="759">
        <f t="shared" si="57"/>
        <v>19.712</v>
      </c>
      <c r="DH26" s="745">
        <v>15</v>
      </c>
      <c r="DI26" s="745">
        <f>35</f>
        <v>35</v>
      </c>
      <c r="DJ26" s="758">
        <f>VLOOKUP(DH26,'Ціни контур мережний'!$J$71:$M$71,4,0)</f>
        <v>3.3865201135922525</v>
      </c>
      <c r="DK26" s="759">
        <f t="shared" si="59"/>
        <v>118.52820397572884</v>
      </c>
      <c r="DL26" s="751">
        <f t="shared" si="10"/>
        <v>50</v>
      </c>
      <c r="DM26" s="746">
        <v>1</v>
      </c>
      <c r="DN26" s="747">
        <f>VLOOKUP(DL26,'Ціни контур теплопостачання'!$K$5:$M$17,3,0)</f>
        <v>26.284999999999997</v>
      </c>
      <c r="DO26" s="748">
        <f t="shared" si="60"/>
        <v>26.284999999999997</v>
      </c>
      <c r="DP26" s="745">
        <f t="shared" si="11"/>
        <v>32</v>
      </c>
      <c r="DQ26" s="749">
        <v>1</v>
      </c>
      <c r="DR26" s="747">
        <f>VLOOKUP(DP26,'Ціни контур теплопостачання'!$K$5:$M$17,3,0)</f>
        <v>9.48</v>
      </c>
      <c r="DS26" s="748">
        <f t="shared" si="61"/>
        <v>9.48</v>
      </c>
      <c r="DT26" s="745">
        <f t="shared" si="12"/>
        <v>20</v>
      </c>
      <c r="DU26" s="745">
        <v>1</v>
      </c>
      <c r="DV26" s="758">
        <f>VLOOKUP(DT26,'Ціни контур теплопостачання'!$K$5:$M$17,3,0)</f>
        <v>3.48</v>
      </c>
      <c r="DW26" s="759">
        <f t="shared" si="62"/>
        <v>3.48</v>
      </c>
      <c r="DX26" s="745">
        <f t="shared" si="63"/>
        <v>50</v>
      </c>
      <c r="DY26" s="745">
        <v>1</v>
      </c>
      <c r="DZ26" s="758">
        <f>VLOOKUP(DX26,'Ціни контур теплопостачання'!$Y$24:$AA$36,3,0)</f>
        <v>28.560999999999996</v>
      </c>
      <c r="EA26" s="759">
        <f t="shared" si="64"/>
        <v>28.560999999999996</v>
      </c>
      <c r="EB26" s="751">
        <f t="shared" si="13"/>
        <v>50</v>
      </c>
      <c r="EC26" s="746">
        <v>2</v>
      </c>
      <c r="ED26" s="747">
        <f>VLOOKUP(EB26,'Ціни контур теплопостачання'!$Y$24:$AA$36,3,0)</f>
        <v>28.560999999999996</v>
      </c>
      <c r="EE26" s="748">
        <f t="shared" si="65"/>
        <v>57.121999999999993</v>
      </c>
      <c r="EF26" s="745">
        <f t="shared" si="14"/>
        <v>32</v>
      </c>
      <c r="EG26" s="749">
        <v>1</v>
      </c>
      <c r="EH26" s="747">
        <f>VLOOKUP(EF26,'Ціни контур теплопостачання'!$AO$38:$AQ$50,3,0)</f>
        <v>10.773</v>
      </c>
      <c r="EI26" s="748">
        <f t="shared" si="66"/>
        <v>10.773</v>
      </c>
      <c r="EJ26" s="745">
        <f t="shared" si="15"/>
        <v>20</v>
      </c>
      <c r="EK26" s="745">
        <v>1</v>
      </c>
      <c r="EL26" s="758">
        <f>VLOOKUP(EJ26,'Ціни контур теплопостачання'!$AO$38:$AQ$50,3,0)</f>
        <v>4.5359999999999996</v>
      </c>
      <c r="EM26" s="759">
        <f t="shared" si="67"/>
        <v>4.5359999999999996</v>
      </c>
      <c r="EN26" s="745">
        <f t="shared" si="16"/>
        <v>50</v>
      </c>
      <c r="EO26" s="745">
        <f t="shared" si="17"/>
        <v>2</v>
      </c>
      <c r="EP26" s="758">
        <f>VLOOKUP(EN26,'Ціни контур теплопостачання'!$Y$76:$AA$88,3,0)</f>
        <v>20.6</v>
      </c>
      <c r="EQ26" s="759">
        <f t="shared" si="68"/>
        <v>41.2</v>
      </c>
      <c r="ER26" s="745">
        <f t="shared" si="18"/>
        <v>32</v>
      </c>
      <c r="ES26" s="745">
        <v>1</v>
      </c>
      <c r="ET26" s="758">
        <f>VLOOKUP(ER26,'Ціни контур теплопостачання'!$Y$76:$AA$88,3,0)</f>
        <v>13.15</v>
      </c>
      <c r="EU26" s="759">
        <f t="shared" si="69"/>
        <v>13.15</v>
      </c>
      <c r="EV26" s="745">
        <f t="shared" si="19"/>
        <v>20</v>
      </c>
      <c r="EW26" s="745">
        <v>1</v>
      </c>
      <c r="EX26" s="758">
        <f>VLOOKUP(EV26,'Ціни контур теплопостачання'!$Y$76:$AA$88,3,0)</f>
        <v>11.45</v>
      </c>
      <c r="EY26" s="759">
        <f t="shared" si="70"/>
        <v>11.45</v>
      </c>
      <c r="EZ26" s="758">
        <f t="shared" si="20"/>
        <v>17.95828499606797</v>
      </c>
      <c r="FA26" s="760">
        <v>20</v>
      </c>
      <c r="FB26" s="719">
        <v>2</v>
      </c>
      <c r="FC26" s="747">
        <f>VLOOKUP(FA26,'Ціни контур теплопостачання'!$K$74:$M$79,3,0)</f>
        <v>16.440000000000001</v>
      </c>
      <c r="FD26" s="761">
        <f t="shared" si="21"/>
        <v>32.880000000000003</v>
      </c>
      <c r="FE26" s="762">
        <f t="shared" si="71"/>
        <v>5.1975051975051976</v>
      </c>
      <c r="FF26" s="911">
        <v>9</v>
      </c>
      <c r="FG26" s="900">
        <v>8</v>
      </c>
      <c r="FH26" s="830" t="s">
        <v>1091</v>
      </c>
      <c r="FI26" s="708">
        <v>2</v>
      </c>
      <c r="FJ26" s="709">
        <f>VLOOKUP(FH26,'Ціни контур теплопостачання'!$C$89:$M$105,11,0)</f>
        <v>198.83999999999997</v>
      </c>
      <c r="FK26" s="764">
        <f t="shared" si="72"/>
        <v>397.67999999999995</v>
      </c>
      <c r="FL26" s="912">
        <f t="shared" si="73"/>
        <v>0.80324543610547672</v>
      </c>
      <c r="FM26" s="911">
        <v>9</v>
      </c>
      <c r="FN26" s="900">
        <v>9</v>
      </c>
      <c r="FO26" s="900" t="s">
        <v>1097</v>
      </c>
      <c r="FP26" s="749">
        <v>1</v>
      </c>
      <c r="FQ26" s="747">
        <f>VLOOKUP(FO26,'Ціни контур теплопостачання'!$C$89:$M$105,11,0)</f>
        <v>241.2</v>
      </c>
      <c r="FR26" s="904">
        <f t="shared" si="74"/>
        <v>241.2</v>
      </c>
      <c r="FS26" s="758">
        <f t="array" ref="FS26">MIN(IF('Ціни контур теплопостачання'!$AN$68:$AN$77&gt;(V26*1.2),'Ціни контур теплопостачання'!$AN$68:$AN$77))</f>
        <v>11.13</v>
      </c>
      <c r="FT26" s="749">
        <f>VLOOKUP(FS26,'Ціни контур теплопостачання'!$AN$68:$AO$77,2,0)</f>
        <v>32</v>
      </c>
      <c r="FU26" s="749">
        <v>0</v>
      </c>
      <c r="FV26" s="747">
        <f>VLOOKUP(FT26,'Ціни контур теплопостачання'!$AO$68:$AQ$77,3,0)</f>
        <v>37.183999999999997</v>
      </c>
      <c r="FW26" s="765">
        <f t="shared" si="75"/>
        <v>0</v>
      </c>
      <c r="FX26" s="750">
        <v>15</v>
      </c>
      <c r="FY26" s="746">
        <v>2</v>
      </c>
      <c r="FZ26" s="747">
        <f>VLOOKUP(FX26,'Ціни контур мережний'!$J$73:$M$73,4,0)</f>
        <v>3.4649999999999999</v>
      </c>
      <c r="GA26" s="748">
        <f t="shared" si="76"/>
        <v>6.93</v>
      </c>
      <c r="GB26" s="750">
        <f>VLOOKUP(GC26,'Ціни контур теплопостачання'!$AN$6:$AO$13,2,0)</f>
        <v>25</v>
      </c>
      <c r="GC26" s="751">
        <f t="array" ref="GC26">MIN(IF('Ціни контур теплопостачання'!$AN$6:$AN$13&gt;N26,'Ціни контур теплопостачання'!$AN$6:$AN$13))</f>
        <v>3.5</v>
      </c>
      <c r="GD26" s="751">
        <v>1</v>
      </c>
      <c r="GE26" s="747">
        <f>VLOOKUP(GB26,'Ціни контур теплопостачання'!$AO$6:$AQ$13,3,0)</f>
        <v>76.3506</v>
      </c>
      <c r="GF26" s="748">
        <f t="shared" si="77"/>
        <v>76.3506</v>
      </c>
      <c r="GG26" s="750">
        <f t="shared" si="23"/>
        <v>32</v>
      </c>
      <c r="GH26" s="746">
        <v>1</v>
      </c>
      <c r="GI26" s="747">
        <f>VLOOKUP(GG26,'Ціни контур теплопостачання'!$AO$55:$AQ$63,3,0)</f>
        <v>150.1</v>
      </c>
      <c r="GJ26" s="768">
        <f t="shared" si="78"/>
        <v>150.1</v>
      </c>
      <c r="GK26" s="655" t="str">
        <f t="shared" si="91"/>
        <v>0-150</v>
      </c>
      <c r="GL26" s="720">
        <v>1</v>
      </c>
      <c r="GM26" s="747">
        <f>VLOOKUP(GK26,'Ціни контур мережний'!$I$79:$M$80,5,0)</f>
        <v>15.050156291498967</v>
      </c>
      <c r="GN26" s="748">
        <f t="shared" si="79"/>
        <v>15.050156291498967</v>
      </c>
      <c r="GO26" s="758" t="s">
        <v>109</v>
      </c>
      <c r="GP26" s="749">
        <v>1</v>
      </c>
      <c r="GQ26" s="747">
        <f>VLOOKUP(GO26,'Ціни контур мережний'!$I$79:$M$80,5,0)</f>
        <v>15.050156291498967</v>
      </c>
      <c r="GR26" s="765">
        <f t="shared" si="80"/>
        <v>15.050156291498967</v>
      </c>
      <c r="GS26" s="655" t="s">
        <v>108</v>
      </c>
      <c r="GT26" s="720">
        <v>3</v>
      </c>
      <c r="GU26" s="747">
        <f>VLOOKUP(GS26,'Ціни контур мережний'!$I$67:$M$69,5,0)</f>
        <v>4.4537969640631703</v>
      </c>
      <c r="GV26" s="748">
        <f t="shared" si="81"/>
        <v>13.361390892189512</v>
      </c>
      <c r="GW26" s="655" t="s">
        <v>106</v>
      </c>
      <c r="GX26" s="720">
        <f>11</f>
        <v>11</v>
      </c>
      <c r="GY26" s="747">
        <f>VLOOKUP(GW26,'Ціни контур мережний'!$I$67:$M$69,5,0)</f>
        <v>4.4537969640631703</v>
      </c>
      <c r="GZ26" s="748">
        <f t="shared" si="82"/>
        <v>48.991766604694874</v>
      </c>
      <c r="HA26" s="655" t="s">
        <v>1013</v>
      </c>
      <c r="HB26" s="720">
        <v>4</v>
      </c>
      <c r="HC26" s="747">
        <f>VLOOKUP(HA26,'Ціни контур мережний'!$I$64:$M$64,5,0)</f>
        <v>29.1312</v>
      </c>
      <c r="HD26" s="748">
        <f t="shared" si="83"/>
        <v>116.5248</v>
      </c>
      <c r="HE26" s="766" t="s">
        <v>1015</v>
      </c>
      <c r="HF26" s="749">
        <v>6</v>
      </c>
      <c r="HG26" s="747">
        <f>VLOOKUP(HE26,'Ціни контур мережний'!$I$89:$M$89,5,0)</f>
        <v>79.523165325760516</v>
      </c>
      <c r="HH26" s="765">
        <f t="shared" si="84"/>
        <v>477.1389919545631</v>
      </c>
      <c r="HI26" s="917" t="s">
        <v>1016</v>
      </c>
      <c r="HJ26" s="720">
        <f t="shared" si="92"/>
        <v>7</v>
      </c>
      <c r="HK26" s="747">
        <f>VLOOKUP(HI26,'Ціни контур мережний'!$I$88:$M$88,5,0)</f>
        <v>13.211568975967202</v>
      </c>
      <c r="HL26" s="768">
        <f t="shared" si="85"/>
        <v>92.480982831770419</v>
      </c>
      <c r="HM26" s="917" t="s">
        <v>383</v>
      </c>
      <c r="HN26" s="720">
        <v>1</v>
      </c>
      <c r="HO26" s="747">
        <f>VLOOKUP(HM26,'Ціни контур мережний'!$I$87:$M$87,5,0)</f>
        <v>13.483972460007763</v>
      </c>
      <c r="HP26" s="748">
        <f t="shared" si="86"/>
        <v>13.483972460007763</v>
      </c>
      <c r="HQ26" s="769">
        <f t="shared" si="24"/>
        <v>42</v>
      </c>
      <c r="HR26" s="770">
        <f t="shared" si="87"/>
        <v>4344.6505224184721</v>
      </c>
      <c r="HS26" s="771">
        <v>0</v>
      </c>
      <c r="HT26" s="771">
        <f>'Таблиця цін схема №1'!$JE$44/'Ціни контур мережний'!$G$26</f>
        <v>476.70609707098151</v>
      </c>
      <c r="HU26" s="770">
        <f>'Таблиця цін схема №1'!$JG$8</f>
        <v>661.80181284518619</v>
      </c>
      <c r="HV26" s="770">
        <f>'Таблиця цін схема №1'!$JH$8</f>
        <v>487.81784379022207</v>
      </c>
      <c r="HW26" s="770">
        <f>'Таблиця цін схема №1'!$JI$8</f>
        <v>323.47913729816605</v>
      </c>
      <c r="HX26" s="770">
        <f>'Таблиця цін схема №1'!$JJ$8</f>
        <v>66.611999999999995</v>
      </c>
      <c r="HY26" s="772">
        <v>0</v>
      </c>
      <c r="HZ26" s="772">
        <f>'Таблиця цін схема №1'!$JL$8</f>
        <v>62.86234247089866</v>
      </c>
      <c r="IA26" s="772">
        <v>0</v>
      </c>
      <c r="IB26" s="770">
        <v>0</v>
      </c>
      <c r="IC26" s="913">
        <f t="shared" si="25"/>
        <v>449.67508291257491</v>
      </c>
      <c r="ID26" s="914">
        <f t="shared" si="26"/>
        <v>642.39297558939279</v>
      </c>
      <c r="IE26" s="915">
        <f t="shared" si="27"/>
        <v>110.50755089709764</v>
      </c>
      <c r="IF26" s="776">
        <f>'Таблиця цін схема №1'!$JR$8</f>
        <v>300.63036461094771</v>
      </c>
      <c r="IG26" s="777">
        <f t="shared" si="88"/>
        <v>7927.1357299039391</v>
      </c>
      <c r="II26" s="611">
        <f>[3]Расчеты!AX25/1.2</f>
        <v>5557.3337726533409</v>
      </c>
      <c r="IJ26" s="611">
        <f t="shared" si="89"/>
        <v>13484.46950255728</v>
      </c>
      <c r="IK26" s="611" t="e">
        <f>IJ26*1.2*#REF!</f>
        <v>#REF!</v>
      </c>
      <c r="IL26" s="611"/>
    </row>
    <row r="27" spans="1:248" ht="12.6" customHeight="1">
      <c r="A27" s="610" t="s">
        <v>686</v>
      </c>
      <c r="B27" s="740">
        <v>43</v>
      </c>
      <c r="C27" s="1056" t="s">
        <v>904</v>
      </c>
      <c r="D27" s="892">
        <v>0.26024000000000003</v>
      </c>
      <c r="E27" s="918">
        <v>0.22320000000000001</v>
      </c>
      <c r="F27" s="742">
        <f t="shared" si="28"/>
        <v>10.354324616372631</v>
      </c>
      <c r="G27" s="743">
        <v>65</v>
      </c>
      <c r="H27" s="598">
        <f t="shared" si="29"/>
        <v>4.6488031439799924</v>
      </c>
      <c r="I27" s="599">
        <v>40</v>
      </c>
      <c r="J27" s="598">
        <f t="shared" si="30"/>
        <v>10.820790020790021</v>
      </c>
      <c r="K27" s="599">
        <v>65</v>
      </c>
      <c r="L27" s="598">
        <f t="shared" si="31"/>
        <v>5.7055214723926388</v>
      </c>
      <c r="M27" s="599">
        <v>50</v>
      </c>
      <c r="N27" s="598">
        <f t="shared" si="32"/>
        <v>4.5273833671399597</v>
      </c>
      <c r="O27" s="599">
        <v>40</v>
      </c>
      <c r="P27" s="598">
        <f t="shared" si="93"/>
        <v>1.3582150101419879</v>
      </c>
      <c r="Q27" s="599">
        <v>25</v>
      </c>
      <c r="R27" s="598">
        <f t="shared" si="33"/>
        <v>6.5744004550191892</v>
      </c>
      <c r="S27" s="600">
        <f t="shared" si="34"/>
        <v>8.0688258466685792</v>
      </c>
      <c r="T27" s="744">
        <v>2</v>
      </c>
      <c r="U27" s="601">
        <f t="shared" si="35"/>
        <v>5.4103950103950105</v>
      </c>
      <c r="V27" s="601">
        <f t="shared" si="36"/>
        <v>7.6514540014963455</v>
      </c>
      <c r="W27" s="602">
        <v>50</v>
      </c>
      <c r="X27" s="745">
        <f t="shared" si="0"/>
        <v>65</v>
      </c>
      <c r="Y27" s="746">
        <v>2</v>
      </c>
      <c r="Z27" s="747">
        <f>VLOOKUP(X27,'Ціни контур мережний'!$Z$24:$AB$36,3,0)</f>
        <v>30.19184015363556</v>
      </c>
      <c r="AA27" s="748">
        <f t="shared" si="37"/>
        <v>60.383680307271121</v>
      </c>
      <c r="AB27" s="745">
        <f t="shared" si="1"/>
        <v>65</v>
      </c>
      <c r="AC27" s="749">
        <v>2</v>
      </c>
      <c r="AD27" s="747">
        <f>VLOOKUP(AB27,'Ціни контур мережний'!$Z$64:$AB$77,3,0)</f>
        <v>105.883234246566</v>
      </c>
      <c r="AE27" s="748">
        <f t="shared" si="38"/>
        <v>211.76646849313201</v>
      </c>
      <c r="AF27" s="745">
        <f t="shared" si="2"/>
        <v>65</v>
      </c>
      <c r="AG27" s="746">
        <v>1</v>
      </c>
      <c r="AH27" s="747">
        <f>VLOOKUP(AF27,'Ціни контур мережний'!$Z$5:$AB$17,3,0)</f>
        <v>39.731999999999999</v>
      </c>
      <c r="AI27" s="748">
        <f t="shared" si="39"/>
        <v>39.731999999999999</v>
      </c>
      <c r="AJ27" s="750">
        <f t="shared" si="3"/>
        <v>40</v>
      </c>
      <c r="AK27" s="746">
        <v>3</v>
      </c>
      <c r="AL27" s="747">
        <f>VLOOKUP(AJ27,'Ціни контур мережний'!$Z$43:$AB$55,3,0)</f>
        <v>18.42400964308333</v>
      </c>
      <c r="AM27" s="748">
        <f t="shared" si="40"/>
        <v>55.272028929249991</v>
      </c>
      <c r="AN27" s="745">
        <f t="shared" si="4"/>
        <v>50</v>
      </c>
      <c r="AO27" s="749">
        <v>4</v>
      </c>
      <c r="AP27" s="747">
        <f>VLOOKUP(AN27,'Ціни контур мережний'!$Z$43:$AB$55,3,0)</f>
        <v>23.2782130224622</v>
      </c>
      <c r="AQ27" s="759">
        <f t="shared" si="41"/>
        <v>93.112852089848801</v>
      </c>
      <c r="AR27" s="751" t="str">
        <f t="shared" si="42"/>
        <v>AMV20</v>
      </c>
      <c r="AS27" s="751">
        <v>1</v>
      </c>
      <c r="AT27" s="747">
        <f>VLOOKUP(AR27,'Ціни контур мережний'!$I$53:$M$57,5,0)</f>
        <v>110.39869654932889</v>
      </c>
      <c r="AU27" s="748">
        <f t="shared" si="43"/>
        <v>110.39869654932889</v>
      </c>
      <c r="AV27" s="752">
        <f t="array" ref="AV27">MIN(IF('Ціни контур мережний'!$Y$83:$Y$92&gt;(R27*1.2),'Ціни контур мережний'!$Y$83:$Y$92))</f>
        <v>10</v>
      </c>
      <c r="AW27" s="746">
        <f>VLOOKUP(AV27,'Ціни контур мережний'!$Y$83:$Z$92,2,0)</f>
        <v>25</v>
      </c>
      <c r="AX27" s="746">
        <v>1</v>
      </c>
      <c r="AY27" s="747">
        <f>VLOOKUP(AV27,'Ціни контур мережний'!$Y$83:$AB$92,4,0)</f>
        <v>117.50505648967251</v>
      </c>
      <c r="AZ27" s="748">
        <f t="shared" si="44"/>
        <v>117.50505648967251</v>
      </c>
      <c r="BA27" s="1099">
        <f t="array" ref="BA27">MIN(IF('[1]Ціни контур мережний'!$Y$104:$Y$114&gt;(R27*1.2),'[1]Ціни контур мережний'!$Y$104:$Y$114))</f>
        <v>8</v>
      </c>
      <c r="BB27" s="1101">
        <f>VLOOKUP(BA27,'[1]Ціни контур мережний'!$Y$104:$Z$114,2,0)</f>
        <v>25</v>
      </c>
      <c r="BC27" s="753">
        <v>1</v>
      </c>
      <c r="BD27" s="754">
        <f>VLOOKUP(BA27,'Ціни контур мережний'!$Y$104:$AB$114,4,0)</f>
        <v>278.09338672441618</v>
      </c>
      <c r="BE27" s="755">
        <f t="shared" si="45"/>
        <v>278.09338672441618</v>
      </c>
      <c r="BF27" s="751" t="s">
        <v>67</v>
      </c>
      <c r="BG27" s="749">
        <v>1</v>
      </c>
      <c r="BH27" s="747">
        <f>VLOOKUP(BF27,'Ціни контур мережний'!$I$53:$M$57,5,0)</f>
        <v>157.67238032974441</v>
      </c>
      <c r="BI27" s="768">
        <f t="shared" si="46"/>
        <v>157.67238032974441</v>
      </c>
      <c r="BJ27" s="894">
        <f t="array" ref="BJ27">MIN(IF('Ціни контур мережний'!$Y$83:$Y$93&gt;(S27*1.2),'Ціни контур мережний'!$Y$83:$Y$93))</f>
        <v>10</v>
      </c>
      <c r="BK27" s="895">
        <f>VLOOKUP(BJ27,'Ціни контур мережний'!$Y$83:$Z$93,2,0)</f>
        <v>25</v>
      </c>
      <c r="BL27" s="895">
        <v>1</v>
      </c>
      <c r="BM27" s="896">
        <f>VLOOKUP(BJ27,'Ціни контур мережний'!$Y$83:$AB$93,4,0)</f>
        <v>117.50505648967251</v>
      </c>
      <c r="BN27" s="916">
        <f t="shared" si="47"/>
        <v>117.50505648967251</v>
      </c>
      <c r="BO27" s="896">
        <f t="array" ref="BO27">MIN(IF('Ціни контур мережний'!$Y$104:$Y$114&gt;(S27*1.2),'Ціни контур мережний'!$Y$104:$Y$114))</f>
        <v>12.5</v>
      </c>
      <c r="BP27" s="895">
        <f>VLOOKUP(BO27,'Ціни контур мережний'!$Y$104:$Z$114,2,0)</f>
        <v>32</v>
      </c>
      <c r="BQ27" s="895">
        <v>1</v>
      </c>
      <c r="BR27" s="896">
        <f>VLOOKUP(BO27,'Ціни контур мережний'!$Y$104:$AB$114,4,0)</f>
        <v>435.76049604674444</v>
      </c>
      <c r="BS27" s="897">
        <f t="shared" si="48"/>
        <v>435.76049604674444</v>
      </c>
      <c r="BT27" s="751">
        <f>VLOOKUP(BU27,'Ціни контур мережний'!$J$5:$L$12,3,0)</f>
        <v>25</v>
      </c>
      <c r="BU27" s="751">
        <f t="array" ref="BU27">MIN(IF('Ціни контур мережний'!$J$5:$J$12&gt;H27,'Ціни контур мережний'!$J$5:$J$12))</f>
        <v>6</v>
      </c>
      <c r="BV27" s="746" t="s">
        <v>130</v>
      </c>
      <c r="BW27" s="756">
        <v>1</v>
      </c>
      <c r="BX27" s="747">
        <f>VLOOKUP(BU27,'Ціни контур мережний'!$J$5:$N$12,5,0)</f>
        <v>341.25599999999997</v>
      </c>
      <c r="BY27" s="748">
        <f t="shared" si="49"/>
        <v>341.25599999999997</v>
      </c>
      <c r="BZ27" s="745">
        <f>VLOOKUP(CA27,'Ціни контур мережний'!$J$5:$L$12,3,0)</f>
        <v>25</v>
      </c>
      <c r="CA27" s="747">
        <f t="array" ref="CA27">MIN(IF('Ціни контур мережний'!$J$5:$J$12&gt;L27,'Ціни контур мережний'!$J$5:$J$12))</f>
        <v>6</v>
      </c>
      <c r="CB27" s="746" t="s">
        <v>130</v>
      </c>
      <c r="CC27" s="749">
        <v>1</v>
      </c>
      <c r="CD27" s="747">
        <f>VLOOKUP(CA27,'Ціни контур мережний'!$J$5:$N$12,5,0)</f>
        <v>341.25599999999997</v>
      </c>
      <c r="CE27" s="748">
        <f t="shared" si="50"/>
        <v>341.25599999999997</v>
      </c>
      <c r="CF27" s="898" t="s">
        <v>1328</v>
      </c>
      <c r="CG27" s="899">
        <v>1</v>
      </c>
      <c r="CH27" s="900">
        <v>582</v>
      </c>
      <c r="CI27" s="901">
        <f t="shared" si="51"/>
        <v>582</v>
      </c>
      <c r="CJ27" s="751">
        <f t="shared" si="5"/>
        <v>65</v>
      </c>
      <c r="CK27" s="746">
        <v>4</v>
      </c>
      <c r="CL27" s="747">
        <f>VLOOKUP(CJ27,'Ціни контур теплопостачання'!$Y$5:$AA$17,3,0)</f>
        <v>30.19184015363556</v>
      </c>
      <c r="CM27" s="748">
        <f t="shared" si="52"/>
        <v>120.76736061454224</v>
      </c>
      <c r="CN27" s="750">
        <f t="shared" si="6"/>
        <v>40</v>
      </c>
      <c r="CO27" s="746">
        <v>6</v>
      </c>
      <c r="CP27" s="747">
        <f>VLOOKUP(CN27,'Ціни контур теплопостачання'!$AO$20:$AQ$29,3,0)</f>
        <v>37.980000000000004</v>
      </c>
      <c r="CQ27" s="748">
        <f t="shared" si="53"/>
        <v>227.88000000000002</v>
      </c>
      <c r="CR27" s="750">
        <f t="shared" si="7"/>
        <v>25</v>
      </c>
      <c r="CS27" s="746">
        <v>3</v>
      </c>
      <c r="CT27" s="747">
        <f>VLOOKUP(CR27,'Ціни контур теплопостачання'!$AO$20:$AQ$29,3,0)</f>
        <v>6.3070000000000004</v>
      </c>
      <c r="CU27" s="748">
        <f t="shared" si="54"/>
        <v>18.920999999999999</v>
      </c>
      <c r="CV27" s="757">
        <f t="shared" si="8"/>
        <v>50</v>
      </c>
      <c r="CW27" s="746">
        <f t="shared" si="9"/>
        <v>4</v>
      </c>
      <c r="CX27" s="747">
        <f>VLOOKUP(CV27,'Ціни контур теплопостачання'!$Y$5:$AA$17,3,0)</f>
        <v>23.2782130224622</v>
      </c>
      <c r="CY27" s="748">
        <f t="shared" si="55"/>
        <v>93.112852089848801</v>
      </c>
      <c r="CZ27" s="745">
        <v>20</v>
      </c>
      <c r="DA27" s="749">
        <v>2</v>
      </c>
      <c r="DB27" s="747">
        <f>VLOOKUP(CZ27,'Ціни контур теплопостачання'!$Y$5:$AA$17,3,0)</f>
        <v>3.577</v>
      </c>
      <c r="DC27" s="748">
        <f t="shared" si="56"/>
        <v>7.1539999999999999</v>
      </c>
      <c r="DD27" s="745">
        <v>15</v>
      </c>
      <c r="DE27" s="745">
        <v>8</v>
      </c>
      <c r="DF27" s="758">
        <f>VLOOKUP(DD27,'Ціни контур теплопостачання'!$Y$5:$AA$17,3,0)</f>
        <v>2.464</v>
      </c>
      <c r="DG27" s="759">
        <f t="shared" si="57"/>
        <v>19.712</v>
      </c>
      <c r="DH27" s="745">
        <v>15</v>
      </c>
      <c r="DI27" s="745">
        <f t="shared" si="58"/>
        <v>37</v>
      </c>
      <c r="DJ27" s="758">
        <f>VLOOKUP(DH27,'Ціни контур мережний'!$J$71:$M$71,4,0)</f>
        <v>3.3865201135922525</v>
      </c>
      <c r="DK27" s="759">
        <f t="shared" si="59"/>
        <v>125.30124420291334</v>
      </c>
      <c r="DL27" s="751">
        <f t="shared" si="10"/>
        <v>65</v>
      </c>
      <c r="DM27" s="746">
        <v>1</v>
      </c>
      <c r="DN27" s="747">
        <f>VLOOKUP(DL27,'Ціни контур теплопостачання'!$K$5:$M$17,3,0)</f>
        <v>39.731999999999999</v>
      </c>
      <c r="DO27" s="748">
        <f t="shared" si="60"/>
        <v>39.731999999999999</v>
      </c>
      <c r="DP27" s="745">
        <f t="shared" si="11"/>
        <v>40</v>
      </c>
      <c r="DQ27" s="749">
        <v>1</v>
      </c>
      <c r="DR27" s="747">
        <f>VLOOKUP(DP27,'Ціни контур теплопостачання'!$K$5:$M$17,3,0)</f>
        <v>23.225999999999999</v>
      </c>
      <c r="DS27" s="748">
        <f t="shared" si="61"/>
        <v>23.225999999999999</v>
      </c>
      <c r="DT27" s="745">
        <f t="shared" si="12"/>
        <v>25</v>
      </c>
      <c r="DU27" s="745">
        <v>1</v>
      </c>
      <c r="DV27" s="758">
        <f>VLOOKUP(DT27,'Ціни контур теплопостачання'!$K$5:$M$17,3,0)</f>
        <v>4.78</v>
      </c>
      <c r="DW27" s="759">
        <f t="shared" si="62"/>
        <v>4.78</v>
      </c>
      <c r="DX27" s="745">
        <f t="shared" si="63"/>
        <v>65</v>
      </c>
      <c r="DY27" s="745">
        <v>1</v>
      </c>
      <c r="DZ27" s="758">
        <f>VLOOKUP(DX27,'Ціни контур теплопостачання'!$Y$24:$AA$36,3,0)</f>
        <v>42.080999999999996</v>
      </c>
      <c r="EA27" s="759">
        <f t="shared" si="64"/>
        <v>42.080999999999996</v>
      </c>
      <c r="EB27" s="751">
        <f t="shared" si="13"/>
        <v>65</v>
      </c>
      <c r="EC27" s="746">
        <v>2</v>
      </c>
      <c r="ED27" s="747">
        <f>VLOOKUP(EB27,'Ціни контур теплопостачання'!$Y$24:$AA$36,3,0)</f>
        <v>42.080999999999996</v>
      </c>
      <c r="EE27" s="748">
        <f t="shared" si="65"/>
        <v>84.161999999999992</v>
      </c>
      <c r="EF27" s="745">
        <f t="shared" si="14"/>
        <v>40</v>
      </c>
      <c r="EG27" s="749">
        <v>1</v>
      </c>
      <c r="EH27" s="747">
        <f>VLOOKUP(EF27,'Ціни контур теплопостачання'!$AO$38:$AQ$50,3,0)</f>
        <v>20.3645</v>
      </c>
      <c r="EI27" s="748">
        <f t="shared" si="66"/>
        <v>20.3645</v>
      </c>
      <c r="EJ27" s="745">
        <f t="shared" si="15"/>
        <v>25</v>
      </c>
      <c r="EK27" s="745">
        <v>1</v>
      </c>
      <c r="EL27" s="758">
        <f>VLOOKUP(EJ27,'Ціни контур теплопостачання'!$AO$38:$AQ$50,3,0)</f>
        <v>6.9659999999999993</v>
      </c>
      <c r="EM27" s="759">
        <f t="shared" si="67"/>
        <v>6.9659999999999993</v>
      </c>
      <c r="EN27" s="745">
        <f t="shared" si="16"/>
        <v>50</v>
      </c>
      <c r="EO27" s="745">
        <f t="shared" si="17"/>
        <v>4</v>
      </c>
      <c r="EP27" s="758">
        <f>VLOOKUP(EN27,'Ціни контур теплопостачання'!$Y$76:$AA$88,3,0)</f>
        <v>20.6</v>
      </c>
      <c r="EQ27" s="759">
        <f t="shared" si="68"/>
        <v>82.4</v>
      </c>
      <c r="ER27" s="745">
        <f t="shared" si="18"/>
        <v>40</v>
      </c>
      <c r="ES27" s="745">
        <v>1</v>
      </c>
      <c r="ET27" s="758">
        <f>VLOOKUP(ER27,'Ціни контур теплопостачання'!$Y$76:$AA$88,3,0)</f>
        <v>16.809999999999999</v>
      </c>
      <c r="EU27" s="759">
        <f t="shared" si="69"/>
        <v>16.809999999999999</v>
      </c>
      <c r="EV27" s="745">
        <f t="shared" si="19"/>
        <v>25</v>
      </c>
      <c r="EW27" s="745">
        <v>1</v>
      </c>
      <c r="EX27" s="758">
        <f>VLOOKUP(EV27,'Ціни контур теплопостачання'!$Y$76:$AA$88,3,0)</f>
        <v>11.45</v>
      </c>
      <c r="EY27" s="759">
        <f t="shared" si="70"/>
        <v>11.45</v>
      </c>
      <c r="EZ27" s="758">
        <f t="shared" si="20"/>
        <v>25.911757948854031</v>
      </c>
      <c r="FA27" s="760">
        <v>25</v>
      </c>
      <c r="FB27" s="719">
        <v>2</v>
      </c>
      <c r="FC27" s="747">
        <f>VLOOKUP(FA27,'Ціни контур теплопостачання'!$K$74:$M$79,3,0)</f>
        <v>22.22</v>
      </c>
      <c r="FD27" s="761">
        <f t="shared" si="21"/>
        <v>44.44</v>
      </c>
      <c r="FE27" s="762">
        <f t="shared" si="71"/>
        <v>10.820790020790021</v>
      </c>
      <c r="FF27" s="902">
        <v>9</v>
      </c>
      <c r="FG27" s="900">
        <v>8</v>
      </c>
      <c r="FH27" s="830" t="s">
        <v>123</v>
      </c>
      <c r="FI27" s="708">
        <v>2</v>
      </c>
      <c r="FJ27" s="709">
        <f>VLOOKUP(FH27,'Ціни контур теплопостачання'!$C$89:$M$105,11,0)</f>
        <v>387.45599999999996</v>
      </c>
      <c r="FK27" s="764">
        <f t="shared" si="72"/>
        <v>774.91199999999992</v>
      </c>
      <c r="FL27" s="912">
        <f t="shared" si="73"/>
        <v>1.3582150101419879</v>
      </c>
      <c r="FM27" s="902">
        <v>9</v>
      </c>
      <c r="FN27" s="900">
        <v>9</v>
      </c>
      <c r="FO27" s="900" t="s">
        <v>1097</v>
      </c>
      <c r="FP27" s="749">
        <v>1</v>
      </c>
      <c r="FQ27" s="747">
        <f>VLOOKUP(FO27,'Ціни контур теплопостачання'!$C$89:$M$105,11,0)</f>
        <v>241.2</v>
      </c>
      <c r="FR27" s="904">
        <f t="shared" si="74"/>
        <v>241.2</v>
      </c>
      <c r="FS27" s="758">
        <f t="array" ref="FS27">MIN(IF('Ціни контур теплопостачання'!$AN$68:$AN$77&gt;(V27*1.2),'Ціни контур теплопостачання'!$AN$68:$AN$77))</f>
        <v>11.13</v>
      </c>
      <c r="FT27" s="749">
        <f>VLOOKUP(FS27,'Ціни контур теплопостачання'!$AN$68:$AO$77,2,0)</f>
        <v>32</v>
      </c>
      <c r="FU27" s="749">
        <f t="shared" si="22"/>
        <v>2</v>
      </c>
      <c r="FV27" s="747">
        <f>VLOOKUP(FT27,'Ціни контур теплопостачання'!$AO$68:$AQ$77,3,0)</f>
        <v>37.183999999999997</v>
      </c>
      <c r="FW27" s="765">
        <f t="shared" si="75"/>
        <v>74.367999999999995</v>
      </c>
      <c r="FX27" s="750">
        <v>15</v>
      </c>
      <c r="FY27" s="746">
        <v>2</v>
      </c>
      <c r="FZ27" s="747">
        <f>VLOOKUP(FX27,'Ціни контур мережний'!$J$73:$M$73,4,0)</f>
        <v>3.4649999999999999</v>
      </c>
      <c r="GA27" s="748">
        <f t="shared" si="76"/>
        <v>6.93</v>
      </c>
      <c r="GB27" s="750">
        <f>VLOOKUP(GC27,'Ціни контур теплопостачання'!$AN$6:$AO$13,2,0)</f>
        <v>32</v>
      </c>
      <c r="GC27" s="751">
        <f t="array" ref="GC27">MIN(IF('Ціни контур теплопостачання'!$AN$6:$AN$13&gt;N27,'Ціни контур теплопостачання'!$AN$6:$AN$13))</f>
        <v>6</v>
      </c>
      <c r="GD27" s="751">
        <v>1</v>
      </c>
      <c r="GE27" s="747">
        <f>VLOOKUP(GB27,'Ціни контур теплопостачання'!$AO$6:$AQ$13,3,0)</f>
        <v>85.682340000000011</v>
      </c>
      <c r="GF27" s="748">
        <f t="shared" si="77"/>
        <v>85.682340000000011</v>
      </c>
      <c r="GG27" s="750">
        <f t="shared" si="23"/>
        <v>40</v>
      </c>
      <c r="GH27" s="746">
        <v>1</v>
      </c>
      <c r="GI27" s="747">
        <f>VLOOKUP(GG27,'Ціни контур теплопостачання'!$AO$55:$AQ$63,3,0)</f>
        <v>193.55</v>
      </c>
      <c r="GJ27" s="768">
        <f t="shared" si="78"/>
        <v>193.55</v>
      </c>
      <c r="GK27" s="655" t="str">
        <f t="shared" si="91"/>
        <v>0-150</v>
      </c>
      <c r="GL27" s="720">
        <v>1</v>
      </c>
      <c r="GM27" s="747">
        <f>VLOOKUP(GK27,'Ціни контур мережний'!$I$79:$M$80,5,0)</f>
        <v>15.050156291498967</v>
      </c>
      <c r="GN27" s="748">
        <f t="shared" si="79"/>
        <v>15.050156291498967</v>
      </c>
      <c r="GO27" s="758" t="s">
        <v>109</v>
      </c>
      <c r="GP27" s="749">
        <v>5</v>
      </c>
      <c r="GQ27" s="747">
        <f>VLOOKUP(GO27,'Ціни контур мережний'!$I$79:$M$80,5,0)</f>
        <v>15.050156291498967</v>
      </c>
      <c r="GR27" s="765">
        <f t="shared" si="80"/>
        <v>75.250781457494838</v>
      </c>
      <c r="GS27" s="655" t="s">
        <v>108</v>
      </c>
      <c r="GT27" s="720">
        <v>5</v>
      </c>
      <c r="GU27" s="747">
        <f>VLOOKUP(GS27,'Ціни контур мережний'!$I$67:$M$69,5,0)</f>
        <v>4.4537969640631703</v>
      </c>
      <c r="GV27" s="748">
        <f t="shared" si="81"/>
        <v>22.26898482031585</v>
      </c>
      <c r="GW27" s="655" t="s">
        <v>106</v>
      </c>
      <c r="GX27" s="720">
        <f>11+T27</f>
        <v>13</v>
      </c>
      <c r="GY27" s="747">
        <f>VLOOKUP(GW27,'Ціни контур мережний'!$I$67:$M$69,5,0)</f>
        <v>4.4537969640631703</v>
      </c>
      <c r="GZ27" s="748">
        <f t="shared" si="82"/>
        <v>57.899360532821213</v>
      </c>
      <c r="HA27" s="655" t="s">
        <v>1013</v>
      </c>
      <c r="HB27" s="720">
        <v>4</v>
      </c>
      <c r="HC27" s="747">
        <f>VLOOKUP(HA27,'Ціни контур мережний'!$I$64:$M$64,5,0)</f>
        <v>29.1312</v>
      </c>
      <c r="HD27" s="748">
        <f t="shared" si="83"/>
        <v>116.5248</v>
      </c>
      <c r="HE27" s="766" t="s">
        <v>1015</v>
      </c>
      <c r="HF27" s="749">
        <v>6</v>
      </c>
      <c r="HG27" s="747">
        <f>VLOOKUP(HE27,'Ціни контур мережний'!$I$89:$M$89,5,0)</f>
        <v>79.523165325760516</v>
      </c>
      <c r="HH27" s="765">
        <f t="shared" si="84"/>
        <v>477.1389919545631</v>
      </c>
      <c r="HI27" s="778" t="s">
        <v>1016</v>
      </c>
      <c r="HJ27" s="720">
        <f t="shared" si="92"/>
        <v>7</v>
      </c>
      <c r="HK27" s="747">
        <f>VLOOKUP(HI27,'Ціни контур мережний'!$I$88:$M$88,5,0)</f>
        <v>13.211568975967202</v>
      </c>
      <c r="HL27" s="768">
        <f t="shared" si="85"/>
        <v>92.480982831770419</v>
      </c>
      <c r="HM27" s="779" t="s">
        <v>383</v>
      </c>
      <c r="HN27" s="720">
        <v>1</v>
      </c>
      <c r="HO27" s="747">
        <f>VLOOKUP(HM27,'Ціни контур мережний'!$I$87:$M$87,5,0)</f>
        <v>13.483972460007763</v>
      </c>
      <c r="HP27" s="748">
        <f t="shared" si="86"/>
        <v>13.483972460007763</v>
      </c>
      <c r="HQ27" s="769">
        <f t="shared" si="24"/>
        <v>43</v>
      </c>
      <c r="HR27" s="770">
        <f t="shared" si="87"/>
        <v>6177.714429704858</v>
      </c>
      <c r="HS27" s="771">
        <v>0</v>
      </c>
      <c r="HT27" s="771">
        <f>'Таблиця цін схема №1'!$JE$44/'Ціни контур мережний'!$G$26</f>
        <v>476.70609707098151</v>
      </c>
      <c r="HU27" s="770">
        <f>'Таблиця цін схема №1'!$JG$8</f>
        <v>661.80181284518619</v>
      </c>
      <c r="HV27" s="770">
        <f>'Таблиця цін схема №1'!$JH$8</f>
        <v>487.81784379022207</v>
      </c>
      <c r="HW27" s="770">
        <f>'Таблиця цін схема №1'!$JI$8</f>
        <v>323.47913729816605</v>
      </c>
      <c r="HX27" s="770">
        <f>'Таблиця цін схема №1'!$JJ$8</f>
        <v>66.611999999999995</v>
      </c>
      <c r="HY27" s="772">
        <v>0</v>
      </c>
      <c r="HZ27" s="772">
        <f>'Таблиця цін схема №1'!$JL$8</f>
        <v>62.86234247089866</v>
      </c>
      <c r="IA27" s="772">
        <v>0</v>
      </c>
      <c r="IB27" s="770">
        <v>0</v>
      </c>
      <c r="IC27" s="773">
        <f t="shared" si="25"/>
        <v>577.98955642262194</v>
      </c>
      <c r="ID27" s="774">
        <f t="shared" si="26"/>
        <v>825.69936631803125</v>
      </c>
      <c r="IE27" s="775">
        <f t="shared" si="27"/>
        <v>142.04080401933606</v>
      </c>
      <c r="IF27" s="776">
        <f>'Таблиця цін схема №1'!$JR$8</f>
        <v>300.63036461094771</v>
      </c>
      <c r="IG27" s="777">
        <f t="shared" si="88"/>
        <v>10103.35375455125</v>
      </c>
      <c r="II27" s="616">
        <f>[3]Расчеты!AX26/1.2</f>
        <v>5557.3337726533409</v>
      </c>
      <c r="IJ27" s="616">
        <f t="shared" si="89"/>
        <v>15660.687527204591</v>
      </c>
      <c r="IK27" s="616" t="e">
        <f>IJ27*1.2*#REF!</f>
        <v>#REF!</v>
      </c>
      <c r="IL27" s="616"/>
    </row>
    <row r="28" spans="1:248" ht="12.6" customHeight="1">
      <c r="A28" s="610" t="s">
        <v>686</v>
      </c>
      <c r="B28" s="905">
        <v>44</v>
      </c>
      <c r="C28" s="1056" t="s">
        <v>905</v>
      </c>
      <c r="D28" s="906">
        <v>0.27717000000000003</v>
      </c>
      <c r="E28" s="907">
        <v>0.26900000000000002</v>
      </c>
      <c r="F28" s="908">
        <f t="shared" si="28"/>
        <v>11.827510701674788</v>
      </c>
      <c r="G28" s="909">
        <v>65</v>
      </c>
      <c r="H28" s="598">
        <f t="shared" si="29"/>
        <v>4.9512325830653801</v>
      </c>
      <c r="I28" s="599">
        <v>40</v>
      </c>
      <c r="J28" s="598">
        <f t="shared" si="30"/>
        <v>11.524740124740125</v>
      </c>
      <c r="K28" s="599">
        <v>65</v>
      </c>
      <c r="L28" s="598">
        <f t="shared" si="31"/>
        <v>6.8762781186094077</v>
      </c>
      <c r="M28" s="599">
        <v>50</v>
      </c>
      <c r="N28" s="598">
        <f t="shared" si="32"/>
        <v>5.4563894523326573</v>
      </c>
      <c r="O28" s="599">
        <v>50</v>
      </c>
      <c r="P28" s="598">
        <f t="shared" si="93"/>
        <v>1.6369168356997972</v>
      </c>
      <c r="Q28" s="599">
        <v>32</v>
      </c>
      <c r="R28" s="598">
        <f t="shared" si="33"/>
        <v>7.0021002694346315</v>
      </c>
      <c r="S28" s="600">
        <f t="shared" si="34"/>
        <v>9.7245257739867732</v>
      </c>
      <c r="T28" s="910">
        <v>2</v>
      </c>
      <c r="U28" s="601">
        <f t="shared" si="35"/>
        <v>5.7623700623700627</v>
      </c>
      <c r="V28" s="601">
        <f t="shared" si="36"/>
        <v>8.1492218936164402</v>
      </c>
      <c r="W28" s="602">
        <v>50</v>
      </c>
      <c r="X28" s="745">
        <f t="shared" si="0"/>
        <v>65</v>
      </c>
      <c r="Y28" s="746">
        <v>2</v>
      </c>
      <c r="Z28" s="747">
        <f>VLOOKUP(X28,'Ціни контур мережний'!$Z$24:$AB$36,3,0)</f>
        <v>30.19184015363556</v>
      </c>
      <c r="AA28" s="748">
        <f t="shared" si="37"/>
        <v>60.383680307271121</v>
      </c>
      <c r="AB28" s="745">
        <f t="shared" si="1"/>
        <v>65</v>
      </c>
      <c r="AC28" s="749">
        <v>2</v>
      </c>
      <c r="AD28" s="747">
        <f>VLOOKUP(AB28,'Ціни контур мережний'!$Z$64:$AB$77,3,0)</f>
        <v>105.883234246566</v>
      </c>
      <c r="AE28" s="748">
        <f t="shared" si="38"/>
        <v>211.76646849313201</v>
      </c>
      <c r="AF28" s="745">
        <f t="shared" si="2"/>
        <v>65</v>
      </c>
      <c r="AG28" s="746">
        <v>0</v>
      </c>
      <c r="AH28" s="747">
        <f>VLOOKUP(AF28,'Ціни контур мережний'!$Z$5:$AB$17,3,0)</f>
        <v>39.731999999999999</v>
      </c>
      <c r="AI28" s="748">
        <f t="shared" si="39"/>
        <v>0</v>
      </c>
      <c r="AJ28" s="750">
        <f t="shared" si="3"/>
        <v>40</v>
      </c>
      <c r="AK28" s="746">
        <v>1</v>
      </c>
      <c r="AL28" s="747">
        <f>VLOOKUP(AJ28,'Ціни контур мережний'!$Z$43:$AB$55,3,0)</f>
        <v>18.42400964308333</v>
      </c>
      <c r="AM28" s="748">
        <f t="shared" si="40"/>
        <v>18.42400964308333</v>
      </c>
      <c r="AN28" s="745">
        <f t="shared" si="4"/>
        <v>50</v>
      </c>
      <c r="AO28" s="749">
        <v>4</v>
      </c>
      <c r="AP28" s="747">
        <f>VLOOKUP(AN28,'Ціни контур мережний'!$Z$43:$AB$55,3,0)</f>
        <v>23.2782130224622</v>
      </c>
      <c r="AQ28" s="759">
        <f t="shared" si="41"/>
        <v>93.112852089848801</v>
      </c>
      <c r="AR28" s="751" t="str">
        <f t="shared" si="42"/>
        <v>AMV20</v>
      </c>
      <c r="AS28" s="751">
        <v>1</v>
      </c>
      <c r="AT28" s="747">
        <f>VLOOKUP(AR28,'Ціни контур мережний'!$I$53:$M$57,5,0)</f>
        <v>110.39869654932889</v>
      </c>
      <c r="AU28" s="748">
        <f t="shared" si="43"/>
        <v>110.39869654932889</v>
      </c>
      <c r="AV28" s="752">
        <f t="array" ref="AV28">MIN(IF('Ціни контур мережний'!$Y$83:$Y$92&gt;(R28*1.2),'Ціни контур мережний'!$Y$83:$Y$92))</f>
        <v>10</v>
      </c>
      <c r="AW28" s="746">
        <f>VLOOKUP(AV28,'Ціни контур мережний'!$Y$83:$Z$92,2,0)</f>
        <v>25</v>
      </c>
      <c r="AX28" s="746">
        <v>1</v>
      </c>
      <c r="AY28" s="747">
        <f>VLOOKUP(AV28,'Ціни контур мережний'!$Y$83:$AB$92,4,0)</f>
        <v>117.50505648967251</v>
      </c>
      <c r="AZ28" s="748">
        <f t="shared" si="44"/>
        <v>117.50505648967251</v>
      </c>
      <c r="BA28" s="1099">
        <f t="array" ref="BA28">MIN(IF('[1]Ціни контур мережний'!$Y$104:$Y$114&gt;(R28*1.2),'[1]Ціни контур мережний'!$Y$104:$Y$114))</f>
        <v>12.5</v>
      </c>
      <c r="BB28" s="1101">
        <f>VLOOKUP(BA28,'[1]Ціни контур мережний'!$Y$104:$Z$114,2,0)</f>
        <v>32</v>
      </c>
      <c r="BC28" s="753">
        <v>1</v>
      </c>
      <c r="BD28" s="754">
        <f>VLOOKUP(BA28,'Ціни контур мережний'!$Y$104:$AB$114,4,0)</f>
        <v>435.76049604674444</v>
      </c>
      <c r="BE28" s="755">
        <f t="shared" si="45"/>
        <v>435.76049604674444</v>
      </c>
      <c r="BF28" s="751" t="s">
        <v>67</v>
      </c>
      <c r="BG28" s="749">
        <v>1</v>
      </c>
      <c r="BH28" s="747">
        <f>VLOOKUP(BF28,'Ціни контур мережний'!$I$53:$M$57,5,0)</f>
        <v>157.67238032974441</v>
      </c>
      <c r="BI28" s="768">
        <f t="shared" si="46"/>
        <v>157.67238032974441</v>
      </c>
      <c r="BJ28" s="894">
        <f t="array" ref="BJ28">MIN(IF('Ціни контур мережний'!$Y$83:$Y$93&gt;(S28*1.2),'Ціни контур мережний'!$Y$83:$Y$93))</f>
        <v>16</v>
      </c>
      <c r="BK28" s="895">
        <f>VLOOKUP(BJ28,'Ціни контур мережний'!$Y$83:$Z$93,2,0)</f>
        <v>32</v>
      </c>
      <c r="BL28" s="895">
        <v>1</v>
      </c>
      <c r="BM28" s="896">
        <f>VLOOKUP(BJ28,'Ціни контур мережний'!$Y$83:$AB$93,4,0)</f>
        <v>130.5392363168325</v>
      </c>
      <c r="BN28" s="916">
        <f t="shared" si="47"/>
        <v>130.5392363168325</v>
      </c>
      <c r="BO28" s="896">
        <f t="array" ref="BO28">MIN(IF('Ціни контур мережний'!$Y$104:$Y$114&gt;(S28*1.2),'Ціни контур мережний'!$Y$104:$Y$114))</f>
        <v>12.5</v>
      </c>
      <c r="BP28" s="895">
        <f>VLOOKUP(BO28,'Ціни контур мережний'!$Y$104:$Z$114,2,0)</f>
        <v>32</v>
      </c>
      <c r="BQ28" s="895">
        <v>1</v>
      </c>
      <c r="BR28" s="896">
        <f>VLOOKUP(BO28,'Ціни контур мережний'!$Y$104:$AB$114,4,0)</f>
        <v>435.76049604674444</v>
      </c>
      <c r="BS28" s="897">
        <f t="shared" si="48"/>
        <v>435.76049604674444</v>
      </c>
      <c r="BT28" s="751" t="s">
        <v>115</v>
      </c>
      <c r="BU28" s="751" t="s">
        <v>115</v>
      </c>
      <c r="BV28" s="746" t="s">
        <v>1025</v>
      </c>
      <c r="BW28" s="756">
        <v>0</v>
      </c>
      <c r="BX28" s="747">
        <v>0</v>
      </c>
      <c r="BY28" s="748">
        <f t="shared" si="49"/>
        <v>0</v>
      </c>
      <c r="BZ28" s="745">
        <f>VLOOKUP(CA28,'Ціни контур мережний'!$J$5:$L$12,3,0)</f>
        <v>40</v>
      </c>
      <c r="CA28" s="747">
        <f t="array" ref="CA28">MIN(IF('Ціни контур мережний'!$J$5:$J$12&gt;L28,'Ціни контур мережний'!$J$5:$J$12))</f>
        <v>10</v>
      </c>
      <c r="CB28" s="746" t="s">
        <v>130</v>
      </c>
      <c r="CC28" s="749">
        <v>1</v>
      </c>
      <c r="CD28" s="747">
        <f>VLOOKUP(CA28,'Ціни контур мережний'!$J$5:$N$12,5,0)</f>
        <v>375.23999999999995</v>
      </c>
      <c r="CE28" s="748">
        <f t="shared" si="50"/>
        <v>375.23999999999995</v>
      </c>
      <c r="CF28" s="898" t="s">
        <v>1354</v>
      </c>
      <c r="CG28" s="899">
        <v>1</v>
      </c>
      <c r="CH28" s="900">
        <v>645</v>
      </c>
      <c r="CI28" s="901">
        <f t="shared" si="51"/>
        <v>645</v>
      </c>
      <c r="CJ28" s="751">
        <f t="shared" si="5"/>
        <v>65</v>
      </c>
      <c r="CK28" s="746">
        <v>4</v>
      </c>
      <c r="CL28" s="747">
        <f>VLOOKUP(CJ28,'Ціни контур теплопостачання'!$Y$5:$AA$17,3,0)</f>
        <v>30.19184015363556</v>
      </c>
      <c r="CM28" s="748">
        <f t="shared" si="52"/>
        <v>120.76736061454224</v>
      </c>
      <c r="CN28" s="750">
        <f t="shared" si="6"/>
        <v>50</v>
      </c>
      <c r="CO28" s="746">
        <v>6</v>
      </c>
      <c r="CP28" s="747">
        <f>VLOOKUP(CN28,'Ціни контур теплопостачання'!$AO$20:$AQ$29,3,0)</f>
        <v>37.588411955788914</v>
      </c>
      <c r="CQ28" s="748">
        <f t="shared" si="53"/>
        <v>225.53047173473348</v>
      </c>
      <c r="CR28" s="750">
        <f t="shared" si="7"/>
        <v>32</v>
      </c>
      <c r="CS28" s="746">
        <v>3</v>
      </c>
      <c r="CT28" s="747">
        <f>VLOOKUP(CR28,'Ціни контур теплопостачання'!$AO$20:$AQ$29,3,0)</f>
        <v>10.381</v>
      </c>
      <c r="CU28" s="748">
        <f t="shared" si="54"/>
        <v>31.143000000000001</v>
      </c>
      <c r="CV28" s="757">
        <f t="shared" si="8"/>
        <v>50</v>
      </c>
      <c r="CW28" s="746">
        <f t="shared" si="9"/>
        <v>4</v>
      </c>
      <c r="CX28" s="747">
        <f>VLOOKUP(CV28,'Ціни контур теплопостачання'!$Y$5:$AA$17,3,0)</f>
        <v>23.2782130224622</v>
      </c>
      <c r="CY28" s="748">
        <f t="shared" si="55"/>
        <v>93.112852089848801</v>
      </c>
      <c r="CZ28" s="745">
        <v>20</v>
      </c>
      <c r="DA28" s="749">
        <v>2</v>
      </c>
      <c r="DB28" s="747">
        <f>VLOOKUP(CZ28,'Ціни контур теплопостачання'!$Y$5:$AA$17,3,0)</f>
        <v>3.577</v>
      </c>
      <c r="DC28" s="748">
        <f t="shared" si="56"/>
        <v>7.1539999999999999</v>
      </c>
      <c r="DD28" s="745">
        <v>15</v>
      </c>
      <c r="DE28" s="745">
        <v>8</v>
      </c>
      <c r="DF28" s="758">
        <f>VLOOKUP(DD28,'Ціни контур теплопостачання'!$Y$5:$AA$17,3,0)</f>
        <v>2.464</v>
      </c>
      <c r="DG28" s="759">
        <f t="shared" si="57"/>
        <v>19.712</v>
      </c>
      <c r="DH28" s="745">
        <v>15</v>
      </c>
      <c r="DI28" s="745">
        <f t="shared" si="58"/>
        <v>37</v>
      </c>
      <c r="DJ28" s="758">
        <f>VLOOKUP(DH28,'Ціни контур мережний'!$J$71:$M$71,4,0)</f>
        <v>3.3865201135922525</v>
      </c>
      <c r="DK28" s="759">
        <f t="shared" si="59"/>
        <v>125.30124420291334</v>
      </c>
      <c r="DL28" s="751">
        <f t="shared" si="10"/>
        <v>65</v>
      </c>
      <c r="DM28" s="746">
        <v>1</v>
      </c>
      <c r="DN28" s="747">
        <f>VLOOKUP(DL28,'Ціни контур теплопостачання'!$K$5:$M$17,3,0)</f>
        <v>39.731999999999999</v>
      </c>
      <c r="DO28" s="748">
        <f t="shared" si="60"/>
        <v>39.731999999999999</v>
      </c>
      <c r="DP28" s="745">
        <f t="shared" si="11"/>
        <v>50</v>
      </c>
      <c r="DQ28" s="749">
        <v>1</v>
      </c>
      <c r="DR28" s="747">
        <f>VLOOKUP(DP28,'Ціни контур теплопостачання'!$K$5:$M$17,3,0)</f>
        <v>26.284999999999997</v>
      </c>
      <c r="DS28" s="748">
        <f t="shared" si="61"/>
        <v>26.284999999999997</v>
      </c>
      <c r="DT28" s="745">
        <f t="shared" si="12"/>
        <v>32</v>
      </c>
      <c r="DU28" s="745">
        <v>1</v>
      </c>
      <c r="DV28" s="758">
        <f>VLOOKUP(DT28,'Ціни контур теплопостачання'!$K$5:$M$17,3,0)</f>
        <v>9.48</v>
      </c>
      <c r="DW28" s="759">
        <f t="shared" si="62"/>
        <v>9.48</v>
      </c>
      <c r="DX28" s="745">
        <f t="shared" si="63"/>
        <v>65</v>
      </c>
      <c r="DY28" s="745">
        <v>1</v>
      </c>
      <c r="DZ28" s="758">
        <f>VLOOKUP(DX28,'Ціни контур теплопостачання'!$Y$24:$AA$36,3,0)</f>
        <v>42.080999999999996</v>
      </c>
      <c r="EA28" s="759">
        <f t="shared" si="64"/>
        <v>42.080999999999996</v>
      </c>
      <c r="EB28" s="751">
        <f t="shared" si="13"/>
        <v>65</v>
      </c>
      <c r="EC28" s="746">
        <v>2</v>
      </c>
      <c r="ED28" s="747">
        <f>VLOOKUP(EB28,'Ціни контур теплопостачання'!$Y$24:$AA$36,3,0)</f>
        <v>42.080999999999996</v>
      </c>
      <c r="EE28" s="748">
        <f t="shared" si="65"/>
        <v>84.161999999999992</v>
      </c>
      <c r="EF28" s="745">
        <f t="shared" si="14"/>
        <v>50</v>
      </c>
      <c r="EG28" s="749">
        <v>1</v>
      </c>
      <c r="EH28" s="747">
        <f>VLOOKUP(EF28,'Ціни контур теплопостачання'!$AO$38:$AQ$50,3,0)</f>
        <v>28.560999999999996</v>
      </c>
      <c r="EI28" s="748">
        <f t="shared" si="66"/>
        <v>28.560999999999996</v>
      </c>
      <c r="EJ28" s="745">
        <f t="shared" si="15"/>
        <v>32</v>
      </c>
      <c r="EK28" s="745">
        <v>1</v>
      </c>
      <c r="EL28" s="758">
        <f>VLOOKUP(EJ28,'Ціни контур теплопостачання'!$AO$38:$AQ$50,3,0)</f>
        <v>10.773</v>
      </c>
      <c r="EM28" s="759">
        <f t="shared" si="67"/>
        <v>10.773</v>
      </c>
      <c r="EN28" s="745">
        <f t="shared" si="16"/>
        <v>50</v>
      </c>
      <c r="EO28" s="745">
        <f t="shared" si="17"/>
        <v>4</v>
      </c>
      <c r="EP28" s="758">
        <f>VLOOKUP(EN28,'Ціни контур теплопостачання'!$Y$76:$AA$88,3,0)</f>
        <v>20.6</v>
      </c>
      <c r="EQ28" s="759">
        <f t="shared" si="68"/>
        <v>82.4</v>
      </c>
      <c r="ER28" s="745">
        <f t="shared" si="18"/>
        <v>50</v>
      </c>
      <c r="ES28" s="745">
        <v>1</v>
      </c>
      <c r="ET28" s="758">
        <f>VLOOKUP(ER28,'Ціни контур теплопостачання'!$Y$76:$AA$88,3,0)</f>
        <v>20.6</v>
      </c>
      <c r="EU28" s="759">
        <f t="shared" si="69"/>
        <v>20.6</v>
      </c>
      <c r="EV28" s="745">
        <f t="shared" si="19"/>
        <v>32</v>
      </c>
      <c r="EW28" s="745">
        <v>1</v>
      </c>
      <c r="EX28" s="758">
        <f>VLOOKUP(EV28,'Ціни контур теплопостачання'!$Y$76:$AA$88,3,0)</f>
        <v>13.15</v>
      </c>
      <c r="EY28" s="759">
        <f t="shared" si="70"/>
        <v>13.15</v>
      </c>
      <c r="EZ28" s="758">
        <f t="shared" si="20"/>
        <v>26.741327566147497</v>
      </c>
      <c r="FA28" s="760">
        <v>32</v>
      </c>
      <c r="FB28" s="719">
        <v>2</v>
      </c>
      <c r="FC28" s="747">
        <f>VLOOKUP(FA28,'Ціни контур теплопостачання'!$K$74:$M$79,3,0)</f>
        <v>33.68</v>
      </c>
      <c r="FD28" s="761">
        <f t="shared" si="21"/>
        <v>67.36</v>
      </c>
      <c r="FE28" s="762">
        <f t="shared" si="71"/>
        <v>11.524740124740125</v>
      </c>
      <c r="FF28" s="911">
        <v>9</v>
      </c>
      <c r="FG28" s="900">
        <v>8</v>
      </c>
      <c r="FH28" s="830" t="s">
        <v>123</v>
      </c>
      <c r="FI28" s="708">
        <v>2</v>
      </c>
      <c r="FJ28" s="709">
        <f>VLOOKUP(FH28,'Ціни контур теплопостачання'!$C$89:$M$105,11,0)</f>
        <v>387.45599999999996</v>
      </c>
      <c r="FK28" s="764">
        <f t="shared" si="72"/>
        <v>774.91199999999992</v>
      </c>
      <c r="FL28" s="912">
        <f t="shared" si="73"/>
        <v>1.6369168356997972</v>
      </c>
      <c r="FM28" s="911">
        <v>9</v>
      </c>
      <c r="FN28" s="900">
        <v>9</v>
      </c>
      <c r="FO28" s="900" t="s">
        <v>1097</v>
      </c>
      <c r="FP28" s="749">
        <v>1</v>
      </c>
      <c r="FQ28" s="747">
        <f>VLOOKUP(FO28,'Ціни контур теплопостачання'!$C$89:$M$105,11,0)</f>
        <v>241.2</v>
      </c>
      <c r="FR28" s="904">
        <f t="shared" si="74"/>
        <v>241.2</v>
      </c>
      <c r="FS28" s="758">
        <f t="array" ref="FS28">MIN(IF('Ціни контур теплопостачання'!$AN$68:$AN$77&gt;(V28*1.2),'Ціни контур теплопостачання'!$AN$68:$AN$77))</f>
        <v>11.13</v>
      </c>
      <c r="FT28" s="749">
        <f>VLOOKUP(FS28,'Ціни контур теплопостачання'!$AN$68:$AO$77,2,0)</f>
        <v>32</v>
      </c>
      <c r="FU28" s="749">
        <f t="shared" si="22"/>
        <v>2</v>
      </c>
      <c r="FV28" s="747">
        <f>VLOOKUP(FT28,'Ціни контур теплопостачання'!$AO$68:$AQ$77,3,0)</f>
        <v>37.183999999999997</v>
      </c>
      <c r="FW28" s="765">
        <f t="shared" si="75"/>
        <v>74.367999999999995</v>
      </c>
      <c r="FX28" s="750">
        <v>15</v>
      </c>
      <c r="FY28" s="746">
        <v>2</v>
      </c>
      <c r="FZ28" s="747">
        <f>VLOOKUP(FX28,'Ціни контур мережний'!$J$73:$M$73,4,0)</f>
        <v>3.4649999999999999</v>
      </c>
      <c r="GA28" s="748">
        <f t="shared" si="76"/>
        <v>6.93</v>
      </c>
      <c r="GB28" s="750">
        <f>VLOOKUP(GC28,'Ціни контур теплопостачання'!$AN$6:$AO$13,2,0)</f>
        <v>32</v>
      </c>
      <c r="GC28" s="751">
        <f t="array" ref="GC28">MIN(IF('Ціни контур теплопостачання'!$AN$6:$AN$13&gt;N28,'Ціни контур теплопостачання'!$AN$6:$AN$13))</f>
        <v>6</v>
      </c>
      <c r="GD28" s="751">
        <v>1</v>
      </c>
      <c r="GE28" s="747">
        <f>VLOOKUP(GB28,'Ціни контур теплопостачання'!$AO$6:$AQ$13,3,0)</f>
        <v>85.682340000000011</v>
      </c>
      <c r="GF28" s="748">
        <f t="shared" si="77"/>
        <v>85.682340000000011</v>
      </c>
      <c r="GG28" s="750">
        <f t="shared" si="23"/>
        <v>50</v>
      </c>
      <c r="GH28" s="746">
        <v>1</v>
      </c>
      <c r="GI28" s="747">
        <f>VLOOKUP(GG28,'Ціни контур теплопостачання'!$AO$55:$AQ$63,3,0)</f>
        <v>355.5</v>
      </c>
      <c r="GJ28" s="768">
        <f t="shared" si="78"/>
        <v>355.5</v>
      </c>
      <c r="GK28" s="655" t="str">
        <f t="shared" si="91"/>
        <v>0-150</v>
      </c>
      <c r="GL28" s="720">
        <v>1</v>
      </c>
      <c r="GM28" s="747">
        <f>VLOOKUP(GK28,'Ціни контур мережний'!$I$79:$M$80,5,0)</f>
        <v>15.050156291498967</v>
      </c>
      <c r="GN28" s="748">
        <f t="shared" si="79"/>
        <v>15.050156291498967</v>
      </c>
      <c r="GO28" s="758" t="s">
        <v>109</v>
      </c>
      <c r="GP28" s="749">
        <v>1</v>
      </c>
      <c r="GQ28" s="747">
        <f>VLOOKUP(GO28,'Ціни контур мережний'!$I$79:$M$80,5,0)</f>
        <v>15.050156291498967</v>
      </c>
      <c r="GR28" s="765">
        <f t="shared" si="80"/>
        <v>15.050156291498967</v>
      </c>
      <c r="GS28" s="655" t="s">
        <v>108</v>
      </c>
      <c r="GT28" s="720">
        <v>3</v>
      </c>
      <c r="GU28" s="747">
        <f>VLOOKUP(GS28,'Ціни контур мережний'!$I$67:$M$69,5,0)</f>
        <v>4.4537969640631703</v>
      </c>
      <c r="GV28" s="748">
        <f t="shared" si="81"/>
        <v>13.361390892189512</v>
      </c>
      <c r="GW28" s="655" t="s">
        <v>106</v>
      </c>
      <c r="GX28" s="720">
        <f>11+T28</f>
        <v>13</v>
      </c>
      <c r="GY28" s="747">
        <f>VLOOKUP(GW28,'Ціни контур мережний'!$I$67:$M$69,5,0)</f>
        <v>4.4537969640631703</v>
      </c>
      <c r="GZ28" s="748">
        <f t="shared" si="82"/>
        <v>57.899360532821213</v>
      </c>
      <c r="HA28" s="655" t="s">
        <v>1013</v>
      </c>
      <c r="HB28" s="720">
        <v>4</v>
      </c>
      <c r="HC28" s="747">
        <f>VLOOKUP(HA28,'Ціни контур мережний'!$I$64:$M$64,5,0)</f>
        <v>29.1312</v>
      </c>
      <c r="HD28" s="748">
        <f t="shared" si="83"/>
        <v>116.5248</v>
      </c>
      <c r="HE28" s="766" t="s">
        <v>1015</v>
      </c>
      <c r="HF28" s="749">
        <v>6</v>
      </c>
      <c r="HG28" s="747">
        <f>VLOOKUP(HE28,'Ціни контур мережний'!$I$89:$M$89,5,0)</f>
        <v>79.523165325760516</v>
      </c>
      <c r="HH28" s="765">
        <f t="shared" si="84"/>
        <v>477.1389919545631</v>
      </c>
      <c r="HI28" s="917" t="s">
        <v>1016</v>
      </c>
      <c r="HJ28" s="720">
        <f t="shared" si="92"/>
        <v>7</v>
      </c>
      <c r="HK28" s="747">
        <f>VLOOKUP(HI28,'Ціни контур мережний'!$I$88:$M$88,5,0)</f>
        <v>13.211568975967202</v>
      </c>
      <c r="HL28" s="768">
        <f t="shared" si="85"/>
        <v>92.480982831770419</v>
      </c>
      <c r="HM28" s="917" t="s">
        <v>383</v>
      </c>
      <c r="HN28" s="720">
        <v>1</v>
      </c>
      <c r="HO28" s="747">
        <f>VLOOKUP(HM28,'Ціни контур мережний'!$I$87:$M$87,5,0)</f>
        <v>13.483972460007763</v>
      </c>
      <c r="HP28" s="748">
        <f t="shared" si="86"/>
        <v>13.483972460007763</v>
      </c>
      <c r="HQ28" s="769">
        <f t="shared" si="24"/>
        <v>44</v>
      </c>
      <c r="HR28" s="770">
        <f>AA28+AE28+AI28+AM28+AQ28+AU28+AZ28+BE28+BI28+BN28+BS28+BY28+CE28+CI28+CM28+CQ28+CU28+CY28+DC28+DG28+DK28+DO28+DS28+DW28+EA28+EE28+EI28+EM28+EQ28+EU28+EY28+FD28+FK28+FR28+FW28+GA28+GF28+GJ28+GN28+GR28+GV28+GZ28+HD28+HH28+HL28+HP28</f>
        <v>6178.4504522087909</v>
      </c>
      <c r="HS28" s="771">
        <v>0</v>
      </c>
      <c r="HT28" s="771">
        <f>'Таблиця цін схема №1'!$JE$45/'Ціни контур мережний'!$G$26</f>
        <v>578.85740358619182</v>
      </c>
      <c r="HU28" s="770">
        <f>'Таблиця цін схема №1'!$JG$8</f>
        <v>661.80181284518619</v>
      </c>
      <c r="HV28" s="770">
        <f>'Таблиця цін схема №1'!$JH$8</f>
        <v>487.81784379022207</v>
      </c>
      <c r="HW28" s="770">
        <f>'Таблиця цін схема №1'!$JI$8</f>
        <v>323.47913729816605</v>
      </c>
      <c r="HX28" s="770">
        <f>'Таблиця цін схема №1'!$JJ$8</f>
        <v>66.611999999999995</v>
      </c>
      <c r="HY28" s="772">
        <v>0</v>
      </c>
      <c r="HZ28" s="772">
        <f>'Таблиця цін схема №1'!$JL$8</f>
        <v>62.86234247089866</v>
      </c>
      <c r="IA28" s="772">
        <v>0</v>
      </c>
      <c r="IB28" s="770">
        <v>0</v>
      </c>
      <c r="IC28" s="913">
        <f t="shared" si="25"/>
        <v>585.19166945396182</v>
      </c>
      <c r="ID28" s="914">
        <f t="shared" si="26"/>
        <v>835.98809921994552</v>
      </c>
      <c r="IE28" s="915">
        <f t="shared" si="27"/>
        <v>143.81072168349056</v>
      </c>
      <c r="IF28" s="776">
        <f>'Таблиця цін схема №1'!$JR$8</f>
        <v>300.63036461094771</v>
      </c>
      <c r="IG28" s="777">
        <f t="shared" si="88"/>
        <v>10225.501847167799</v>
      </c>
      <c r="II28" s="611">
        <f>[3]Расчеты!AX27/1.2</f>
        <v>4857.1049294532295</v>
      </c>
      <c r="IJ28" s="611">
        <f t="shared" si="89"/>
        <v>15082.606776621029</v>
      </c>
      <c r="IK28" s="611" t="e">
        <f>IJ28*1.2*#REF!</f>
        <v>#REF!</v>
      </c>
      <c r="IL28" s="611"/>
    </row>
    <row r="29" spans="1:248" ht="12.6" customHeight="1">
      <c r="A29" s="610" t="s">
        <v>686</v>
      </c>
      <c r="B29" s="905">
        <v>45</v>
      </c>
      <c r="C29" s="1056" t="s">
        <v>906</v>
      </c>
      <c r="D29" s="906">
        <v>0.15790000000000001</v>
      </c>
      <c r="E29" s="907">
        <v>0.13</v>
      </c>
      <c r="F29" s="908">
        <f t="shared" si="28"/>
        <v>6.143758616683872</v>
      </c>
      <c r="G29" s="909">
        <v>50</v>
      </c>
      <c r="H29" s="598">
        <f t="shared" si="29"/>
        <v>2.8206502322257947</v>
      </c>
      <c r="I29" s="599">
        <v>32</v>
      </c>
      <c r="J29" s="598">
        <f t="shared" si="30"/>
        <v>6.5654885654885655</v>
      </c>
      <c r="K29" s="599">
        <v>50</v>
      </c>
      <c r="L29" s="598">
        <f t="shared" si="31"/>
        <v>3.3231083844580778</v>
      </c>
      <c r="M29" s="599">
        <v>40</v>
      </c>
      <c r="N29" s="598">
        <f t="shared" si="32"/>
        <v>2.6369168356997972</v>
      </c>
      <c r="O29" s="599">
        <v>32</v>
      </c>
      <c r="P29" s="598">
        <f t="shared" si="93"/>
        <v>0.79107505070993911</v>
      </c>
      <c r="Q29" s="599">
        <v>20</v>
      </c>
      <c r="R29" s="598">
        <f t="shared" si="33"/>
        <v>3.9890018131245388</v>
      </c>
      <c r="S29" s="600">
        <f t="shared" si="34"/>
        <v>4.6995849465363584</v>
      </c>
      <c r="T29" s="910">
        <v>1</v>
      </c>
      <c r="U29" s="601">
        <f t="shared" si="35"/>
        <v>6.5654885654885655</v>
      </c>
      <c r="V29" s="601">
        <f t="shared" si="36"/>
        <v>9.2850029729194059</v>
      </c>
      <c r="W29" s="602">
        <v>50</v>
      </c>
      <c r="X29" s="745">
        <f t="shared" si="0"/>
        <v>50</v>
      </c>
      <c r="Y29" s="746">
        <v>2</v>
      </c>
      <c r="Z29" s="747">
        <f>VLOOKUP(X29,'Ціни контур мережний'!$Z$24:$AB$36,3,0)</f>
        <v>23.2782130224622</v>
      </c>
      <c r="AA29" s="748">
        <f t="shared" si="37"/>
        <v>46.5564260449244</v>
      </c>
      <c r="AB29" s="745">
        <f t="shared" si="1"/>
        <v>50</v>
      </c>
      <c r="AC29" s="749">
        <v>2</v>
      </c>
      <c r="AD29" s="747">
        <f>VLOOKUP(AB29,'Ціни контур мережний'!$Z$64:$AB$77,3,0)</f>
        <v>80.03214361111678</v>
      </c>
      <c r="AE29" s="748">
        <f t="shared" si="38"/>
        <v>160.06428722223356</v>
      </c>
      <c r="AF29" s="745">
        <f t="shared" si="2"/>
        <v>50</v>
      </c>
      <c r="AG29" s="746">
        <v>0</v>
      </c>
      <c r="AH29" s="747">
        <f>VLOOKUP(AF29,'Ціни контур мережний'!$Z$5:$AB$17,3,0)</f>
        <v>26.284999999999997</v>
      </c>
      <c r="AI29" s="748">
        <f t="shared" si="39"/>
        <v>0</v>
      </c>
      <c r="AJ29" s="750">
        <f t="shared" si="3"/>
        <v>32</v>
      </c>
      <c r="AK29" s="746">
        <v>1</v>
      </c>
      <c r="AL29" s="747">
        <f>VLOOKUP(AJ29,'Ціни контур мережний'!$Z$43:$AB$55,3,0)</f>
        <v>16.107218011318363</v>
      </c>
      <c r="AM29" s="748">
        <f t="shared" si="40"/>
        <v>16.107218011318363</v>
      </c>
      <c r="AN29" s="745">
        <f t="shared" si="4"/>
        <v>40</v>
      </c>
      <c r="AO29" s="749">
        <v>4</v>
      </c>
      <c r="AP29" s="747">
        <f>VLOOKUP(AN29,'Ціни контур мережний'!$Z$43:$AB$55,3,0)</f>
        <v>18.42400964308333</v>
      </c>
      <c r="AQ29" s="759">
        <f t="shared" si="41"/>
        <v>73.696038572333322</v>
      </c>
      <c r="AR29" s="751" t="str">
        <f t="shared" si="42"/>
        <v>AMV20</v>
      </c>
      <c r="AS29" s="751">
        <v>1</v>
      </c>
      <c r="AT29" s="747">
        <f>VLOOKUP(AR29,'Ціни контур мережний'!$I$53:$M$57,5,0)</f>
        <v>110.39869654932889</v>
      </c>
      <c r="AU29" s="748">
        <f t="shared" si="43"/>
        <v>110.39869654932889</v>
      </c>
      <c r="AV29" s="752">
        <f t="array" ref="AV29">MIN(IF('Ціни контур мережний'!$Y$83:$Y$92&gt;(R29*1.2),'Ціни контур мережний'!$Y$83:$Y$92))</f>
        <v>6.3</v>
      </c>
      <c r="AW29" s="746">
        <f>VLOOKUP(AV29,'Ціни контур мережний'!$Y$83:$Z$92,2,0)</f>
        <v>20</v>
      </c>
      <c r="AX29" s="746">
        <v>1</v>
      </c>
      <c r="AY29" s="747">
        <f>VLOOKUP(AV29,'Ціни контур мережний'!$Y$83:$AB$92,4,0)</f>
        <v>113.14115267534271</v>
      </c>
      <c r="AZ29" s="748">
        <f t="shared" si="44"/>
        <v>113.14115267534271</v>
      </c>
      <c r="BA29" s="1099">
        <f t="array" ref="BA29">MIN(IF('[1]Ціни контур мережний'!$Y$104:$Y$114&gt;(R29*1.2),'[1]Ціни контур мережний'!$Y$104:$Y$114))</f>
        <v>6.3</v>
      </c>
      <c r="BB29" s="1101">
        <f>VLOOKUP(BA29,'[1]Ціни контур мережний'!$Y$104:$Z$114,2,0)</f>
        <v>20</v>
      </c>
      <c r="BC29" s="753">
        <v>1</v>
      </c>
      <c r="BD29" s="754">
        <f>VLOOKUP(BA29,'Ціни контур мережний'!$Y$104:$AB$114,4,0)</f>
        <v>259.83406541769665</v>
      </c>
      <c r="BE29" s="755">
        <f t="shared" si="45"/>
        <v>259.83406541769665</v>
      </c>
      <c r="BF29" s="751" t="s">
        <v>67</v>
      </c>
      <c r="BG29" s="749">
        <v>1</v>
      </c>
      <c r="BH29" s="747">
        <f>VLOOKUP(BF29,'Ціни контур мережний'!$I$53:$M$57,5,0)</f>
        <v>157.67238032974441</v>
      </c>
      <c r="BI29" s="768">
        <f t="shared" si="46"/>
        <v>157.67238032974441</v>
      </c>
      <c r="BJ29" s="894">
        <f t="array" ref="BJ29">MIN(IF('Ціни контур мережний'!$Y$83:$Y$93&gt;(S29*1.2),'Ціни контур мережний'!$Y$83:$Y$93))</f>
        <v>6.3</v>
      </c>
      <c r="BK29" s="895">
        <f>VLOOKUP(BJ29,'Ціни контур мережний'!$Y$83:$Z$93,2,0)</f>
        <v>20</v>
      </c>
      <c r="BL29" s="895">
        <v>1</v>
      </c>
      <c r="BM29" s="896">
        <f>VLOOKUP(BJ29,'Ціни контур мережний'!$Y$83:$AB$93,4,0)</f>
        <v>113.14115267534271</v>
      </c>
      <c r="BN29" s="916">
        <f t="shared" si="47"/>
        <v>113.14115267534271</v>
      </c>
      <c r="BO29" s="896">
        <f t="array" ref="BO29">MIN(IF('Ціни контур мережний'!$Y$104:$Y$114&gt;(S29*1.2),'Ціни контур мережний'!$Y$104:$Y$114))</f>
        <v>6.3</v>
      </c>
      <c r="BP29" s="895">
        <f>VLOOKUP(BO29,'Ціни контур мережний'!$Y$104:$Z$114,2,0)</f>
        <v>20</v>
      </c>
      <c r="BQ29" s="895">
        <v>1</v>
      </c>
      <c r="BR29" s="896">
        <f>VLOOKUP(BO29,'Ціни контур мережний'!$Y$104:$AB$114,4,0)</f>
        <v>259.83406541769665</v>
      </c>
      <c r="BS29" s="897">
        <f t="shared" si="48"/>
        <v>259.83406541769665</v>
      </c>
      <c r="BT29" s="751" t="s">
        <v>115</v>
      </c>
      <c r="BU29" s="751" t="s">
        <v>115</v>
      </c>
      <c r="BV29" s="746" t="s">
        <v>1025</v>
      </c>
      <c r="BW29" s="756">
        <v>0</v>
      </c>
      <c r="BX29" s="747">
        <v>0</v>
      </c>
      <c r="BY29" s="748">
        <f t="shared" si="49"/>
        <v>0</v>
      </c>
      <c r="BZ29" s="745">
        <f>VLOOKUP(CA29,'Ціни контур мережний'!$J$5:$L$12,3,0)</f>
        <v>25</v>
      </c>
      <c r="CA29" s="747">
        <f t="array" ref="CA29">MIN(IF('Ціни контур мережний'!$J$5:$J$12&gt;L29,'Ціни контур мережний'!$J$5:$J$12))</f>
        <v>3.5</v>
      </c>
      <c r="CB29" s="746" t="s">
        <v>130</v>
      </c>
      <c r="CC29" s="749">
        <v>1</v>
      </c>
      <c r="CD29" s="747">
        <f>VLOOKUP(CA29,'Ціни контур мережний'!$J$5:$N$12,5,0)</f>
        <v>341.25599999999997</v>
      </c>
      <c r="CE29" s="748">
        <f t="shared" si="50"/>
        <v>341.25599999999997</v>
      </c>
      <c r="CF29" s="898" t="s">
        <v>1355</v>
      </c>
      <c r="CG29" s="899">
        <v>1</v>
      </c>
      <c r="CH29" s="900">
        <v>449</v>
      </c>
      <c r="CI29" s="901">
        <f t="shared" si="51"/>
        <v>449</v>
      </c>
      <c r="CJ29" s="751">
        <f t="shared" si="5"/>
        <v>50</v>
      </c>
      <c r="CK29" s="746">
        <v>4</v>
      </c>
      <c r="CL29" s="747">
        <f>VLOOKUP(CJ29,'Ціни контур теплопостачання'!$Y$5:$AA$17,3,0)</f>
        <v>23.2782130224622</v>
      </c>
      <c r="CM29" s="748">
        <f t="shared" si="52"/>
        <v>93.112852089848801</v>
      </c>
      <c r="CN29" s="750">
        <f t="shared" si="6"/>
        <v>32</v>
      </c>
      <c r="CO29" s="746">
        <v>6</v>
      </c>
      <c r="CP29" s="747">
        <f>VLOOKUP(CN29,'Ціни контур теплопостачання'!$AO$20:$AQ$29,3,0)</f>
        <v>10.381</v>
      </c>
      <c r="CQ29" s="748">
        <f t="shared" si="53"/>
        <v>62.286000000000001</v>
      </c>
      <c r="CR29" s="750">
        <f t="shared" si="7"/>
        <v>20</v>
      </c>
      <c r="CS29" s="746">
        <v>3</v>
      </c>
      <c r="CT29" s="747">
        <f>VLOOKUP(CR29,'Ціни контур теплопостачання'!$AO$20:$AQ$29,3,0)</f>
        <v>3.577</v>
      </c>
      <c r="CU29" s="748">
        <f t="shared" si="54"/>
        <v>10.731</v>
      </c>
      <c r="CV29" s="757">
        <f t="shared" si="8"/>
        <v>50</v>
      </c>
      <c r="CW29" s="746">
        <f t="shared" si="9"/>
        <v>2</v>
      </c>
      <c r="CX29" s="747">
        <f>VLOOKUP(CV29,'Ціни контур теплопостачання'!$Y$5:$AA$17,3,0)</f>
        <v>23.2782130224622</v>
      </c>
      <c r="CY29" s="748">
        <f t="shared" si="55"/>
        <v>46.5564260449244</v>
      </c>
      <c r="CZ29" s="745">
        <v>20</v>
      </c>
      <c r="DA29" s="749">
        <v>2</v>
      </c>
      <c r="DB29" s="747">
        <f>VLOOKUP(CZ29,'Ціни контур теплопостачання'!$Y$5:$AA$17,3,0)</f>
        <v>3.577</v>
      </c>
      <c r="DC29" s="748">
        <f t="shared" si="56"/>
        <v>7.1539999999999999</v>
      </c>
      <c r="DD29" s="745">
        <v>15</v>
      </c>
      <c r="DE29" s="745">
        <v>8</v>
      </c>
      <c r="DF29" s="758">
        <f>VLOOKUP(DD29,'Ціни контур теплопостачання'!$Y$5:$AA$17,3,0)</f>
        <v>2.464</v>
      </c>
      <c r="DG29" s="759">
        <f t="shared" si="57"/>
        <v>19.712</v>
      </c>
      <c r="DH29" s="745">
        <v>15</v>
      </c>
      <c r="DI29" s="745">
        <f>35</f>
        <v>35</v>
      </c>
      <c r="DJ29" s="758">
        <f>VLOOKUP(DH29,'Ціни контур мережний'!$J$71:$M$71,4,0)</f>
        <v>3.3865201135922525</v>
      </c>
      <c r="DK29" s="759">
        <f t="shared" si="59"/>
        <v>118.52820397572884</v>
      </c>
      <c r="DL29" s="751">
        <f t="shared" si="10"/>
        <v>50</v>
      </c>
      <c r="DM29" s="746">
        <v>1</v>
      </c>
      <c r="DN29" s="747">
        <f>VLOOKUP(DL29,'Ціни контур теплопостачання'!$K$5:$M$17,3,0)</f>
        <v>26.284999999999997</v>
      </c>
      <c r="DO29" s="748">
        <f t="shared" si="60"/>
        <v>26.284999999999997</v>
      </c>
      <c r="DP29" s="745">
        <f t="shared" si="11"/>
        <v>32</v>
      </c>
      <c r="DQ29" s="749">
        <v>1</v>
      </c>
      <c r="DR29" s="747">
        <f>VLOOKUP(DP29,'Ціни контур теплопостачання'!$K$5:$M$17,3,0)</f>
        <v>9.48</v>
      </c>
      <c r="DS29" s="748">
        <f t="shared" si="61"/>
        <v>9.48</v>
      </c>
      <c r="DT29" s="745">
        <f t="shared" si="12"/>
        <v>20</v>
      </c>
      <c r="DU29" s="745">
        <v>1</v>
      </c>
      <c r="DV29" s="758">
        <f>VLOOKUP(DT29,'Ціни контур теплопостачання'!$K$5:$M$17,3,0)</f>
        <v>3.48</v>
      </c>
      <c r="DW29" s="759">
        <f t="shared" si="62"/>
        <v>3.48</v>
      </c>
      <c r="DX29" s="745">
        <f t="shared" si="63"/>
        <v>50</v>
      </c>
      <c r="DY29" s="745">
        <v>1</v>
      </c>
      <c r="DZ29" s="758">
        <f>VLOOKUP(DX29,'Ціни контур теплопостачання'!$Y$24:$AA$36,3,0)</f>
        <v>28.560999999999996</v>
      </c>
      <c r="EA29" s="759">
        <f t="shared" si="64"/>
        <v>28.560999999999996</v>
      </c>
      <c r="EB29" s="751">
        <f t="shared" si="13"/>
        <v>50</v>
      </c>
      <c r="EC29" s="746">
        <v>2</v>
      </c>
      <c r="ED29" s="747">
        <f>VLOOKUP(EB29,'Ціни контур теплопостачання'!$Y$24:$AA$36,3,0)</f>
        <v>28.560999999999996</v>
      </c>
      <c r="EE29" s="748">
        <f t="shared" si="65"/>
        <v>57.121999999999993</v>
      </c>
      <c r="EF29" s="745">
        <f t="shared" si="14"/>
        <v>32</v>
      </c>
      <c r="EG29" s="749">
        <v>1</v>
      </c>
      <c r="EH29" s="747">
        <f>VLOOKUP(EF29,'Ціни контур теплопостачання'!$AO$38:$AQ$50,3,0)</f>
        <v>10.773</v>
      </c>
      <c r="EI29" s="748">
        <f t="shared" si="66"/>
        <v>10.773</v>
      </c>
      <c r="EJ29" s="745">
        <f t="shared" si="15"/>
        <v>20</v>
      </c>
      <c r="EK29" s="745">
        <v>1</v>
      </c>
      <c r="EL29" s="758">
        <f>VLOOKUP(EJ29,'Ціни контур теплопостачання'!$AO$38:$AQ$50,3,0)</f>
        <v>4.5359999999999996</v>
      </c>
      <c r="EM29" s="759">
        <f t="shared" si="67"/>
        <v>4.5359999999999996</v>
      </c>
      <c r="EN29" s="745">
        <f t="shared" si="16"/>
        <v>50</v>
      </c>
      <c r="EO29" s="745">
        <f t="shared" si="17"/>
        <v>2</v>
      </c>
      <c r="EP29" s="758">
        <f>VLOOKUP(EN29,'Ціни контур теплопостачання'!$Y$76:$AA$88,3,0)</f>
        <v>20.6</v>
      </c>
      <c r="EQ29" s="759">
        <f t="shared" si="68"/>
        <v>41.2</v>
      </c>
      <c r="ER29" s="745">
        <f t="shared" si="18"/>
        <v>32</v>
      </c>
      <c r="ES29" s="745">
        <v>1</v>
      </c>
      <c r="ET29" s="758">
        <f>VLOOKUP(ER29,'Ціни контур теплопостачання'!$Y$76:$AA$88,3,0)</f>
        <v>13.15</v>
      </c>
      <c r="EU29" s="759">
        <f t="shared" si="69"/>
        <v>13.15</v>
      </c>
      <c r="EV29" s="745">
        <f t="shared" si="19"/>
        <v>20</v>
      </c>
      <c r="EW29" s="745">
        <v>1</v>
      </c>
      <c r="EX29" s="758">
        <f>VLOOKUP(EV29,'Ціни контур теплопостачання'!$Y$76:$AA$88,3,0)</f>
        <v>11.45</v>
      </c>
      <c r="EY29" s="759">
        <f t="shared" si="70"/>
        <v>11.45</v>
      </c>
      <c r="EZ29" s="758">
        <f t="shared" si="20"/>
        <v>20.183706299884566</v>
      </c>
      <c r="FA29" s="760">
        <v>20</v>
      </c>
      <c r="FB29" s="719">
        <v>2</v>
      </c>
      <c r="FC29" s="747">
        <f>VLOOKUP(FA29,'Ціни контур теплопостачання'!$K$74:$M$79,3,0)</f>
        <v>16.440000000000001</v>
      </c>
      <c r="FD29" s="761">
        <f t="shared" si="21"/>
        <v>32.880000000000003</v>
      </c>
      <c r="FE29" s="762">
        <f t="shared" si="71"/>
        <v>6.5654885654885655</v>
      </c>
      <c r="FF29" s="911">
        <v>9</v>
      </c>
      <c r="FG29" s="900">
        <v>8</v>
      </c>
      <c r="FH29" s="830" t="s">
        <v>1091</v>
      </c>
      <c r="FI29" s="708">
        <v>2</v>
      </c>
      <c r="FJ29" s="709">
        <f>VLOOKUP(FH29,'Ціни контур теплопостачання'!$C$89:$M$105,11,0)</f>
        <v>198.83999999999997</v>
      </c>
      <c r="FK29" s="764">
        <f t="shared" si="72"/>
        <v>397.67999999999995</v>
      </c>
      <c r="FL29" s="912">
        <f t="shared" si="73"/>
        <v>0.79107505070993911</v>
      </c>
      <c r="FM29" s="911">
        <v>9</v>
      </c>
      <c r="FN29" s="900">
        <v>9</v>
      </c>
      <c r="FO29" s="900" t="s">
        <v>1097</v>
      </c>
      <c r="FP29" s="749">
        <v>1</v>
      </c>
      <c r="FQ29" s="747">
        <f>VLOOKUP(FO29,'Ціни контур теплопостачання'!$C$89:$M$105,11,0)</f>
        <v>241.2</v>
      </c>
      <c r="FR29" s="904">
        <f t="shared" si="74"/>
        <v>241.2</v>
      </c>
      <c r="FS29" s="758">
        <f t="array" ref="FS29">MIN(IF('Ціни контур теплопостачання'!$AN$68:$AN$77&gt;(V29*1.2),'Ціни контур теплопостачання'!$AN$68:$AN$77))</f>
        <v>22.36</v>
      </c>
      <c r="FT29" s="749">
        <f>VLOOKUP(FS29,'Ціни контур теплопостачання'!$AN$68:$AO$77,2,0)</f>
        <v>40</v>
      </c>
      <c r="FU29" s="749">
        <v>0</v>
      </c>
      <c r="FV29" s="747">
        <f>VLOOKUP(FT29,'Ціни контур теплопостачання'!$AO$68:$AQ$77,3,0)</f>
        <v>43.225000000000001</v>
      </c>
      <c r="FW29" s="765">
        <f t="shared" si="75"/>
        <v>0</v>
      </c>
      <c r="FX29" s="750">
        <v>15</v>
      </c>
      <c r="FY29" s="746">
        <v>2</v>
      </c>
      <c r="FZ29" s="747">
        <f>VLOOKUP(FX29,'Ціни контур мережний'!$J$73:$M$73,4,0)</f>
        <v>3.4649999999999999</v>
      </c>
      <c r="GA29" s="748">
        <f t="shared" si="76"/>
        <v>6.93</v>
      </c>
      <c r="GB29" s="750">
        <f>VLOOKUP(GC29,'Ціни контур теплопостачання'!$AN$6:$AO$13,2,0)</f>
        <v>25</v>
      </c>
      <c r="GC29" s="751">
        <f t="array" ref="GC29">MIN(IF('Ціни контур теплопостачання'!$AN$6:$AN$13&gt;N29,'Ціни контур теплопостачання'!$AN$6:$AN$13))</f>
        <v>3.5</v>
      </c>
      <c r="GD29" s="751">
        <v>1</v>
      </c>
      <c r="GE29" s="747">
        <f>VLOOKUP(GB29,'Ціни контур теплопостачання'!$AO$6:$AQ$13,3,0)</f>
        <v>76.3506</v>
      </c>
      <c r="GF29" s="748">
        <f t="shared" si="77"/>
        <v>76.3506</v>
      </c>
      <c r="GG29" s="750">
        <f t="shared" si="23"/>
        <v>32</v>
      </c>
      <c r="GH29" s="746">
        <v>1</v>
      </c>
      <c r="GI29" s="747">
        <f>VLOOKUP(GG29,'Ціни контур теплопостачання'!$AO$55:$AQ$63,3,0)</f>
        <v>150.1</v>
      </c>
      <c r="GJ29" s="768">
        <f t="shared" si="78"/>
        <v>150.1</v>
      </c>
      <c r="GK29" s="655" t="str">
        <f t="shared" si="91"/>
        <v>0-150</v>
      </c>
      <c r="GL29" s="720">
        <v>1</v>
      </c>
      <c r="GM29" s="747">
        <f>VLOOKUP(GK29,'Ціни контур мережний'!$I$79:$M$80,5,0)</f>
        <v>15.050156291498967</v>
      </c>
      <c r="GN29" s="748">
        <f t="shared" si="79"/>
        <v>15.050156291498967</v>
      </c>
      <c r="GO29" s="758" t="s">
        <v>109</v>
      </c>
      <c r="GP29" s="749">
        <v>1</v>
      </c>
      <c r="GQ29" s="747">
        <f>VLOOKUP(GO29,'Ціни контур мережний'!$I$79:$M$80,5,0)</f>
        <v>15.050156291498967</v>
      </c>
      <c r="GR29" s="765">
        <f t="shared" si="80"/>
        <v>15.050156291498967</v>
      </c>
      <c r="GS29" s="655" t="s">
        <v>108</v>
      </c>
      <c r="GT29" s="720">
        <v>3</v>
      </c>
      <c r="GU29" s="747">
        <f>VLOOKUP(GS29,'Ціни контур мережний'!$I$67:$M$69,5,0)</f>
        <v>4.4537969640631703</v>
      </c>
      <c r="GV29" s="748">
        <f t="shared" si="81"/>
        <v>13.361390892189512</v>
      </c>
      <c r="GW29" s="655" t="s">
        <v>106</v>
      </c>
      <c r="GX29" s="720">
        <f>11</f>
        <v>11</v>
      </c>
      <c r="GY29" s="747">
        <f>VLOOKUP(GW29,'Ціни контур мережний'!$I$67:$M$69,5,0)</f>
        <v>4.4537969640631703</v>
      </c>
      <c r="GZ29" s="748">
        <f t="shared" si="82"/>
        <v>48.991766604694874</v>
      </c>
      <c r="HA29" s="655" t="s">
        <v>1013</v>
      </c>
      <c r="HB29" s="720">
        <v>4</v>
      </c>
      <c r="HC29" s="747">
        <f>VLOOKUP(HA29,'Ціни контур мережний'!$I$64:$M$64,5,0)</f>
        <v>29.1312</v>
      </c>
      <c r="HD29" s="748">
        <f t="shared" si="83"/>
        <v>116.5248</v>
      </c>
      <c r="HE29" s="766" t="s">
        <v>1015</v>
      </c>
      <c r="HF29" s="749">
        <v>6</v>
      </c>
      <c r="HG29" s="747">
        <f>VLOOKUP(HE29,'Ціни контур мережний'!$I$89:$M$89,5,0)</f>
        <v>79.523165325760516</v>
      </c>
      <c r="HH29" s="765">
        <f t="shared" si="84"/>
        <v>477.1389919545631</v>
      </c>
      <c r="HI29" s="778" t="s">
        <v>1016</v>
      </c>
      <c r="HJ29" s="720">
        <f t="shared" si="92"/>
        <v>7</v>
      </c>
      <c r="HK29" s="747">
        <f>VLOOKUP(HI29,'Ціни контур мережний'!$I$88:$M$88,5,0)</f>
        <v>13.211568975967202</v>
      </c>
      <c r="HL29" s="768">
        <f t="shared" si="85"/>
        <v>92.480982831770419</v>
      </c>
      <c r="HM29" s="757" t="s">
        <v>383</v>
      </c>
      <c r="HN29" s="720">
        <v>1</v>
      </c>
      <c r="HO29" s="747">
        <f>VLOOKUP(HM29,'Ціни контур мережний'!$I$87:$M$87,5,0)</f>
        <v>13.483972460007763</v>
      </c>
      <c r="HP29" s="748">
        <f t="shared" si="86"/>
        <v>13.483972460007763</v>
      </c>
      <c r="HQ29" s="769">
        <f t="shared" si="24"/>
        <v>45</v>
      </c>
      <c r="HR29" s="770">
        <f t="shared" si="87"/>
        <v>4362.0417823526868</v>
      </c>
      <c r="HS29" s="771">
        <v>0</v>
      </c>
      <c r="HT29" s="771">
        <f>'Таблиця цін схема №1'!$JE$44/'Ціни контур мережний'!$G$26</f>
        <v>476.70609707098151</v>
      </c>
      <c r="HU29" s="770">
        <f>'Таблиця цін схема №1'!$JG$8</f>
        <v>661.80181284518619</v>
      </c>
      <c r="HV29" s="770">
        <f>'Таблиця цін схема №1'!$JH$8</f>
        <v>487.81784379022207</v>
      </c>
      <c r="HW29" s="770">
        <f>'Таблиця цін схема №1'!$JI$8</f>
        <v>323.47913729816605</v>
      </c>
      <c r="HX29" s="770">
        <f>'Таблиця цін схема №1'!$JJ$8</f>
        <v>66.611999999999995</v>
      </c>
      <c r="HY29" s="772">
        <v>0</v>
      </c>
      <c r="HZ29" s="772">
        <f>'Таблиця цін схема №1'!$JL$8</f>
        <v>62.86234247089866</v>
      </c>
      <c r="IA29" s="772">
        <v>0</v>
      </c>
      <c r="IB29" s="770">
        <v>0</v>
      </c>
      <c r="IC29" s="913">
        <f t="shared" si="25"/>
        <v>450.89247110796998</v>
      </c>
      <c r="ID29" s="914">
        <f t="shared" si="26"/>
        <v>644.13210158281424</v>
      </c>
      <c r="IE29" s="915">
        <f t="shared" si="27"/>
        <v>110.80672377341671</v>
      </c>
      <c r="IF29" s="776">
        <f>'Таблиця цін схема №1'!$JR$8</f>
        <v>300.63036461094771</v>
      </c>
      <c r="IG29" s="777">
        <f t="shared" si="88"/>
        <v>7947.7826769032908</v>
      </c>
      <c r="II29" s="611">
        <f>[3]Расчеты!AX28/1.2</f>
        <v>4857.1049294532295</v>
      </c>
      <c r="IJ29" s="611">
        <f t="shared" si="89"/>
        <v>12804.88760635652</v>
      </c>
      <c r="IK29" s="611" t="e">
        <f>IJ29*1.2*#REF!</f>
        <v>#REF!</v>
      </c>
      <c r="IL29" s="611"/>
    </row>
    <row r="30" spans="1:248" ht="12.6" customHeight="1">
      <c r="A30" s="610" t="s">
        <v>686</v>
      </c>
      <c r="B30" s="740">
        <v>46</v>
      </c>
      <c r="C30" s="1056" t="s">
        <v>907</v>
      </c>
      <c r="D30" s="892">
        <v>0.45301999999999998</v>
      </c>
      <c r="E30" s="918">
        <v>0.42</v>
      </c>
      <c r="F30" s="742">
        <f t="shared" si="28"/>
        <v>18.828729366535377</v>
      </c>
      <c r="G30" s="743">
        <v>80</v>
      </c>
      <c r="H30" s="598">
        <f t="shared" si="29"/>
        <v>8.0925330475169694</v>
      </c>
      <c r="I30" s="599">
        <v>50</v>
      </c>
      <c r="J30" s="598">
        <f t="shared" si="30"/>
        <v>18.836590436590434</v>
      </c>
      <c r="K30" s="599">
        <v>80</v>
      </c>
      <c r="L30" s="598">
        <f t="shared" si="31"/>
        <v>10.736196319018406</v>
      </c>
      <c r="M30" s="599">
        <v>65</v>
      </c>
      <c r="N30" s="598">
        <f t="shared" si="32"/>
        <v>8.5192697768762677</v>
      </c>
      <c r="O30" s="599">
        <v>65</v>
      </c>
      <c r="P30" s="598">
        <f t="shared" si="93"/>
        <v>2.5557809330628802</v>
      </c>
      <c r="Q30" s="599">
        <v>40</v>
      </c>
      <c r="R30" s="598">
        <f t="shared" si="33"/>
        <v>11.444569989750972</v>
      </c>
      <c r="S30" s="600">
        <f t="shared" si="34"/>
        <v>15.183274442655929</v>
      </c>
      <c r="T30" s="744">
        <v>3</v>
      </c>
      <c r="U30" s="601">
        <f t="shared" si="35"/>
        <v>6.2788634788634781</v>
      </c>
      <c r="V30" s="601">
        <f t="shared" si="36"/>
        <v>8.8796538880978435</v>
      </c>
      <c r="W30" s="602">
        <v>50</v>
      </c>
      <c r="X30" s="745">
        <f t="shared" si="0"/>
        <v>80</v>
      </c>
      <c r="Y30" s="746">
        <v>2</v>
      </c>
      <c r="Z30" s="747">
        <f>VLOOKUP(X30,'Ціни контур мережний'!$Z$24:$AB$36,3,0)</f>
        <v>37.693832104112609</v>
      </c>
      <c r="AA30" s="748">
        <f t="shared" si="37"/>
        <v>75.387664208225218</v>
      </c>
      <c r="AB30" s="745">
        <f t="shared" si="1"/>
        <v>80</v>
      </c>
      <c r="AC30" s="749">
        <v>2</v>
      </c>
      <c r="AD30" s="747">
        <f>VLOOKUP(AB30,'Ціни контур мережний'!$Z$64:$AB$77,3,0)</f>
        <v>111.00441974652855</v>
      </c>
      <c r="AE30" s="748">
        <f t="shared" si="38"/>
        <v>222.00883949305711</v>
      </c>
      <c r="AF30" s="745">
        <f t="shared" si="2"/>
        <v>80</v>
      </c>
      <c r="AG30" s="746">
        <v>1</v>
      </c>
      <c r="AH30" s="747">
        <f>VLOOKUP(AF30,'Ціни контур мережний'!$Z$5:$AB$17,3,0)</f>
        <v>50.12</v>
      </c>
      <c r="AI30" s="748">
        <f t="shared" si="39"/>
        <v>50.12</v>
      </c>
      <c r="AJ30" s="750">
        <f t="shared" si="3"/>
        <v>50</v>
      </c>
      <c r="AK30" s="746">
        <v>3</v>
      </c>
      <c r="AL30" s="747">
        <f>VLOOKUP(AJ30,'Ціни контур мережний'!$Z$43:$AB$55,3,0)</f>
        <v>23.2782130224622</v>
      </c>
      <c r="AM30" s="748">
        <f t="shared" si="40"/>
        <v>69.834639067386604</v>
      </c>
      <c r="AN30" s="745">
        <f t="shared" si="4"/>
        <v>65</v>
      </c>
      <c r="AO30" s="749">
        <v>4</v>
      </c>
      <c r="AP30" s="747">
        <f>VLOOKUP(AN30,'Ціни контур мережний'!$Z$43:$AB$55,3,0)</f>
        <v>30.19184015363556</v>
      </c>
      <c r="AQ30" s="759">
        <f t="shared" si="41"/>
        <v>120.76736061454224</v>
      </c>
      <c r="AR30" s="751" t="str">
        <f t="shared" si="42"/>
        <v>AMV20</v>
      </c>
      <c r="AS30" s="751">
        <v>1</v>
      </c>
      <c r="AT30" s="747">
        <f>VLOOKUP(AR30,'Ціни контур мережний'!$I$53:$M$57,5,0)</f>
        <v>110.39869654932889</v>
      </c>
      <c r="AU30" s="748">
        <f t="shared" si="43"/>
        <v>110.39869654932889</v>
      </c>
      <c r="AV30" s="752">
        <f t="array" ref="AV30">MIN(IF('Ціни контур мережний'!$Y$83:$Y$92&gt;(R30*1.2),'Ціни контур мережний'!$Y$83:$Y$92))</f>
        <v>16</v>
      </c>
      <c r="AW30" s="746">
        <f>VLOOKUP(AV30,'Ціни контур мережний'!$Y$83:$Z$92,2,0)</f>
        <v>32</v>
      </c>
      <c r="AX30" s="746">
        <v>1</v>
      </c>
      <c r="AY30" s="747">
        <f>VLOOKUP(AV30,'Ціни контур мережний'!$Y$83:$AB$92,4,0)</f>
        <v>130.5392363168325</v>
      </c>
      <c r="AZ30" s="748">
        <f t="shared" si="44"/>
        <v>130.5392363168325</v>
      </c>
      <c r="BA30" s="1099">
        <v>20</v>
      </c>
      <c r="BB30" s="1101">
        <f>VLOOKUP(BA30,'[1]Ціни контур мережний'!$Y$104:$Z$114,2,0)</f>
        <v>50</v>
      </c>
      <c r="BC30" s="753">
        <v>1</v>
      </c>
      <c r="BD30" s="754">
        <f>VLOOKUP(BA30,'Ціни контур мережний'!$Y$104:$AB$114,4,0)</f>
        <v>448.22326189551967</v>
      </c>
      <c r="BE30" s="755">
        <f t="shared" si="45"/>
        <v>448.22326189551967</v>
      </c>
      <c r="BF30" s="751" t="s">
        <v>67</v>
      </c>
      <c r="BG30" s="749">
        <v>1</v>
      </c>
      <c r="BH30" s="747">
        <f>VLOOKUP(BF30,'Ціни контур мережний'!$I$53:$M$57,5,0)</f>
        <v>157.67238032974441</v>
      </c>
      <c r="BI30" s="768">
        <f t="shared" si="46"/>
        <v>157.67238032974441</v>
      </c>
      <c r="BJ30" s="894">
        <f t="array" ref="BJ30">MIN(IF('Ціни контур мережний'!$Y$83:$Y$93&gt;(S30*1.2),'Ціни контур мережний'!$Y$83:$Y$93))</f>
        <v>25</v>
      </c>
      <c r="BK30" s="895">
        <f>VLOOKUP(BJ30,'Ціни контур мережний'!$Y$83:$Z$93,2,0)</f>
        <v>40</v>
      </c>
      <c r="BL30" s="895">
        <v>1</v>
      </c>
      <c r="BM30" s="896">
        <f>VLOOKUP(BJ30,'Ціни контур мережний'!$Y$83:$AB$93,4,0)</f>
        <v>156.6569554824606</v>
      </c>
      <c r="BN30" s="916">
        <f t="shared" si="47"/>
        <v>156.6569554824606</v>
      </c>
      <c r="BO30" s="896">
        <f t="array" ref="BO30">MIN(IF('Ціни контур мережний'!$Y$104:$Y$114&gt;(S30*1.2),'Ціни контур мережний'!$Y$104:$Y$114))</f>
        <v>20</v>
      </c>
      <c r="BP30" s="895">
        <f>VLOOKUP(BO30,'Ціни контур мережний'!$Y$104:$Z$114,2,0)</f>
        <v>40</v>
      </c>
      <c r="BQ30" s="895">
        <v>1</v>
      </c>
      <c r="BR30" s="896">
        <f>VLOOKUP(BO30,'Ціни контур мережний'!$Y$104:$AB$114,4,0)</f>
        <v>448.22326189551967</v>
      </c>
      <c r="BS30" s="897">
        <f t="shared" si="48"/>
        <v>448.22326189551967</v>
      </c>
      <c r="BT30" s="751">
        <f>VLOOKUP(BU30,'Ціни контур мережний'!$J$5:$L$12,3,0)</f>
        <v>40</v>
      </c>
      <c r="BU30" s="751">
        <f t="array" ref="BU30">MIN(IF('Ціни контур мережний'!$J$5:$J$12&gt;H30,'Ціни контур мережний'!$J$5:$J$12))</f>
        <v>10</v>
      </c>
      <c r="BV30" s="746" t="s">
        <v>130</v>
      </c>
      <c r="BW30" s="756">
        <v>1</v>
      </c>
      <c r="BX30" s="747">
        <f>VLOOKUP(BU30,'Ціни контур мережний'!$J$5:$N$12,5,0)</f>
        <v>375.23999999999995</v>
      </c>
      <c r="BY30" s="748">
        <f t="shared" si="49"/>
        <v>375.23999999999995</v>
      </c>
      <c r="BZ30" s="745">
        <f>VLOOKUP(CA30,'Ціни контур мережний'!$J$5:$L$12,3,0)</f>
        <v>50</v>
      </c>
      <c r="CA30" s="747">
        <f t="array" ref="CA30">MIN(IF('Ціни контур мережний'!$J$5:$J$12&gt;L30,'Ціни контур мережний'!$J$5:$J$12))</f>
        <v>15</v>
      </c>
      <c r="CB30" s="746" t="s">
        <v>130</v>
      </c>
      <c r="CC30" s="749">
        <v>1</v>
      </c>
      <c r="CD30" s="747">
        <f>VLOOKUP(CA30,'Ціни контур мережний'!$J$5:$N$12,5,0)</f>
        <v>366.74399999999997</v>
      </c>
      <c r="CE30" s="748">
        <f t="shared" si="50"/>
        <v>366.74399999999997</v>
      </c>
      <c r="CF30" s="898" t="s">
        <v>1356</v>
      </c>
      <c r="CG30" s="899">
        <v>1</v>
      </c>
      <c r="CH30" s="900">
        <v>772</v>
      </c>
      <c r="CI30" s="901">
        <f t="shared" si="51"/>
        <v>772</v>
      </c>
      <c r="CJ30" s="751">
        <f t="shared" si="5"/>
        <v>80</v>
      </c>
      <c r="CK30" s="746">
        <v>4</v>
      </c>
      <c r="CL30" s="747">
        <f>VLOOKUP(CJ30,'Ціни контур теплопостачання'!$Y$5:$AA$17,3,0)</f>
        <v>37.693832104112609</v>
      </c>
      <c r="CM30" s="748">
        <f t="shared" si="52"/>
        <v>150.77532841645044</v>
      </c>
      <c r="CN30" s="750">
        <f t="shared" si="6"/>
        <v>65</v>
      </c>
      <c r="CO30" s="746">
        <v>6</v>
      </c>
      <c r="CP30" s="747">
        <f>VLOOKUP(CN30,'Ціни контур теплопостачання'!$AO$20:$AQ$29,3,0)</f>
        <v>42.675547020246391</v>
      </c>
      <c r="CQ30" s="748">
        <f t="shared" si="53"/>
        <v>256.05328212147833</v>
      </c>
      <c r="CR30" s="750">
        <f t="shared" si="7"/>
        <v>40</v>
      </c>
      <c r="CS30" s="746">
        <v>3</v>
      </c>
      <c r="CT30" s="747">
        <f>VLOOKUP(CR30,'Ціни контур теплопостачання'!$AO$20:$AQ$29,3,0)</f>
        <v>37.980000000000004</v>
      </c>
      <c r="CU30" s="748">
        <f t="shared" si="54"/>
        <v>113.94000000000001</v>
      </c>
      <c r="CV30" s="757">
        <f t="shared" si="8"/>
        <v>50</v>
      </c>
      <c r="CW30" s="746">
        <f t="shared" si="9"/>
        <v>6</v>
      </c>
      <c r="CX30" s="747">
        <f>VLOOKUP(CV30,'Ціни контур теплопостачання'!$Y$5:$AA$17,3,0)</f>
        <v>23.2782130224622</v>
      </c>
      <c r="CY30" s="748">
        <f t="shared" si="55"/>
        <v>139.66927813477321</v>
      </c>
      <c r="CZ30" s="745">
        <v>20</v>
      </c>
      <c r="DA30" s="749">
        <v>2</v>
      </c>
      <c r="DB30" s="747">
        <f>VLOOKUP(CZ30,'Ціни контур теплопостачання'!$Y$5:$AA$17,3,0)</f>
        <v>3.577</v>
      </c>
      <c r="DC30" s="748">
        <f t="shared" si="56"/>
        <v>7.1539999999999999</v>
      </c>
      <c r="DD30" s="745">
        <v>15</v>
      </c>
      <c r="DE30" s="745">
        <v>8</v>
      </c>
      <c r="DF30" s="758">
        <f>VLOOKUP(DD30,'Ціни контур теплопостачання'!$Y$5:$AA$17,3,0)</f>
        <v>2.464</v>
      </c>
      <c r="DG30" s="759">
        <f t="shared" si="57"/>
        <v>19.712</v>
      </c>
      <c r="DH30" s="745">
        <v>15</v>
      </c>
      <c r="DI30" s="745">
        <f t="shared" si="58"/>
        <v>38</v>
      </c>
      <c r="DJ30" s="758">
        <f>VLOOKUP(DH30,'Ціни контур мережний'!$J$71:$M$71,4,0)</f>
        <v>3.3865201135922525</v>
      </c>
      <c r="DK30" s="759">
        <f t="shared" si="59"/>
        <v>128.68776431650559</v>
      </c>
      <c r="DL30" s="751">
        <f t="shared" si="10"/>
        <v>80</v>
      </c>
      <c r="DM30" s="746">
        <v>1</v>
      </c>
      <c r="DN30" s="747">
        <f>VLOOKUP(DL30,'Ціни контур теплопостачання'!$K$5:$M$17,3,0)</f>
        <v>50.12</v>
      </c>
      <c r="DO30" s="748">
        <f t="shared" si="60"/>
        <v>50.12</v>
      </c>
      <c r="DP30" s="745">
        <f t="shared" si="11"/>
        <v>65</v>
      </c>
      <c r="DQ30" s="749">
        <v>1</v>
      </c>
      <c r="DR30" s="747">
        <f>VLOOKUP(DP30,'Ціни контур теплопостачання'!$K$5:$M$17,3,0)</f>
        <v>39.731999999999999</v>
      </c>
      <c r="DS30" s="748">
        <f t="shared" si="61"/>
        <v>39.731999999999999</v>
      </c>
      <c r="DT30" s="745">
        <f t="shared" si="12"/>
        <v>40</v>
      </c>
      <c r="DU30" s="745">
        <v>1</v>
      </c>
      <c r="DV30" s="758">
        <f>VLOOKUP(DT30,'Ціни контур теплопостачання'!$K$5:$M$17,3,0)</f>
        <v>23.225999999999999</v>
      </c>
      <c r="DW30" s="759">
        <f t="shared" si="62"/>
        <v>23.225999999999999</v>
      </c>
      <c r="DX30" s="745">
        <f t="shared" si="63"/>
        <v>80</v>
      </c>
      <c r="DY30" s="745">
        <v>1</v>
      </c>
      <c r="DZ30" s="758">
        <f>VLOOKUP(DX30,'Ціни контур теплопостачання'!$Y$24:$AA$36,3,0)</f>
        <v>60.079499999999996</v>
      </c>
      <c r="EA30" s="759">
        <f t="shared" si="64"/>
        <v>60.079499999999996</v>
      </c>
      <c r="EB30" s="751">
        <f t="shared" si="13"/>
        <v>80</v>
      </c>
      <c r="EC30" s="746">
        <v>2</v>
      </c>
      <c r="ED30" s="747">
        <f>VLOOKUP(EB30,'Ціни контур теплопостачання'!$Y$24:$AA$36,3,0)</f>
        <v>60.079499999999996</v>
      </c>
      <c r="EE30" s="748">
        <f t="shared" si="65"/>
        <v>120.15899999999999</v>
      </c>
      <c r="EF30" s="745">
        <f t="shared" si="14"/>
        <v>65</v>
      </c>
      <c r="EG30" s="749">
        <v>1</v>
      </c>
      <c r="EH30" s="747">
        <f>VLOOKUP(EF30,'Ціни контур теплопостачання'!$AO$38:$AQ$50,3,0)</f>
        <v>42.080999999999996</v>
      </c>
      <c r="EI30" s="748">
        <f t="shared" si="66"/>
        <v>42.080999999999996</v>
      </c>
      <c r="EJ30" s="745">
        <f t="shared" si="15"/>
        <v>40</v>
      </c>
      <c r="EK30" s="745">
        <v>1</v>
      </c>
      <c r="EL30" s="758">
        <f>VLOOKUP(EJ30,'Ціни контур теплопостачання'!$AO$38:$AQ$50,3,0)</f>
        <v>20.3645</v>
      </c>
      <c r="EM30" s="759">
        <f t="shared" si="67"/>
        <v>20.3645</v>
      </c>
      <c r="EN30" s="745">
        <f t="shared" si="16"/>
        <v>50</v>
      </c>
      <c r="EO30" s="745">
        <f t="shared" si="17"/>
        <v>6</v>
      </c>
      <c r="EP30" s="758">
        <f>VLOOKUP(EN30,'Ціни контур теплопостачання'!$Y$76:$AA$88,3,0)</f>
        <v>20.6</v>
      </c>
      <c r="EQ30" s="759">
        <f t="shared" si="68"/>
        <v>123.60000000000001</v>
      </c>
      <c r="ER30" s="745">
        <f t="shared" si="18"/>
        <v>65</v>
      </c>
      <c r="ES30" s="745">
        <v>1</v>
      </c>
      <c r="ET30" s="758">
        <f>VLOOKUP(ER30,'Ціни контур теплопостачання'!$Y$76:$AA$88,3,0)</f>
        <v>26.33</v>
      </c>
      <c r="EU30" s="759">
        <f t="shared" si="69"/>
        <v>26.33</v>
      </c>
      <c r="EV30" s="745">
        <f t="shared" si="19"/>
        <v>40</v>
      </c>
      <c r="EW30" s="745">
        <v>1</v>
      </c>
      <c r="EX30" s="758">
        <f>VLOOKUP(EV30,'Ціни контур теплопостачання'!$Y$76:$AA$88,3,0)</f>
        <v>16.809999999999999</v>
      </c>
      <c r="EY30" s="759">
        <f t="shared" si="70"/>
        <v>16.809999999999999</v>
      </c>
      <c r="EZ30" s="758">
        <f t="shared" si="20"/>
        <v>34.187594241186375</v>
      </c>
      <c r="FA30" s="760">
        <v>40</v>
      </c>
      <c r="FB30" s="719">
        <v>2</v>
      </c>
      <c r="FC30" s="747">
        <f>VLOOKUP(FA30,'Ціни контур теплопостачання'!$K$74:$M$79,3,0)</f>
        <v>43.19</v>
      </c>
      <c r="FD30" s="761">
        <f t="shared" si="21"/>
        <v>86.38</v>
      </c>
      <c r="FE30" s="762">
        <f t="shared" si="71"/>
        <v>18.836590436590434</v>
      </c>
      <c r="FF30" s="902">
        <v>9</v>
      </c>
      <c r="FG30" s="900">
        <v>8</v>
      </c>
      <c r="FH30" s="830" t="s">
        <v>1090</v>
      </c>
      <c r="FI30" s="708">
        <v>2</v>
      </c>
      <c r="FJ30" s="709">
        <f>VLOOKUP(FH30,'Ціни контур теплопостачання'!$C$89:$M$105,11,0)</f>
        <v>648.69600000000003</v>
      </c>
      <c r="FK30" s="764">
        <f t="shared" si="72"/>
        <v>1297.3920000000001</v>
      </c>
      <c r="FL30" s="912">
        <f t="shared" si="73"/>
        <v>2.5557809330628802</v>
      </c>
      <c r="FM30" s="902">
        <v>9</v>
      </c>
      <c r="FN30" s="900">
        <v>9</v>
      </c>
      <c r="FO30" s="900" t="s">
        <v>1097</v>
      </c>
      <c r="FP30" s="749">
        <v>1</v>
      </c>
      <c r="FQ30" s="747">
        <f>VLOOKUP(FO30,'Ціни контур теплопостачання'!$C$89:$M$105,11,0)</f>
        <v>241.2</v>
      </c>
      <c r="FR30" s="904">
        <f t="shared" si="74"/>
        <v>241.2</v>
      </c>
      <c r="FS30" s="758">
        <f t="array" ref="FS30">MIN(IF('Ціни контур теплопостачання'!$AN$68:$AN$77&gt;(V30*1.2),'Ціни контур теплопостачання'!$AN$68:$AN$77))</f>
        <v>11.13</v>
      </c>
      <c r="FT30" s="749">
        <f>VLOOKUP(FS30,'Ціни контур теплопостачання'!$AN$68:$AO$77,2,0)</f>
        <v>32</v>
      </c>
      <c r="FU30" s="749">
        <f t="shared" si="22"/>
        <v>3</v>
      </c>
      <c r="FV30" s="747">
        <f>VLOOKUP(FT30,'Ціни контур теплопостачання'!$AO$68:$AQ$77,3,0)</f>
        <v>37.183999999999997</v>
      </c>
      <c r="FW30" s="765">
        <f t="shared" si="75"/>
        <v>111.55199999999999</v>
      </c>
      <c r="FX30" s="750">
        <v>15</v>
      </c>
      <c r="FY30" s="746">
        <v>2</v>
      </c>
      <c r="FZ30" s="747">
        <f>VLOOKUP(FX30,'Ціни контур мережний'!$J$73:$M$73,4,0)</f>
        <v>3.4649999999999999</v>
      </c>
      <c r="GA30" s="748">
        <f t="shared" si="76"/>
        <v>6.93</v>
      </c>
      <c r="GB30" s="750">
        <f>VLOOKUP(GC30,'Ціни контур теплопостачання'!$AN$6:$AO$13,2,0)</f>
        <v>40</v>
      </c>
      <c r="GC30" s="751">
        <f t="array" ref="GC30">MIN(IF('Ціни контур теплопостачання'!$AN$6:$AN$13&gt;N30,'Ціни контур теплопостачання'!$AN$6:$AN$13))</f>
        <v>15</v>
      </c>
      <c r="GD30" s="751">
        <v>1</v>
      </c>
      <c r="GE30" s="747">
        <f>VLOOKUP(GB30,'Ціни контур теплопостачання'!$AO$6:$AQ$13,3,0)</f>
        <v>140.82444000000001</v>
      </c>
      <c r="GF30" s="748">
        <f t="shared" si="77"/>
        <v>140.82444000000001</v>
      </c>
      <c r="GG30" s="750">
        <f t="shared" si="23"/>
        <v>65</v>
      </c>
      <c r="GH30" s="746">
        <v>1</v>
      </c>
      <c r="GI30" s="747">
        <f>VLOOKUP(GG30,'Ціни контур теплопостачання'!$AO$55:$AQ$63,3,0)</f>
        <v>426.6</v>
      </c>
      <c r="GJ30" s="768">
        <f t="shared" si="78"/>
        <v>426.6</v>
      </c>
      <c r="GK30" s="655" t="str">
        <f t="shared" si="91"/>
        <v>0-150</v>
      </c>
      <c r="GL30" s="720">
        <v>1</v>
      </c>
      <c r="GM30" s="747">
        <f>VLOOKUP(GK30,'Ціни контур мережний'!$I$79:$M$80,5,0)</f>
        <v>15.050156291498967</v>
      </c>
      <c r="GN30" s="748">
        <f t="shared" si="79"/>
        <v>15.050156291498967</v>
      </c>
      <c r="GO30" s="758" t="s">
        <v>109</v>
      </c>
      <c r="GP30" s="749">
        <v>5</v>
      </c>
      <c r="GQ30" s="747">
        <f>VLOOKUP(GO30,'Ціни контур мережний'!$I$79:$M$80,5,0)</f>
        <v>15.050156291498967</v>
      </c>
      <c r="GR30" s="765">
        <f t="shared" si="80"/>
        <v>75.250781457494838</v>
      </c>
      <c r="GS30" s="655" t="s">
        <v>108</v>
      </c>
      <c r="GT30" s="720">
        <v>5</v>
      </c>
      <c r="GU30" s="747">
        <f>VLOOKUP(GS30,'Ціни контур мережний'!$I$67:$M$69,5,0)</f>
        <v>4.4537969640631703</v>
      </c>
      <c r="GV30" s="748">
        <f t="shared" si="81"/>
        <v>22.26898482031585</v>
      </c>
      <c r="GW30" s="655" t="s">
        <v>106</v>
      </c>
      <c r="GX30" s="720">
        <f>11+T30</f>
        <v>14</v>
      </c>
      <c r="GY30" s="747">
        <f>VLOOKUP(GW30,'Ціни контур мережний'!$I$67:$M$69,5,0)</f>
        <v>4.4537969640631703</v>
      </c>
      <c r="GZ30" s="748">
        <f t="shared" si="82"/>
        <v>62.353157496884386</v>
      </c>
      <c r="HA30" s="655" t="s">
        <v>1013</v>
      </c>
      <c r="HB30" s="720">
        <v>4</v>
      </c>
      <c r="HC30" s="747">
        <f>VLOOKUP(HA30,'Ціни контур мережний'!$I$64:$M$64,5,0)</f>
        <v>29.1312</v>
      </c>
      <c r="HD30" s="748">
        <f t="shared" si="83"/>
        <v>116.5248</v>
      </c>
      <c r="HE30" s="766" t="s">
        <v>1015</v>
      </c>
      <c r="HF30" s="749">
        <v>6</v>
      </c>
      <c r="HG30" s="747">
        <f>VLOOKUP(HE30,'Ціни контур мережний'!$I$89:$M$89,5,0)</f>
        <v>79.523165325760516</v>
      </c>
      <c r="HH30" s="765">
        <f t="shared" si="84"/>
        <v>477.1389919545631</v>
      </c>
      <c r="HI30" s="767" t="s">
        <v>1016</v>
      </c>
      <c r="HJ30" s="720">
        <f t="shared" si="92"/>
        <v>7</v>
      </c>
      <c r="HK30" s="747">
        <f>VLOOKUP(HI30,'Ціни контур мережний'!$I$88:$M$88,5,0)</f>
        <v>13.211568975967202</v>
      </c>
      <c r="HL30" s="768">
        <f t="shared" si="85"/>
        <v>92.480982831770419</v>
      </c>
      <c r="HM30" s="767" t="s">
        <v>383</v>
      </c>
      <c r="HN30" s="720">
        <v>1</v>
      </c>
      <c r="HO30" s="747">
        <f>VLOOKUP(HM30,'Ціни контур мережний'!$I$87:$M$87,5,0)</f>
        <v>13.483972460007763</v>
      </c>
      <c r="HP30" s="748">
        <f t="shared" si="86"/>
        <v>13.483972460007763</v>
      </c>
      <c r="HQ30" s="769">
        <f t="shared" si="24"/>
        <v>46</v>
      </c>
      <c r="HR30" s="770">
        <f t="shared" si="87"/>
        <v>8027.7402161543605</v>
      </c>
      <c r="HS30" s="771">
        <v>0</v>
      </c>
      <c r="HT30" s="771">
        <f>'Таблиця цін схема №1'!$JE$45/'Ціни контур мережний'!$G$26</f>
        <v>578.85740358619182</v>
      </c>
      <c r="HU30" s="770">
        <f>'Таблиця цін схема №1'!$JG$8</f>
        <v>661.80181284518619</v>
      </c>
      <c r="HV30" s="770">
        <f>'Таблиця цін схема №1'!$JH$8</f>
        <v>487.81784379022207</v>
      </c>
      <c r="HW30" s="770">
        <f>'Таблиця цін схема №1'!$JI$8</f>
        <v>323.47913729816605</v>
      </c>
      <c r="HX30" s="770">
        <f>'Таблиця цін схема №1'!$JJ$8</f>
        <v>66.611999999999995</v>
      </c>
      <c r="HY30" s="772">
        <v>0</v>
      </c>
      <c r="HZ30" s="772">
        <f>'Таблиця цін схема №1'!$JL$8</f>
        <v>62.86234247089866</v>
      </c>
      <c r="IA30" s="772">
        <v>0</v>
      </c>
      <c r="IB30" s="770">
        <v>0</v>
      </c>
      <c r="IC30" s="773">
        <f t="shared" si="25"/>
        <v>714.64195293015177</v>
      </c>
      <c r="ID30" s="774">
        <f t="shared" si="26"/>
        <v>1020.9170756145024</v>
      </c>
      <c r="IE30" s="775">
        <f t="shared" si="27"/>
        <v>175.62309985048341</v>
      </c>
      <c r="IF30" s="776">
        <f>'Таблиця цін схема №1'!$JR$8</f>
        <v>300.63036461094771</v>
      </c>
      <c r="IG30" s="777">
        <f t="shared" si="88"/>
        <v>12420.98324915111</v>
      </c>
      <c r="II30" s="616">
        <f>[3]Расчеты!AX29/1.2</f>
        <v>4857.1049294532295</v>
      </c>
      <c r="IJ30" s="616">
        <f t="shared" si="89"/>
        <v>17278.088178604339</v>
      </c>
      <c r="IK30" s="616" t="e">
        <f>IJ30*1.2*#REF!</f>
        <v>#REF!</v>
      </c>
      <c r="IL30" s="616"/>
    </row>
    <row r="31" spans="1:248" ht="12.6" customHeight="1">
      <c r="A31" s="610" t="s">
        <v>686</v>
      </c>
      <c r="B31" s="905">
        <v>47</v>
      </c>
      <c r="C31" s="1056" t="s">
        <v>908</v>
      </c>
      <c r="D31" s="906">
        <v>0.12383</v>
      </c>
      <c r="E31" s="907">
        <v>0.13</v>
      </c>
      <c r="F31" s="908">
        <f t="shared" si="28"/>
        <v>5.5351483987488956</v>
      </c>
      <c r="G31" s="909">
        <v>50</v>
      </c>
      <c r="H31" s="598">
        <f t="shared" si="29"/>
        <v>2.2120400142908179</v>
      </c>
      <c r="I31" s="599">
        <v>32</v>
      </c>
      <c r="J31" s="598">
        <f t="shared" si="30"/>
        <v>5.148856548856549</v>
      </c>
      <c r="K31" s="599">
        <v>50</v>
      </c>
      <c r="L31" s="598">
        <f t="shared" si="31"/>
        <v>3.3231083844580778</v>
      </c>
      <c r="M31" s="599">
        <v>40</v>
      </c>
      <c r="N31" s="598">
        <f t="shared" si="32"/>
        <v>2.6369168356997972</v>
      </c>
      <c r="O31" s="599">
        <v>32</v>
      </c>
      <c r="P31" s="598">
        <f t="shared" si="93"/>
        <v>0.79107505070993911</v>
      </c>
      <c r="Q31" s="599">
        <v>20</v>
      </c>
      <c r="R31" s="598">
        <f t="shared" si="33"/>
        <v>3.1282969887220493</v>
      </c>
      <c r="S31" s="600">
        <f t="shared" si="34"/>
        <v>4.6995849465363584</v>
      </c>
      <c r="T31" s="910">
        <v>1</v>
      </c>
      <c r="U31" s="601">
        <f t="shared" si="35"/>
        <v>5.148856548856549</v>
      </c>
      <c r="V31" s="601">
        <f t="shared" si="36"/>
        <v>7.2815827621064599</v>
      </c>
      <c r="W31" s="602">
        <v>50</v>
      </c>
      <c r="X31" s="745">
        <f t="shared" si="0"/>
        <v>50</v>
      </c>
      <c r="Y31" s="746">
        <v>2</v>
      </c>
      <c r="Z31" s="747">
        <f>VLOOKUP(X31,'Ціни контур мережний'!$Z$24:$AB$36,3,0)</f>
        <v>23.2782130224622</v>
      </c>
      <c r="AA31" s="748">
        <f t="shared" si="37"/>
        <v>46.5564260449244</v>
      </c>
      <c r="AB31" s="745">
        <f t="shared" si="1"/>
        <v>50</v>
      </c>
      <c r="AC31" s="749">
        <v>2</v>
      </c>
      <c r="AD31" s="747">
        <f>VLOOKUP(AB31,'Ціни контур мережний'!$Z$64:$AB$77,3,0)</f>
        <v>80.03214361111678</v>
      </c>
      <c r="AE31" s="748">
        <f t="shared" si="38"/>
        <v>160.06428722223356</v>
      </c>
      <c r="AF31" s="745">
        <f t="shared" si="2"/>
        <v>50</v>
      </c>
      <c r="AG31" s="746">
        <v>1</v>
      </c>
      <c r="AH31" s="747">
        <f>VLOOKUP(AF31,'Ціни контур мережний'!$Z$5:$AB$17,3,0)</f>
        <v>26.284999999999997</v>
      </c>
      <c r="AI31" s="748">
        <f t="shared" si="39"/>
        <v>26.284999999999997</v>
      </c>
      <c r="AJ31" s="750">
        <f t="shared" si="3"/>
        <v>32</v>
      </c>
      <c r="AK31" s="746">
        <v>3</v>
      </c>
      <c r="AL31" s="747">
        <f>VLOOKUP(AJ31,'Ціни контур мережний'!$Z$43:$AB$55,3,0)</f>
        <v>16.107218011318363</v>
      </c>
      <c r="AM31" s="748">
        <f t="shared" si="40"/>
        <v>48.321654033955085</v>
      </c>
      <c r="AN31" s="745">
        <f t="shared" si="4"/>
        <v>40</v>
      </c>
      <c r="AO31" s="749">
        <v>4</v>
      </c>
      <c r="AP31" s="747">
        <f>VLOOKUP(AN31,'Ціни контур мережний'!$Z$43:$AB$55,3,0)</f>
        <v>18.42400964308333</v>
      </c>
      <c r="AQ31" s="759">
        <f t="shared" si="41"/>
        <v>73.696038572333322</v>
      </c>
      <c r="AR31" s="751" t="str">
        <f t="shared" si="42"/>
        <v>AMV20</v>
      </c>
      <c r="AS31" s="751">
        <v>1</v>
      </c>
      <c r="AT31" s="747">
        <f>VLOOKUP(AR31,'Ціни контур мережний'!$I$53:$M$57,5,0)</f>
        <v>110.39869654932889</v>
      </c>
      <c r="AU31" s="748">
        <f t="shared" si="43"/>
        <v>110.39869654932889</v>
      </c>
      <c r="AV31" s="752">
        <f t="array" ref="AV31">MIN(IF('Ціни контур мережний'!$Y$83:$Y$92&gt;(R31*1.2),'Ціни контур мережний'!$Y$83:$Y$92))</f>
        <v>4</v>
      </c>
      <c r="AW31" s="746">
        <f>VLOOKUP(AV31,'Ціни контур мережний'!$Y$83:$Z$92,2,0)</f>
        <v>15</v>
      </c>
      <c r="AX31" s="746">
        <v>1</v>
      </c>
      <c r="AY31" s="747">
        <f>VLOOKUP(AV31,'Ціни контур мережний'!$Y$83:$AB$92,4,0)</f>
        <v>104.44472592804462</v>
      </c>
      <c r="AZ31" s="748">
        <f t="shared" si="44"/>
        <v>104.44472592804462</v>
      </c>
      <c r="BA31" s="1099">
        <f t="array" ref="BA31">MIN(IF('[1]Ціни контур мережний'!$Y$104:$Y$114&gt;(R31*1.2),'[1]Ціни контур мережний'!$Y$104:$Y$114))</f>
        <v>4</v>
      </c>
      <c r="BB31" s="1101">
        <f>VLOOKUP(BA31,'[1]Ціни контур мережний'!$Y$104:$Z$114,2,0)</f>
        <v>15</v>
      </c>
      <c r="BC31" s="753">
        <v>1</v>
      </c>
      <c r="BD31" s="754">
        <f>VLOOKUP(BA31,'Ціни контур мережний'!$Y$104:$AB$114,4,0)</f>
        <v>251.13923223078018</v>
      </c>
      <c r="BE31" s="755">
        <f t="shared" si="45"/>
        <v>251.13923223078018</v>
      </c>
      <c r="BF31" s="751" t="s">
        <v>67</v>
      </c>
      <c r="BG31" s="749">
        <v>1</v>
      </c>
      <c r="BH31" s="747">
        <f>VLOOKUP(BF31,'Ціни контур мережний'!$I$53:$M$57,5,0)</f>
        <v>157.67238032974441</v>
      </c>
      <c r="BI31" s="768">
        <f t="shared" si="46"/>
        <v>157.67238032974441</v>
      </c>
      <c r="BJ31" s="894">
        <f t="array" ref="BJ31">MIN(IF('Ціни контур мережний'!$Y$83:$Y$93&gt;(S31*1.2),'Ціни контур мережний'!$Y$83:$Y$93))</f>
        <v>6.3</v>
      </c>
      <c r="BK31" s="895">
        <f>VLOOKUP(BJ31,'Ціни контур мережний'!$Y$83:$Z$93,2,0)</f>
        <v>20</v>
      </c>
      <c r="BL31" s="895">
        <v>1</v>
      </c>
      <c r="BM31" s="896">
        <f>VLOOKUP(BJ31,'Ціни контур мережний'!$Y$83:$AB$93,4,0)</f>
        <v>113.14115267534271</v>
      </c>
      <c r="BN31" s="916">
        <f t="shared" si="47"/>
        <v>113.14115267534271</v>
      </c>
      <c r="BO31" s="896">
        <f t="array" ref="BO31">MIN(IF('Ціни контур мережний'!$Y$104:$Y$114&gt;(S31*1.2),'Ціни контур мережний'!$Y$104:$Y$114))</f>
        <v>6.3</v>
      </c>
      <c r="BP31" s="895">
        <f>VLOOKUP(BO31,'Ціни контур мережний'!$Y$104:$Z$114,2,0)</f>
        <v>20</v>
      </c>
      <c r="BQ31" s="895">
        <v>1</v>
      </c>
      <c r="BR31" s="896">
        <f>VLOOKUP(BO31,'Ціни контур мережний'!$Y$104:$AB$114,4,0)</f>
        <v>259.83406541769665</v>
      </c>
      <c r="BS31" s="897">
        <f t="shared" si="48"/>
        <v>259.83406541769665</v>
      </c>
      <c r="BT31" s="751">
        <f>VLOOKUP(BU31,'Ціни контур мережний'!$J$5:$L$12,3,0)</f>
        <v>20</v>
      </c>
      <c r="BU31" s="751">
        <f t="array" ref="BU31">MIN(IF('Ціни контур мережний'!$J$5:$J$12&gt;H31,'Ціни контур мережний'!$J$5:$J$12))</f>
        <v>2.5</v>
      </c>
      <c r="BV31" s="746" t="s">
        <v>130</v>
      </c>
      <c r="BW31" s="756">
        <v>1</v>
      </c>
      <c r="BX31" s="747">
        <f>VLOOKUP(BU31,'Ціни контур мережний'!$J$5:$N$12,5,0)</f>
        <v>277.536</v>
      </c>
      <c r="BY31" s="748">
        <f t="shared" si="49"/>
        <v>277.536</v>
      </c>
      <c r="BZ31" s="745">
        <f>VLOOKUP(CA31,'Ціни контур мережний'!$J$5:$L$12,3,0)</f>
        <v>25</v>
      </c>
      <c r="CA31" s="747">
        <f t="array" ref="CA31">MIN(IF('Ціни контур мережний'!$J$5:$J$12&gt;L31,'Ціни контур мережний'!$J$5:$J$12))</f>
        <v>3.5</v>
      </c>
      <c r="CB31" s="746" t="s">
        <v>130</v>
      </c>
      <c r="CC31" s="749">
        <v>1</v>
      </c>
      <c r="CD31" s="747">
        <f>VLOOKUP(CA31,'Ціни контур мережний'!$J$5:$N$12,5,0)</f>
        <v>341.25599999999997</v>
      </c>
      <c r="CE31" s="748">
        <f t="shared" si="50"/>
        <v>341.25599999999997</v>
      </c>
      <c r="CF31" s="898" t="s">
        <v>1355</v>
      </c>
      <c r="CG31" s="899">
        <v>1</v>
      </c>
      <c r="CH31" s="900">
        <v>449</v>
      </c>
      <c r="CI31" s="901">
        <f t="shared" si="51"/>
        <v>449</v>
      </c>
      <c r="CJ31" s="751">
        <f t="shared" si="5"/>
        <v>50</v>
      </c>
      <c r="CK31" s="746">
        <v>4</v>
      </c>
      <c r="CL31" s="747">
        <f>VLOOKUP(CJ31,'Ціни контур теплопостачання'!$Y$5:$AA$17,3,0)</f>
        <v>23.2782130224622</v>
      </c>
      <c r="CM31" s="748">
        <f t="shared" si="52"/>
        <v>93.112852089848801</v>
      </c>
      <c r="CN31" s="750">
        <f t="shared" si="6"/>
        <v>32</v>
      </c>
      <c r="CO31" s="746">
        <v>6</v>
      </c>
      <c r="CP31" s="747">
        <f>VLOOKUP(CN31,'Ціни контур теплопостачання'!$AO$20:$AQ$29,3,0)</f>
        <v>10.381</v>
      </c>
      <c r="CQ31" s="748">
        <f t="shared" si="53"/>
        <v>62.286000000000001</v>
      </c>
      <c r="CR31" s="750">
        <f t="shared" si="7"/>
        <v>20</v>
      </c>
      <c r="CS31" s="746">
        <v>3</v>
      </c>
      <c r="CT31" s="747">
        <f>VLOOKUP(CR31,'Ціни контур теплопостачання'!$AO$20:$AQ$29,3,0)</f>
        <v>3.577</v>
      </c>
      <c r="CU31" s="748">
        <f t="shared" si="54"/>
        <v>10.731</v>
      </c>
      <c r="CV31" s="757">
        <f t="shared" si="8"/>
        <v>50</v>
      </c>
      <c r="CW31" s="746">
        <f t="shared" si="9"/>
        <v>2</v>
      </c>
      <c r="CX31" s="747">
        <f>VLOOKUP(CV31,'Ціни контур теплопостачання'!$Y$5:$AA$17,3,0)</f>
        <v>23.2782130224622</v>
      </c>
      <c r="CY31" s="748">
        <f t="shared" si="55"/>
        <v>46.5564260449244</v>
      </c>
      <c r="CZ31" s="745">
        <v>20</v>
      </c>
      <c r="DA31" s="749">
        <v>2</v>
      </c>
      <c r="DB31" s="747">
        <f>VLOOKUP(CZ31,'Ціни контур теплопостачання'!$Y$5:$AA$17,3,0)</f>
        <v>3.577</v>
      </c>
      <c r="DC31" s="748">
        <f t="shared" si="56"/>
        <v>7.1539999999999999</v>
      </c>
      <c r="DD31" s="745">
        <v>15</v>
      </c>
      <c r="DE31" s="745">
        <v>8</v>
      </c>
      <c r="DF31" s="758">
        <f>VLOOKUP(DD31,'Ціни контур теплопостачання'!$Y$5:$AA$17,3,0)</f>
        <v>2.464</v>
      </c>
      <c r="DG31" s="759">
        <f t="shared" si="57"/>
        <v>19.712</v>
      </c>
      <c r="DH31" s="745">
        <v>15</v>
      </c>
      <c r="DI31" s="745">
        <f>35</f>
        <v>35</v>
      </c>
      <c r="DJ31" s="758">
        <f>VLOOKUP(DH31,'Ціни контур мережний'!$J$71:$M$71,4,0)</f>
        <v>3.3865201135922525</v>
      </c>
      <c r="DK31" s="759">
        <f t="shared" si="59"/>
        <v>118.52820397572884</v>
      </c>
      <c r="DL31" s="751">
        <f t="shared" si="10"/>
        <v>50</v>
      </c>
      <c r="DM31" s="746">
        <v>1</v>
      </c>
      <c r="DN31" s="747">
        <f>VLOOKUP(DL31,'Ціни контур теплопостачання'!$K$5:$M$17,3,0)</f>
        <v>26.284999999999997</v>
      </c>
      <c r="DO31" s="748">
        <f t="shared" si="60"/>
        <v>26.284999999999997</v>
      </c>
      <c r="DP31" s="745">
        <f t="shared" si="11"/>
        <v>32</v>
      </c>
      <c r="DQ31" s="749">
        <v>1</v>
      </c>
      <c r="DR31" s="747">
        <f>VLOOKUP(DP31,'Ціни контур теплопостачання'!$K$5:$M$17,3,0)</f>
        <v>9.48</v>
      </c>
      <c r="DS31" s="748">
        <f t="shared" si="61"/>
        <v>9.48</v>
      </c>
      <c r="DT31" s="745">
        <f t="shared" si="12"/>
        <v>20</v>
      </c>
      <c r="DU31" s="745">
        <v>1</v>
      </c>
      <c r="DV31" s="758">
        <f>VLOOKUP(DT31,'Ціни контур теплопостачання'!$K$5:$M$17,3,0)</f>
        <v>3.48</v>
      </c>
      <c r="DW31" s="759">
        <f t="shared" si="62"/>
        <v>3.48</v>
      </c>
      <c r="DX31" s="745">
        <f t="shared" si="63"/>
        <v>50</v>
      </c>
      <c r="DY31" s="745">
        <v>1</v>
      </c>
      <c r="DZ31" s="758">
        <f>VLOOKUP(DX31,'Ціни контур теплопостачання'!$Y$24:$AA$36,3,0)</f>
        <v>28.560999999999996</v>
      </c>
      <c r="EA31" s="759">
        <f t="shared" si="64"/>
        <v>28.560999999999996</v>
      </c>
      <c r="EB31" s="751">
        <f t="shared" si="13"/>
        <v>50</v>
      </c>
      <c r="EC31" s="746">
        <v>2</v>
      </c>
      <c r="ED31" s="747">
        <f>VLOOKUP(EB31,'Ціни контур теплопостачання'!$Y$24:$AA$36,3,0)</f>
        <v>28.560999999999996</v>
      </c>
      <c r="EE31" s="748">
        <f t="shared" si="65"/>
        <v>57.121999999999993</v>
      </c>
      <c r="EF31" s="745">
        <f t="shared" si="14"/>
        <v>32</v>
      </c>
      <c r="EG31" s="749">
        <v>1</v>
      </c>
      <c r="EH31" s="747">
        <f>VLOOKUP(EF31,'Ціни контур теплопостачання'!$AO$38:$AQ$50,3,0)</f>
        <v>10.773</v>
      </c>
      <c r="EI31" s="748">
        <f t="shared" si="66"/>
        <v>10.773</v>
      </c>
      <c r="EJ31" s="745">
        <f t="shared" si="15"/>
        <v>20</v>
      </c>
      <c r="EK31" s="745">
        <v>1</v>
      </c>
      <c r="EL31" s="758">
        <f>VLOOKUP(EJ31,'Ціни контур теплопостачання'!$AO$38:$AQ$50,3,0)</f>
        <v>4.5359999999999996</v>
      </c>
      <c r="EM31" s="759">
        <f t="shared" si="67"/>
        <v>4.5359999999999996</v>
      </c>
      <c r="EN31" s="745">
        <f t="shared" si="16"/>
        <v>50</v>
      </c>
      <c r="EO31" s="745">
        <f t="shared" si="17"/>
        <v>2</v>
      </c>
      <c r="EP31" s="758">
        <f>VLOOKUP(EN31,'Ціни контур теплопостачання'!$Y$76:$AA$88,3,0)</f>
        <v>20.6</v>
      </c>
      <c r="EQ31" s="759">
        <f t="shared" si="68"/>
        <v>41.2</v>
      </c>
      <c r="ER31" s="745">
        <f t="shared" si="18"/>
        <v>32</v>
      </c>
      <c r="ES31" s="745">
        <v>1</v>
      </c>
      <c r="ET31" s="758">
        <f>VLOOKUP(ER31,'Ціни контур теплопостачання'!$Y$76:$AA$88,3,0)</f>
        <v>13.15</v>
      </c>
      <c r="EU31" s="759">
        <f t="shared" si="69"/>
        <v>13.15</v>
      </c>
      <c r="EV31" s="745">
        <f t="shared" si="19"/>
        <v>20</v>
      </c>
      <c r="EW31" s="745">
        <v>1</v>
      </c>
      <c r="EX31" s="758">
        <f>VLOOKUP(EV31,'Ціни контур теплопостачання'!$Y$76:$AA$88,3,0)</f>
        <v>11.45</v>
      </c>
      <c r="EY31" s="759">
        <f t="shared" si="70"/>
        <v>11.45</v>
      </c>
      <c r="EZ31" s="758">
        <f t="shared" si="20"/>
        <v>17.874042631704782</v>
      </c>
      <c r="FA31" s="760">
        <v>20</v>
      </c>
      <c r="FB31" s="719">
        <v>2</v>
      </c>
      <c r="FC31" s="747">
        <f>VLOOKUP(FA31,'Ціни контур теплопостачання'!$K$74:$M$79,3,0)</f>
        <v>16.440000000000001</v>
      </c>
      <c r="FD31" s="761">
        <f t="shared" si="21"/>
        <v>32.880000000000003</v>
      </c>
      <c r="FE31" s="762">
        <f t="shared" si="71"/>
        <v>5.148856548856549</v>
      </c>
      <c r="FF31" s="911">
        <v>9</v>
      </c>
      <c r="FG31" s="900">
        <v>8</v>
      </c>
      <c r="FH31" s="830" t="s">
        <v>1091</v>
      </c>
      <c r="FI31" s="708">
        <v>2</v>
      </c>
      <c r="FJ31" s="709">
        <f>VLOOKUP(FH31,'Ціни контур теплопостачання'!$C$89:$M$105,11,0)</f>
        <v>198.83999999999997</v>
      </c>
      <c r="FK31" s="764">
        <f t="shared" si="72"/>
        <v>397.67999999999995</v>
      </c>
      <c r="FL31" s="912">
        <f t="shared" si="73"/>
        <v>0.79107505070993911</v>
      </c>
      <c r="FM31" s="911">
        <v>9</v>
      </c>
      <c r="FN31" s="900">
        <v>9</v>
      </c>
      <c r="FO31" s="900" t="s">
        <v>1097</v>
      </c>
      <c r="FP31" s="749">
        <v>1</v>
      </c>
      <c r="FQ31" s="747">
        <f>VLOOKUP(FO31,'Ціни контур теплопостачання'!$C$89:$M$105,11,0)</f>
        <v>241.2</v>
      </c>
      <c r="FR31" s="904">
        <f t="shared" si="74"/>
        <v>241.2</v>
      </c>
      <c r="FS31" s="758">
        <f t="array" ref="FS31">MIN(IF('Ціни контур теплопостачання'!$AN$68:$AN$77&gt;(V31*1.2),'Ціни контур теплопостачання'!$AN$68:$AN$77))</f>
        <v>11.13</v>
      </c>
      <c r="FT31" s="749">
        <f>VLOOKUP(FS31,'Ціни контур теплопостачання'!$AN$68:$AO$77,2,0)</f>
        <v>32</v>
      </c>
      <c r="FU31" s="749">
        <v>0</v>
      </c>
      <c r="FV31" s="747">
        <f>VLOOKUP(FT31,'Ціни контур теплопостачання'!$AO$68:$AQ$77,3,0)</f>
        <v>37.183999999999997</v>
      </c>
      <c r="FW31" s="765">
        <f t="shared" si="75"/>
        <v>0</v>
      </c>
      <c r="FX31" s="750">
        <v>15</v>
      </c>
      <c r="FY31" s="746">
        <v>2</v>
      </c>
      <c r="FZ31" s="747">
        <f>VLOOKUP(FX31,'Ціни контур мережний'!$J$73:$M$73,4,0)</f>
        <v>3.4649999999999999</v>
      </c>
      <c r="GA31" s="748">
        <f t="shared" si="76"/>
        <v>6.93</v>
      </c>
      <c r="GB31" s="750">
        <f>VLOOKUP(GC31,'Ціни контур теплопостачання'!$AN$6:$AO$13,2,0)</f>
        <v>25</v>
      </c>
      <c r="GC31" s="751">
        <f t="array" ref="GC31">MIN(IF('Ціни контур теплопостачання'!$AN$6:$AN$13&gt;N31,'Ціни контур теплопостачання'!$AN$6:$AN$13))</f>
        <v>3.5</v>
      </c>
      <c r="GD31" s="751">
        <v>1</v>
      </c>
      <c r="GE31" s="747">
        <f>VLOOKUP(GB31,'Ціни контур теплопостачання'!$AO$6:$AQ$13,3,0)</f>
        <v>76.3506</v>
      </c>
      <c r="GF31" s="748">
        <f t="shared" si="77"/>
        <v>76.3506</v>
      </c>
      <c r="GG31" s="750">
        <f t="shared" si="23"/>
        <v>32</v>
      </c>
      <c r="GH31" s="746">
        <v>1</v>
      </c>
      <c r="GI31" s="747">
        <f>VLOOKUP(GG31,'Ціни контур теплопостачання'!$AO$55:$AQ$63,3,0)</f>
        <v>150.1</v>
      </c>
      <c r="GJ31" s="768">
        <f t="shared" si="78"/>
        <v>150.1</v>
      </c>
      <c r="GK31" s="655" t="str">
        <f t="shared" si="91"/>
        <v>0-150</v>
      </c>
      <c r="GL31" s="720">
        <v>1</v>
      </c>
      <c r="GM31" s="747">
        <f>VLOOKUP(GK31,'Ціни контур мережний'!$I$79:$M$80,5,0)</f>
        <v>15.050156291498967</v>
      </c>
      <c r="GN31" s="748">
        <f t="shared" si="79"/>
        <v>15.050156291498967</v>
      </c>
      <c r="GO31" s="758" t="s">
        <v>109</v>
      </c>
      <c r="GP31" s="749">
        <v>5</v>
      </c>
      <c r="GQ31" s="747">
        <f>VLOOKUP(GO31,'Ціни контур мережний'!$I$79:$M$80,5,0)</f>
        <v>15.050156291498967</v>
      </c>
      <c r="GR31" s="765">
        <f t="shared" si="80"/>
        <v>75.250781457494838</v>
      </c>
      <c r="GS31" s="655" t="s">
        <v>108</v>
      </c>
      <c r="GT31" s="720">
        <v>5</v>
      </c>
      <c r="GU31" s="747">
        <f>VLOOKUP(GS31,'Ціни контур мережний'!$I$67:$M$69,5,0)</f>
        <v>4.4537969640631703</v>
      </c>
      <c r="GV31" s="748">
        <f t="shared" si="81"/>
        <v>22.26898482031585</v>
      </c>
      <c r="GW31" s="655" t="s">
        <v>106</v>
      </c>
      <c r="GX31" s="720">
        <f>11</f>
        <v>11</v>
      </c>
      <c r="GY31" s="747">
        <f>VLOOKUP(GW31,'Ціни контур мережний'!$I$67:$M$69,5,0)</f>
        <v>4.4537969640631703</v>
      </c>
      <c r="GZ31" s="748">
        <f t="shared" si="82"/>
        <v>48.991766604694874</v>
      </c>
      <c r="HA31" s="655" t="s">
        <v>1013</v>
      </c>
      <c r="HB31" s="720">
        <v>4</v>
      </c>
      <c r="HC31" s="747">
        <f>VLOOKUP(HA31,'Ціни контур мережний'!$I$64:$M$64,5,0)</f>
        <v>29.1312</v>
      </c>
      <c r="HD31" s="748">
        <f t="shared" si="83"/>
        <v>116.5248</v>
      </c>
      <c r="HE31" s="766" t="s">
        <v>1015</v>
      </c>
      <c r="HF31" s="749">
        <v>6</v>
      </c>
      <c r="HG31" s="747">
        <f>VLOOKUP(HE31,'Ціни контур мережний'!$I$89:$M$89,5,0)</f>
        <v>79.523165325760516</v>
      </c>
      <c r="HH31" s="765">
        <f t="shared" si="84"/>
        <v>477.1389919545631</v>
      </c>
      <c r="HI31" s="778" t="s">
        <v>1016</v>
      </c>
      <c r="HJ31" s="720">
        <f t="shared" si="92"/>
        <v>7</v>
      </c>
      <c r="HK31" s="747">
        <f>VLOOKUP(HI31,'Ціни контур мережний'!$I$88:$M$88,5,0)</f>
        <v>13.211568975967202</v>
      </c>
      <c r="HL31" s="768">
        <f t="shared" si="85"/>
        <v>92.480982831770419</v>
      </c>
      <c r="HM31" s="779" t="s">
        <v>383</v>
      </c>
      <c r="HN31" s="720">
        <v>1</v>
      </c>
      <c r="HO31" s="747">
        <f>VLOOKUP(HM31,'Ціни контур мережний'!$I$87:$M$87,5,0)</f>
        <v>13.483972460007763</v>
      </c>
      <c r="HP31" s="748">
        <f t="shared" si="86"/>
        <v>13.483972460007763</v>
      </c>
      <c r="HQ31" s="769">
        <f t="shared" si="24"/>
        <v>47</v>
      </c>
      <c r="HR31" s="770">
        <f t="shared" si="87"/>
        <v>4749.794177535231</v>
      </c>
      <c r="HS31" s="771">
        <v>0</v>
      </c>
      <c r="HT31" s="771">
        <f>'Таблиця цін схема №1'!$JE$44/'Ціни контур мережний'!$G$26</f>
        <v>476.70609707098151</v>
      </c>
      <c r="HU31" s="770">
        <f>'Таблиця цін схема №1'!$JG$8</f>
        <v>661.80181284518619</v>
      </c>
      <c r="HV31" s="770">
        <f>'Таблиця цін схема №1'!$JH$8</f>
        <v>487.81784379022207</v>
      </c>
      <c r="HW31" s="770">
        <f>'Таблиця цін схема №1'!$JI$8</f>
        <v>323.47913729816605</v>
      </c>
      <c r="HX31" s="770">
        <f>'Таблиця цін схема №1'!$JJ$8</f>
        <v>66.611999999999995</v>
      </c>
      <c r="HY31" s="772">
        <v>0</v>
      </c>
      <c r="HZ31" s="772">
        <f>'Таблиця цін схема №1'!$JL$8</f>
        <v>62.86234247089866</v>
      </c>
      <c r="IA31" s="772">
        <v>0</v>
      </c>
      <c r="IB31" s="770">
        <v>0</v>
      </c>
      <c r="IC31" s="913">
        <f t="shared" si="25"/>
        <v>478.03513877074806</v>
      </c>
      <c r="ID31" s="914">
        <f t="shared" si="26"/>
        <v>682.9073411010686</v>
      </c>
      <c r="IE31" s="915">
        <f t="shared" si="27"/>
        <v>117.47702827149988</v>
      </c>
      <c r="IF31" s="776">
        <f>'Таблиця цін схема №1'!$JR$8</f>
        <v>300.63036461094771</v>
      </c>
      <c r="IG31" s="777">
        <f t="shared" si="88"/>
        <v>8408.1232837649495</v>
      </c>
      <c r="II31" s="611">
        <f>[3]Расчеты!AX30/1.2</f>
        <v>4857.1049294532295</v>
      </c>
      <c r="IJ31" s="611">
        <f t="shared" si="89"/>
        <v>13265.228213218179</v>
      </c>
      <c r="IK31" s="611" t="e">
        <f>IJ31*1.2*#REF!</f>
        <v>#REF!</v>
      </c>
      <c r="IL31" s="611"/>
    </row>
    <row r="32" spans="1:248" ht="12.6" customHeight="1">
      <c r="A32" s="610" t="s">
        <v>686</v>
      </c>
      <c r="B32" s="905">
        <v>48</v>
      </c>
      <c r="C32" s="1056" t="s">
        <v>909</v>
      </c>
      <c r="D32" s="906">
        <v>0.44130000000000003</v>
      </c>
      <c r="E32" s="907">
        <v>0.36759999999999998</v>
      </c>
      <c r="F32" s="908">
        <f t="shared" si="28"/>
        <v>17.279900577989071</v>
      </c>
      <c r="G32" s="909">
        <v>80</v>
      </c>
      <c r="H32" s="598">
        <f t="shared" si="29"/>
        <v>7.883172561629153</v>
      </c>
      <c r="I32" s="599">
        <v>50</v>
      </c>
      <c r="J32" s="598">
        <f t="shared" si="30"/>
        <v>18.349272349272351</v>
      </c>
      <c r="K32" s="599">
        <v>80</v>
      </c>
      <c r="L32" s="598">
        <f t="shared" si="31"/>
        <v>9.3967280163599174</v>
      </c>
      <c r="M32" s="599">
        <v>65</v>
      </c>
      <c r="N32" s="598">
        <f t="shared" si="32"/>
        <v>7.4563894523326573</v>
      </c>
      <c r="O32" s="599">
        <v>50</v>
      </c>
      <c r="P32" s="598">
        <f t="shared" si="93"/>
        <v>2.2369168356997973</v>
      </c>
      <c r="Q32" s="599">
        <v>32</v>
      </c>
      <c r="R32" s="598">
        <f t="shared" si="33"/>
        <v>11.148489551183401</v>
      </c>
      <c r="S32" s="600">
        <f t="shared" si="34"/>
        <v>13.288980202667425</v>
      </c>
      <c r="T32" s="910">
        <v>3</v>
      </c>
      <c r="U32" s="601">
        <f t="shared" si="35"/>
        <v>6.1164241164241169</v>
      </c>
      <c r="V32" s="601">
        <f t="shared" si="36"/>
        <v>8.6499299386728605</v>
      </c>
      <c r="W32" s="602">
        <v>50</v>
      </c>
      <c r="X32" s="745">
        <f t="shared" si="0"/>
        <v>80</v>
      </c>
      <c r="Y32" s="746">
        <v>2</v>
      </c>
      <c r="Z32" s="747">
        <f>VLOOKUP(X32,'Ціни контур мережний'!$Z$24:$AB$36,3,0)</f>
        <v>37.693832104112609</v>
      </c>
      <c r="AA32" s="748">
        <f t="shared" si="37"/>
        <v>75.387664208225218</v>
      </c>
      <c r="AB32" s="745">
        <f t="shared" si="1"/>
        <v>80</v>
      </c>
      <c r="AC32" s="749">
        <v>2</v>
      </c>
      <c r="AD32" s="747">
        <f>VLOOKUP(AB32,'Ціни контур мережний'!$Z$64:$AB$77,3,0)</f>
        <v>111.00441974652855</v>
      </c>
      <c r="AE32" s="748">
        <f t="shared" si="38"/>
        <v>222.00883949305711</v>
      </c>
      <c r="AF32" s="745">
        <f t="shared" si="2"/>
        <v>80</v>
      </c>
      <c r="AG32" s="746">
        <v>1</v>
      </c>
      <c r="AH32" s="747">
        <f>VLOOKUP(AF32,'Ціни контур мережний'!$Z$5:$AB$17,3,0)</f>
        <v>50.12</v>
      </c>
      <c r="AI32" s="748">
        <f t="shared" si="39"/>
        <v>50.12</v>
      </c>
      <c r="AJ32" s="750">
        <f t="shared" si="3"/>
        <v>50</v>
      </c>
      <c r="AK32" s="746">
        <v>3</v>
      </c>
      <c r="AL32" s="747">
        <f>VLOOKUP(AJ32,'Ціни контур мережний'!$Z$43:$AB$55,3,0)</f>
        <v>23.2782130224622</v>
      </c>
      <c r="AM32" s="748">
        <f t="shared" si="40"/>
        <v>69.834639067386604</v>
      </c>
      <c r="AN32" s="745">
        <f t="shared" si="4"/>
        <v>65</v>
      </c>
      <c r="AO32" s="749">
        <v>4</v>
      </c>
      <c r="AP32" s="747">
        <f>VLOOKUP(AN32,'Ціни контур мережний'!$Z$43:$AB$55,3,0)</f>
        <v>30.19184015363556</v>
      </c>
      <c r="AQ32" s="759">
        <f t="shared" si="41"/>
        <v>120.76736061454224</v>
      </c>
      <c r="AR32" s="751" t="str">
        <f t="shared" si="42"/>
        <v>AMV20</v>
      </c>
      <c r="AS32" s="751">
        <v>1</v>
      </c>
      <c r="AT32" s="747">
        <f>VLOOKUP(AR32,'Ціни контур мережний'!$I$53:$M$57,5,0)</f>
        <v>110.39869654932889</v>
      </c>
      <c r="AU32" s="748">
        <f t="shared" si="43"/>
        <v>110.39869654932889</v>
      </c>
      <c r="AV32" s="752">
        <f t="array" ref="AV32">MIN(IF('Ціни контур мережний'!$Y$83:$Y$92&gt;(R32*1.2),'Ціни контур мережний'!$Y$83:$Y$92))</f>
        <v>16</v>
      </c>
      <c r="AW32" s="746">
        <f>VLOOKUP(AV32,'Ціни контур мережний'!$Y$83:$Z$92,2,0)</f>
        <v>32</v>
      </c>
      <c r="AX32" s="746">
        <v>1</v>
      </c>
      <c r="AY32" s="747">
        <f>VLOOKUP(AV32,'Ціни контур мережний'!$Y$83:$AB$92,4,0)</f>
        <v>130.5392363168325</v>
      </c>
      <c r="AZ32" s="748">
        <f t="shared" si="44"/>
        <v>130.5392363168325</v>
      </c>
      <c r="BA32" s="1099">
        <v>20</v>
      </c>
      <c r="BB32" s="1101">
        <f>VLOOKUP(BA32,'[1]Ціни контур мережний'!$Y$104:$Z$114,2,0)</f>
        <v>50</v>
      </c>
      <c r="BC32" s="753">
        <v>1</v>
      </c>
      <c r="BD32" s="754">
        <f>VLOOKUP(BA32,'Ціни контур мережний'!$Y$104:$AB$114,4,0)</f>
        <v>448.22326189551967</v>
      </c>
      <c r="BE32" s="755">
        <f t="shared" si="45"/>
        <v>448.22326189551967</v>
      </c>
      <c r="BF32" s="751" t="s">
        <v>67</v>
      </c>
      <c r="BG32" s="749">
        <v>1</v>
      </c>
      <c r="BH32" s="747">
        <f>VLOOKUP(BF32,'Ціни контур мережний'!$I$53:$M$57,5,0)</f>
        <v>157.67238032974441</v>
      </c>
      <c r="BI32" s="768">
        <f t="shared" si="46"/>
        <v>157.67238032974441</v>
      </c>
      <c r="BJ32" s="894">
        <f t="array" ref="BJ32">MIN(IF('Ціни контур мережний'!$Y$83:$Y$93&gt;(S32*1.2),'Ціни контур мережний'!$Y$83:$Y$93))</f>
        <v>16</v>
      </c>
      <c r="BK32" s="895">
        <f>VLOOKUP(BJ32,'Ціни контур мережний'!$Y$83:$Z$93,2,0)</f>
        <v>32</v>
      </c>
      <c r="BL32" s="895">
        <v>1</v>
      </c>
      <c r="BM32" s="896">
        <f>VLOOKUP(BJ32,'Ціни контур мережний'!$Y$83:$AB$93,4,0)</f>
        <v>130.5392363168325</v>
      </c>
      <c r="BN32" s="916">
        <f t="shared" si="47"/>
        <v>130.5392363168325</v>
      </c>
      <c r="BO32" s="896">
        <f t="array" ref="BO32">MIN(IF('Ціни контур мережний'!$Y$104:$Y$114&gt;(S32*1.2),'Ціни контур мережний'!$Y$104:$Y$114))</f>
        <v>20</v>
      </c>
      <c r="BP32" s="895">
        <f>VLOOKUP(BO32,'Ціни контур мережний'!$Y$104:$Z$114,2,0)</f>
        <v>40</v>
      </c>
      <c r="BQ32" s="895">
        <v>1</v>
      </c>
      <c r="BR32" s="896">
        <f>VLOOKUP(BO32,'Ціни контур мережний'!$Y$104:$AB$114,4,0)</f>
        <v>448.22326189551967</v>
      </c>
      <c r="BS32" s="897">
        <f t="shared" si="48"/>
        <v>448.22326189551967</v>
      </c>
      <c r="BT32" s="751" t="s">
        <v>115</v>
      </c>
      <c r="BU32" s="751" t="s">
        <v>115</v>
      </c>
      <c r="BV32" s="746" t="s">
        <v>1025</v>
      </c>
      <c r="BW32" s="756">
        <v>0</v>
      </c>
      <c r="BX32" s="747">
        <v>0</v>
      </c>
      <c r="BY32" s="748">
        <f t="shared" si="49"/>
        <v>0</v>
      </c>
      <c r="BZ32" s="745">
        <f>VLOOKUP(CA32,'Ціни контур мережний'!$J$5:$L$12,3,0)</f>
        <v>40</v>
      </c>
      <c r="CA32" s="747">
        <f t="array" ref="CA32">MIN(IF('Ціни контур мережний'!$J$5:$J$12&gt;L32,'Ціни контур мережний'!$J$5:$J$12))</f>
        <v>10</v>
      </c>
      <c r="CB32" s="746" t="s">
        <v>130</v>
      </c>
      <c r="CC32" s="749">
        <v>1</v>
      </c>
      <c r="CD32" s="747">
        <f>VLOOKUP(CA32,'Ціни контур мережний'!$J$5:$N$12,5,0)</f>
        <v>375.23999999999995</v>
      </c>
      <c r="CE32" s="748">
        <f t="shared" si="50"/>
        <v>375.23999999999995</v>
      </c>
      <c r="CF32" s="898" t="s">
        <v>1357</v>
      </c>
      <c r="CG32" s="899">
        <v>1</v>
      </c>
      <c r="CH32" s="900">
        <v>709</v>
      </c>
      <c r="CI32" s="901">
        <f t="shared" si="51"/>
        <v>709</v>
      </c>
      <c r="CJ32" s="751">
        <f t="shared" si="5"/>
        <v>80</v>
      </c>
      <c r="CK32" s="746">
        <v>4</v>
      </c>
      <c r="CL32" s="747">
        <f>VLOOKUP(CJ32,'Ціни контур теплопостачання'!$Y$5:$AA$17,3,0)</f>
        <v>37.693832104112609</v>
      </c>
      <c r="CM32" s="748">
        <f t="shared" si="52"/>
        <v>150.77532841645044</v>
      </c>
      <c r="CN32" s="750">
        <f t="shared" si="6"/>
        <v>50</v>
      </c>
      <c r="CO32" s="746">
        <v>6</v>
      </c>
      <c r="CP32" s="747">
        <f>VLOOKUP(CN32,'Ціни контур теплопостачання'!$AO$20:$AQ$29,3,0)</f>
        <v>37.588411955788914</v>
      </c>
      <c r="CQ32" s="748">
        <f t="shared" si="53"/>
        <v>225.53047173473348</v>
      </c>
      <c r="CR32" s="750">
        <f t="shared" si="7"/>
        <v>32</v>
      </c>
      <c r="CS32" s="746">
        <v>3</v>
      </c>
      <c r="CT32" s="747">
        <f>VLOOKUP(CR32,'Ціни контур теплопостачання'!$AO$20:$AQ$29,3,0)</f>
        <v>10.381</v>
      </c>
      <c r="CU32" s="748">
        <f t="shared" si="54"/>
        <v>31.143000000000001</v>
      </c>
      <c r="CV32" s="757">
        <f t="shared" si="8"/>
        <v>50</v>
      </c>
      <c r="CW32" s="746">
        <f t="shared" si="9"/>
        <v>6</v>
      </c>
      <c r="CX32" s="747">
        <f>VLOOKUP(CV32,'Ціни контур теплопостачання'!$Y$5:$AA$17,3,0)</f>
        <v>23.2782130224622</v>
      </c>
      <c r="CY32" s="748">
        <f t="shared" si="55"/>
        <v>139.66927813477321</v>
      </c>
      <c r="CZ32" s="745">
        <v>20</v>
      </c>
      <c r="DA32" s="749">
        <v>2</v>
      </c>
      <c r="DB32" s="747">
        <f>VLOOKUP(CZ32,'Ціни контур теплопостачання'!$Y$5:$AA$17,3,0)</f>
        <v>3.577</v>
      </c>
      <c r="DC32" s="748">
        <f t="shared" si="56"/>
        <v>7.1539999999999999</v>
      </c>
      <c r="DD32" s="745">
        <v>15</v>
      </c>
      <c r="DE32" s="745">
        <v>8</v>
      </c>
      <c r="DF32" s="758">
        <f>VLOOKUP(DD32,'Ціни контур теплопостачання'!$Y$5:$AA$17,3,0)</f>
        <v>2.464</v>
      </c>
      <c r="DG32" s="759">
        <f t="shared" si="57"/>
        <v>19.712</v>
      </c>
      <c r="DH32" s="745">
        <v>15</v>
      </c>
      <c r="DI32" s="745">
        <f t="shared" si="58"/>
        <v>38</v>
      </c>
      <c r="DJ32" s="758">
        <f>VLOOKUP(DH32,'Ціни контур мережний'!$J$71:$M$71,4,0)</f>
        <v>3.3865201135922525</v>
      </c>
      <c r="DK32" s="759">
        <f t="shared" si="59"/>
        <v>128.68776431650559</v>
      </c>
      <c r="DL32" s="751">
        <f t="shared" si="10"/>
        <v>80</v>
      </c>
      <c r="DM32" s="746">
        <v>1</v>
      </c>
      <c r="DN32" s="747">
        <f>VLOOKUP(DL32,'Ціни контур теплопостачання'!$K$5:$M$17,3,0)</f>
        <v>50.12</v>
      </c>
      <c r="DO32" s="748">
        <f t="shared" si="60"/>
        <v>50.12</v>
      </c>
      <c r="DP32" s="745">
        <f t="shared" si="11"/>
        <v>50</v>
      </c>
      <c r="DQ32" s="749">
        <v>1</v>
      </c>
      <c r="DR32" s="747">
        <f>VLOOKUP(DP32,'Ціни контур теплопостачання'!$K$5:$M$17,3,0)</f>
        <v>26.284999999999997</v>
      </c>
      <c r="DS32" s="748">
        <f t="shared" si="61"/>
        <v>26.284999999999997</v>
      </c>
      <c r="DT32" s="745">
        <f t="shared" si="12"/>
        <v>32</v>
      </c>
      <c r="DU32" s="745">
        <v>1</v>
      </c>
      <c r="DV32" s="758">
        <f>VLOOKUP(DT32,'Ціни контур теплопостачання'!$K$5:$M$17,3,0)</f>
        <v>9.48</v>
      </c>
      <c r="DW32" s="759">
        <f t="shared" si="62"/>
        <v>9.48</v>
      </c>
      <c r="DX32" s="745">
        <f t="shared" si="63"/>
        <v>80</v>
      </c>
      <c r="DY32" s="745">
        <v>1</v>
      </c>
      <c r="DZ32" s="758">
        <f>VLOOKUP(DX32,'Ціни контур теплопостачання'!$Y$24:$AA$36,3,0)</f>
        <v>60.079499999999996</v>
      </c>
      <c r="EA32" s="759">
        <f t="shared" si="64"/>
        <v>60.079499999999996</v>
      </c>
      <c r="EB32" s="751">
        <f t="shared" si="13"/>
        <v>80</v>
      </c>
      <c r="EC32" s="746">
        <v>2</v>
      </c>
      <c r="ED32" s="747">
        <f>VLOOKUP(EB32,'Ціни контур теплопостачання'!$Y$24:$AA$36,3,0)</f>
        <v>60.079499999999996</v>
      </c>
      <c r="EE32" s="748">
        <f t="shared" si="65"/>
        <v>120.15899999999999</v>
      </c>
      <c r="EF32" s="745">
        <f t="shared" si="14"/>
        <v>50</v>
      </c>
      <c r="EG32" s="749">
        <v>1</v>
      </c>
      <c r="EH32" s="747">
        <f>VLOOKUP(EF32,'Ціни контур теплопостачання'!$AO$38:$AQ$50,3,0)</f>
        <v>28.560999999999996</v>
      </c>
      <c r="EI32" s="748">
        <f t="shared" si="66"/>
        <v>28.560999999999996</v>
      </c>
      <c r="EJ32" s="745">
        <f t="shared" si="15"/>
        <v>32</v>
      </c>
      <c r="EK32" s="745">
        <v>1</v>
      </c>
      <c r="EL32" s="758">
        <f>VLOOKUP(EJ32,'Ціни контур теплопостачання'!$AO$38:$AQ$50,3,0)</f>
        <v>10.773</v>
      </c>
      <c r="EM32" s="759">
        <f t="shared" si="67"/>
        <v>10.773</v>
      </c>
      <c r="EN32" s="745">
        <f t="shared" si="16"/>
        <v>50</v>
      </c>
      <c r="EO32" s="745">
        <f t="shared" si="17"/>
        <v>6</v>
      </c>
      <c r="EP32" s="758">
        <f>VLOOKUP(EN32,'Ціни контур теплопостачання'!$Y$76:$AA$88,3,0)</f>
        <v>20.6</v>
      </c>
      <c r="EQ32" s="759">
        <f t="shared" si="68"/>
        <v>123.60000000000001</v>
      </c>
      <c r="ER32" s="745">
        <f t="shared" si="18"/>
        <v>50</v>
      </c>
      <c r="ES32" s="745">
        <v>1</v>
      </c>
      <c r="ET32" s="758">
        <f>VLOOKUP(ER32,'Ціни контур теплопостачання'!$Y$76:$AA$88,3,0)</f>
        <v>20.6</v>
      </c>
      <c r="EU32" s="759">
        <f t="shared" si="69"/>
        <v>20.6</v>
      </c>
      <c r="EV32" s="745">
        <f t="shared" si="19"/>
        <v>32</v>
      </c>
      <c r="EW32" s="745">
        <v>1</v>
      </c>
      <c r="EX32" s="758">
        <f>VLOOKUP(EV32,'Ціни контур теплопостачання'!$Y$76:$AA$88,3,0)</f>
        <v>13.15</v>
      </c>
      <c r="EY32" s="759">
        <f t="shared" si="70"/>
        <v>13.15</v>
      </c>
      <c r="EZ32" s="758">
        <f t="shared" si="20"/>
        <v>33.742465825721752</v>
      </c>
      <c r="FA32" s="760">
        <v>40</v>
      </c>
      <c r="FB32" s="719">
        <v>2</v>
      </c>
      <c r="FC32" s="747">
        <f>VLOOKUP(FA32,'Ціни контур теплопостачання'!$K$74:$M$79,3,0)</f>
        <v>43.19</v>
      </c>
      <c r="FD32" s="761">
        <f t="shared" si="21"/>
        <v>86.38</v>
      </c>
      <c r="FE32" s="762">
        <f t="shared" si="71"/>
        <v>18.349272349272351</v>
      </c>
      <c r="FF32" s="911">
        <v>9</v>
      </c>
      <c r="FG32" s="900">
        <v>8</v>
      </c>
      <c r="FH32" s="830" t="s">
        <v>1090</v>
      </c>
      <c r="FI32" s="708">
        <v>2</v>
      </c>
      <c r="FJ32" s="709">
        <f>VLOOKUP(FH32,'Ціни контур теплопостачання'!$C$89:$M$105,11,0)</f>
        <v>648.69600000000003</v>
      </c>
      <c r="FK32" s="764">
        <f t="shared" si="72"/>
        <v>1297.3920000000001</v>
      </c>
      <c r="FL32" s="912">
        <f t="shared" si="73"/>
        <v>2.2369168356997973</v>
      </c>
      <c r="FM32" s="911">
        <v>9</v>
      </c>
      <c r="FN32" s="900">
        <v>9</v>
      </c>
      <c r="FO32" s="900" t="s">
        <v>1097</v>
      </c>
      <c r="FP32" s="749">
        <v>1</v>
      </c>
      <c r="FQ32" s="747">
        <f>VLOOKUP(FO32,'Ціни контур теплопостачання'!$C$89:$M$105,11,0)</f>
        <v>241.2</v>
      </c>
      <c r="FR32" s="904">
        <f t="shared" si="74"/>
        <v>241.2</v>
      </c>
      <c r="FS32" s="758">
        <f t="array" ref="FS32">MIN(IF('Ціни контур теплопостачання'!$AN$68:$AN$77&gt;(V32*1.2),'Ціни контур теплопостачання'!$AN$68:$AN$77))</f>
        <v>11.13</v>
      </c>
      <c r="FT32" s="749">
        <f>VLOOKUP(FS32,'Ціни контур теплопостачання'!$AN$68:$AO$77,2,0)</f>
        <v>32</v>
      </c>
      <c r="FU32" s="749">
        <f t="shared" si="22"/>
        <v>3</v>
      </c>
      <c r="FV32" s="747">
        <f>VLOOKUP(FT32,'Ціни контур теплопостачання'!$AO$68:$AQ$77,3,0)</f>
        <v>37.183999999999997</v>
      </c>
      <c r="FW32" s="765">
        <f t="shared" si="75"/>
        <v>111.55199999999999</v>
      </c>
      <c r="FX32" s="750">
        <v>15</v>
      </c>
      <c r="FY32" s="746">
        <v>2</v>
      </c>
      <c r="FZ32" s="747">
        <f>VLOOKUP(FX32,'Ціни контур мережний'!$J$73:$M$73,4,0)</f>
        <v>3.4649999999999999</v>
      </c>
      <c r="GA32" s="748">
        <f t="shared" si="76"/>
        <v>6.93</v>
      </c>
      <c r="GB32" s="750">
        <f>VLOOKUP(GC32,'Ціни контур теплопостачання'!$AN$6:$AO$13,2,0)</f>
        <v>40</v>
      </c>
      <c r="GC32" s="751">
        <f t="array" ref="GC32">MIN(IF('Ціни контур теплопостачання'!$AN$6:$AN$13&gt;N32,'Ціни контур теплопостачання'!$AN$6:$AN$13))</f>
        <v>15</v>
      </c>
      <c r="GD32" s="751">
        <v>1</v>
      </c>
      <c r="GE32" s="747">
        <f>VLOOKUP(GB32,'Ціни контур теплопостачання'!$AO$6:$AQ$13,3,0)</f>
        <v>140.82444000000001</v>
      </c>
      <c r="GF32" s="748">
        <f t="shared" si="77"/>
        <v>140.82444000000001</v>
      </c>
      <c r="GG32" s="750">
        <f t="shared" si="23"/>
        <v>50</v>
      </c>
      <c r="GH32" s="746">
        <v>1</v>
      </c>
      <c r="GI32" s="747">
        <f>VLOOKUP(GG32,'Ціни контур теплопостачання'!$AO$55:$AQ$63,3,0)</f>
        <v>355.5</v>
      </c>
      <c r="GJ32" s="768">
        <f t="shared" si="78"/>
        <v>355.5</v>
      </c>
      <c r="GK32" s="655" t="str">
        <f t="shared" si="91"/>
        <v>0-150</v>
      </c>
      <c r="GL32" s="720">
        <v>1</v>
      </c>
      <c r="GM32" s="747">
        <f>VLOOKUP(GK32,'Ціни контур мережний'!$I$79:$M$80,5,0)</f>
        <v>15.050156291498967</v>
      </c>
      <c r="GN32" s="748">
        <f t="shared" si="79"/>
        <v>15.050156291498967</v>
      </c>
      <c r="GO32" s="758" t="s">
        <v>109</v>
      </c>
      <c r="GP32" s="749">
        <v>5</v>
      </c>
      <c r="GQ32" s="747">
        <f>VLOOKUP(GO32,'Ціни контур мережний'!$I$79:$M$80,5,0)</f>
        <v>15.050156291498967</v>
      </c>
      <c r="GR32" s="765">
        <f t="shared" si="80"/>
        <v>75.250781457494838</v>
      </c>
      <c r="GS32" s="655" t="s">
        <v>108</v>
      </c>
      <c r="GT32" s="720">
        <v>5</v>
      </c>
      <c r="GU32" s="747">
        <f>VLOOKUP(GS32,'Ціни контур мережний'!$I$67:$M$69,5,0)</f>
        <v>4.4537969640631703</v>
      </c>
      <c r="GV32" s="748">
        <f t="shared" si="81"/>
        <v>22.26898482031585</v>
      </c>
      <c r="GW32" s="655" t="s">
        <v>106</v>
      </c>
      <c r="GX32" s="720">
        <f t="shared" ref="GX32:GX39" si="94">11+T32</f>
        <v>14</v>
      </c>
      <c r="GY32" s="747">
        <f>VLOOKUP(GW32,'Ціни контур мережний'!$I$67:$M$69,5,0)</f>
        <v>4.4537969640631703</v>
      </c>
      <c r="GZ32" s="748">
        <f t="shared" si="82"/>
        <v>62.353157496884386</v>
      </c>
      <c r="HA32" s="655" t="s">
        <v>1013</v>
      </c>
      <c r="HB32" s="720">
        <v>4</v>
      </c>
      <c r="HC32" s="747">
        <f>VLOOKUP(HA32,'Ціни контур мережний'!$I$64:$M$64,5,0)</f>
        <v>29.1312</v>
      </c>
      <c r="HD32" s="748">
        <f t="shared" si="83"/>
        <v>116.5248</v>
      </c>
      <c r="HE32" s="766" t="s">
        <v>1015</v>
      </c>
      <c r="HF32" s="749">
        <v>6</v>
      </c>
      <c r="HG32" s="747">
        <f>VLOOKUP(HE32,'Ціни контур мережний'!$I$89:$M$89,5,0)</f>
        <v>79.523165325760516</v>
      </c>
      <c r="HH32" s="765">
        <f t="shared" si="84"/>
        <v>477.1389919545631</v>
      </c>
      <c r="HI32" s="917" t="s">
        <v>1016</v>
      </c>
      <c r="HJ32" s="720">
        <f t="shared" si="92"/>
        <v>7</v>
      </c>
      <c r="HK32" s="747">
        <f>VLOOKUP(HI32,'Ціни контур мережний'!$I$88:$M$88,5,0)</f>
        <v>13.211568975967202</v>
      </c>
      <c r="HL32" s="768">
        <f t="shared" si="85"/>
        <v>92.480982831770419</v>
      </c>
      <c r="HM32" s="917" t="s">
        <v>383</v>
      </c>
      <c r="HN32" s="720">
        <v>1</v>
      </c>
      <c r="HO32" s="747">
        <f>VLOOKUP(HM32,'Ціни контур мережний'!$I$87:$M$87,5,0)</f>
        <v>13.483972460007763</v>
      </c>
      <c r="HP32" s="748">
        <f t="shared" si="86"/>
        <v>13.483972460007763</v>
      </c>
      <c r="HQ32" s="769">
        <f t="shared" si="24"/>
        <v>48</v>
      </c>
      <c r="HR32" s="770">
        <f t="shared" si="87"/>
        <v>7327.7641866019876</v>
      </c>
      <c r="HS32" s="771">
        <v>0</v>
      </c>
      <c r="HT32" s="771">
        <f>'Таблиця цін схема №1'!$JE$45/'Ціни контур мережний'!$G$26</f>
        <v>578.85740358619182</v>
      </c>
      <c r="HU32" s="770">
        <f>'Таблиця цін схема №1'!$JG$8</f>
        <v>661.80181284518619</v>
      </c>
      <c r="HV32" s="770">
        <f>'Таблиця цін схема №1'!$JH$8</f>
        <v>487.81784379022207</v>
      </c>
      <c r="HW32" s="770">
        <f>'Таблиця цін схема №1'!$JI$8</f>
        <v>323.47913729816605</v>
      </c>
      <c r="HX32" s="770">
        <f>'Таблиця цін схема №1'!$JJ$8</f>
        <v>66.611999999999995</v>
      </c>
      <c r="HY32" s="772">
        <v>0</v>
      </c>
      <c r="HZ32" s="772">
        <f>'Таблиця цін схема №1'!$JL$8</f>
        <v>62.86234247089866</v>
      </c>
      <c r="IA32" s="772">
        <v>0</v>
      </c>
      <c r="IB32" s="770">
        <v>0</v>
      </c>
      <c r="IC32" s="913">
        <f t="shared" si="25"/>
        <v>665.64363086148569</v>
      </c>
      <c r="ID32" s="914">
        <f t="shared" si="26"/>
        <v>950.91947265926524</v>
      </c>
      <c r="IE32" s="915">
        <f t="shared" si="27"/>
        <v>163.58177317789159</v>
      </c>
      <c r="IF32" s="776">
        <f>'Таблиця цін схема №1'!$JR$8</f>
        <v>300.63036461094771</v>
      </c>
      <c r="IG32" s="777">
        <f t="shared" si="88"/>
        <v>11589.969967902241</v>
      </c>
      <c r="II32" s="611">
        <f>[3]Расчеты!AX31/1.2</f>
        <v>4694.163997044222</v>
      </c>
      <c r="IJ32" s="611">
        <f t="shared" si="89"/>
        <v>16284.133964946464</v>
      </c>
      <c r="IK32" s="611" t="e">
        <f>IJ32*1.2*#REF!</f>
        <v>#REF!</v>
      </c>
      <c r="IL32" s="611"/>
    </row>
    <row r="33" spans="1:246" ht="12.6" customHeight="1">
      <c r="A33" s="610" t="s">
        <v>686</v>
      </c>
      <c r="B33" s="905">
        <v>49</v>
      </c>
      <c r="C33" s="1056" t="s">
        <v>910</v>
      </c>
      <c r="D33" s="906">
        <v>0.29430000000000001</v>
      </c>
      <c r="E33" s="907">
        <v>0.24510000000000001</v>
      </c>
      <c r="F33" s="908">
        <f t="shared" si="28"/>
        <v>11.522572150000986</v>
      </c>
      <c r="G33" s="909">
        <v>65</v>
      </c>
      <c r="H33" s="598">
        <f t="shared" si="29"/>
        <v>5.257234726688103</v>
      </c>
      <c r="I33" s="599">
        <v>50</v>
      </c>
      <c r="J33" s="598">
        <f t="shared" si="30"/>
        <v>12.237006237006238</v>
      </c>
      <c r="K33" s="599">
        <v>65</v>
      </c>
      <c r="L33" s="598">
        <f t="shared" si="31"/>
        <v>6.265337423312884</v>
      </c>
      <c r="M33" s="599">
        <v>50</v>
      </c>
      <c r="N33" s="598">
        <f t="shared" si="32"/>
        <v>4.9716024340770799</v>
      </c>
      <c r="O33" s="599">
        <v>50</v>
      </c>
      <c r="P33" s="598">
        <f t="shared" si="93"/>
        <v>1.4914807302231239</v>
      </c>
      <c r="Q33" s="599">
        <v>32</v>
      </c>
      <c r="R33" s="598">
        <f t="shared" si="33"/>
        <v>7.4348526510611261</v>
      </c>
      <c r="S33" s="600">
        <f t="shared" si="34"/>
        <v>8.8605251568927805</v>
      </c>
      <c r="T33" s="910">
        <v>2</v>
      </c>
      <c r="U33" s="601">
        <f t="shared" si="35"/>
        <v>6.1185031185031189</v>
      </c>
      <c r="V33" s="601">
        <f t="shared" si="36"/>
        <v>8.6528700916091861</v>
      </c>
      <c r="W33" s="602">
        <v>50</v>
      </c>
      <c r="X33" s="745">
        <f t="shared" si="0"/>
        <v>65</v>
      </c>
      <c r="Y33" s="746">
        <v>2</v>
      </c>
      <c r="Z33" s="747">
        <f>VLOOKUP(X33,'Ціни контур мережний'!$Z$24:$AB$36,3,0)</f>
        <v>30.19184015363556</v>
      </c>
      <c r="AA33" s="748">
        <f t="shared" si="37"/>
        <v>60.383680307271121</v>
      </c>
      <c r="AB33" s="745">
        <f t="shared" si="1"/>
        <v>65</v>
      </c>
      <c r="AC33" s="749">
        <v>2</v>
      </c>
      <c r="AD33" s="747">
        <f>VLOOKUP(AB33,'Ціни контур мережний'!$Z$64:$AB$77,3,0)</f>
        <v>105.883234246566</v>
      </c>
      <c r="AE33" s="748">
        <f t="shared" si="38"/>
        <v>211.76646849313201</v>
      </c>
      <c r="AF33" s="745">
        <f t="shared" si="2"/>
        <v>65</v>
      </c>
      <c r="AG33" s="746">
        <v>0</v>
      </c>
      <c r="AH33" s="747">
        <f>VLOOKUP(AF33,'Ціни контур мережний'!$Z$5:$AB$17,3,0)</f>
        <v>39.731999999999999</v>
      </c>
      <c r="AI33" s="748">
        <f t="shared" si="39"/>
        <v>0</v>
      </c>
      <c r="AJ33" s="750">
        <f t="shared" si="3"/>
        <v>50</v>
      </c>
      <c r="AK33" s="746">
        <v>1</v>
      </c>
      <c r="AL33" s="747">
        <f>VLOOKUP(AJ33,'Ціни контур мережний'!$Z$43:$AB$55,3,0)</f>
        <v>23.2782130224622</v>
      </c>
      <c r="AM33" s="748">
        <f t="shared" si="40"/>
        <v>23.2782130224622</v>
      </c>
      <c r="AN33" s="745">
        <f t="shared" si="4"/>
        <v>50</v>
      </c>
      <c r="AO33" s="749">
        <v>4</v>
      </c>
      <c r="AP33" s="747">
        <f>VLOOKUP(AN33,'Ціни контур мережний'!$Z$43:$AB$55,3,0)</f>
        <v>23.2782130224622</v>
      </c>
      <c r="AQ33" s="759">
        <f t="shared" si="41"/>
        <v>93.112852089848801</v>
      </c>
      <c r="AR33" s="751" t="str">
        <f t="shared" si="42"/>
        <v>AMV20</v>
      </c>
      <c r="AS33" s="751">
        <v>1</v>
      </c>
      <c r="AT33" s="747">
        <f>VLOOKUP(AR33,'Ціни контур мережний'!$I$53:$M$57,5,0)</f>
        <v>110.39869654932889</v>
      </c>
      <c r="AU33" s="748">
        <f t="shared" si="43"/>
        <v>110.39869654932889</v>
      </c>
      <c r="AV33" s="752">
        <f t="array" ref="AV33">MIN(IF('Ціни контур мережний'!$Y$83:$Y$92&gt;(R33*1.2),'Ціни контур мережний'!$Y$83:$Y$92))</f>
        <v>10</v>
      </c>
      <c r="AW33" s="746">
        <f>VLOOKUP(AV33,'Ціни контур мережний'!$Y$83:$Z$92,2,0)</f>
        <v>25</v>
      </c>
      <c r="AX33" s="746">
        <v>1</v>
      </c>
      <c r="AY33" s="747">
        <f>VLOOKUP(AV33,'Ціни контур мережний'!$Y$83:$AB$92,4,0)</f>
        <v>117.50505648967251</v>
      </c>
      <c r="AZ33" s="748">
        <f t="shared" si="44"/>
        <v>117.50505648967251</v>
      </c>
      <c r="BA33" s="1099">
        <f t="array" ref="BA33">MIN(IF('[1]Ціни контур мережний'!$Y$104:$Y$114&gt;(R33*1.2),'[1]Ціни контур мережний'!$Y$104:$Y$114))</f>
        <v>12.5</v>
      </c>
      <c r="BB33" s="1101">
        <f>VLOOKUP(BA33,'[1]Ціни контур мережний'!$Y$104:$Z$114,2,0)</f>
        <v>32</v>
      </c>
      <c r="BC33" s="753">
        <v>1</v>
      </c>
      <c r="BD33" s="754">
        <f>VLOOKUP(BA33,'Ціни контур мережний'!$Y$104:$AB$114,4,0)</f>
        <v>435.76049604674444</v>
      </c>
      <c r="BE33" s="755">
        <f t="shared" si="45"/>
        <v>435.76049604674444</v>
      </c>
      <c r="BF33" s="751" t="s">
        <v>67</v>
      </c>
      <c r="BG33" s="749">
        <v>1</v>
      </c>
      <c r="BH33" s="747">
        <f>VLOOKUP(BF33,'Ціни контур мережний'!$I$53:$M$57,5,0)</f>
        <v>157.67238032974441</v>
      </c>
      <c r="BI33" s="768">
        <f t="shared" si="46"/>
        <v>157.67238032974441</v>
      </c>
      <c r="BJ33" s="894">
        <f t="array" ref="BJ33">MIN(IF('Ціни контур мережний'!$Y$83:$Y$93&gt;(S33*1.2),'Ціни контур мережний'!$Y$83:$Y$93))</f>
        <v>16</v>
      </c>
      <c r="BK33" s="895">
        <f>VLOOKUP(BJ33,'Ціни контур мережний'!$Y$83:$Z$93,2,0)</f>
        <v>32</v>
      </c>
      <c r="BL33" s="895">
        <v>1</v>
      </c>
      <c r="BM33" s="896">
        <f>VLOOKUP(BJ33,'Ціни контур мережний'!$Y$83:$AB$93,4,0)</f>
        <v>130.5392363168325</v>
      </c>
      <c r="BN33" s="916">
        <f t="shared" si="47"/>
        <v>130.5392363168325</v>
      </c>
      <c r="BO33" s="896">
        <f t="array" ref="BO33">MIN(IF('Ціни контур мережний'!$Y$104:$Y$114&gt;(S33*1.2),'Ціни контур мережний'!$Y$104:$Y$114))</f>
        <v>12.5</v>
      </c>
      <c r="BP33" s="895">
        <f>VLOOKUP(BO33,'Ціни контур мережний'!$Y$104:$Z$114,2,0)</f>
        <v>32</v>
      </c>
      <c r="BQ33" s="895">
        <v>1</v>
      </c>
      <c r="BR33" s="896">
        <f>VLOOKUP(BO33,'Ціни контур мережний'!$Y$104:$AB$114,4,0)</f>
        <v>435.76049604674444</v>
      </c>
      <c r="BS33" s="897">
        <f t="shared" si="48"/>
        <v>435.76049604674444</v>
      </c>
      <c r="BT33" s="751" t="s">
        <v>115</v>
      </c>
      <c r="BU33" s="751" t="s">
        <v>115</v>
      </c>
      <c r="BV33" s="746" t="s">
        <v>1025</v>
      </c>
      <c r="BW33" s="756">
        <v>0</v>
      </c>
      <c r="BX33" s="747">
        <v>0</v>
      </c>
      <c r="BY33" s="748">
        <f t="shared" si="49"/>
        <v>0</v>
      </c>
      <c r="BZ33" s="745">
        <f>VLOOKUP(CA33,'Ціни контур мережний'!$J$5:$L$12,3,0)</f>
        <v>40</v>
      </c>
      <c r="CA33" s="747">
        <f t="array" ref="CA33">MIN(IF('Ціни контур мережний'!$J$5:$J$12&gt;L33,'Ціни контур мережний'!$J$5:$J$12))</f>
        <v>10</v>
      </c>
      <c r="CB33" s="746" t="s">
        <v>130</v>
      </c>
      <c r="CC33" s="749">
        <v>1</v>
      </c>
      <c r="CD33" s="747">
        <f>VLOOKUP(CA33,'Ціни контур мережний'!$J$5:$N$12,5,0)</f>
        <v>375.23999999999995</v>
      </c>
      <c r="CE33" s="748">
        <f t="shared" si="50"/>
        <v>375.23999999999995</v>
      </c>
      <c r="CF33" s="898" t="s">
        <v>1358</v>
      </c>
      <c r="CG33" s="899">
        <v>1</v>
      </c>
      <c r="CH33" s="900">
        <v>613</v>
      </c>
      <c r="CI33" s="901">
        <f t="shared" si="51"/>
        <v>613</v>
      </c>
      <c r="CJ33" s="751">
        <f t="shared" si="5"/>
        <v>65</v>
      </c>
      <c r="CK33" s="746">
        <v>4</v>
      </c>
      <c r="CL33" s="747">
        <f>VLOOKUP(CJ33,'Ціни контур теплопостачання'!$Y$5:$AA$17,3,0)</f>
        <v>30.19184015363556</v>
      </c>
      <c r="CM33" s="748">
        <f t="shared" si="52"/>
        <v>120.76736061454224</v>
      </c>
      <c r="CN33" s="750">
        <f t="shared" si="6"/>
        <v>50</v>
      </c>
      <c r="CO33" s="746">
        <v>6</v>
      </c>
      <c r="CP33" s="747">
        <f>VLOOKUP(CN33,'Ціни контур теплопостачання'!$AO$20:$AQ$29,3,0)</f>
        <v>37.588411955788914</v>
      </c>
      <c r="CQ33" s="748">
        <f t="shared" si="53"/>
        <v>225.53047173473348</v>
      </c>
      <c r="CR33" s="750">
        <f t="shared" si="7"/>
        <v>32</v>
      </c>
      <c r="CS33" s="746">
        <v>3</v>
      </c>
      <c r="CT33" s="747">
        <f>VLOOKUP(CR33,'Ціни контур теплопостачання'!$AO$20:$AQ$29,3,0)</f>
        <v>10.381</v>
      </c>
      <c r="CU33" s="748">
        <f t="shared" si="54"/>
        <v>31.143000000000001</v>
      </c>
      <c r="CV33" s="757">
        <f t="shared" si="8"/>
        <v>50</v>
      </c>
      <c r="CW33" s="746">
        <f t="shared" si="9"/>
        <v>4</v>
      </c>
      <c r="CX33" s="747">
        <f>VLOOKUP(CV33,'Ціни контур теплопостачання'!$Y$5:$AA$17,3,0)</f>
        <v>23.2782130224622</v>
      </c>
      <c r="CY33" s="748">
        <f t="shared" si="55"/>
        <v>93.112852089848801</v>
      </c>
      <c r="CZ33" s="745">
        <v>20</v>
      </c>
      <c r="DA33" s="749">
        <v>2</v>
      </c>
      <c r="DB33" s="747">
        <f>VLOOKUP(CZ33,'Ціни контур теплопостачання'!$Y$5:$AA$17,3,0)</f>
        <v>3.577</v>
      </c>
      <c r="DC33" s="748">
        <f t="shared" si="56"/>
        <v>7.1539999999999999</v>
      </c>
      <c r="DD33" s="745">
        <v>15</v>
      </c>
      <c r="DE33" s="745">
        <v>8</v>
      </c>
      <c r="DF33" s="758">
        <f>VLOOKUP(DD33,'Ціни контур теплопостачання'!$Y$5:$AA$17,3,0)</f>
        <v>2.464</v>
      </c>
      <c r="DG33" s="759">
        <f t="shared" si="57"/>
        <v>19.712</v>
      </c>
      <c r="DH33" s="745">
        <v>15</v>
      </c>
      <c r="DI33" s="745">
        <f t="shared" si="58"/>
        <v>37</v>
      </c>
      <c r="DJ33" s="758">
        <f>VLOOKUP(DH33,'Ціни контур мережний'!$J$71:$M$71,4,0)</f>
        <v>3.3865201135922525</v>
      </c>
      <c r="DK33" s="759">
        <f t="shared" si="59"/>
        <v>125.30124420291334</v>
      </c>
      <c r="DL33" s="751">
        <f t="shared" si="10"/>
        <v>65</v>
      </c>
      <c r="DM33" s="746">
        <v>1</v>
      </c>
      <c r="DN33" s="747">
        <f>VLOOKUP(DL33,'Ціни контур теплопостачання'!$K$5:$M$17,3,0)</f>
        <v>39.731999999999999</v>
      </c>
      <c r="DO33" s="748">
        <f t="shared" si="60"/>
        <v>39.731999999999999</v>
      </c>
      <c r="DP33" s="745">
        <f t="shared" si="11"/>
        <v>50</v>
      </c>
      <c r="DQ33" s="749">
        <v>1</v>
      </c>
      <c r="DR33" s="747">
        <f>VLOOKUP(DP33,'Ціни контур теплопостачання'!$K$5:$M$17,3,0)</f>
        <v>26.284999999999997</v>
      </c>
      <c r="DS33" s="748">
        <f t="shared" si="61"/>
        <v>26.284999999999997</v>
      </c>
      <c r="DT33" s="745">
        <f t="shared" si="12"/>
        <v>32</v>
      </c>
      <c r="DU33" s="745">
        <v>1</v>
      </c>
      <c r="DV33" s="758">
        <f>VLOOKUP(DT33,'Ціни контур теплопостачання'!$K$5:$M$17,3,0)</f>
        <v>9.48</v>
      </c>
      <c r="DW33" s="759">
        <f t="shared" si="62"/>
        <v>9.48</v>
      </c>
      <c r="DX33" s="745">
        <f t="shared" si="63"/>
        <v>65</v>
      </c>
      <c r="DY33" s="745">
        <v>1</v>
      </c>
      <c r="DZ33" s="758">
        <f>VLOOKUP(DX33,'Ціни контур теплопостачання'!$Y$24:$AA$36,3,0)</f>
        <v>42.080999999999996</v>
      </c>
      <c r="EA33" s="759">
        <f t="shared" si="64"/>
        <v>42.080999999999996</v>
      </c>
      <c r="EB33" s="751">
        <f t="shared" si="13"/>
        <v>65</v>
      </c>
      <c r="EC33" s="746">
        <v>2</v>
      </c>
      <c r="ED33" s="747">
        <f>VLOOKUP(EB33,'Ціни контур теплопостачання'!$Y$24:$AA$36,3,0)</f>
        <v>42.080999999999996</v>
      </c>
      <c r="EE33" s="748">
        <f t="shared" si="65"/>
        <v>84.161999999999992</v>
      </c>
      <c r="EF33" s="745">
        <f t="shared" si="14"/>
        <v>50</v>
      </c>
      <c r="EG33" s="749">
        <v>1</v>
      </c>
      <c r="EH33" s="747">
        <f>VLOOKUP(EF33,'Ціни контур теплопостачання'!$AO$38:$AQ$50,3,0)</f>
        <v>28.560999999999996</v>
      </c>
      <c r="EI33" s="748">
        <f t="shared" si="66"/>
        <v>28.560999999999996</v>
      </c>
      <c r="EJ33" s="745">
        <f t="shared" si="15"/>
        <v>32</v>
      </c>
      <c r="EK33" s="745">
        <v>1</v>
      </c>
      <c r="EL33" s="758">
        <f>VLOOKUP(EJ33,'Ціни контур теплопостачання'!$AO$38:$AQ$50,3,0)</f>
        <v>10.773</v>
      </c>
      <c r="EM33" s="759">
        <f t="shared" si="67"/>
        <v>10.773</v>
      </c>
      <c r="EN33" s="745">
        <f t="shared" si="16"/>
        <v>50</v>
      </c>
      <c r="EO33" s="745">
        <f t="shared" si="17"/>
        <v>4</v>
      </c>
      <c r="EP33" s="758">
        <f>VLOOKUP(EN33,'Ціни контур теплопостачання'!$Y$76:$AA$88,3,0)</f>
        <v>20.6</v>
      </c>
      <c r="EQ33" s="759">
        <f t="shared" si="68"/>
        <v>82.4</v>
      </c>
      <c r="ER33" s="745">
        <f t="shared" si="18"/>
        <v>50</v>
      </c>
      <c r="ES33" s="745">
        <v>1</v>
      </c>
      <c r="ET33" s="758">
        <f>VLOOKUP(ER33,'Ціни контур теплопостачання'!$Y$76:$AA$88,3,0)</f>
        <v>20.6</v>
      </c>
      <c r="EU33" s="759">
        <f t="shared" si="69"/>
        <v>20.6</v>
      </c>
      <c r="EV33" s="745">
        <f t="shared" si="19"/>
        <v>32</v>
      </c>
      <c r="EW33" s="745">
        <v>1</v>
      </c>
      <c r="EX33" s="758">
        <f>VLOOKUP(EV33,'Ціни контур теплопостачання'!$Y$76:$AA$88,3,0)</f>
        <v>13.15</v>
      </c>
      <c r="EY33" s="759">
        <f t="shared" si="70"/>
        <v>13.15</v>
      </c>
      <c r="EZ33" s="758">
        <f t="shared" si="20"/>
        <v>27.555289873271157</v>
      </c>
      <c r="FA33" s="760">
        <v>32</v>
      </c>
      <c r="FB33" s="719">
        <v>2</v>
      </c>
      <c r="FC33" s="747">
        <f>VLOOKUP(FA33,'Ціни контур теплопостачання'!$K$74:$M$79,3,0)</f>
        <v>33.68</v>
      </c>
      <c r="FD33" s="761">
        <f t="shared" si="21"/>
        <v>67.36</v>
      </c>
      <c r="FE33" s="762">
        <f t="shared" si="71"/>
        <v>12.237006237006238</v>
      </c>
      <c r="FF33" s="911">
        <v>9</v>
      </c>
      <c r="FG33" s="900">
        <v>8</v>
      </c>
      <c r="FH33" s="830" t="s">
        <v>123</v>
      </c>
      <c r="FI33" s="708">
        <v>2</v>
      </c>
      <c r="FJ33" s="709">
        <f>VLOOKUP(FH33,'Ціни контур теплопостачання'!$C$89:$M$105,11,0)</f>
        <v>387.45599999999996</v>
      </c>
      <c r="FK33" s="764">
        <f t="shared" si="72"/>
        <v>774.91199999999992</v>
      </c>
      <c r="FL33" s="912">
        <f t="shared" si="73"/>
        <v>1.4914807302231239</v>
      </c>
      <c r="FM33" s="911">
        <v>9</v>
      </c>
      <c r="FN33" s="900">
        <v>9</v>
      </c>
      <c r="FO33" s="900" t="s">
        <v>1097</v>
      </c>
      <c r="FP33" s="749">
        <v>1</v>
      </c>
      <c r="FQ33" s="747">
        <f>VLOOKUP(FO33,'Ціни контур теплопостачання'!$C$89:$M$105,11,0)</f>
        <v>241.2</v>
      </c>
      <c r="FR33" s="904">
        <f t="shared" si="74"/>
        <v>241.2</v>
      </c>
      <c r="FS33" s="758">
        <f t="array" ref="FS33">MIN(IF('Ціни контур теплопостачання'!$AN$68:$AN$77&gt;(V33*1.2),'Ціни контур теплопостачання'!$AN$68:$AN$77))</f>
        <v>11.13</v>
      </c>
      <c r="FT33" s="749">
        <f>VLOOKUP(FS33,'Ціни контур теплопостачання'!$AN$68:$AO$77,2,0)</f>
        <v>32</v>
      </c>
      <c r="FU33" s="749">
        <f t="shared" si="22"/>
        <v>2</v>
      </c>
      <c r="FV33" s="747">
        <f>VLOOKUP(FT33,'Ціни контур теплопостачання'!$AO$68:$AQ$77,3,0)</f>
        <v>37.183999999999997</v>
      </c>
      <c r="FW33" s="765">
        <f t="shared" si="75"/>
        <v>74.367999999999995</v>
      </c>
      <c r="FX33" s="750">
        <v>15</v>
      </c>
      <c r="FY33" s="746">
        <v>2</v>
      </c>
      <c r="FZ33" s="747">
        <f>VLOOKUP(FX33,'Ціни контур мережний'!$J$73:$M$73,4,0)</f>
        <v>3.4649999999999999</v>
      </c>
      <c r="GA33" s="748">
        <f t="shared" si="76"/>
        <v>6.93</v>
      </c>
      <c r="GB33" s="750">
        <f>VLOOKUP(GC33,'Ціни контур теплопостачання'!$AN$6:$AO$13,2,0)</f>
        <v>32</v>
      </c>
      <c r="GC33" s="751">
        <f t="array" ref="GC33">MIN(IF('Ціни контур теплопостачання'!$AN$6:$AN$13&gt;N33,'Ціни контур теплопостачання'!$AN$6:$AN$13))</f>
        <v>6</v>
      </c>
      <c r="GD33" s="751">
        <v>1</v>
      </c>
      <c r="GE33" s="747">
        <f>VLOOKUP(GB33,'Ціни контур теплопостачання'!$AO$6:$AQ$13,3,0)</f>
        <v>85.682340000000011</v>
      </c>
      <c r="GF33" s="748">
        <f t="shared" si="77"/>
        <v>85.682340000000011</v>
      </c>
      <c r="GG33" s="750">
        <f t="shared" si="23"/>
        <v>50</v>
      </c>
      <c r="GH33" s="746">
        <v>1</v>
      </c>
      <c r="GI33" s="747">
        <f>VLOOKUP(GG33,'Ціни контур теплопостачання'!$AO$55:$AQ$63,3,0)</f>
        <v>355.5</v>
      </c>
      <c r="GJ33" s="768">
        <f t="shared" si="78"/>
        <v>355.5</v>
      </c>
      <c r="GK33" s="655" t="str">
        <f t="shared" si="91"/>
        <v>0-150</v>
      </c>
      <c r="GL33" s="720">
        <v>1</v>
      </c>
      <c r="GM33" s="747">
        <f>VLOOKUP(GK33,'Ціни контур мережний'!$I$79:$M$80,5,0)</f>
        <v>15.050156291498967</v>
      </c>
      <c r="GN33" s="748">
        <f t="shared" si="79"/>
        <v>15.050156291498967</v>
      </c>
      <c r="GO33" s="758" t="s">
        <v>109</v>
      </c>
      <c r="GP33" s="749">
        <v>1</v>
      </c>
      <c r="GQ33" s="747">
        <f>VLOOKUP(GO33,'Ціни контур мережний'!$I$79:$M$80,5,0)</f>
        <v>15.050156291498967</v>
      </c>
      <c r="GR33" s="765">
        <f t="shared" si="80"/>
        <v>15.050156291498967</v>
      </c>
      <c r="GS33" s="655" t="s">
        <v>108</v>
      </c>
      <c r="GT33" s="720">
        <v>3</v>
      </c>
      <c r="GU33" s="747">
        <f>VLOOKUP(GS33,'Ціни контур мережний'!$I$67:$M$69,5,0)</f>
        <v>4.4537969640631703</v>
      </c>
      <c r="GV33" s="748">
        <f t="shared" si="81"/>
        <v>13.361390892189512</v>
      </c>
      <c r="GW33" s="655" t="s">
        <v>106</v>
      </c>
      <c r="GX33" s="720">
        <f t="shared" si="94"/>
        <v>13</v>
      </c>
      <c r="GY33" s="747">
        <f>VLOOKUP(GW33,'Ціни контур мережний'!$I$67:$M$69,5,0)</f>
        <v>4.4537969640631703</v>
      </c>
      <c r="GZ33" s="748">
        <f t="shared" si="82"/>
        <v>57.899360532821213</v>
      </c>
      <c r="HA33" s="655" t="s">
        <v>1013</v>
      </c>
      <c r="HB33" s="720">
        <v>4</v>
      </c>
      <c r="HC33" s="747">
        <f>VLOOKUP(HA33,'Ціни контур мережний'!$I$64:$M$64,5,0)</f>
        <v>29.1312</v>
      </c>
      <c r="HD33" s="748">
        <f t="shared" si="83"/>
        <v>116.5248</v>
      </c>
      <c r="HE33" s="766" t="s">
        <v>1015</v>
      </c>
      <c r="HF33" s="749">
        <v>6</v>
      </c>
      <c r="HG33" s="747">
        <f>VLOOKUP(HE33,'Ціни контур мережний'!$I$89:$M$89,5,0)</f>
        <v>79.523165325760516</v>
      </c>
      <c r="HH33" s="765">
        <f t="shared" si="84"/>
        <v>477.1389919545631</v>
      </c>
      <c r="HI33" s="778" t="s">
        <v>1016</v>
      </c>
      <c r="HJ33" s="720">
        <f t="shared" si="92"/>
        <v>7</v>
      </c>
      <c r="HK33" s="747">
        <f>VLOOKUP(HI33,'Ціни контур мережний'!$I$88:$M$88,5,0)</f>
        <v>13.211568975967202</v>
      </c>
      <c r="HL33" s="768">
        <f t="shared" si="85"/>
        <v>92.480982831770419</v>
      </c>
      <c r="HM33" s="757" t="s">
        <v>383</v>
      </c>
      <c r="HN33" s="720">
        <v>1</v>
      </c>
      <c r="HO33" s="747">
        <f>VLOOKUP(HM33,'Ціни контур мережний'!$I$87:$M$87,5,0)</f>
        <v>13.483972460007763</v>
      </c>
      <c r="HP33" s="748">
        <f t="shared" si="86"/>
        <v>13.483972460007763</v>
      </c>
      <c r="HQ33" s="769">
        <f t="shared" si="24"/>
        <v>49</v>
      </c>
      <c r="HR33" s="770">
        <f t="shared" si="87"/>
        <v>6151.3046555881701</v>
      </c>
      <c r="HS33" s="771">
        <v>0</v>
      </c>
      <c r="HT33" s="771">
        <f>'Таблиця цін схема №1'!$JE$44/'Ціни контур мережний'!$G$26</f>
        <v>476.70609707098151</v>
      </c>
      <c r="HU33" s="770">
        <f>'Таблиця цін схема №1'!$JG$8</f>
        <v>661.80181284518619</v>
      </c>
      <c r="HV33" s="770">
        <f>'Таблиця цін схема №1'!$JH$8</f>
        <v>487.81784379022207</v>
      </c>
      <c r="HW33" s="770">
        <f>'Таблиця цін схема №1'!$JI$8</f>
        <v>323.47913729816605</v>
      </c>
      <c r="HX33" s="770">
        <f>'Таблиця цін схема №1'!$JJ$8</f>
        <v>66.611999999999995</v>
      </c>
      <c r="HY33" s="772">
        <v>0</v>
      </c>
      <c r="HZ33" s="772">
        <f>'Таблиця цін схема №1'!$JL$8</f>
        <v>62.86234247089866</v>
      </c>
      <c r="IA33" s="772">
        <v>0</v>
      </c>
      <c r="IB33" s="770">
        <v>0</v>
      </c>
      <c r="IC33" s="913">
        <f t="shared" si="25"/>
        <v>576.14087223445392</v>
      </c>
      <c r="ID33" s="914">
        <f t="shared" si="26"/>
        <v>823.05838890636267</v>
      </c>
      <c r="IE33" s="915">
        <f t="shared" si="27"/>
        <v>141.58649029420485</v>
      </c>
      <c r="IF33" s="776">
        <f>'Таблиця цін схема №1'!$JR$8</f>
        <v>300.63036461094771</v>
      </c>
      <c r="IG33" s="777">
        <f t="shared" si="88"/>
        <v>10072.000005109594</v>
      </c>
      <c r="II33" s="611">
        <f>[3]Расчеты!AX32/1.2</f>
        <v>4694.163997044222</v>
      </c>
      <c r="IJ33" s="611">
        <f t="shared" si="89"/>
        <v>14766.164002153815</v>
      </c>
      <c r="IK33" s="611" t="e">
        <f>IJ33*1.2*#REF!</f>
        <v>#REF!</v>
      </c>
      <c r="IL33" s="611"/>
    </row>
    <row r="34" spans="1:246" ht="12.6" customHeight="1">
      <c r="A34" s="610" t="s">
        <v>686</v>
      </c>
      <c r="B34" s="740">
        <v>50</v>
      </c>
      <c r="C34" s="1056" t="s">
        <v>911</v>
      </c>
      <c r="D34" s="892">
        <v>0.37509999999999999</v>
      </c>
      <c r="E34" s="918">
        <v>0.36</v>
      </c>
      <c r="F34" s="742">
        <f t="shared" si="28"/>
        <v>15.903061347501406</v>
      </c>
      <c r="G34" s="743">
        <v>80</v>
      </c>
      <c r="H34" s="598">
        <f t="shared" si="29"/>
        <v>6.7006073597713458</v>
      </c>
      <c r="I34" s="599">
        <v>50</v>
      </c>
      <c r="J34" s="598">
        <f t="shared" si="30"/>
        <v>15.596673596673595</v>
      </c>
      <c r="K34" s="599">
        <v>80</v>
      </c>
      <c r="L34" s="598">
        <f t="shared" si="31"/>
        <v>9.2024539877300615</v>
      </c>
      <c r="M34" s="599">
        <v>65</v>
      </c>
      <c r="N34" s="598">
        <f t="shared" si="32"/>
        <v>7.3022312373225153</v>
      </c>
      <c r="O34" s="599">
        <v>50</v>
      </c>
      <c r="P34" s="598">
        <f t="shared" si="93"/>
        <v>2.1906693711967544</v>
      </c>
      <c r="Q34" s="599">
        <v>32</v>
      </c>
      <c r="R34" s="598">
        <f t="shared" si="33"/>
        <v>9.4760898043256141</v>
      </c>
      <c r="S34" s="600">
        <f t="shared" si="34"/>
        <v>13.014235236562223</v>
      </c>
      <c r="T34" s="744">
        <v>3</v>
      </c>
      <c r="U34" s="601">
        <f t="shared" si="35"/>
        <v>5.1988911988911983</v>
      </c>
      <c r="V34" s="601">
        <f t="shared" si="36"/>
        <v>7.3523424427740522</v>
      </c>
      <c r="W34" s="602">
        <v>50</v>
      </c>
      <c r="X34" s="745">
        <f t="shared" si="0"/>
        <v>80</v>
      </c>
      <c r="Y34" s="746">
        <v>2</v>
      </c>
      <c r="Z34" s="747">
        <f>VLOOKUP(X34,'Ціни контур мережний'!$Z$24:$AB$36,3,0)</f>
        <v>37.693832104112609</v>
      </c>
      <c r="AA34" s="748">
        <f t="shared" si="37"/>
        <v>75.387664208225218</v>
      </c>
      <c r="AB34" s="745">
        <f t="shared" si="1"/>
        <v>80</v>
      </c>
      <c r="AC34" s="749">
        <v>2</v>
      </c>
      <c r="AD34" s="747">
        <f>VLOOKUP(AB34,'Ціни контур мережний'!$Z$64:$AB$77,3,0)</f>
        <v>111.00441974652855</v>
      </c>
      <c r="AE34" s="748">
        <f t="shared" si="38"/>
        <v>222.00883949305711</v>
      </c>
      <c r="AF34" s="745">
        <f t="shared" si="2"/>
        <v>80</v>
      </c>
      <c r="AG34" s="746">
        <v>1</v>
      </c>
      <c r="AH34" s="747">
        <f>VLOOKUP(AF34,'Ціни контур мережний'!$Z$5:$AB$17,3,0)</f>
        <v>50.12</v>
      </c>
      <c r="AI34" s="748">
        <f t="shared" si="39"/>
        <v>50.12</v>
      </c>
      <c r="AJ34" s="750">
        <f t="shared" si="3"/>
        <v>50</v>
      </c>
      <c r="AK34" s="746">
        <v>3</v>
      </c>
      <c r="AL34" s="747">
        <f>VLOOKUP(AJ34,'Ціни контур мережний'!$Z$43:$AB$55,3,0)</f>
        <v>23.2782130224622</v>
      </c>
      <c r="AM34" s="748">
        <f t="shared" si="40"/>
        <v>69.834639067386604</v>
      </c>
      <c r="AN34" s="745">
        <f t="shared" si="4"/>
        <v>65</v>
      </c>
      <c r="AO34" s="749">
        <v>4</v>
      </c>
      <c r="AP34" s="747">
        <f>VLOOKUP(AN34,'Ціни контур мережний'!$Z$43:$AB$55,3,0)</f>
        <v>30.19184015363556</v>
      </c>
      <c r="AQ34" s="759">
        <f t="shared" si="41"/>
        <v>120.76736061454224</v>
      </c>
      <c r="AR34" s="751" t="str">
        <f t="shared" si="42"/>
        <v>AMV20</v>
      </c>
      <c r="AS34" s="751">
        <v>1</v>
      </c>
      <c r="AT34" s="747">
        <f>VLOOKUP(AR34,'Ціни контур мережний'!$I$53:$M$57,5,0)</f>
        <v>110.39869654932889</v>
      </c>
      <c r="AU34" s="748">
        <f t="shared" si="43"/>
        <v>110.39869654932889</v>
      </c>
      <c r="AV34" s="752">
        <f t="array" ref="AV34">MIN(IF('Ціни контур мережний'!$Y$83:$Y$92&gt;(R34*1.2),'Ціни контур мережний'!$Y$83:$Y$92))</f>
        <v>16</v>
      </c>
      <c r="AW34" s="746">
        <f>VLOOKUP(AV34,'Ціни контур мережний'!$Y$83:$Z$92,2,0)</f>
        <v>32</v>
      </c>
      <c r="AX34" s="746">
        <v>1</v>
      </c>
      <c r="AY34" s="747">
        <f>VLOOKUP(AV34,'Ціни контур мережний'!$Y$83:$AB$92,4,0)</f>
        <v>130.5392363168325</v>
      </c>
      <c r="AZ34" s="748">
        <f t="shared" si="44"/>
        <v>130.5392363168325</v>
      </c>
      <c r="BA34" s="1099">
        <f t="array" ref="BA34">MIN(IF('[1]Ціни контур мережний'!$Y$104:$Y$114&gt;(R34*1.2),'[1]Ціни контур мережний'!$Y$104:$Y$114))</f>
        <v>12.5</v>
      </c>
      <c r="BB34" s="1101">
        <f>VLOOKUP(BA34,'[1]Ціни контур мережний'!$Y$104:$Z$114,2,0)</f>
        <v>32</v>
      </c>
      <c r="BC34" s="753">
        <v>1</v>
      </c>
      <c r="BD34" s="754">
        <f>VLOOKUP(BA34,'Ціни контур мережний'!$Y$104:$AB$114,4,0)</f>
        <v>435.76049604674444</v>
      </c>
      <c r="BE34" s="755">
        <f t="shared" si="45"/>
        <v>435.76049604674444</v>
      </c>
      <c r="BF34" s="751" t="s">
        <v>67</v>
      </c>
      <c r="BG34" s="749">
        <v>1</v>
      </c>
      <c r="BH34" s="747">
        <f>VLOOKUP(BF34,'Ціни контур мережний'!$I$53:$M$57,5,0)</f>
        <v>157.67238032974441</v>
      </c>
      <c r="BI34" s="768">
        <f t="shared" si="46"/>
        <v>157.67238032974441</v>
      </c>
      <c r="BJ34" s="894">
        <f t="array" ref="BJ34">MIN(IF('Ціни контур мережний'!$Y$83:$Y$93&gt;(S34*1.2),'Ціни контур мережний'!$Y$83:$Y$93))</f>
        <v>16</v>
      </c>
      <c r="BK34" s="895">
        <f>VLOOKUP(BJ34,'Ціни контур мережний'!$Y$83:$Z$93,2,0)</f>
        <v>32</v>
      </c>
      <c r="BL34" s="895">
        <v>1</v>
      </c>
      <c r="BM34" s="896">
        <f>VLOOKUP(BJ34,'Ціни контур мережний'!$Y$83:$AB$93,4,0)</f>
        <v>130.5392363168325</v>
      </c>
      <c r="BN34" s="916">
        <f t="shared" si="47"/>
        <v>130.5392363168325</v>
      </c>
      <c r="BO34" s="896">
        <f t="array" ref="BO34">MIN(IF('Ціни контур мережний'!$Y$104:$Y$114&gt;(S34*1.2),'Ціни контур мережний'!$Y$104:$Y$114))</f>
        <v>20</v>
      </c>
      <c r="BP34" s="895">
        <f>VLOOKUP(BO34,'Ціни контур мережний'!$Y$104:$Z$114,2,0)</f>
        <v>40</v>
      </c>
      <c r="BQ34" s="895">
        <v>1</v>
      </c>
      <c r="BR34" s="896">
        <f>VLOOKUP(BO34,'Ціни контур мережний'!$Y$104:$AB$114,4,0)</f>
        <v>448.22326189551967</v>
      </c>
      <c r="BS34" s="897">
        <f t="shared" si="48"/>
        <v>448.22326189551967</v>
      </c>
      <c r="BT34" s="751">
        <f>VLOOKUP(BU34,'Ціни контур мережний'!$J$5:$L$12,3,0)</f>
        <v>40</v>
      </c>
      <c r="BU34" s="751">
        <f t="array" ref="BU34">MIN(IF('Ціни контур мережний'!$J$5:$J$12&gt;H34,'Ціни контур мережний'!$J$5:$J$12))</f>
        <v>10</v>
      </c>
      <c r="BV34" s="746" t="s">
        <v>130</v>
      </c>
      <c r="BW34" s="756">
        <v>1</v>
      </c>
      <c r="BX34" s="747">
        <f>VLOOKUP(BU34,'Ціни контур мережний'!$J$5:$N$12,5,0)</f>
        <v>375.23999999999995</v>
      </c>
      <c r="BY34" s="748">
        <f t="shared" si="49"/>
        <v>375.23999999999995</v>
      </c>
      <c r="BZ34" s="745">
        <f>VLOOKUP(CA34,'Ціни контур мережний'!$J$5:$L$12,3,0)</f>
        <v>40</v>
      </c>
      <c r="CA34" s="747">
        <f t="array" ref="CA34">MIN(IF('Ціни контур мережний'!$J$5:$J$12&gt;L34,'Ціни контур мережний'!$J$5:$J$12))</f>
        <v>10</v>
      </c>
      <c r="CB34" s="746" t="s">
        <v>130</v>
      </c>
      <c r="CC34" s="749">
        <v>1</v>
      </c>
      <c r="CD34" s="747">
        <f>VLOOKUP(CA34,'Ціни контур мережний'!$J$5:$N$12,5,0)</f>
        <v>375.23999999999995</v>
      </c>
      <c r="CE34" s="748">
        <f t="shared" si="50"/>
        <v>375.23999999999995</v>
      </c>
      <c r="CF34" s="898" t="s">
        <v>1359</v>
      </c>
      <c r="CG34" s="899">
        <v>1</v>
      </c>
      <c r="CH34" s="900">
        <v>709</v>
      </c>
      <c r="CI34" s="901">
        <f t="shared" si="51"/>
        <v>709</v>
      </c>
      <c r="CJ34" s="751">
        <f t="shared" si="5"/>
        <v>80</v>
      </c>
      <c r="CK34" s="746">
        <v>4</v>
      </c>
      <c r="CL34" s="747">
        <f>VLOOKUP(CJ34,'Ціни контур теплопостачання'!$Y$5:$AA$17,3,0)</f>
        <v>37.693832104112609</v>
      </c>
      <c r="CM34" s="748">
        <f t="shared" si="52"/>
        <v>150.77532841645044</v>
      </c>
      <c r="CN34" s="750">
        <f t="shared" si="6"/>
        <v>50</v>
      </c>
      <c r="CO34" s="746">
        <v>6</v>
      </c>
      <c r="CP34" s="747">
        <f>VLOOKUP(CN34,'Ціни контур теплопостачання'!$AO$20:$AQ$29,3,0)</f>
        <v>37.588411955788914</v>
      </c>
      <c r="CQ34" s="748">
        <f t="shared" si="53"/>
        <v>225.53047173473348</v>
      </c>
      <c r="CR34" s="750">
        <f t="shared" si="7"/>
        <v>32</v>
      </c>
      <c r="CS34" s="746">
        <v>3</v>
      </c>
      <c r="CT34" s="747">
        <f>VLOOKUP(CR34,'Ціни контур теплопостачання'!$AO$20:$AQ$29,3,0)</f>
        <v>10.381</v>
      </c>
      <c r="CU34" s="748">
        <f t="shared" si="54"/>
        <v>31.143000000000001</v>
      </c>
      <c r="CV34" s="757">
        <f t="shared" si="8"/>
        <v>50</v>
      </c>
      <c r="CW34" s="746">
        <f t="shared" si="9"/>
        <v>6</v>
      </c>
      <c r="CX34" s="747">
        <f>VLOOKUP(CV34,'Ціни контур теплопостачання'!$Y$5:$AA$17,3,0)</f>
        <v>23.2782130224622</v>
      </c>
      <c r="CY34" s="748">
        <f t="shared" si="55"/>
        <v>139.66927813477321</v>
      </c>
      <c r="CZ34" s="745">
        <v>20</v>
      </c>
      <c r="DA34" s="749">
        <v>2</v>
      </c>
      <c r="DB34" s="747">
        <f>VLOOKUP(CZ34,'Ціни контур теплопостачання'!$Y$5:$AA$17,3,0)</f>
        <v>3.577</v>
      </c>
      <c r="DC34" s="748">
        <f t="shared" si="56"/>
        <v>7.1539999999999999</v>
      </c>
      <c r="DD34" s="745">
        <v>15</v>
      </c>
      <c r="DE34" s="745">
        <v>8</v>
      </c>
      <c r="DF34" s="758">
        <f>VLOOKUP(DD34,'Ціни контур теплопостачання'!$Y$5:$AA$17,3,0)</f>
        <v>2.464</v>
      </c>
      <c r="DG34" s="759">
        <f t="shared" si="57"/>
        <v>19.712</v>
      </c>
      <c r="DH34" s="745">
        <v>15</v>
      </c>
      <c r="DI34" s="745">
        <f t="shared" si="58"/>
        <v>38</v>
      </c>
      <c r="DJ34" s="758">
        <f>VLOOKUP(DH34,'Ціни контур мережний'!$J$71:$M$71,4,0)</f>
        <v>3.3865201135922525</v>
      </c>
      <c r="DK34" s="759">
        <f t="shared" si="59"/>
        <v>128.68776431650559</v>
      </c>
      <c r="DL34" s="751">
        <f t="shared" si="10"/>
        <v>80</v>
      </c>
      <c r="DM34" s="746">
        <v>1</v>
      </c>
      <c r="DN34" s="747">
        <f>VLOOKUP(DL34,'Ціни контур теплопостачання'!$K$5:$M$17,3,0)</f>
        <v>50.12</v>
      </c>
      <c r="DO34" s="748">
        <f t="shared" si="60"/>
        <v>50.12</v>
      </c>
      <c r="DP34" s="745">
        <f t="shared" si="11"/>
        <v>50</v>
      </c>
      <c r="DQ34" s="749">
        <v>1</v>
      </c>
      <c r="DR34" s="747">
        <f>VLOOKUP(DP34,'Ціни контур теплопостачання'!$K$5:$M$17,3,0)</f>
        <v>26.284999999999997</v>
      </c>
      <c r="DS34" s="748">
        <f t="shared" si="61"/>
        <v>26.284999999999997</v>
      </c>
      <c r="DT34" s="745">
        <f t="shared" si="12"/>
        <v>32</v>
      </c>
      <c r="DU34" s="745">
        <v>1</v>
      </c>
      <c r="DV34" s="758">
        <f>VLOOKUP(DT34,'Ціни контур теплопостачання'!$K$5:$M$17,3,0)</f>
        <v>9.48</v>
      </c>
      <c r="DW34" s="759">
        <f t="shared" si="62"/>
        <v>9.48</v>
      </c>
      <c r="DX34" s="745">
        <f t="shared" si="63"/>
        <v>80</v>
      </c>
      <c r="DY34" s="745">
        <v>1</v>
      </c>
      <c r="DZ34" s="758">
        <f>VLOOKUP(DX34,'Ціни контур теплопостачання'!$Y$24:$AA$36,3,0)</f>
        <v>60.079499999999996</v>
      </c>
      <c r="EA34" s="759">
        <f t="shared" si="64"/>
        <v>60.079499999999996</v>
      </c>
      <c r="EB34" s="751">
        <f t="shared" si="13"/>
        <v>80</v>
      </c>
      <c r="EC34" s="746">
        <v>2</v>
      </c>
      <c r="ED34" s="747">
        <f>VLOOKUP(EB34,'Ціни контур теплопостачання'!$Y$24:$AA$36,3,0)</f>
        <v>60.079499999999996</v>
      </c>
      <c r="EE34" s="748">
        <f t="shared" si="65"/>
        <v>120.15899999999999</v>
      </c>
      <c r="EF34" s="745">
        <f t="shared" si="14"/>
        <v>50</v>
      </c>
      <c r="EG34" s="749">
        <v>1</v>
      </c>
      <c r="EH34" s="747">
        <f>VLOOKUP(EF34,'Ціни контур теплопостачання'!$AO$38:$AQ$50,3,0)</f>
        <v>28.560999999999996</v>
      </c>
      <c r="EI34" s="748">
        <f t="shared" si="66"/>
        <v>28.560999999999996</v>
      </c>
      <c r="EJ34" s="745">
        <f t="shared" si="15"/>
        <v>32</v>
      </c>
      <c r="EK34" s="745">
        <v>1</v>
      </c>
      <c r="EL34" s="758">
        <f>VLOOKUP(EJ34,'Ціни контур теплопостачання'!$AO$38:$AQ$50,3,0)</f>
        <v>10.773</v>
      </c>
      <c r="EM34" s="759">
        <f t="shared" si="67"/>
        <v>10.773</v>
      </c>
      <c r="EN34" s="745">
        <f t="shared" si="16"/>
        <v>50</v>
      </c>
      <c r="EO34" s="745">
        <f t="shared" si="17"/>
        <v>6</v>
      </c>
      <c r="EP34" s="758">
        <f>VLOOKUP(EN34,'Ціни контур теплопостачання'!$Y$76:$AA$88,3,0)</f>
        <v>20.6</v>
      </c>
      <c r="EQ34" s="759">
        <f t="shared" si="68"/>
        <v>123.60000000000001</v>
      </c>
      <c r="ER34" s="745">
        <f t="shared" si="18"/>
        <v>50</v>
      </c>
      <c r="ES34" s="745">
        <v>1</v>
      </c>
      <c r="ET34" s="758">
        <f>VLOOKUP(ER34,'Ціни контур теплопостачання'!$Y$76:$AA$88,3,0)</f>
        <v>20.6</v>
      </c>
      <c r="EU34" s="759">
        <f t="shared" si="69"/>
        <v>20.6</v>
      </c>
      <c r="EV34" s="745">
        <f t="shared" si="19"/>
        <v>32</v>
      </c>
      <c r="EW34" s="745">
        <v>1</v>
      </c>
      <c r="EX34" s="758">
        <f>VLOOKUP(EV34,'Ціни контур теплопостачання'!$Y$76:$AA$88,3,0)</f>
        <v>13.15</v>
      </c>
      <c r="EY34" s="759">
        <f t="shared" si="70"/>
        <v>13.15</v>
      </c>
      <c r="EZ34" s="758">
        <f t="shared" si="20"/>
        <v>31.10880904181322</v>
      </c>
      <c r="FA34" s="760">
        <v>32</v>
      </c>
      <c r="FB34" s="719">
        <v>2</v>
      </c>
      <c r="FC34" s="747">
        <f>VLOOKUP(FA34,'Ціни контур теплопостачання'!$K$74:$M$79,3,0)</f>
        <v>33.68</v>
      </c>
      <c r="FD34" s="761">
        <f t="shared" si="21"/>
        <v>67.36</v>
      </c>
      <c r="FE34" s="762">
        <f t="shared" si="71"/>
        <v>15.596673596673595</v>
      </c>
      <c r="FF34" s="902">
        <v>9</v>
      </c>
      <c r="FG34" s="900">
        <v>8</v>
      </c>
      <c r="FH34" s="830" t="s">
        <v>119</v>
      </c>
      <c r="FI34" s="708">
        <v>2</v>
      </c>
      <c r="FJ34" s="709">
        <f>VLOOKUP(FH34,'Ціни контур теплопостачання'!$C$89:$M$105,11,0)</f>
        <v>391.06799999999998</v>
      </c>
      <c r="FK34" s="764">
        <f t="shared" si="72"/>
        <v>782.13599999999997</v>
      </c>
      <c r="FL34" s="912">
        <f t="shared" si="73"/>
        <v>2.1906693711967544</v>
      </c>
      <c r="FM34" s="902">
        <v>9</v>
      </c>
      <c r="FN34" s="900">
        <v>9</v>
      </c>
      <c r="FO34" s="900" t="s">
        <v>1097</v>
      </c>
      <c r="FP34" s="749">
        <v>1</v>
      </c>
      <c r="FQ34" s="747">
        <f>VLOOKUP(FO34,'Ціни контур теплопостачання'!$C$89:$M$105,11,0)</f>
        <v>241.2</v>
      </c>
      <c r="FR34" s="904">
        <f t="shared" si="74"/>
        <v>241.2</v>
      </c>
      <c r="FS34" s="758">
        <f t="array" ref="FS34">MIN(IF('Ціни контур теплопостачання'!$AN$68:$AN$77&gt;(V34*1.2),'Ціни контур теплопостачання'!$AN$68:$AN$77))</f>
        <v>11.13</v>
      </c>
      <c r="FT34" s="749">
        <f>VLOOKUP(FS34,'Ціни контур теплопостачання'!$AN$68:$AO$77,2,0)</f>
        <v>32</v>
      </c>
      <c r="FU34" s="749">
        <f t="shared" si="22"/>
        <v>3</v>
      </c>
      <c r="FV34" s="747">
        <f>VLOOKUP(FT34,'Ціни контур теплопостачання'!$AO$68:$AQ$77,3,0)</f>
        <v>37.183999999999997</v>
      </c>
      <c r="FW34" s="765">
        <f t="shared" si="75"/>
        <v>111.55199999999999</v>
      </c>
      <c r="FX34" s="750">
        <v>15</v>
      </c>
      <c r="FY34" s="746">
        <v>2</v>
      </c>
      <c r="FZ34" s="747">
        <f>VLOOKUP(FX34,'Ціни контур мережний'!$J$73:$M$73,4,0)</f>
        <v>3.4649999999999999</v>
      </c>
      <c r="GA34" s="748">
        <f t="shared" si="76"/>
        <v>6.93</v>
      </c>
      <c r="GB34" s="750">
        <f>VLOOKUP(GC34,'Ціни контур теплопостачання'!$AN$6:$AO$13,2,0)</f>
        <v>40</v>
      </c>
      <c r="GC34" s="751">
        <f t="array" ref="GC34">MIN(IF('Ціни контур теплопостачання'!$AN$6:$AN$13&gt;N34,'Ціни контур теплопостачання'!$AN$6:$AN$13))</f>
        <v>15</v>
      </c>
      <c r="GD34" s="751">
        <v>1</v>
      </c>
      <c r="GE34" s="747">
        <f>VLOOKUP(GB34,'Ціни контур теплопостачання'!$AO$6:$AQ$13,3,0)</f>
        <v>140.82444000000001</v>
      </c>
      <c r="GF34" s="748">
        <f t="shared" si="77"/>
        <v>140.82444000000001</v>
      </c>
      <c r="GG34" s="750">
        <f t="shared" si="23"/>
        <v>50</v>
      </c>
      <c r="GH34" s="746">
        <v>1</v>
      </c>
      <c r="GI34" s="747">
        <f>VLOOKUP(GG34,'Ціни контур теплопостачання'!$AO$55:$AQ$63,3,0)</f>
        <v>355.5</v>
      </c>
      <c r="GJ34" s="768">
        <f t="shared" si="78"/>
        <v>355.5</v>
      </c>
      <c r="GK34" s="655" t="str">
        <f t="shared" si="91"/>
        <v>0-150</v>
      </c>
      <c r="GL34" s="720">
        <v>1</v>
      </c>
      <c r="GM34" s="747">
        <f>VLOOKUP(GK34,'Ціни контур мережний'!$I$79:$M$80,5,0)</f>
        <v>15.050156291498967</v>
      </c>
      <c r="GN34" s="748">
        <f t="shared" si="79"/>
        <v>15.050156291498967</v>
      </c>
      <c r="GO34" s="758" t="s">
        <v>109</v>
      </c>
      <c r="GP34" s="749">
        <v>5</v>
      </c>
      <c r="GQ34" s="747">
        <f>VLOOKUP(GO34,'Ціни контур мережний'!$I$79:$M$80,5,0)</f>
        <v>15.050156291498967</v>
      </c>
      <c r="GR34" s="765">
        <f t="shared" si="80"/>
        <v>75.250781457494838</v>
      </c>
      <c r="GS34" s="655" t="s">
        <v>108</v>
      </c>
      <c r="GT34" s="720">
        <v>5</v>
      </c>
      <c r="GU34" s="747">
        <f>VLOOKUP(GS34,'Ціни контур мережний'!$I$67:$M$69,5,0)</f>
        <v>4.4537969640631703</v>
      </c>
      <c r="GV34" s="748">
        <f t="shared" si="81"/>
        <v>22.26898482031585</v>
      </c>
      <c r="GW34" s="655" t="s">
        <v>106</v>
      </c>
      <c r="GX34" s="720">
        <f t="shared" si="94"/>
        <v>14</v>
      </c>
      <c r="GY34" s="747">
        <f>VLOOKUP(GW34,'Ціни контур мережний'!$I$67:$M$69,5,0)</f>
        <v>4.4537969640631703</v>
      </c>
      <c r="GZ34" s="748">
        <f t="shared" si="82"/>
        <v>62.353157496884386</v>
      </c>
      <c r="HA34" s="655" t="s">
        <v>1013</v>
      </c>
      <c r="HB34" s="720">
        <v>4</v>
      </c>
      <c r="HC34" s="747">
        <f>VLOOKUP(HA34,'Ціни контур мережний'!$I$64:$M$64,5,0)</f>
        <v>29.1312</v>
      </c>
      <c r="HD34" s="748">
        <f t="shared" si="83"/>
        <v>116.5248</v>
      </c>
      <c r="HE34" s="766" t="s">
        <v>1015</v>
      </c>
      <c r="HF34" s="749">
        <v>6</v>
      </c>
      <c r="HG34" s="747">
        <f>VLOOKUP(HE34,'Ціни контур мережний'!$I$89:$M$89,5,0)</f>
        <v>79.523165325760516</v>
      </c>
      <c r="HH34" s="765">
        <f t="shared" si="84"/>
        <v>477.1389919545631</v>
      </c>
      <c r="HI34" s="767" t="s">
        <v>1016</v>
      </c>
      <c r="HJ34" s="720">
        <f t="shared" si="92"/>
        <v>7</v>
      </c>
      <c r="HK34" s="747">
        <f>VLOOKUP(HI34,'Ціни контур мережний'!$I$88:$M$88,5,0)</f>
        <v>13.211568975967202</v>
      </c>
      <c r="HL34" s="768">
        <f t="shared" si="85"/>
        <v>92.480982831770419</v>
      </c>
      <c r="HM34" s="767" t="s">
        <v>383</v>
      </c>
      <c r="HN34" s="720">
        <v>1</v>
      </c>
      <c r="HO34" s="747">
        <f>VLOOKUP(HM34,'Ціни контур мережний'!$I$87:$M$87,5,0)</f>
        <v>13.483972460007763</v>
      </c>
      <c r="HP34" s="748">
        <f t="shared" si="86"/>
        <v>13.483972460007763</v>
      </c>
      <c r="HQ34" s="769">
        <f t="shared" si="24"/>
        <v>50</v>
      </c>
      <c r="HR34" s="770">
        <f t="shared" si="87"/>
        <v>7156.2654207532105</v>
      </c>
      <c r="HS34" s="771">
        <v>0</v>
      </c>
      <c r="HT34" s="771">
        <f>'Таблиця цін схема №1'!$JE$45/'Ціни контур мережний'!$G$26</f>
        <v>578.85740358619182</v>
      </c>
      <c r="HU34" s="770">
        <f>'Таблиця цін схема №1'!$JG$8</f>
        <v>661.80181284518619</v>
      </c>
      <c r="HV34" s="770">
        <f>'Таблиця цін схема №1'!$JH$8</f>
        <v>487.81784379022207</v>
      </c>
      <c r="HW34" s="770">
        <f>'Таблиця цін схема №1'!$JI$8</f>
        <v>323.47913729816605</v>
      </c>
      <c r="HX34" s="770">
        <f>'Таблиця цін схема №1'!$JJ$8</f>
        <v>66.611999999999995</v>
      </c>
      <c r="HY34" s="772">
        <v>0</v>
      </c>
      <c r="HZ34" s="772">
        <f>'Таблиця цін схема №1'!$JL$8</f>
        <v>62.86234247089866</v>
      </c>
      <c r="IA34" s="772">
        <v>0</v>
      </c>
      <c r="IB34" s="770">
        <v>0</v>
      </c>
      <c r="IC34" s="773">
        <f t="shared" si="25"/>
        <v>653.63871725207127</v>
      </c>
      <c r="ID34" s="774">
        <f t="shared" si="26"/>
        <v>933.76959607438755</v>
      </c>
      <c r="IE34" s="775">
        <f t="shared" si="27"/>
        <v>160.6315683475168</v>
      </c>
      <c r="IF34" s="776">
        <f>'Таблиця цін схема №1'!$JR$8</f>
        <v>300.63036461094771</v>
      </c>
      <c r="IG34" s="777">
        <f t="shared" si="88"/>
        <v>11386.366207028799</v>
      </c>
      <c r="II34" s="616">
        <f>[3]Расчеты!AX33/1.2</f>
        <v>4694.163997044222</v>
      </c>
      <c r="IJ34" s="616">
        <f t="shared" si="89"/>
        <v>16080.53020407302</v>
      </c>
      <c r="IK34" s="616" t="e">
        <f>IJ34*1.2*#REF!</f>
        <v>#REF!</v>
      </c>
      <c r="IL34" s="616"/>
    </row>
    <row r="35" spans="1:246" ht="12.6" customHeight="1">
      <c r="A35" s="610" t="s">
        <v>686</v>
      </c>
      <c r="B35" s="740">
        <v>51</v>
      </c>
      <c r="C35" s="1056" t="s">
        <v>912</v>
      </c>
      <c r="D35" s="892">
        <v>0.2412</v>
      </c>
      <c r="E35" s="918">
        <v>0.22320000000000001</v>
      </c>
      <c r="F35" s="742">
        <f t="shared" si="28"/>
        <v>10.014203144418362</v>
      </c>
      <c r="G35" s="743">
        <v>65</v>
      </c>
      <c r="H35" s="598">
        <f t="shared" si="29"/>
        <v>4.3086816720257231</v>
      </c>
      <c r="I35" s="599">
        <v>40</v>
      </c>
      <c r="J35" s="598">
        <f t="shared" si="30"/>
        <v>10.029106029106028</v>
      </c>
      <c r="K35" s="599">
        <v>65</v>
      </c>
      <c r="L35" s="598">
        <f t="shared" si="31"/>
        <v>5.7055214723926388</v>
      </c>
      <c r="M35" s="599">
        <v>50</v>
      </c>
      <c r="N35" s="598">
        <f t="shared" si="32"/>
        <v>4.5273833671399597</v>
      </c>
      <c r="O35" s="599">
        <v>40</v>
      </c>
      <c r="P35" s="598">
        <f t="shared" si="93"/>
        <v>1.3582150101419879</v>
      </c>
      <c r="Q35" s="599">
        <v>25</v>
      </c>
      <c r="R35" s="598">
        <f t="shared" si="33"/>
        <v>6.093396056527161</v>
      </c>
      <c r="S35" s="600">
        <f t="shared" si="34"/>
        <v>8.0688258466685792</v>
      </c>
      <c r="T35" s="744">
        <v>2</v>
      </c>
      <c r="U35" s="601">
        <f t="shared" si="35"/>
        <v>5.0145530145530142</v>
      </c>
      <c r="V35" s="601">
        <f t="shared" si="36"/>
        <v>7.0916488824197605</v>
      </c>
      <c r="W35" s="602">
        <v>50</v>
      </c>
      <c r="X35" s="745">
        <f t="shared" si="0"/>
        <v>65</v>
      </c>
      <c r="Y35" s="746">
        <v>2</v>
      </c>
      <c r="Z35" s="747">
        <f>VLOOKUP(X35,'Ціни контур мережний'!$Z$24:$AB$36,3,0)</f>
        <v>30.19184015363556</v>
      </c>
      <c r="AA35" s="748">
        <f t="shared" si="37"/>
        <v>60.383680307271121</v>
      </c>
      <c r="AB35" s="745">
        <f t="shared" si="1"/>
        <v>65</v>
      </c>
      <c r="AC35" s="749">
        <v>2</v>
      </c>
      <c r="AD35" s="747">
        <f>VLOOKUP(AB35,'Ціни контур мережний'!$Z$64:$AB$77,3,0)</f>
        <v>105.883234246566</v>
      </c>
      <c r="AE35" s="748">
        <f t="shared" si="38"/>
        <v>211.76646849313201</v>
      </c>
      <c r="AF35" s="745">
        <f t="shared" si="2"/>
        <v>65</v>
      </c>
      <c r="AG35" s="746">
        <v>1</v>
      </c>
      <c r="AH35" s="747">
        <f>VLOOKUP(AF35,'Ціни контур мережний'!$Z$5:$AB$17,3,0)</f>
        <v>39.731999999999999</v>
      </c>
      <c r="AI35" s="748">
        <f t="shared" si="39"/>
        <v>39.731999999999999</v>
      </c>
      <c r="AJ35" s="750">
        <f t="shared" si="3"/>
        <v>40</v>
      </c>
      <c r="AK35" s="746">
        <v>3</v>
      </c>
      <c r="AL35" s="747">
        <f>VLOOKUP(AJ35,'Ціни контур мережний'!$Z$43:$AB$55,3,0)</f>
        <v>18.42400964308333</v>
      </c>
      <c r="AM35" s="748">
        <f t="shared" si="40"/>
        <v>55.272028929249991</v>
      </c>
      <c r="AN35" s="745">
        <f t="shared" si="4"/>
        <v>50</v>
      </c>
      <c r="AO35" s="749">
        <v>4</v>
      </c>
      <c r="AP35" s="747">
        <f>VLOOKUP(AN35,'Ціни контур мережний'!$Z$43:$AB$55,3,0)</f>
        <v>23.2782130224622</v>
      </c>
      <c r="AQ35" s="759">
        <f t="shared" si="41"/>
        <v>93.112852089848801</v>
      </c>
      <c r="AR35" s="751" t="str">
        <f t="shared" si="42"/>
        <v>AMV20</v>
      </c>
      <c r="AS35" s="751">
        <v>1</v>
      </c>
      <c r="AT35" s="747">
        <f>VLOOKUP(AR35,'Ціни контур мережний'!$I$53:$M$57,5,0)</f>
        <v>110.39869654932889</v>
      </c>
      <c r="AU35" s="748">
        <f t="shared" si="43"/>
        <v>110.39869654932889</v>
      </c>
      <c r="AV35" s="752">
        <f t="array" ref="AV35">MIN(IF('Ціни контур мережний'!$Y$83:$Y$92&gt;(R35*1.2),'Ціни контур мережний'!$Y$83:$Y$92))</f>
        <v>10</v>
      </c>
      <c r="AW35" s="746">
        <f>VLOOKUP(AV35,'Ціни контур мережний'!$Y$83:$Z$92,2,0)</f>
        <v>25</v>
      </c>
      <c r="AX35" s="746">
        <v>1</v>
      </c>
      <c r="AY35" s="747">
        <f>VLOOKUP(AV35,'Ціни контур мережний'!$Y$83:$AB$92,4,0)</f>
        <v>117.50505648967251</v>
      </c>
      <c r="AZ35" s="748">
        <f t="shared" si="44"/>
        <v>117.50505648967251</v>
      </c>
      <c r="BA35" s="1099">
        <f t="array" ref="BA35">MIN(IF('[1]Ціни контур мережний'!$Y$104:$Y$114&gt;(R35*1.2),'[1]Ціни контур мережний'!$Y$104:$Y$114))</f>
        <v>8</v>
      </c>
      <c r="BB35" s="1101">
        <f>VLOOKUP(BA35,'[1]Ціни контур мережний'!$Y$104:$Z$114,2,0)</f>
        <v>25</v>
      </c>
      <c r="BC35" s="753">
        <v>1</v>
      </c>
      <c r="BD35" s="754">
        <f>VLOOKUP(BA35,'Ціни контур мережний'!$Y$104:$AB$114,4,0)</f>
        <v>278.09338672441618</v>
      </c>
      <c r="BE35" s="755">
        <f t="shared" si="45"/>
        <v>278.09338672441618</v>
      </c>
      <c r="BF35" s="751" t="s">
        <v>67</v>
      </c>
      <c r="BG35" s="749">
        <v>1</v>
      </c>
      <c r="BH35" s="747">
        <f>VLOOKUP(BF35,'Ціни контур мережний'!$I$53:$M$57,5,0)</f>
        <v>157.67238032974441</v>
      </c>
      <c r="BI35" s="768">
        <f t="shared" si="46"/>
        <v>157.67238032974441</v>
      </c>
      <c r="BJ35" s="894">
        <f t="array" ref="BJ35">MIN(IF('Ціни контур мережний'!$Y$83:$Y$93&gt;(S35*1.2),'Ціни контур мережний'!$Y$83:$Y$93))</f>
        <v>10</v>
      </c>
      <c r="BK35" s="895">
        <f>VLOOKUP(BJ35,'Ціни контур мережний'!$Y$83:$Z$93,2,0)</f>
        <v>25</v>
      </c>
      <c r="BL35" s="895">
        <v>1</v>
      </c>
      <c r="BM35" s="896">
        <f>VLOOKUP(BJ35,'Ціни контур мережний'!$Y$83:$AB$93,4,0)</f>
        <v>117.50505648967251</v>
      </c>
      <c r="BN35" s="916">
        <f t="shared" si="47"/>
        <v>117.50505648967251</v>
      </c>
      <c r="BO35" s="896">
        <f t="array" ref="BO35">MIN(IF('Ціни контур мережний'!$Y$104:$Y$114&gt;(S35*1.2),'Ціни контур мережний'!$Y$104:$Y$114))</f>
        <v>12.5</v>
      </c>
      <c r="BP35" s="895">
        <f>VLOOKUP(BO35,'Ціни контур мережний'!$Y$104:$Z$114,2,0)</f>
        <v>32</v>
      </c>
      <c r="BQ35" s="895">
        <v>1</v>
      </c>
      <c r="BR35" s="896">
        <f>VLOOKUP(BO35,'Ціни контур мережний'!$Y$104:$AB$114,4,0)</f>
        <v>435.76049604674444</v>
      </c>
      <c r="BS35" s="897">
        <f t="shared" si="48"/>
        <v>435.76049604674444</v>
      </c>
      <c r="BT35" s="751">
        <f>VLOOKUP(BU35,'Ціни контур мережний'!$J$5:$L$12,3,0)</f>
        <v>25</v>
      </c>
      <c r="BU35" s="751">
        <f t="array" ref="BU35">MIN(IF('Ціни контур мережний'!$J$5:$J$12&gt;H35,'Ціни контур мережний'!$J$5:$J$12))</f>
        <v>6</v>
      </c>
      <c r="BV35" s="746" t="s">
        <v>130</v>
      </c>
      <c r="BW35" s="756">
        <v>1</v>
      </c>
      <c r="BX35" s="747">
        <f>VLOOKUP(BU35,'Ціни контур мережний'!$J$5:$N$12,5,0)</f>
        <v>341.25599999999997</v>
      </c>
      <c r="BY35" s="748">
        <f t="shared" si="49"/>
        <v>341.25599999999997</v>
      </c>
      <c r="BZ35" s="745">
        <f>VLOOKUP(CA35,'Ціни контур мережний'!$J$5:$L$12,3,0)</f>
        <v>25</v>
      </c>
      <c r="CA35" s="747">
        <f t="array" ref="CA35">MIN(IF('Ціни контур мережний'!$J$5:$J$12&gt;L35,'Ціни контур мережний'!$J$5:$J$12))</f>
        <v>6</v>
      </c>
      <c r="CB35" s="746" t="s">
        <v>130</v>
      </c>
      <c r="CC35" s="749">
        <v>1</v>
      </c>
      <c r="CD35" s="747">
        <f>VLOOKUP(CA35,'Ціни контур мережний'!$J$5:$N$12,5,0)</f>
        <v>341.25599999999997</v>
      </c>
      <c r="CE35" s="748">
        <f t="shared" si="50"/>
        <v>341.25599999999997</v>
      </c>
      <c r="CF35" s="898" t="s">
        <v>1328</v>
      </c>
      <c r="CG35" s="899">
        <v>1</v>
      </c>
      <c r="CH35" s="900">
        <v>582</v>
      </c>
      <c r="CI35" s="901">
        <f t="shared" si="51"/>
        <v>582</v>
      </c>
      <c r="CJ35" s="751">
        <f t="shared" si="5"/>
        <v>65</v>
      </c>
      <c r="CK35" s="746">
        <v>4</v>
      </c>
      <c r="CL35" s="747">
        <f>VLOOKUP(CJ35,'Ціни контур теплопостачання'!$Y$5:$AA$17,3,0)</f>
        <v>30.19184015363556</v>
      </c>
      <c r="CM35" s="748">
        <f t="shared" si="52"/>
        <v>120.76736061454224</v>
      </c>
      <c r="CN35" s="750">
        <f t="shared" si="6"/>
        <v>40</v>
      </c>
      <c r="CO35" s="746">
        <v>6</v>
      </c>
      <c r="CP35" s="747">
        <f>VLOOKUP(CN35,'Ціни контур теплопостачання'!$AO$20:$AQ$29,3,0)</f>
        <v>37.980000000000004</v>
      </c>
      <c r="CQ35" s="748">
        <f t="shared" si="53"/>
        <v>227.88000000000002</v>
      </c>
      <c r="CR35" s="750">
        <f t="shared" si="7"/>
        <v>25</v>
      </c>
      <c r="CS35" s="746">
        <v>3</v>
      </c>
      <c r="CT35" s="747">
        <f>VLOOKUP(CR35,'Ціни контур теплопостачання'!$AO$20:$AQ$29,3,0)</f>
        <v>6.3070000000000004</v>
      </c>
      <c r="CU35" s="748">
        <f t="shared" si="54"/>
        <v>18.920999999999999</v>
      </c>
      <c r="CV35" s="757">
        <f t="shared" si="8"/>
        <v>50</v>
      </c>
      <c r="CW35" s="746">
        <f t="shared" si="9"/>
        <v>4</v>
      </c>
      <c r="CX35" s="747">
        <f>VLOOKUP(CV35,'Ціни контур теплопостачання'!$Y$5:$AA$17,3,0)</f>
        <v>23.2782130224622</v>
      </c>
      <c r="CY35" s="748">
        <f t="shared" si="55"/>
        <v>93.112852089848801</v>
      </c>
      <c r="CZ35" s="745">
        <v>20</v>
      </c>
      <c r="DA35" s="749">
        <v>2</v>
      </c>
      <c r="DB35" s="747">
        <f>VLOOKUP(CZ35,'Ціни контур теплопостачання'!$Y$5:$AA$17,3,0)</f>
        <v>3.577</v>
      </c>
      <c r="DC35" s="748">
        <f t="shared" si="56"/>
        <v>7.1539999999999999</v>
      </c>
      <c r="DD35" s="745">
        <v>15</v>
      </c>
      <c r="DE35" s="745">
        <v>8</v>
      </c>
      <c r="DF35" s="758">
        <f>VLOOKUP(DD35,'Ціни контур теплопостачання'!$Y$5:$AA$17,3,0)</f>
        <v>2.464</v>
      </c>
      <c r="DG35" s="759">
        <f t="shared" si="57"/>
        <v>19.712</v>
      </c>
      <c r="DH35" s="745">
        <v>15</v>
      </c>
      <c r="DI35" s="745">
        <f t="shared" si="58"/>
        <v>37</v>
      </c>
      <c r="DJ35" s="758">
        <f>VLOOKUP(DH35,'Ціни контур мережний'!$J$71:$M$71,4,0)</f>
        <v>3.3865201135922525</v>
      </c>
      <c r="DK35" s="759">
        <f t="shared" si="59"/>
        <v>125.30124420291334</v>
      </c>
      <c r="DL35" s="751">
        <f t="shared" si="10"/>
        <v>65</v>
      </c>
      <c r="DM35" s="746">
        <v>1</v>
      </c>
      <c r="DN35" s="747">
        <f>VLOOKUP(DL35,'Ціни контур теплопостачання'!$K$5:$M$17,3,0)</f>
        <v>39.731999999999999</v>
      </c>
      <c r="DO35" s="748">
        <f t="shared" si="60"/>
        <v>39.731999999999999</v>
      </c>
      <c r="DP35" s="745">
        <f t="shared" si="11"/>
        <v>40</v>
      </c>
      <c r="DQ35" s="749">
        <v>1</v>
      </c>
      <c r="DR35" s="747">
        <f>VLOOKUP(DP35,'Ціни контур теплопостачання'!$K$5:$M$17,3,0)</f>
        <v>23.225999999999999</v>
      </c>
      <c r="DS35" s="748">
        <f t="shared" si="61"/>
        <v>23.225999999999999</v>
      </c>
      <c r="DT35" s="745">
        <f t="shared" si="12"/>
        <v>25</v>
      </c>
      <c r="DU35" s="745">
        <v>1</v>
      </c>
      <c r="DV35" s="758">
        <f>VLOOKUP(DT35,'Ціни контур теплопостачання'!$K$5:$M$17,3,0)</f>
        <v>4.78</v>
      </c>
      <c r="DW35" s="759">
        <f t="shared" si="62"/>
        <v>4.78</v>
      </c>
      <c r="DX35" s="745">
        <f t="shared" si="63"/>
        <v>65</v>
      </c>
      <c r="DY35" s="745">
        <v>1</v>
      </c>
      <c r="DZ35" s="758">
        <f>VLOOKUP(DX35,'Ціни контур теплопостачання'!$Y$24:$AA$36,3,0)</f>
        <v>42.080999999999996</v>
      </c>
      <c r="EA35" s="759">
        <f t="shared" si="64"/>
        <v>42.080999999999996</v>
      </c>
      <c r="EB35" s="751">
        <f t="shared" si="13"/>
        <v>65</v>
      </c>
      <c r="EC35" s="746">
        <v>2</v>
      </c>
      <c r="ED35" s="747">
        <f>VLOOKUP(EB35,'Ціни контур теплопостачання'!$Y$24:$AA$36,3,0)</f>
        <v>42.080999999999996</v>
      </c>
      <c r="EE35" s="748">
        <f t="shared" si="65"/>
        <v>84.161999999999992</v>
      </c>
      <c r="EF35" s="745">
        <f t="shared" si="14"/>
        <v>40</v>
      </c>
      <c r="EG35" s="749">
        <v>1</v>
      </c>
      <c r="EH35" s="747">
        <f>VLOOKUP(EF35,'Ціни контур теплопостачання'!$AO$38:$AQ$50,3,0)</f>
        <v>20.3645</v>
      </c>
      <c r="EI35" s="748">
        <f t="shared" si="66"/>
        <v>20.3645</v>
      </c>
      <c r="EJ35" s="745">
        <f t="shared" si="15"/>
        <v>25</v>
      </c>
      <c r="EK35" s="745">
        <v>1</v>
      </c>
      <c r="EL35" s="758">
        <f>VLOOKUP(EJ35,'Ціни контур теплопостачання'!$AO$38:$AQ$50,3,0)</f>
        <v>6.9659999999999993</v>
      </c>
      <c r="EM35" s="759">
        <f t="shared" si="67"/>
        <v>6.9659999999999993</v>
      </c>
      <c r="EN35" s="745">
        <f t="shared" si="16"/>
        <v>50</v>
      </c>
      <c r="EO35" s="745">
        <f t="shared" si="17"/>
        <v>4</v>
      </c>
      <c r="EP35" s="758">
        <f>VLOOKUP(EN35,'Ціни контур теплопостачання'!$Y$76:$AA$88,3,0)</f>
        <v>20.6</v>
      </c>
      <c r="EQ35" s="759">
        <f t="shared" si="68"/>
        <v>82.4</v>
      </c>
      <c r="ER35" s="745">
        <f t="shared" si="18"/>
        <v>40</v>
      </c>
      <c r="ES35" s="745">
        <v>1</v>
      </c>
      <c r="ET35" s="758">
        <f>VLOOKUP(ER35,'Ціни контур теплопостачання'!$Y$76:$AA$88,3,0)</f>
        <v>16.809999999999999</v>
      </c>
      <c r="EU35" s="759">
        <f t="shared" si="69"/>
        <v>16.809999999999999</v>
      </c>
      <c r="EV35" s="745">
        <f t="shared" si="19"/>
        <v>25</v>
      </c>
      <c r="EW35" s="745">
        <v>1</v>
      </c>
      <c r="EX35" s="758">
        <f>VLOOKUP(EV35,'Ціни контур теплопостачання'!$Y$76:$AA$88,3,0)</f>
        <v>11.45</v>
      </c>
      <c r="EY35" s="759">
        <f t="shared" si="70"/>
        <v>11.45</v>
      </c>
      <c r="EZ35" s="758">
        <f t="shared" si="20"/>
        <v>24.945861380196916</v>
      </c>
      <c r="FA35" s="760">
        <v>25</v>
      </c>
      <c r="FB35" s="719">
        <v>2</v>
      </c>
      <c r="FC35" s="747">
        <f>VLOOKUP(FA35,'Ціни контур теплопостачання'!$K$74:$M$79,3,0)</f>
        <v>22.22</v>
      </c>
      <c r="FD35" s="761">
        <f t="shared" si="21"/>
        <v>44.44</v>
      </c>
      <c r="FE35" s="762">
        <f t="shared" si="71"/>
        <v>10.029106029106028</v>
      </c>
      <c r="FF35" s="902">
        <v>9</v>
      </c>
      <c r="FG35" s="900">
        <v>8</v>
      </c>
      <c r="FH35" s="830" t="s">
        <v>123</v>
      </c>
      <c r="FI35" s="708">
        <v>2</v>
      </c>
      <c r="FJ35" s="709">
        <f>VLOOKUP(FH35,'Ціни контур теплопостачання'!$C$89:$M$105,11,0)</f>
        <v>387.45599999999996</v>
      </c>
      <c r="FK35" s="764">
        <f t="shared" si="72"/>
        <v>774.91199999999992</v>
      </c>
      <c r="FL35" s="912">
        <f t="shared" si="73"/>
        <v>1.3582150101419879</v>
      </c>
      <c r="FM35" s="902">
        <v>9</v>
      </c>
      <c r="FN35" s="900">
        <v>9</v>
      </c>
      <c r="FO35" s="900" t="s">
        <v>1097</v>
      </c>
      <c r="FP35" s="749">
        <v>1</v>
      </c>
      <c r="FQ35" s="747">
        <f>VLOOKUP(FO35,'Ціни контур теплопостачання'!$C$89:$M$105,11,0)</f>
        <v>241.2</v>
      </c>
      <c r="FR35" s="904">
        <f t="shared" si="74"/>
        <v>241.2</v>
      </c>
      <c r="FS35" s="758">
        <f t="array" ref="FS35">MIN(IF('Ціни контур теплопостачання'!$AN$68:$AN$77&gt;(V35*1.2),'Ціни контур теплопостачання'!$AN$68:$AN$77))</f>
        <v>11.13</v>
      </c>
      <c r="FT35" s="749">
        <f>VLOOKUP(FS35,'Ціни контур теплопостачання'!$AN$68:$AO$77,2,0)</f>
        <v>32</v>
      </c>
      <c r="FU35" s="749">
        <f t="shared" si="22"/>
        <v>2</v>
      </c>
      <c r="FV35" s="747">
        <f>VLOOKUP(FT35,'Ціни контур теплопостачання'!$AO$68:$AQ$77,3,0)</f>
        <v>37.183999999999997</v>
      </c>
      <c r="FW35" s="765">
        <f t="shared" si="75"/>
        <v>74.367999999999995</v>
      </c>
      <c r="FX35" s="750">
        <v>15</v>
      </c>
      <c r="FY35" s="746">
        <v>2</v>
      </c>
      <c r="FZ35" s="747">
        <f>VLOOKUP(FX35,'Ціни контур мережний'!$J$73:$M$73,4,0)</f>
        <v>3.4649999999999999</v>
      </c>
      <c r="GA35" s="748">
        <f t="shared" si="76"/>
        <v>6.93</v>
      </c>
      <c r="GB35" s="750">
        <f>VLOOKUP(GC35,'Ціни контур теплопостачання'!$AN$6:$AO$13,2,0)</f>
        <v>32</v>
      </c>
      <c r="GC35" s="751">
        <f t="array" ref="GC35">MIN(IF('Ціни контур теплопостачання'!$AN$6:$AN$13&gt;N35,'Ціни контур теплопостачання'!$AN$6:$AN$13))</f>
        <v>6</v>
      </c>
      <c r="GD35" s="751">
        <v>1</v>
      </c>
      <c r="GE35" s="747">
        <f>VLOOKUP(GB35,'Ціни контур теплопостачання'!$AO$6:$AQ$13,3,0)</f>
        <v>85.682340000000011</v>
      </c>
      <c r="GF35" s="748">
        <f t="shared" si="77"/>
        <v>85.682340000000011</v>
      </c>
      <c r="GG35" s="750">
        <f t="shared" si="23"/>
        <v>40</v>
      </c>
      <c r="GH35" s="746">
        <v>1</v>
      </c>
      <c r="GI35" s="747">
        <f>VLOOKUP(GG35,'Ціни контур теплопостачання'!$AO$55:$AQ$63,3,0)</f>
        <v>193.55</v>
      </c>
      <c r="GJ35" s="768">
        <f t="shared" si="78"/>
        <v>193.55</v>
      </c>
      <c r="GK35" s="655" t="str">
        <f t="shared" si="91"/>
        <v>0-150</v>
      </c>
      <c r="GL35" s="720">
        <v>1</v>
      </c>
      <c r="GM35" s="747">
        <f>VLOOKUP(GK35,'Ціни контур мережний'!$I$79:$M$80,5,0)</f>
        <v>15.050156291498967</v>
      </c>
      <c r="GN35" s="748">
        <f t="shared" si="79"/>
        <v>15.050156291498967</v>
      </c>
      <c r="GO35" s="758" t="s">
        <v>109</v>
      </c>
      <c r="GP35" s="749">
        <v>5</v>
      </c>
      <c r="GQ35" s="747">
        <f>VLOOKUP(GO35,'Ціни контур мережний'!$I$79:$M$80,5,0)</f>
        <v>15.050156291498967</v>
      </c>
      <c r="GR35" s="765">
        <f t="shared" si="80"/>
        <v>75.250781457494838</v>
      </c>
      <c r="GS35" s="655" t="s">
        <v>108</v>
      </c>
      <c r="GT35" s="720">
        <v>5</v>
      </c>
      <c r="GU35" s="747">
        <f>VLOOKUP(GS35,'Ціни контур мережний'!$I$67:$M$69,5,0)</f>
        <v>4.4537969640631703</v>
      </c>
      <c r="GV35" s="748">
        <f t="shared" si="81"/>
        <v>22.26898482031585</v>
      </c>
      <c r="GW35" s="655" t="s">
        <v>106</v>
      </c>
      <c r="GX35" s="720">
        <f t="shared" si="94"/>
        <v>13</v>
      </c>
      <c r="GY35" s="747">
        <f>VLOOKUP(GW35,'Ціни контур мережний'!$I$67:$M$69,5,0)</f>
        <v>4.4537969640631703</v>
      </c>
      <c r="GZ35" s="748">
        <f t="shared" si="82"/>
        <v>57.899360532821213</v>
      </c>
      <c r="HA35" s="655" t="s">
        <v>1013</v>
      </c>
      <c r="HB35" s="720">
        <v>4</v>
      </c>
      <c r="HC35" s="747">
        <f>VLOOKUP(HA35,'Ціни контур мережний'!$I$64:$M$64,5,0)</f>
        <v>29.1312</v>
      </c>
      <c r="HD35" s="748">
        <f t="shared" si="83"/>
        <v>116.5248</v>
      </c>
      <c r="HE35" s="766" t="s">
        <v>1015</v>
      </c>
      <c r="HF35" s="749">
        <v>6</v>
      </c>
      <c r="HG35" s="747">
        <f>VLOOKUP(HE35,'Ціни контур мережний'!$I$89:$M$89,5,0)</f>
        <v>79.523165325760516</v>
      </c>
      <c r="HH35" s="765">
        <f t="shared" si="84"/>
        <v>477.1389919545631</v>
      </c>
      <c r="HI35" s="778" t="s">
        <v>1016</v>
      </c>
      <c r="HJ35" s="720">
        <f t="shared" si="92"/>
        <v>7</v>
      </c>
      <c r="HK35" s="747">
        <f>VLOOKUP(HI35,'Ціни контур мережний'!$I$88:$M$88,5,0)</f>
        <v>13.211568975967202</v>
      </c>
      <c r="HL35" s="768">
        <f t="shared" si="85"/>
        <v>92.480982831770419</v>
      </c>
      <c r="HM35" s="779" t="s">
        <v>383</v>
      </c>
      <c r="HN35" s="720">
        <v>1</v>
      </c>
      <c r="HO35" s="747">
        <f>VLOOKUP(HM35,'Ціни контур мережний'!$I$87:$M$87,5,0)</f>
        <v>13.483972460007763</v>
      </c>
      <c r="HP35" s="748">
        <f t="shared" si="86"/>
        <v>13.483972460007763</v>
      </c>
      <c r="HQ35" s="769">
        <f t="shared" si="24"/>
        <v>51</v>
      </c>
      <c r="HR35" s="770">
        <f t="shared" si="87"/>
        <v>6177.714429704858</v>
      </c>
      <c r="HS35" s="771">
        <v>0</v>
      </c>
      <c r="HT35" s="771">
        <f>'Таблиця цін схема №1'!$JE$44/'Ціни контур мережний'!$G$26</f>
        <v>476.70609707098151</v>
      </c>
      <c r="HU35" s="770">
        <f>'Таблиця цін схема №1'!$JG$8</f>
        <v>661.80181284518619</v>
      </c>
      <c r="HV35" s="770">
        <f>'Таблиця цін схема №1'!$JH$8</f>
        <v>487.81784379022207</v>
      </c>
      <c r="HW35" s="770">
        <f>'Таблиця цін схема №1'!$JI$8</f>
        <v>323.47913729816605</v>
      </c>
      <c r="HX35" s="770">
        <f>'Таблиця цін схема №1'!$JJ$8</f>
        <v>66.611999999999995</v>
      </c>
      <c r="HY35" s="772">
        <v>0</v>
      </c>
      <c r="HZ35" s="772">
        <f>'Таблиця цін схема №1'!$JL$8</f>
        <v>62.86234247089866</v>
      </c>
      <c r="IA35" s="772">
        <v>0</v>
      </c>
      <c r="IB35" s="770">
        <v>0</v>
      </c>
      <c r="IC35" s="773">
        <f t="shared" si="25"/>
        <v>577.98955642262194</v>
      </c>
      <c r="ID35" s="774">
        <f t="shared" si="26"/>
        <v>825.69936631803125</v>
      </c>
      <c r="IE35" s="775">
        <f t="shared" si="27"/>
        <v>142.04080401933606</v>
      </c>
      <c r="IF35" s="776">
        <f>'Таблиця цін схема №1'!$JR$8</f>
        <v>300.63036461094771</v>
      </c>
      <c r="IG35" s="777">
        <f t="shared" si="88"/>
        <v>10103.35375455125</v>
      </c>
      <c r="II35" s="616">
        <f>[3]Расчеты!AX34/1.2</f>
        <v>5572.4481973529637</v>
      </c>
      <c r="IJ35" s="616">
        <f t="shared" si="89"/>
        <v>15675.801951904214</v>
      </c>
      <c r="IK35" s="616" t="e">
        <f>IJ35*1.2*#REF!</f>
        <v>#REF!</v>
      </c>
      <c r="IL35" s="616"/>
    </row>
    <row r="36" spans="1:246" ht="12.6" customHeight="1">
      <c r="A36" s="610" t="s">
        <v>686</v>
      </c>
      <c r="B36" s="905">
        <v>52</v>
      </c>
      <c r="C36" s="1056" t="s">
        <v>913</v>
      </c>
      <c r="D36" s="906">
        <v>0.2412</v>
      </c>
      <c r="E36" s="907">
        <v>0.22320000000000001</v>
      </c>
      <c r="F36" s="908">
        <f t="shared" si="28"/>
        <v>10.014203144418362</v>
      </c>
      <c r="G36" s="909">
        <v>65</v>
      </c>
      <c r="H36" s="598">
        <f t="shared" si="29"/>
        <v>4.3086816720257231</v>
      </c>
      <c r="I36" s="599">
        <v>40</v>
      </c>
      <c r="J36" s="598">
        <f t="shared" si="30"/>
        <v>10.029106029106028</v>
      </c>
      <c r="K36" s="599">
        <v>65</v>
      </c>
      <c r="L36" s="598">
        <f t="shared" si="31"/>
        <v>5.7055214723926388</v>
      </c>
      <c r="M36" s="599">
        <v>50</v>
      </c>
      <c r="N36" s="598">
        <f t="shared" si="32"/>
        <v>4.5273833671399597</v>
      </c>
      <c r="O36" s="599">
        <v>40</v>
      </c>
      <c r="P36" s="598">
        <f t="shared" si="93"/>
        <v>1.3582150101419879</v>
      </c>
      <c r="Q36" s="599">
        <v>25</v>
      </c>
      <c r="R36" s="598">
        <f t="shared" si="33"/>
        <v>6.093396056527161</v>
      </c>
      <c r="S36" s="600">
        <f t="shared" si="34"/>
        <v>8.0688258466685792</v>
      </c>
      <c r="T36" s="910">
        <v>2</v>
      </c>
      <c r="U36" s="601">
        <f t="shared" si="35"/>
        <v>5.0145530145530142</v>
      </c>
      <c r="V36" s="601">
        <f t="shared" si="36"/>
        <v>7.0916488824197605</v>
      </c>
      <c r="W36" s="602">
        <v>50</v>
      </c>
      <c r="X36" s="745">
        <f t="shared" si="0"/>
        <v>65</v>
      </c>
      <c r="Y36" s="746">
        <v>2</v>
      </c>
      <c r="Z36" s="747">
        <f>VLOOKUP(X36,'Ціни контур мережний'!$Z$24:$AB$36,3,0)</f>
        <v>30.19184015363556</v>
      </c>
      <c r="AA36" s="748">
        <f t="shared" si="37"/>
        <v>60.383680307271121</v>
      </c>
      <c r="AB36" s="745">
        <f t="shared" si="1"/>
        <v>65</v>
      </c>
      <c r="AC36" s="749">
        <v>2</v>
      </c>
      <c r="AD36" s="747">
        <f>VLOOKUP(AB36,'Ціни контур мережний'!$Z$64:$AB$77,3,0)</f>
        <v>105.883234246566</v>
      </c>
      <c r="AE36" s="748">
        <f t="shared" si="38"/>
        <v>211.76646849313201</v>
      </c>
      <c r="AF36" s="745">
        <f t="shared" si="2"/>
        <v>65</v>
      </c>
      <c r="AG36" s="746">
        <v>1</v>
      </c>
      <c r="AH36" s="747">
        <f>VLOOKUP(AF36,'Ціни контур мережний'!$Z$5:$AB$17,3,0)</f>
        <v>39.731999999999999</v>
      </c>
      <c r="AI36" s="748">
        <f t="shared" si="39"/>
        <v>39.731999999999999</v>
      </c>
      <c r="AJ36" s="750">
        <f t="shared" si="3"/>
        <v>40</v>
      </c>
      <c r="AK36" s="746">
        <v>3</v>
      </c>
      <c r="AL36" s="747">
        <f>VLOOKUP(AJ36,'Ціни контур мережний'!$Z$43:$AB$55,3,0)</f>
        <v>18.42400964308333</v>
      </c>
      <c r="AM36" s="748">
        <f t="shared" si="40"/>
        <v>55.272028929249991</v>
      </c>
      <c r="AN36" s="745">
        <f t="shared" si="4"/>
        <v>50</v>
      </c>
      <c r="AO36" s="749">
        <v>4</v>
      </c>
      <c r="AP36" s="747">
        <f>VLOOKUP(AN36,'Ціни контур мережний'!$Z$43:$AB$55,3,0)</f>
        <v>23.2782130224622</v>
      </c>
      <c r="AQ36" s="759">
        <f t="shared" si="41"/>
        <v>93.112852089848801</v>
      </c>
      <c r="AR36" s="751" t="str">
        <f t="shared" si="42"/>
        <v>AMV20</v>
      </c>
      <c r="AS36" s="751">
        <v>1</v>
      </c>
      <c r="AT36" s="747">
        <f>VLOOKUP(AR36,'Ціни контур мережний'!$I$53:$M$57,5,0)</f>
        <v>110.39869654932889</v>
      </c>
      <c r="AU36" s="748">
        <f t="shared" si="43"/>
        <v>110.39869654932889</v>
      </c>
      <c r="AV36" s="752">
        <f t="array" ref="AV36">MIN(IF('Ціни контур мережний'!$Y$83:$Y$92&gt;(R36*1.2),'Ціни контур мережний'!$Y$83:$Y$92))</f>
        <v>10</v>
      </c>
      <c r="AW36" s="746">
        <f>VLOOKUP(AV36,'Ціни контур мережний'!$Y$83:$Z$92,2,0)</f>
        <v>25</v>
      </c>
      <c r="AX36" s="746">
        <v>1</v>
      </c>
      <c r="AY36" s="747">
        <f>VLOOKUP(AV36,'Ціни контур мережний'!$Y$83:$AB$92,4,0)</f>
        <v>117.50505648967251</v>
      </c>
      <c r="AZ36" s="748">
        <f t="shared" si="44"/>
        <v>117.50505648967251</v>
      </c>
      <c r="BA36" s="1099">
        <f t="array" ref="BA36">MIN(IF('[1]Ціни контур мережний'!$Y$104:$Y$114&gt;(R36*1.2),'[1]Ціни контур мережний'!$Y$104:$Y$114))</f>
        <v>8</v>
      </c>
      <c r="BB36" s="1101">
        <f>VLOOKUP(BA36,'[1]Ціни контур мережний'!$Y$104:$Z$114,2,0)</f>
        <v>25</v>
      </c>
      <c r="BC36" s="753">
        <v>1</v>
      </c>
      <c r="BD36" s="754">
        <f>VLOOKUP(BA36,'Ціни контур мережний'!$Y$104:$AB$114,4,0)</f>
        <v>278.09338672441618</v>
      </c>
      <c r="BE36" s="755">
        <f t="shared" si="45"/>
        <v>278.09338672441618</v>
      </c>
      <c r="BF36" s="751" t="s">
        <v>67</v>
      </c>
      <c r="BG36" s="749">
        <v>1</v>
      </c>
      <c r="BH36" s="747">
        <f>VLOOKUP(BF36,'Ціни контур мережний'!$I$53:$M$57,5,0)</f>
        <v>157.67238032974441</v>
      </c>
      <c r="BI36" s="768">
        <f t="shared" si="46"/>
        <v>157.67238032974441</v>
      </c>
      <c r="BJ36" s="894">
        <f t="array" ref="BJ36">MIN(IF('Ціни контур мережний'!$Y$83:$Y$93&gt;(S36*1.2),'Ціни контур мережний'!$Y$83:$Y$93))</f>
        <v>10</v>
      </c>
      <c r="BK36" s="895">
        <f>VLOOKUP(BJ36,'Ціни контур мережний'!$Y$83:$Z$93,2,0)</f>
        <v>25</v>
      </c>
      <c r="BL36" s="895">
        <v>1</v>
      </c>
      <c r="BM36" s="896">
        <f>VLOOKUP(BJ36,'Ціни контур мережний'!$Y$83:$AB$93,4,0)</f>
        <v>117.50505648967251</v>
      </c>
      <c r="BN36" s="916">
        <f t="shared" si="47"/>
        <v>117.50505648967251</v>
      </c>
      <c r="BO36" s="896">
        <f t="array" ref="BO36">MIN(IF('Ціни контур мережний'!$Y$104:$Y$114&gt;(S36*1.2),'Ціни контур мережний'!$Y$104:$Y$114))</f>
        <v>12.5</v>
      </c>
      <c r="BP36" s="895">
        <f>VLOOKUP(BO36,'Ціни контур мережний'!$Y$104:$Z$114,2,0)</f>
        <v>32</v>
      </c>
      <c r="BQ36" s="895">
        <v>1</v>
      </c>
      <c r="BR36" s="896">
        <f>VLOOKUP(BO36,'Ціни контур мережний'!$Y$104:$AB$114,4,0)</f>
        <v>435.76049604674444</v>
      </c>
      <c r="BS36" s="897">
        <f t="shared" si="48"/>
        <v>435.76049604674444</v>
      </c>
      <c r="BT36" s="751" t="s">
        <v>115</v>
      </c>
      <c r="BU36" s="751" t="s">
        <v>115</v>
      </c>
      <c r="BV36" s="746" t="str">
        <f>BV32</f>
        <v>existed</v>
      </c>
      <c r="BW36" s="756">
        <v>0</v>
      </c>
      <c r="BX36" s="747">
        <v>0</v>
      </c>
      <c r="BY36" s="748">
        <f t="shared" si="49"/>
        <v>0</v>
      </c>
      <c r="BZ36" s="745">
        <f>VLOOKUP(CA36,'Ціни контур мережний'!$J$5:$L$12,3,0)</f>
        <v>25</v>
      </c>
      <c r="CA36" s="747">
        <f t="array" ref="CA36">MIN(IF('Ціни контур мережний'!$J$5:$J$12&gt;L36,'Ціни контур мережний'!$J$5:$J$12))</f>
        <v>6</v>
      </c>
      <c r="CB36" s="746" t="s">
        <v>130</v>
      </c>
      <c r="CC36" s="749">
        <v>1</v>
      </c>
      <c r="CD36" s="747">
        <f>VLOOKUP(CA36,'Ціни контур мережний'!$J$5:$N$12,5,0)</f>
        <v>341.25599999999997</v>
      </c>
      <c r="CE36" s="748">
        <f t="shared" si="50"/>
        <v>341.25599999999997</v>
      </c>
      <c r="CF36" s="898" t="s">
        <v>1328</v>
      </c>
      <c r="CG36" s="899">
        <v>1</v>
      </c>
      <c r="CH36" s="900">
        <v>582</v>
      </c>
      <c r="CI36" s="901">
        <f t="shared" si="51"/>
        <v>582</v>
      </c>
      <c r="CJ36" s="751">
        <f t="shared" si="5"/>
        <v>65</v>
      </c>
      <c r="CK36" s="746">
        <v>4</v>
      </c>
      <c r="CL36" s="747">
        <f>VLOOKUP(CJ36,'Ціни контур теплопостачання'!$Y$5:$AA$17,3,0)</f>
        <v>30.19184015363556</v>
      </c>
      <c r="CM36" s="748">
        <f t="shared" si="52"/>
        <v>120.76736061454224</v>
      </c>
      <c r="CN36" s="750">
        <f t="shared" si="6"/>
        <v>40</v>
      </c>
      <c r="CO36" s="746">
        <v>6</v>
      </c>
      <c r="CP36" s="747">
        <f>VLOOKUP(CN36,'Ціни контур теплопостачання'!$AO$20:$AQ$29,3,0)</f>
        <v>37.980000000000004</v>
      </c>
      <c r="CQ36" s="748">
        <f t="shared" si="53"/>
        <v>227.88000000000002</v>
      </c>
      <c r="CR36" s="750">
        <f t="shared" si="7"/>
        <v>25</v>
      </c>
      <c r="CS36" s="746">
        <v>3</v>
      </c>
      <c r="CT36" s="747">
        <f>VLOOKUP(CR36,'Ціни контур теплопостачання'!$AO$20:$AQ$29,3,0)</f>
        <v>6.3070000000000004</v>
      </c>
      <c r="CU36" s="748">
        <f t="shared" si="54"/>
        <v>18.920999999999999</v>
      </c>
      <c r="CV36" s="757">
        <f t="shared" si="8"/>
        <v>50</v>
      </c>
      <c r="CW36" s="746">
        <f t="shared" si="9"/>
        <v>4</v>
      </c>
      <c r="CX36" s="747">
        <f>VLOOKUP(CV36,'Ціни контур теплопостачання'!$Y$5:$AA$17,3,0)</f>
        <v>23.2782130224622</v>
      </c>
      <c r="CY36" s="748">
        <f t="shared" si="55"/>
        <v>93.112852089848801</v>
      </c>
      <c r="CZ36" s="745">
        <v>20</v>
      </c>
      <c r="DA36" s="749">
        <v>2</v>
      </c>
      <c r="DB36" s="747">
        <f>VLOOKUP(CZ36,'Ціни контур теплопостачання'!$Y$5:$AA$17,3,0)</f>
        <v>3.577</v>
      </c>
      <c r="DC36" s="748">
        <f t="shared" si="56"/>
        <v>7.1539999999999999</v>
      </c>
      <c r="DD36" s="745">
        <v>15</v>
      </c>
      <c r="DE36" s="745">
        <v>8</v>
      </c>
      <c r="DF36" s="758">
        <f>VLOOKUP(DD36,'Ціни контур теплопостачання'!$Y$5:$AA$17,3,0)</f>
        <v>2.464</v>
      </c>
      <c r="DG36" s="759">
        <f t="shared" si="57"/>
        <v>19.712</v>
      </c>
      <c r="DH36" s="745">
        <v>15</v>
      </c>
      <c r="DI36" s="745">
        <f t="shared" si="58"/>
        <v>37</v>
      </c>
      <c r="DJ36" s="758">
        <f>VLOOKUP(DH36,'Ціни контур мережний'!$J$71:$M$71,4,0)</f>
        <v>3.3865201135922525</v>
      </c>
      <c r="DK36" s="759">
        <f t="shared" si="59"/>
        <v>125.30124420291334</v>
      </c>
      <c r="DL36" s="751">
        <f t="shared" si="10"/>
        <v>65</v>
      </c>
      <c r="DM36" s="746">
        <v>1</v>
      </c>
      <c r="DN36" s="747">
        <f>VLOOKUP(DL36,'Ціни контур теплопостачання'!$K$5:$M$17,3,0)</f>
        <v>39.731999999999999</v>
      </c>
      <c r="DO36" s="748">
        <f t="shared" si="60"/>
        <v>39.731999999999999</v>
      </c>
      <c r="DP36" s="745">
        <f t="shared" si="11"/>
        <v>40</v>
      </c>
      <c r="DQ36" s="749">
        <v>1</v>
      </c>
      <c r="DR36" s="747">
        <f>VLOOKUP(DP36,'Ціни контур теплопостачання'!$K$5:$M$17,3,0)</f>
        <v>23.225999999999999</v>
      </c>
      <c r="DS36" s="748">
        <f t="shared" si="61"/>
        <v>23.225999999999999</v>
      </c>
      <c r="DT36" s="745">
        <f t="shared" si="12"/>
        <v>25</v>
      </c>
      <c r="DU36" s="745">
        <v>1</v>
      </c>
      <c r="DV36" s="758">
        <f>VLOOKUP(DT36,'Ціни контур теплопостачання'!$K$5:$M$17,3,0)</f>
        <v>4.78</v>
      </c>
      <c r="DW36" s="759">
        <f t="shared" si="62"/>
        <v>4.78</v>
      </c>
      <c r="DX36" s="745">
        <f t="shared" si="63"/>
        <v>65</v>
      </c>
      <c r="DY36" s="745">
        <v>1</v>
      </c>
      <c r="DZ36" s="758">
        <f>VLOOKUP(DX36,'Ціни контур теплопостачання'!$Y$24:$AA$36,3,0)</f>
        <v>42.080999999999996</v>
      </c>
      <c r="EA36" s="759">
        <f t="shared" si="64"/>
        <v>42.080999999999996</v>
      </c>
      <c r="EB36" s="751">
        <f t="shared" si="13"/>
        <v>65</v>
      </c>
      <c r="EC36" s="746">
        <v>2</v>
      </c>
      <c r="ED36" s="747">
        <f>VLOOKUP(EB36,'Ціни контур теплопостачання'!$Y$24:$AA$36,3,0)</f>
        <v>42.080999999999996</v>
      </c>
      <c r="EE36" s="748">
        <f t="shared" si="65"/>
        <v>84.161999999999992</v>
      </c>
      <c r="EF36" s="745">
        <f t="shared" si="14"/>
        <v>40</v>
      </c>
      <c r="EG36" s="749">
        <v>1</v>
      </c>
      <c r="EH36" s="747">
        <f>VLOOKUP(EF36,'Ціни контур теплопостачання'!$AO$38:$AQ$50,3,0)</f>
        <v>20.3645</v>
      </c>
      <c r="EI36" s="748">
        <f t="shared" si="66"/>
        <v>20.3645</v>
      </c>
      <c r="EJ36" s="745">
        <f t="shared" si="15"/>
        <v>25</v>
      </c>
      <c r="EK36" s="745">
        <v>1</v>
      </c>
      <c r="EL36" s="758">
        <f>VLOOKUP(EJ36,'Ціни контур теплопостачання'!$AO$38:$AQ$50,3,0)</f>
        <v>6.9659999999999993</v>
      </c>
      <c r="EM36" s="759">
        <f t="shared" si="67"/>
        <v>6.9659999999999993</v>
      </c>
      <c r="EN36" s="745">
        <f t="shared" si="16"/>
        <v>50</v>
      </c>
      <c r="EO36" s="745">
        <f t="shared" si="17"/>
        <v>4</v>
      </c>
      <c r="EP36" s="758">
        <f>VLOOKUP(EN36,'Ціни контур теплопостачання'!$Y$76:$AA$88,3,0)</f>
        <v>20.6</v>
      </c>
      <c r="EQ36" s="759">
        <f t="shared" si="68"/>
        <v>82.4</v>
      </c>
      <c r="ER36" s="745">
        <f t="shared" si="18"/>
        <v>40</v>
      </c>
      <c r="ES36" s="745">
        <v>1</v>
      </c>
      <c r="ET36" s="758">
        <f>VLOOKUP(ER36,'Ціни контур теплопостачання'!$Y$76:$AA$88,3,0)</f>
        <v>16.809999999999999</v>
      </c>
      <c r="EU36" s="759">
        <f t="shared" si="69"/>
        <v>16.809999999999999</v>
      </c>
      <c r="EV36" s="745">
        <f t="shared" si="19"/>
        <v>25</v>
      </c>
      <c r="EW36" s="745">
        <v>1</v>
      </c>
      <c r="EX36" s="758">
        <f>VLOOKUP(EV36,'Ціни контур теплопостачання'!$Y$76:$AA$88,3,0)</f>
        <v>11.45</v>
      </c>
      <c r="EY36" s="759">
        <f t="shared" si="70"/>
        <v>11.45</v>
      </c>
      <c r="EZ36" s="758">
        <f t="shared" si="20"/>
        <v>24.945861380196916</v>
      </c>
      <c r="FA36" s="760">
        <v>25</v>
      </c>
      <c r="FB36" s="719">
        <v>2</v>
      </c>
      <c r="FC36" s="747">
        <f>VLOOKUP(FA36,'Ціни контур теплопостачання'!$K$74:$M$79,3,0)</f>
        <v>22.22</v>
      </c>
      <c r="FD36" s="761">
        <f t="shared" si="21"/>
        <v>44.44</v>
      </c>
      <c r="FE36" s="762">
        <f t="shared" si="71"/>
        <v>10.029106029106028</v>
      </c>
      <c r="FF36" s="911">
        <v>9</v>
      </c>
      <c r="FG36" s="900">
        <v>8</v>
      </c>
      <c r="FH36" s="830" t="s">
        <v>123</v>
      </c>
      <c r="FI36" s="708">
        <v>2</v>
      </c>
      <c r="FJ36" s="709">
        <f>VLOOKUP(FH36,'Ціни контур теплопостачання'!$C$89:$M$105,11,0)</f>
        <v>387.45599999999996</v>
      </c>
      <c r="FK36" s="764">
        <f t="shared" si="72"/>
        <v>774.91199999999992</v>
      </c>
      <c r="FL36" s="912">
        <f t="shared" si="73"/>
        <v>1.3582150101419879</v>
      </c>
      <c r="FM36" s="911">
        <v>9</v>
      </c>
      <c r="FN36" s="900">
        <v>9</v>
      </c>
      <c r="FO36" s="900" t="s">
        <v>1097</v>
      </c>
      <c r="FP36" s="749">
        <v>1</v>
      </c>
      <c r="FQ36" s="747">
        <f>VLOOKUP(FO36,'Ціни контур теплопостачання'!$C$89:$M$105,11,0)</f>
        <v>241.2</v>
      </c>
      <c r="FR36" s="904">
        <f t="shared" si="74"/>
        <v>241.2</v>
      </c>
      <c r="FS36" s="758">
        <f t="array" ref="FS36">MIN(IF('Ціни контур теплопостачання'!$AN$68:$AN$77&gt;(V36*1.2),'Ціни контур теплопостачання'!$AN$68:$AN$77))</f>
        <v>11.13</v>
      </c>
      <c r="FT36" s="749">
        <f>VLOOKUP(FS36,'Ціни контур теплопостачання'!$AN$68:$AO$77,2,0)</f>
        <v>32</v>
      </c>
      <c r="FU36" s="749">
        <f t="shared" si="22"/>
        <v>2</v>
      </c>
      <c r="FV36" s="747">
        <f>VLOOKUP(FT36,'Ціни контур теплопостачання'!$AO$68:$AQ$77,3,0)</f>
        <v>37.183999999999997</v>
      </c>
      <c r="FW36" s="765">
        <f t="shared" si="75"/>
        <v>74.367999999999995</v>
      </c>
      <c r="FX36" s="750">
        <v>15</v>
      </c>
      <c r="FY36" s="746">
        <v>2</v>
      </c>
      <c r="FZ36" s="747">
        <f>VLOOKUP(FX36,'Ціни контур мережний'!$J$73:$M$73,4,0)</f>
        <v>3.4649999999999999</v>
      </c>
      <c r="GA36" s="748">
        <f t="shared" si="76"/>
        <v>6.93</v>
      </c>
      <c r="GB36" s="750">
        <f>VLOOKUP(GC36,'Ціни контур теплопостачання'!$AN$6:$AO$13,2,0)</f>
        <v>32</v>
      </c>
      <c r="GC36" s="751">
        <f t="array" ref="GC36">MIN(IF('Ціни контур теплопостачання'!$AN$6:$AN$13&gt;N36,'Ціни контур теплопостачання'!$AN$6:$AN$13))</f>
        <v>6</v>
      </c>
      <c r="GD36" s="751">
        <v>1</v>
      </c>
      <c r="GE36" s="747">
        <f>VLOOKUP(GB36,'Ціни контур теплопостачання'!$AO$6:$AQ$13,3,0)</f>
        <v>85.682340000000011</v>
      </c>
      <c r="GF36" s="748">
        <f t="shared" si="77"/>
        <v>85.682340000000011</v>
      </c>
      <c r="GG36" s="750">
        <f t="shared" si="23"/>
        <v>40</v>
      </c>
      <c r="GH36" s="746">
        <v>1</v>
      </c>
      <c r="GI36" s="747">
        <f>VLOOKUP(GG36,'Ціни контур теплопостачання'!$AO$55:$AQ$63,3,0)</f>
        <v>193.55</v>
      </c>
      <c r="GJ36" s="768">
        <f t="shared" si="78"/>
        <v>193.55</v>
      </c>
      <c r="GK36" s="655" t="str">
        <f t="shared" si="91"/>
        <v>0-150</v>
      </c>
      <c r="GL36" s="720">
        <v>1</v>
      </c>
      <c r="GM36" s="747">
        <f>VLOOKUP(GK36,'Ціни контур мережний'!$I$79:$M$80,5,0)</f>
        <v>15.050156291498967</v>
      </c>
      <c r="GN36" s="748">
        <f t="shared" si="79"/>
        <v>15.050156291498967</v>
      </c>
      <c r="GO36" s="758" t="s">
        <v>109</v>
      </c>
      <c r="GP36" s="749">
        <v>5</v>
      </c>
      <c r="GQ36" s="747">
        <f>VLOOKUP(GO36,'Ціни контур мережний'!$I$79:$M$80,5,0)</f>
        <v>15.050156291498967</v>
      </c>
      <c r="GR36" s="765">
        <f t="shared" si="80"/>
        <v>75.250781457494838</v>
      </c>
      <c r="GS36" s="655" t="s">
        <v>108</v>
      </c>
      <c r="GT36" s="720">
        <v>5</v>
      </c>
      <c r="GU36" s="747">
        <f>VLOOKUP(GS36,'Ціни контур мережний'!$I$67:$M$69,5,0)</f>
        <v>4.4537969640631703</v>
      </c>
      <c r="GV36" s="748">
        <f t="shared" si="81"/>
        <v>22.26898482031585</v>
      </c>
      <c r="GW36" s="655" t="s">
        <v>106</v>
      </c>
      <c r="GX36" s="720">
        <f t="shared" si="94"/>
        <v>13</v>
      </c>
      <c r="GY36" s="747">
        <f>VLOOKUP(GW36,'Ціни контур мережний'!$I$67:$M$69,5,0)</f>
        <v>4.4537969640631703</v>
      </c>
      <c r="GZ36" s="748">
        <f t="shared" si="82"/>
        <v>57.899360532821213</v>
      </c>
      <c r="HA36" s="655" t="s">
        <v>1013</v>
      </c>
      <c r="HB36" s="720">
        <v>4</v>
      </c>
      <c r="HC36" s="747">
        <f>VLOOKUP(HA36,'Ціни контур мережний'!$I$64:$M$64,5,0)</f>
        <v>29.1312</v>
      </c>
      <c r="HD36" s="748">
        <f t="shared" si="83"/>
        <v>116.5248</v>
      </c>
      <c r="HE36" s="766" t="s">
        <v>1015</v>
      </c>
      <c r="HF36" s="749">
        <v>6</v>
      </c>
      <c r="HG36" s="747">
        <f>VLOOKUP(HE36,'Ціни контур мережний'!$I$89:$M$89,5,0)</f>
        <v>79.523165325760516</v>
      </c>
      <c r="HH36" s="765">
        <f t="shared" si="84"/>
        <v>477.1389919545631</v>
      </c>
      <c r="HI36" s="917" t="s">
        <v>1016</v>
      </c>
      <c r="HJ36" s="720">
        <f t="shared" si="92"/>
        <v>7</v>
      </c>
      <c r="HK36" s="747">
        <f>VLOOKUP(HI36,'Ціни контур мережний'!$I$88:$M$88,5,0)</f>
        <v>13.211568975967202</v>
      </c>
      <c r="HL36" s="768">
        <f t="shared" si="85"/>
        <v>92.480982831770419</v>
      </c>
      <c r="HM36" s="917" t="s">
        <v>383</v>
      </c>
      <c r="HN36" s="720">
        <v>1</v>
      </c>
      <c r="HO36" s="747">
        <f>VLOOKUP(HM36,'Ціни контур мережний'!$I$87:$M$87,5,0)</f>
        <v>13.483972460007763</v>
      </c>
      <c r="HP36" s="748">
        <f t="shared" si="86"/>
        <v>13.483972460007763</v>
      </c>
      <c r="HQ36" s="769">
        <f t="shared" si="24"/>
        <v>52</v>
      </c>
      <c r="HR36" s="770">
        <f t="shared" si="87"/>
        <v>5836.4584297048586</v>
      </c>
      <c r="HS36" s="771">
        <v>0</v>
      </c>
      <c r="HT36" s="771">
        <f>'Таблиця цін схема №1'!$JE$44/'Ціни контур мережний'!$G$26</f>
        <v>476.70609707098151</v>
      </c>
      <c r="HU36" s="770">
        <f>'Таблиця цін схема №1'!$JG$8</f>
        <v>661.80181284518619</v>
      </c>
      <c r="HV36" s="770">
        <f>'Таблиця цін схема №1'!$JH$8</f>
        <v>487.81784379022207</v>
      </c>
      <c r="HW36" s="770">
        <f>'Таблиця цін схема №1'!$JI$8</f>
        <v>323.47913729816605</v>
      </c>
      <c r="HX36" s="770">
        <f>'Таблиця цін схема №1'!$JJ$8</f>
        <v>66.611999999999995</v>
      </c>
      <c r="HY36" s="772">
        <v>0</v>
      </c>
      <c r="HZ36" s="772">
        <f>'Таблиця цін схема №1'!$JL$8</f>
        <v>62.86234247089866</v>
      </c>
      <c r="IA36" s="772">
        <v>0</v>
      </c>
      <c r="IB36" s="770">
        <v>0</v>
      </c>
      <c r="IC36" s="913">
        <f t="shared" si="25"/>
        <v>554.10163642262205</v>
      </c>
      <c r="ID36" s="914">
        <f t="shared" si="26"/>
        <v>791.5737663180314</v>
      </c>
      <c r="IE36" s="915">
        <f t="shared" si="27"/>
        <v>136.17035303030752</v>
      </c>
      <c r="IF36" s="776">
        <f>'Таблиця цін схема №1'!$JR$8</f>
        <v>300.63036461094771</v>
      </c>
      <c r="IG36" s="777">
        <f t="shared" si="88"/>
        <v>9698.2137835622234</v>
      </c>
      <c r="II36" s="611">
        <f>[3]Расчеты!AX35/1.2</f>
        <v>5572.4481973529637</v>
      </c>
      <c r="IJ36" s="611">
        <f t="shared" si="89"/>
        <v>15270.661980915187</v>
      </c>
      <c r="IK36" s="611" t="e">
        <f>IJ36*1.2*#REF!</f>
        <v>#REF!</v>
      </c>
      <c r="IL36" s="611"/>
    </row>
    <row r="37" spans="1:246" ht="12.6" customHeight="1">
      <c r="A37" s="610" t="s">
        <v>686</v>
      </c>
      <c r="B37" s="740">
        <v>53</v>
      </c>
      <c r="C37" s="1056" t="s">
        <v>914</v>
      </c>
      <c r="D37" s="892">
        <v>0.40372000000000002</v>
      </c>
      <c r="E37" s="918">
        <v>0.42049999999999998</v>
      </c>
      <c r="F37" s="742">
        <f t="shared" si="28"/>
        <v>17.960838884176425</v>
      </c>
      <c r="G37" s="743">
        <v>80</v>
      </c>
      <c r="H37" s="598">
        <f t="shared" si="29"/>
        <v>7.2118613790639516</v>
      </c>
      <c r="I37" s="599">
        <v>50</v>
      </c>
      <c r="J37" s="598">
        <f t="shared" si="30"/>
        <v>16.786694386694386</v>
      </c>
      <c r="K37" s="599">
        <v>80</v>
      </c>
      <c r="L37" s="598">
        <f t="shared" si="31"/>
        <v>10.748977505112475</v>
      </c>
      <c r="M37" s="599">
        <v>65</v>
      </c>
      <c r="N37" s="598">
        <f t="shared" si="32"/>
        <v>8.5294117647058822</v>
      </c>
      <c r="O37" s="599">
        <v>65</v>
      </c>
      <c r="P37" s="598">
        <f t="shared" si="93"/>
        <v>2.5588235294117645</v>
      </c>
      <c r="Q37" s="599">
        <v>40</v>
      </c>
      <c r="R37" s="598">
        <f t="shared" si="33"/>
        <v>10.199112172226972</v>
      </c>
      <c r="S37" s="600">
        <f t="shared" si="34"/>
        <v>15.201349769373374</v>
      </c>
      <c r="T37" s="744">
        <v>4</v>
      </c>
      <c r="U37" s="601">
        <f t="shared" si="35"/>
        <v>4.1966735966735964</v>
      </c>
      <c r="V37" s="601">
        <f t="shared" si="36"/>
        <v>5.9349927172688757</v>
      </c>
      <c r="W37" s="602">
        <v>40</v>
      </c>
      <c r="X37" s="745">
        <f t="shared" si="0"/>
        <v>80</v>
      </c>
      <c r="Y37" s="746">
        <v>2</v>
      </c>
      <c r="Z37" s="747">
        <f>VLOOKUP(X37,'Ціни контур мережний'!$Z$24:$AB$36,3,0)</f>
        <v>37.693832104112609</v>
      </c>
      <c r="AA37" s="748">
        <f t="shared" si="37"/>
        <v>75.387664208225218</v>
      </c>
      <c r="AB37" s="745">
        <f t="shared" si="1"/>
        <v>80</v>
      </c>
      <c r="AC37" s="749">
        <v>2</v>
      </c>
      <c r="AD37" s="747">
        <f>VLOOKUP(AB37,'Ціни контур мережний'!$Z$64:$AB$77,3,0)</f>
        <v>111.00441974652855</v>
      </c>
      <c r="AE37" s="748">
        <f t="shared" si="38"/>
        <v>222.00883949305711</v>
      </c>
      <c r="AF37" s="745">
        <f t="shared" si="2"/>
        <v>80</v>
      </c>
      <c r="AG37" s="746">
        <v>1</v>
      </c>
      <c r="AH37" s="747">
        <f>VLOOKUP(AF37,'Ціни контур мережний'!$Z$5:$AB$17,3,0)</f>
        <v>50.12</v>
      </c>
      <c r="AI37" s="748">
        <f t="shared" si="39"/>
        <v>50.12</v>
      </c>
      <c r="AJ37" s="750">
        <f t="shared" si="3"/>
        <v>50</v>
      </c>
      <c r="AK37" s="746">
        <v>3</v>
      </c>
      <c r="AL37" s="747">
        <f>VLOOKUP(AJ37,'Ціни контур мережний'!$Z$43:$AB$55,3,0)</f>
        <v>23.2782130224622</v>
      </c>
      <c r="AM37" s="748">
        <f t="shared" si="40"/>
        <v>69.834639067386604</v>
      </c>
      <c r="AN37" s="745">
        <f t="shared" si="4"/>
        <v>65</v>
      </c>
      <c r="AO37" s="749">
        <v>4</v>
      </c>
      <c r="AP37" s="747">
        <f>VLOOKUP(AN37,'Ціни контур мережний'!$Z$43:$AB$55,3,0)</f>
        <v>30.19184015363556</v>
      </c>
      <c r="AQ37" s="759">
        <f t="shared" si="41"/>
        <v>120.76736061454224</v>
      </c>
      <c r="AR37" s="751" t="str">
        <f t="shared" si="42"/>
        <v>AMV20</v>
      </c>
      <c r="AS37" s="751">
        <v>1</v>
      </c>
      <c r="AT37" s="747">
        <f>VLOOKUP(AR37,'Ціни контур мережний'!$I$53:$M$57,5,0)</f>
        <v>110.39869654932889</v>
      </c>
      <c r="AU37" s="748">
        <f t="shared" si="43"/>
        <v>110.39869654932889</v>
      </c>
      <c r="AV37" s="752">
        <f t="array" ref="AV37">MIN(IF('Ціни контур мережний'!$Y$83:$Y$92&gt;(R37*1.2),'Ціни контур мережний'!$Y$83:$Y$92))</f>
        <v>16</v>
      </c>
      <c r="AW37" s="746">
        <f>VLOOKUP(AV37,'Ціни контур мережний'!$Y$83:$Z$92,2,0)</f>
        <v>32</v>
      </c>
      <c r="AX37" s="746">
        <v>1</v>
      </c>
      <c r="AY37" s="747">
        <f>VLOOKUP(AV37,'Ціни контур мережний'!$Y$83:$AB$92,4,0)</f>
        <v>130.5392363168325</v>
      </c>
      <c r="AZ37" s="748">
        <f t="shared" si="44"/>
        <v>130.5392363168325</v>
      </c>
      <c r="BA37" s="1099">
        <f t="array" ref="BA37">MIN(IF('[1]Ціни контур мережний'!$Y$104:$Y$114&gt;(R37*1.2),'[1]Ціни контур мережний'!$Y$104:$Y$114))</f>
        <v>12.5</v>
      </c>
      <c r="BB37" s="1101">
        <f>VLOOKUP(BA37,'[1]Ціни контур мережний'!$Y$104:$Z$114,2,0)</f>
        <v>32</v>
      </c>
      <c r="BC37" s="753">
        <v>1</v>
      </c>
      <c r="BD37" s="754">
        <f>VLOOKUP(BA37,'Ціни контур мережний'!$Y$104:$AB$114,4,0)</f>
        <v>435.76049604674444</v>
      </c>
      <c r="BE37" s="755">
        <f t="shared" si="45"/>
        <v>435.76049604674444</v>
      </c>
      <c r="BF37" s="751" t="s">
        <v>67</v>
      </c>
      <c r="BG37" s="749">
        <v>1</v>
      </c>
      <c r="BH37" s="747">
        <f>VLOOKUP(BF37,'Ціни контур мережний'!$I$53:$M$57,5,0)</f>
        <v>157.67238032974441</v>
      </c>
      <c r="BI37" s="768">
        <f t="shared" si="46"/>
        <v>157.67238032974441</v>
      </c>
      <c r="BJ37" s="894">
        <f t="array" ref="BJ37">MIN(IF('Ціни контур мережний'!$Y$83:$Y$93&gt;(S37*1.2),'Ціни контур мережний'!$Y$83:$Y$93))</f>
        <v>25</v>
      </c>
      <c r="BK37" s="895">
        <f>VLOOKUP(BJ37,'Ціни контур мережний'!$Y$83:$Z$93,2,0)</f>
        <v>40</v>
      </c>
      <c r="BL37" s="895">
        <v>1</v>
      </c>
      <c r="BM37" s="896">
        <f>VLOOKUP(BJ37,'Ціни контур мережний'!$Y$83:$AB$93,4,0)</f>
        <v>156.6569554824606</v>
      </c>
      <c r="BN37" s="916">
        <f t="shared" si="47"/>
        <v>156.6569554824606</v>
      </c>
      <c r="BO37" s="896">
        <f t="array" ref="BO37">MIN(IF('Ціни контур мережний'!$Y$104:$Y$114&gt;(S37*1.2),'Ціни контур мережний'!$Y$104:$Y$114))</f>
        <v>20</v>
      </c>
      <c r="BP37" s="895">
        <f>VLOOKUP(BO37,'Ціни контур мережний'!$Y$104:$Z$114,2,0)</f>
        <v>40</v>
      </c>
      <c r="BQ37" s="895">
        <v>1</v>
      </c>
      <c r="BR37" s="896">
        <f>VLOOKUP(BO37,'Ціни контур мережний'!$Y$104:$AB$114,4,0)</f>
        <v>448.22326189551967</v>
      </c>
      <c r="BS37" s="897">
        <f t="shared" si="48"/>
        <v>448.22326189551967</v>
      </c>
      <c r="BT37" s="751">
        <f>VLOOKUP(BU37,'Ціни контур мережний'!$J$5:$L$12,3,0)</f>
        <v>40</v>
      </c>
      <c r="BU37" s="751">
        <f t="array" ref="BU37">MIN(IF('Ціни контур мережний'!$J$5:$J$12&gt;H37,'Ціни контур мережний'!$J$5:$J$12))</f>
        <v>10</v>
      </c>
      <c r="BV37" s="746" t="s">
        <v>130</v>
      </c>
      <c r="BW37" s="756">
        <v>1</v>
      </c>
      <c r="BX37" s="747">
        <f>VLOOKUP(BU37,'Ціни контур мережний'!$J$5:$N$12,5,0)</f>
        <v>375.23999999999995</v>
      </c>
      <c r="BY37" s="748">
        <f t="shared" si="49"/>
        <v>375.23999999999995</v>
      </c>
      <c r="BZ37" s="745">
        <f>VLOOKUP(CA37,'Ціни контур мережний'!$J$5:$L$12,3,0)</f>
        <v>50</v>
      </c>
      <c r="CA37" s="747">
        <f t="array" ref="CA37">MIN(IF('Ціни контур мережний'!$J$5:$J$12&gt;L37,'Ціни контур мережний'!$J$5:$J$12))</f>
        <v>15</v>
      </c>
      <c r="CB37" s="746" t="s">
        <v>130</v>
      </c>
      <c r="CC37" s="749">
        <v>1</v>
      </c>
      <c r="CD37" s="747">
        <f>VLOOKUP(CA37,'Ціни контур мережний'!$J$5:$N$12,5,0)</f>
        <v>366.74399999999997</v>
      </c>
      <c r="CE37" s="748">
        <f t="shared" si="50"/>
        <v>366.74399999999997</v>
      </c>
      <c r="CF37" s="898" t="s">
        <v>1350</v>
      </c>
      <c r="CG37" s="899">
        <v>1</v>
      </c>
      <c r="CH37" s="900">
        <v>772</v>
      </c>
      <c r="CI37" s="901">
        <f t="shared" si="51"/>
        <v>772</v>
      </c>
      <c r="CJ37" s="751">
        <f t="shared" si="5"/>
        <v>80</v>
      </c>
      <c r="CK37" s="746">
        <v>4</v>
      </c>
      <c r="CL37" s="747">
        <f>VLOOKUP(CJ37,'Ціни контур теплопостачання'!$Y$5:$AA$17,3,0)</f>
        <v>37.693832104112609</v>
      </c>
      <c r="CM37" s="748">
        <f t="shared" si="52"/>
        <v>150.77532841645044</v>
      </c>
      <c r="CN37" s="750">
        <f t="shared" si="6"/>
        <v>65</v>
      </c>
      <c r="CO37" s="746">
        <v>6</v>
      </c>
      <c r="CP37" s="747">
        <f>VLOOKUP(CN37,'Ціни контур теплопостачання'!$AO$20:$AQ$29,3,0)</f>
        <v>42.675547020246391</v>
      </c>
      <c r="CQ37" s="748">
        <f t="shared" si="53"/>
        <v>256.05328212147833</v>
      </c>
      <c r="CR37" s="750">
        <f t="shared" si="7"/>
        <v>40</v>
      </c>
      <c r="CS37" s="746">
        <v>3</v>
      </c>
      <c r="CT37" s="747">
        <f>VLOOKUP(CR37,'Ціни контур теплопостачання'!$AO$20:$AQ$29,3,0)</f>
        <v>37.980000000000004</v>
      </c>
      <c r="CU37" s="748">
        <f t="shared" si="54"/>
        <v>113.94000000000001</v>
      </c>
      <c r="CV37" s="757">
        <f t="shared" si="8"/>
        <v>40</v>
      </c>
      <c r="CW37" s="746">
        <f t="shared" si="9"/>
        <v>8</v>
      </c>
      <c r="CX37" s="747">
        <f>VLOOKUP(CV37,'Ціни контур теплопостачання'!$Y$5:$AA$17,3,0)</f>
        <v>18.42400964308333</v>
      </c>
      <c r="CY37" s="748">
        <f t="shared" si="55"/>
        <v>147.39207714466664</v>
      </c>
      <c r="CZ37" s="745">
        <v>20</v>
      </c>
      <c r="DA37" s="749">
        <v>2</v>
      </c>
      <c r="DB37" s="747">
        <f>VLOOKUP(CZ37,'Ціни контур теплопостачання'!$Y$5:$AA$17,3,0)</f>
        <v>3.577</v>
      </c>
      <c r="DC37" s="748">
        <f t="shared" si="56"/>
        <v>7.1539999999999999</v>
      </c>
      <c r="DD37" s="745">
        <v>15</v>
      </c>
      <c r="DE37" s="745">
        <v>8</v>
      </c>
      <c r="DF37" s="758">
        <f>VLOOKUP(DD37,'Ціни контур теплопостачання'!$Y$5:$AA$17,3,0)</f>
        <v>2.464</v>
      </c>
      <c r="DG37" s="759">
        <f t="shared" si="57"/>
        <v>19.712</v>
      </c>
      <c r="DH37" s="745">
        <v>15</v>
      </c>
      <c r="DI37" s="745">
        <f t="shared" si="58"/>
        <v>39</v>
      </c>
      <c r="DJ37" s="758">
        <f>VLOOKUP(DH37,'Ціни контур мережний'!$J$71:$M$71,4,0)</f>
        <v>3.3865201135922525</v>
      </c>
      <c r="DK37" s="759">
        <f t="shared" si="59"/>
        <v>132.07428443009783</v>
      </c>
      <c r="DL37" s="751">
        <f t="shared" si="10"/>
        <v>80</v>
      </c>
      <c r="DM37" s="746">
        <v>1</v>
      </c>
      <c r="DN37" s="747">
        <f>VLOOKUP(DL37,'Ціни контур теплопостачання'!$K$5:$M$17,3,0)</f>
        <v>50.12</v>
      </c>
      <c r="DO37" s="748">
        <f t="shared" si="60"/>
        <v>50.12</v>
      </c>
      <c r="DP37" s="745">
        <f t="shared" si="11"/>
        <v>65</v>
      </c>
      <c r="DQ37" s="749">
        <v>1</v>
      </c>
      <c r="DR37" s="747">
        <f>VLOOKUP(DP37,'Ціни контур теплопостачання'!$K$5:$M$17,3,0)</f>
        <v>39.731999999999999</v>
      </c>
      <c r="DS37" s="748">
        <f t="shared" si="61"/>
        <v>39.731999999999999</v>
      </c>
      <c r="DT37" s="745">
        <f t="shared" si="12"/>
        <v>40</v>
      </c>
      <c r="DU37" s="745">
        <v>1</v>
      </c>
      <c r="DV37" s="758">
        <f>VLOOKUP(DT37,'Ціни контур теплопостачання'!$K$5:$M$17,3,0)</f>
        <v>23.225999999999999</v>
      </c>
      <c r="DW37" s="759">
        <f t="shared" si="62"/>
        <v>23.225999999999999</v>
      </c>
      <c r="DX37" s="745">
        <f t="shared" si="63"/>
        <v>80</v>
      </c>
      <c r="DY37" s="745">
        <v>1</v>
      </c>
      <c r="DZ37" s="758">
        <f>VLOOKUP(DX37,'Ціни контур теплопостачання'!$Y$24:$AA$36,3,0)</f>
        <v>60.079499999999996</v>
      </c>
      <c r="EA37" s="759">
        <f t="shared" si="64"/>
        <v>60.079499999999996</v>
      </c>
      <c r="EB37" s="751">
        <f t="shared" si="13"/>
        <v>80</v>
      </c>
      <c r="EC37" s="746">
        <v>2</v>
      </c>
      <c r="ED37" s="747">
        <f>VLOOKUP(EB37,'Ціни контур теплопостачання'!$Y$24:$AA$36,3,0)</f>
        <v>60.079499999999996</v>
      </c>
      <c r="EE37" s="748">
        <f t="shared" si="65"/>
        <v>120.15899999999999</v>
      </c>
      <c r="EF37" s="745">
        <f t="shared" si="14"/>
        <v>65</v>
      </c>
      <c r="EG37" s="749">
        <v>1</v>
      </c>
      <c r="EH37" s="747">
        <f>VLOOKUP(EF37,'Ціни контур теплопостачання'!$AO$38:$AQ$50,3,0)</f>
        <v>42.080999999999996</v>
      </c>
      <c r="EI37" s="748">
        <f t="shared" si="66"/>
        <v>42.080999999999996</v>
      </c>
      <c r="EJ37" s="745">
        <f t="shared" si="15"/>
        <v>40</v>
      </c>
      <c r="EK37" s="745">
        <v>1</v>
      </c>
      <c r="EL37" s="758">
        <f>VLOOKUP(EJ37,'Ціни контур теплопостачання'!$AO$38:$AQ$50,3,0)</f>
        <v>20.3645</v>
      </c>
      <c r="EM37" s="759">
        <f t="shared" si="67"/>
        <v>20.3645</v>
      </c>
      <c r="EN37" s="745">
        <f t="shared" si="16"/>
        <v>40</v>
      </c>
      <c r="EO37" s="745">
        <f t="shared" si="17"/>
        <v>8</v>
      </c>
      <c r="EP37" s="758">
        <f>VLOOKUP(EN37,'Ціни контур теплопостачання'!$Y$76:$AA$88,3,0)</f>
        <v>16.809999999999999</v>
      </c>
      <c r="EQ37" s="759">
        <f t="shared" si="68"/>
        <v>134.47999999999999</v>
      </c>
      <c r="ER37" s="745">
        <f t="shared" si="18"/>
        <v>65</v>
      </c>
      <c r="ES37" s="745">
        <v>1</v>
      </c>
      <c r="ET37" s="758">
        <f>VLOOKUP(ER37,'Ціни контур теплопостачання'!$Y$76:$AA$88,3,0)</f>
        <v>26.33</v>
      </c>
      <c r="EU37" s="759">
        <f t="shared" si="69"/>
        <v>26.33</v>
      </c>
      <c r="EV37" s="745">
        <f t="shared" si="19"/>
        <v>40</v>
      </c>
      <c r="EW37" s="745">
        <v>1</v>
      </c>
      <c r="EX37" s="758">
        <f>VLOOKUP(EV37,'Ціни контур теплопостачання'!$Y$76:$AA$88,3,0)</f>
        <v>16.809999999999999</v>
      </c>
      <c r="EY37" s="759">
        <f t="shared" si="70"/>
        <v>16.809999999999999</v>
      </c>
      <c r="EZ37" s="758">
        <f t="shared" si="20"/>
        <v>32.273791224459515</v>
      </c>
      <c r="FA37" s="760">
        <v>32</v>
      </c>
      <c r="FB37" s="719">
        <v>2</v>
      </c>
      <c r="FC37" s="747">
        <f>VLOOKUP(FA37,'Ціни контур теплопостачання'!$K$74:$M$79,3,0)</f>
        <v>33.68</v>
      </c>
      <c r="FD37" s="761">
        <f t="shared" si="21"/>
        <v>67.36</v>
      </c>
      <c r="FE37" s="762">
        <f t="shared" si="71"/>
        <v>16.786694386694386</v>
      </c>
      <c r="FF37" s="902">
        <v>9</v>
      </c>
      <c r="FG37" s="900">
        <v>8</v>
      </c>
      <c r="FH37" s="830" t="s">
        <v>1090</v>
      </c>
      <c r="FI37" s="708">
        <v>2</v>
      </c>
      <c r="FJ37" s="709">
        <f>VLOOKUP(FH37,'Ціни контур теплопостачання'!$C$89:$M$105,11,0)</f>
        <v>648.69600000000003</v>
      </c>
      <c r="FK37" s="764">
        <f t="shared" si="72"/>
        <v>1297.3920000000001</v>
      </c>
      <c r="FL37" s="912">
        <f t="shared" si="73"/>
        <v>2.5588235294117645</v>
      </c>
      <c r="FM37" s="902">
        <v>9</v>
      </c>
      <c r="FN37" s="900">
        <v>9</v>
      </c>
      <c r="FO37" s="900" t="s">
        <v>1097</v>
      </c>
      <c r="FP37" s="749">
        <v>1</v>
      </c>
      <c r="FQ37" s="747">
        <f>VLOOKUP(FO37,'Ціни контур теплопостачання'!$C$89:$M$105,11,0)</f>
        <v>241.2</v>
      </c>
      <c r="FR37" s="904">
        <f t="shared" si="74"/>
        <v>241.2</v>
      </c>
      <c r="FS37" s="758">
        <f t="array" ref="FS37">MIN(IF('Ціни контур теплопостачання'!$AN$68:$AN$77&gt;(V37*1.2),'Ціни контур теплопостачання'!$AN$68:$AN$77))</f>
        <v>11.13</v>
      </c>
      <c r="FT37" s="749">
        <f>VLOOKUP(FS37,'Ціни контур теплопостачання'!$AN$68:$AO$77,2,0)</f>
        <v>32</v>
      </c>
      <c r="FU37" s="749">
        <f t="shared" si="22"/>
        <v>4</v>
      </c>
      <c r="FV37" s="747">
        <f>VLOOKUP(FT37,'Ціни контур теплопостачання'!$AO$68:$AQ$77,3,0)</f>
        <v>37.183999999999997</v>
      </c>
      <c r="FW37" s="765">
        <f t="shared" si="75"/>
        <v>148.73599999999999</v>
      </c>
      <c r="FX37" s="750">
        <v>15</v>
      </c>
      <c r="FY37" s="746">
        <v>2</v>
      </c>
      <c r="FZ37" s="747">
        <f>VLOOKUP(FX37,'Ціни контур мережний'!$J$73:$M$73,4,0)</f>
        <v>3.4649999999999999</v>
      </c>
      <c r="GA37" s="748">
        <f t="shared" si="76"/>
        <v>6.93</v>
      </c>
      <c r="GB37" s="750">
        <f>VLOOKUP(GC37,'Ціни контур теплопостачання'!$AN$6:$AO$13,2,0)</f>
        <v>40</v>
      </c>
      <c r="GC37" s="751">
        <f t="array" ref="GC37">MIN(IF('Ціни контур теплопостачання'!$AN$6:$AN$13&gt;N37,'Ціни контур теплопостачання'!$AN$6:$AN$13))</f>
        <v>15</v>
      </c>
      <c r="GD37" s="751">
        <v>1</v>
      </c>
      <c r="GE37" s="747">
        <f>VLOOKUP(GB37,'Ціни контур теплопостачання'!$AO$6:$AQ$13,3,0)</f>
        <v>140.82444000000001</v>
      </c>
      <c r="GF37" s="748">
        <f t="shared" si="77"/>
        <v>140.82444000000001</v>
      </c>
      <c r="GG37" s="750">
        <f t="shared" si="23"/>
        <v>65</v>
      </c>
      <c r="GH37" s="746">
        <v>1</v>
      </c>
      <c r="GI37" s="747">
        <f>VLOOKUP(GG37,'Ціни контур теплопостачання'!$AO$55:$AQ$63,3,0)</f>
        <v>426.6</v>
      </c>
      <c r="GJ37" s="768">
        <f t="shared" si="78"/>
        <v>426.6</v>
      </c>
      <c r="GK37" s="655" t="str">
        <f t="shared" si="91"/>
        <v>0-150</v>
      </c>
      <c r="GL37" s="720">
        <v>1</v>
      </c>
      <c r="GM37" s="747">
        <f>VLOOKUP(GK37,'Ціни контур мережний'!$I$79:$M$80,5,0)</f>
        <v>15.050156291498967</v>
      </c>
      <c r="GN37" s="748">
        <f t="shared" si="79"/>
        <v>15.050156291498967</v>
      </c>
      <c r="GO37" s="758" t="s">
        <v>109</v>
      </c>
      <c r="GP37" s="749">
        <v>5</v>
      </c>
      <c r="GQ37" s="747">
        <f>VLOOKUP(GO37,'Ціни контур мережний'!$I$79:$M$80,5,0)</f>
        <v>15.050156291498967</v>
      </c>
      <c r="GR37" s="765">
        <f t="shared" si="80"/>
        <v>75.250781457494838</v>
      </c>
      <c r="GS37" s="655" t="s">
        <v>108</v>
      </c>
      <c r="GT37" s="720">
        <v>5</v>
      </c>
      <c r="GU37" s="747">
        <f>VLOOKUP(GS37,'Ціни контур мережний'!$I$67:$M$69,5,0)</f>
        <v>4.4537969640631703</v>
      </c>
      <c r="GV37" s="748">
        <f t="shared" si="81"/>
        <v>22.26898482031585</v>
      </c>
      <c r="GW37" s="655" t="s">
        <v>106</v>
      </c>
      <c r="GX37" s="720">
        <f t="shared" si="94"/>
        <v>15</v>
      </c>
      <c r="GY37" s="747">
        <f>VLOOKUP(GW37,'Ціни контур мережний'!$I$67:$M$69,5,0)</f>
        <v>4.4537969640631703</v>
      </c>
      <c r="GZ37" s="748">
        <f t="shared" si="82"/>
        <v>66.806954460947551</v>
      </c>
      <c r="HA37" s="655" t="s">
        <v>1013</v>
      </c>
      <c r="HB37" s="720">
        <v>4</v>
      </c>
      <c r="HC37" s="747">
        <f>VLOOKUP(HA37,'Ціни контур мережний'!$I$64:$M$64,5,0)</f>
        <v>29.1312</v>
      </c>
      <c r="HD37" s="748">
        <f t="shared" si="83"/>
        <v>116.5248</v>
      </c>
      <c r="HE37" s="766" t="s">
        <v>1015</v>
      </c>
      <c r="HF37" s="749">
        <v>6</v>
      </c>
      <c r="HG37" s="747">
        <f>VLOOKUP(HE37,'Ціни контур мережний'!$I$89:$M$89,5,0)</f>
        <v>79.523165325760516</v>
      </c>
      <c r="HH37" s="765">
        <f t="shared" si="84"/>
        <v>477.1389919545631</v>
      </c>
      <c r="HI37" s="778" t="s">
        <v>1016</v>
      </c>
      <c r="HJ37" s="720">
        <f t="shared" si="92"/>
        <v>7</v>
      </c>
      <c r="HK37" s="747">
        <f>VLOOKUP(HI37,'Ціни контур мережний'!$I$88:$M$88,5,0)</f>
        <v>13.211568975967202</v>
      </c>
      <c r="HL37" s="768">
        <f t="shared" si="85"/>
        <v>92.480982831770419</v>
      </c>
      <c r="HM37" s="779" t="s">
        <v>383</v>
      </c>
      <c r="HN37" s="720">
        <v>1</v>
      </c>
      <c r="HO37" s="747">
        <f>VLOOKUP(HM37,'Ціни контур мережний'!$I$87:$M$87,5,0)</f>
        <v>13.483972460007763</v>
      </c>
      <c r="HP37" s="748">
        <f t="shared" si="86"/>
        <v>13.483972460007763</v>
      </c>
      <c r="HQ37" s="769">
        <f t="shared" si="24"/>
        <v>53</v>
      </c>
      <c r="HR37" s="770">
        <f t="shared" si="87"/>
        <v>8059.8845663931334</v>
      </c>
      <c r="HS37" s="771">
        <v>0</v>
      </c>
      <c r="HT37" s="771">
        <f>'Таблиця цін схема №1'!$JE$45/'Ціни контур мережний'!$G$26</f>
        <v>578.85740358619182</v>
      </c>
      <c r="HU37" s="770">
        <f>'Таблиця цін схема №1'!$JG$8</f>
        <v>661.80181284518619</v>
      </c>
      <c r="HV37" s="770">
        <f>'Таблиця цін схема №1'!$JH$8</f>
        <v>487.81784379022207</v>
      </c>
      <c r="HW37" s="770">
        <f>'Таблиця цін схема №1'!$JI$8</f>
        <v>323.47913729816605</v>
      </c>
      <c r="HX37" s="770">
        <f>'Таблиця цін схема №1'!$JJ$8</f>
        <v>66.611999999999995</v>
      </c>
      <c r="HY37" s="772">
        <v>0</v>
      </c>
      <c r="HZ37" s="772">
        <f>'Таблиця цін схема №1'!$JL$8</f>
        <v>62.86234247089866</v>
      </c>
      <c r="IA37" s="772">
        <v>0</v>
      </c>
      <c r="IB37" s="770">
        <v>0</v>
      </c>
      <c r="IC37" s="773">
        <f t="shared" si="25"/>
        <v>716.89205744686581</v>
      </c>
      <c r="ID37" s="774">
        <f t="shared" si="26"/>
        <v>1024.1315106383797</v>
      </c>
      <c r="IE37" s="775">
        <f t="shared" si="27"/>
        <v>176.1760625314364</v>
      </c>
      <c r="IF37" s="776">
        <f>'Таблиця цін схема №1'!$JR$8</f>
        <v>300.63036461094771</v>
      </c>
      <c r="IG37" s="777">
        <f t="shared" si="88"/>
        <v>12459.145101611426</v>
      </c>
      <c r="II37" s="616">
        <f>[3]Расчеты!AX36/1.2</f>
        <v>5572.4481973529637</v>
      </c>
      <c r="IJ37" s="616">
        <f t="shared" si="89"/>
        <v>18031.593298964392</v>
      </c>
      <c r="IK37" s="616" t="e">
        <f>IJ37*1.2*#REF!</f>
        <v>#REF!</v>
      </c>
      <c r="IL37" s="616"/>
    </row>
    <row r="38" spans="1:246" ht="12.6" customHeight="1">
      <c r="A38" s="780"/>
      <c r="B38" s="905">
        <v>54</v>
      </c>
      <c r="C38" s="1056" t="s">
        <v>915</v>
      </c>
      <c r="D38" s="906">
        <v>0.2747</v>
      </c>
      <c r="E38" s="907">
        <v>0.26600000000000001</v>
      </c>
      <c r="F38" s="908">
        <f t="shared" si="28"/>
        <v>11.706700684074285</v>
      </c>
      <c r="G38" s="909">
        <v>65</v>
      </c>
      <c r="H38" s="598">
        <f t="shared" si="29"/>
        <v>4.9071096820292954</v>
      </c>
      <c r="I38" s="599">
        <v>40</v>
      </c>
      <c r="J38" s="598">
        <f t="shared" si="30"/>
        <v>11.422037422037421</v>
      </c>
      <c r="K38" s="599">
        <v>65</v>
      </c>
      <c r="L38" s="598">
        <f t="shared" si="31"/>
        <v>6.7995910020449903</v>
      </c>
      <c r="M38" s="599">
        <v>50</v>
      </c>
      <c r="N38" s="598">
        <f t="shared" si="32"/>
        <v>5.3955375253549702</v>
      </c>
      <c r="O38" s="599">
        <v>50</v>
      </c>
      <c r="P38" s="598">
        <f t="shared" si="93"/>
        <v>1.6186612576064909</v>
      </c>
      <c r="Q38" s="599">
        <v>32</v>
      </c>
      <c r="R38" s="598">
        <f t="shared" si="33"/>
        <v>6.9397010643781547</v>
      </c>
      <c r="S38" s="600">
        <f t="shared" si="34"/>
        <v>9.6160738136820889</v>
      </c>
      <c r="T38" s="910">
        <v>3</v>
      </c>
      <c r="U38" s="601">
        <f t="shared" si="35"/>
        <v>3.8073458073458073</v>
      </c>
      <c r="V38" s="601">
        <f t="shared" si="36"/>
        <v>5.3844000773927814</v>
      </c>
      <c r="W38" s="602">
        <v>40</v>
      </c>
      <c r="X38" s="745">
        <f t="shared" si="0"/>
        <v>65</v>
      </c>
      <c r="Y38" s="746">
        <v>2</v>
      </c>
      <c r="Z38" s="747">
        <f>VLOOKUP(X38,'Ціни контур мережний'!$Z$24:$AB$36,3,0)</f>
        <v>30.19184015363556</v>
      </c>
      <c r="AA38" s="748">
        <f t="shared" si="37"/>
        <v>60.383680307271121</v>
      </c>
      <c r="AB38" s="745">
        <f t="shared" si="1"/>
        <v>65</v>
      </c>
      <c r="AC38" s="749">
        <v>2</v>
      </c>
      <c r="AD38" s="747">
        <f>VLOOKUP(AB38,'Ціни контур мережний'!$Z$64:$AB$77,3,0)</f>
        <v>105.883234246566</v>
      </c>
      <c r="AE38" s="748">
        <f t="shared" si="38"/>
        <v>211.76646849313201</v>
      </c>
      <c r="AF38" s="745">
        <f t="shared" si="2"/>
        <v>65</v>
      </c>
      <c r="AG38" s="746">
        <v>1</v>
      </c>
      <c r="AH38" s="747">
        <f>VLOOKUP(AF38,'Ціни контур мережний'!$Z$5:$AB$17,3,0)</f>
        <v>39.731999999999999</v>
      </c>
      <c r="AI38" s="748">
        <f t="shared" si="39"/>
        <v>39.731999999999999</v>
      </c>
      <c r="AJ38" s="750">
        <f t="shared" si="3"/>
        <v>40</v>
      </c>
      <c r="AK38" s="746">
        <v>3</v>
      </c>
      <c r="AL38" s="747">
        <f>VLOOKUP(AJ38,'Ціни контур мережний'!$Z$43:$AB$55,3,0)</f>
        <v>18.42400964308333</v>
      </c>
      <c r="AM38" s="748">
        <f t="shared" si="40"/>
        <v>55.272028929249991</v>
      </c>
      <c r="AN38" s="745">
        <f t="shared" si="4"/>
        <v>50</v>
      </c>
      <c r="AO38" s="749">
        <v>4</v>
      </c>
      <c r="AP38" s="747">
        <f>VLOOKUP(AN38,'Ціни контур мережний'!$Z$43:$AB$55,3,0)</f>
        <v>23.2782130224622</v>
      </c>
      <c r="AQ38" s="759">
        <f t="shared" si="41"/>
        <v>93.112852089848801</v>
      </c>
      <c r="AR38" s="751" t="str">
        <f t="shared" si="42"/>
        <v>AMV20</v>
      </c>
      <c r="AS38" s="751">
        <v>1</v>
      </c>
      <c r="AT38" s="747">
        <f>VLOOKUP(AR38,'Ціни контур мережний'!$I$53:$M$57,5,0)</f>
        <v>110.39869654932889</v>
      </c>
      <c r="AU38" s="748">
        <f t="shared" si="43"/>
        <v>110.39869654932889</v>
      </c>
      <c r="AV38" s="752">
        <f t="array" ref="AV38">MIN(IF('Ціни контур мережний'!$Y$83:$Y$92&gt;(R38*1.2),'Ціни контур мережний'!$Y$83:$Y$92))</f>
        <v>10</v>
      </c>
      <c r="AW38" s="746">
        <f>VLOOKUP(AV38,'Ціни контур мережний'!$Y$83:$Z$92,2,0)</f>
        <v>25</v>
      </c>
      <c r="AX38" s="746">
        <v>1</v>
      </c>
      <c r="AY38" s="747">
        <f>VLOOKUP(AV38,'Ціни контур мережний'!$Y$83:$AB$92,4,0)</f>
        <v>117.50505648967251</v>
      </c>
      <c r="AZ38" s="748">
        <f t="shared" si="44"/>
        <v>117.50505648967251</v>
      </c>
      <c r="BA38" s="1099">
        <f t="array" ref="BA38">MIN(IF('[1]Ціни контур мережний'!$Y$104:$Y$114&gt;(R38*1.2),'[1]Ціни контур мережний'!$Y$104:$Y$114))</f>
        <v>12.5</v>
      </c>
      <c r="BB38" s="1101">
        <f>VLOOKUP(BA38,'[1]Ціни контур мережний'!$Y$104:$Z$114,2,0)</f>
        <v>32</v>
      </c>
      <c r="BC38" s="753">
        <v>1</v>
      </c>
      <c r="BD38" s="754">
        <f>VLOOKUP(BA38,'Ціни контур мережний'!$Y$104:$AB$114,4,0)</f>
        <v>435.76049604674444</v>
      </c>
      <c r="BE38" s="755">
        <f t="shared" si="45"/>
        <v>435.76049604674444</v>
      </c>
      <c r="BF38" s="751" t="s">
        <v>67</v>
      </c>
      <c r="BG38" s="749">
        <v>1</v>
      </c>
      <c r="BH38" s="747">
        <f>VLOOKUP(BF38,'Ціни контур мережний'!$I$53:$M$57,5,0)</f>
        <v>157.67238032974441</v>
      </c>
      <c r="BI38" s="768">
        <f t="shared" si="46"/>
        <v>157.67238032974441</v>
      </c>
      <c r="BJ38" s="894">
        <f t="array" ref="BJ38">MIN(IF('Ціни контур мережний'!$Y$83:$Y$93&gt;(S38*1.2),'Ціни контур мережний'!$Y$83:$Y$93))</f>
        <v>16</v>
      </c>
      <c r="BK38" s="895">
        <f>VLOOKUP(BJ38,'Ціни контур мережний'!$Y$83:$Z$93,2,0)</f>
        <v>32</v>
      </c>
      <c r="BL38" s="895">
        <v>1</v>
      </c>
      <c r="BM38" s="896">
        <f>VLOOKUP(BJ38,'Ціни контур мережний'!$Y$83:$AB$93,4,0)</f>
        <v>130.5392363168325</v>
      </c>
      <c r="BN38" s="916">
        <f t="shared" si="47"/>
        <v>130.5392363168325</v>
      </c>
      <c r="BO38" s="896">
        <f t="array" ref="BO38">MIN(IF('Ціни контур мережний'!$Y$104:$Y$114&gt;(S38*1.2),'Ціни контур мережний'!$Y$104:$Y$114))</f>
        <v>12.5</v>
      </c>
      <c r="BP38" s="895">
        <f>VLOOKUP(BO38,'Ціни контур мережний'!$Y$104:$Z$114,2,0)</f>
        <v>32</v>
      </c>
      <c r="BQ38" s="895">
        <v>1</v>
      </c>
      <c r="BR38" s="896">
        <f>VLOOKUP(BO38,'Ціни контур мережний'!$Y$104:$AB$114,4,0)</f>
        <v>435.76049604674444</v>
      </c>
      <c r="BS38" s="897">
        <f t="shared" si="48"/>
        <v>435.76049604674444</v>
      </c>
      <c r="BT38" s="751" t="s">
        <v>115</v>
      </c>
      <c r="BU38" s="751" t="s">
        <v>115</v>
      </c>
      <c r="BV38" s="746" t="s">
        <v>1025</v>
      </c>
      <c r="BW38" s="756">
        <v>0</v>
      </c>
      <c r="BX38" s="747">
        <v>0</v>
      </c>
      <c r="BY38" s="748">
        <f t="shared" si="49"/>
        <v>0</v>
      </c>
      <c r="BZ38" s="745">
        <f>VLOOKUP(CA38,'Ціни контур мережний'!$J$5:$L$12,3,0)</f>
        <v>40</v>
      </c>
      <c r="CA38" s="747">
        <f t="array" ref="CA38">MIN(IF('Ціни контур мережний'!$J$5:$J$12&gt;L38,'Ціни контур мережний'!$J$5:$J$12))</f>
        <v>10</v>
      </c>
      <c r="CB38" s="746" t="s">
        <v>130</v>
      </c>
      <c r="CC38" s="749">
        <v>1</v>
      </c>
      <c r="CD38" s="747">
        <f>VLOOKUP(CA38,'Ціни контур мережний'!$J$5:$N$12,5,0)</f>
        <v>375.23999999999995</v>
      </c>
      <c r="CE38" s="748">
        <f t="shared" si="50"/>
        <v>375.23999999999995</v>
      </c>
      <c r="CF38" s="898" t="s">
        <v>1360</v>
      </c>
      <c r="CG38" s="899">
        <v>1</v>
      </c>
      <c r="CH38" s="900">
        <v>613</v>
      </c>
      <c r="CI38" s="901">
        <f t="shared" si="51"/>
        <v>613</v>
      </c>
      <c r="CJ38" s="751">
        <f t="shared" si="5"/>
        <v>65</v>
      </c>
      <c r="CK38" s="746">
        <v>4</v>
      </c>
      <c r="CL38" s="747">
        <f>VLOOKUP(CJ38,'Ціни контур теплопостачання'!$Y$5:$AA$17,3,0)</f>
        <v>30.19184015363556</v>
      </c>
      <c r="CM38" s="748">
        <f t="shared" si="52"/>
        <v>120.76736061454224</v>
      </c>
      <c r="CN38" s="750">
        <f t="shared" si="6"/>
        <v>50</v>
      </c>
      <c r="CO38" s="746">
        <v>6</v>
      </c>
      <c r="CP38" s="747">
        <f>VLOOKUP(CN38,'Ціни контур теплопостачання'!$AO$20:$AQ$29,3,0)</f>
        <v>37.588411955788914</v>
      </c>
      <c r="CQ38" s="748">
        <f t="shared" si="53"/>
        <v>225.53047173473348</v>
      </c>
      <c r="CR38" s="750">
        <f t="shared" si="7"/>
        <v>32</v>
      </c>
      <c r="CS38" s="746">
        <v>3</v>
      </c>
      <c r="CT38" s="747">
        <f>VLOOKUP(CR38,'Ціни контур теплопостачання'!$AO$20:$AQ$29,3,0)</f>
        <v>10.381</v>
      </c>
      <c r="CU38" s="748">
        <f t="shared" si="54"/>
        <v>31.143000000000001</v>
      </c>
      <c r="CV38" s="757">
        <f t="shared" si="8"/>
        <v>40</v>
      </c>
      <c r="CW38" s="746">
        <f t="shared" si="9"/>
        <v>6</v>
      </c>
      <c r="CX38" s="747">
        <f>VLOOKUP(CV38,'Ціни контур теплопостачання'!$Y$5:$AA$17,3,0)</f>
        <v>18.42400964308333</v>
      </c>
      <c r="CY38" s="748">
        <f t="shared" si="55"/>
        <v>110.54405785849998</v>
      </c>
      <c r="CZ38" s="745">
        <v>20</v>
      </c>
      <c r="DA38" s="749">
        <v>2</v>
      </c>
      <c r="DB38" s="747">
        <f>VLOOKUP(CZ38,'Ціни контур теплопостачання'!$Y$5:$AA$17,3,0)</f>
        <v>3.577</v>
      </c>
      <c r="DC38" s="748">
        <f t="shared" si="56"/>
        <v>7.1539999999999999</v>
      </c>
      <c r="DD38" s="745">
        <v>15</v>
      </c>
      <c r="DE38" s="745">
        <v>8</v>
      </c>
      <c r="DF38" s="758">
        <f>VLOOKUP(DD38,'Ціни контур теплопостачання'!$Y$5:$AA$17,3,0)</f>
        <v>2.464</v>
      </c>
      <c r="DG38" s="759">
        <f t="shared" si="57"/>
        <v>19.712</v>
      </c>
      <c r="DH38" s="745">
        <v>15</v>
      </c>
      <c r="DI38" s="745">
        <f t="shared" si="58"/>
        <v>38</v>
      </c>
      <c r="DJ38" s="758">
        <f>VLOOKUP(DH38,'Ціни контур мережний'!$J$71:$M$71,4,0)</f>
        <v>3.3865201135922525</v>
      </c>
      <c r="DK38" s="759">
        <f t="shared" si="59"/>
        <v>128.68776431650559</v>
      </c>
      <c r="DL38" s="751">
        <f t="shared" si="10"/>
        <v>65</v>
      </c>
      <c r="DM38" s="746">
        <v>1</v>
      </c>
      <c r="DN38" s="747">
        <f>VLOOKUP(DL38,'Ціни контур теплопостачання'!$K$5:$M$17,3,0)</f>
        <v>39.731999999999999</v>
      </c>
      <c r="DO38" s="748">
        <f t="shared" si="60"/>
        <v>39.731999999999999</v>
      </c>
      <c r="DP38" s="745">
        <f t="shared" si="11"/>
        <v>50</v>
      </c>
      <c r="DQ38" s="749">
        <v>1</v>
      </c>
      <c r="DR38" s="747">
        <f>VLOOKUP(DP38,'Ціни контур теплопостачання'!$K$5:$M$17,3,0)</f>
        <v>26.284999999999997</v>
      </c>
      <c r="DS38" s="748">
        <f t="shared" si="61"/>
        <v>26.284999999999997</v>
      </c>
      <c r="DT38" s="745">
        <f t="shared" si="12"/>
        <v>32</v>
      </c>
      <c r="DU38" s="745">
        <v>1</v>
      </c>
      <c r="DV38" s="758">
        <f>VLOOKUP(DT38,'Ціни контур теплопостачання'!$K$5:$M$17,3,0)</f>
        <v>9.48</v>
      </c>
      <c r="DW38" s="759">
        <f t="shared" si="62"/>
        <v>9.48</v>
      </c>
      <c r="DX38" s="745">
        <f t="shared" si="63"/>
        <v>65</v>
      </c>
      <c r="DY38" s="745">
        <v>1</v>
      </c>
      <c r="DZ38" s="758">
        <f>VLOOKUP(DX38,'Ціни контур теплопостачання'!$Y$24:$AA$36,3,0)</f>
        <v>42.080999999999996</v>
      </c>
      <c r="EA38" s="759">
        <f t="shared" si="64"/>
        <v>42.080999999999996</v>
      </c>
      <c r="EB38" s="751">
        <f t="shared" si="13"/>
        <v>65</v>
      </c>
      <c r="EC38" s="746">
        <v>2</v>
      </c>
      <c r="ED38" s="747">
        <f>VLOOKUP(EB38,'Ціни контур теплопостачання'!$Y$24:$AA$36,3,0)</f>
        <v>42.080999999999996</v>
      </c>
      <c r="EE38" s="748">
        <f t="shared" si="65"/>
        <v>84.161999999999992</v>
      </c>
      <c r="EF38" s="745">
        <f t="shared" si="14"/>
        <v>50</v>
      </c>
      <c r="EG38" s="749">
        <v>1</v>
      </c>
      <c r="EH38" s="747">
        <f>VLOOKUP(EF38,'Ціни контур теплопостачання'!$AO$38:$AQ$50,3,0)</f>
        <v>28.560999999999996</v>
      </c>
      <c r="EI38" s="748">
        <f t="shared" si="66"/>
        <v>28.560999999999996</v>
      </c>
      <c r="EJ38" s="745">
        <f t="shared" si="15"/>
        <v>32</v>
      </c>
      <c r="EK38" s="745">
        <v>1</v>
      </c>
      <c r="EL38" s="758">
        <f>VLOOKUP(EJ38,'Ціни контур теплопостачання'!$AO$38:$AQ$50,3,0)</f>
        <v>10.773</v>
      </c>
      <c r="EM38" s="759">
        <f t="shared" si="67"/>
        <v>10.773</v>
      </c>
      <c r="EN38" s="745">
        <f t="shared" si="16"/>
        <v>40</v>
      </c>
      <c r="EO38" s="745">
        <f t="shared" si="17"/>
        <v>6</v>
      </c>
      <c r="EP38" s="758">
        <f>VLOOKUP(EN38,'Ціни контур теплопостачання'!$Y$76:$AA$88,3,0)</f>
        <v>16.809999999999999</v>
      </c>
      <c r="EQ38" s="759">
        <f t="shared" si="68"/>
        <v>100.85999999999999</v>
      </c>
      <c r="ER38" s="745">
        <f t="shared" si="18"/>
        <v>50</v>
      </c>
      <c r="ES38" s="745">
        <v>1</v>
      </c>
      <c r="ET38" s="758">
        <f>VLOOKUP(ER38,'Ціни контур теплопостачання'!$Y$76:$AA$88,3,0)</f>
        <v>20.6</v>
      </c>
      <c r="EU38" s="759">
        <f t="shared" si="69"/>
        <v>20.6</v>
      </c>
      <c r="EV38" s="745">
        <f t="shared" si="19"/>
        <v>32</v>
      </c>
      <c r="EW38" s="745">
        <v>1</v>
      </c>
      <c r="EX38" s="758">
        <f>VLOOKUP(EV38,'Ціни контур теплопостачання'!$Y$76:$AA$88,3,0)</f>
        <v>13.15</v>
      </c>
      <c r="EY38" s="759">
        <f t="shared" si="70"/>
        <v>13.15</v>
      </c>
      <c r="EZ38" s="758">
        <f t="shared" si="20"/>
        <v>26.621908271196485</v>
      </c>
      <c r="FA38" s="760">
        <v>32</v>
      </c>
      <c r="FB38" s="719">
        <v>2</v>
      </c>
      <c r="FC38" s="747">
        <f>VLOOKUP(FA38,'Ціни контур теплопостачання'!$K$74:$M$79,3,0)</f>
        <v>33.68</v>
      </c>
      <c r="FD38" s="761">
        <f t="shared" si="21"/>
        <v>67.36</v>
      </c>
      <c r="FE38" s="762">
        <f t="shared" si="71"/>
        <v>11.422037422037421</v>
      </c>
      <c r="FF38" s="911">
        <v>9</v>
      </c>
      <c r="FG38" s="900">
        <v>8</v>
      </c>
      <c r="FH38" s="830" t="s">
        <v>123</v>
      </c>
      <c r="FI38" s="708">
        <v>2</v>
      </c>
      <c r="FJ38" s="709">
        <f>VLOOKUP(FH38,'Ціни контур теплопостачання'!$C$89:$M$105,11,0)</f>
        <v>387.45599999999996</v>
      </c>
      <c r="FK38" s="764">
        <f t="shared" si="72"/>
        <v>774.91199999999992</v>
      </c>
      <c r="FL38" s="912">
        <f t="shared" si="73"/>
        <v>1.6186612576064909</v>
      </c>
      <c r="FM38" s="911">
        <v>9</v>
      </c>
      <c r="FN38" s="900">
        <v>9</v>
      </c>
      <c r="FO38" s="900" t="s">
        <v>1097</v>
      </c>
      <c r="FP38" s="749">
        <v>1</v>
      </c>
      <c r="FQ38" s="747">
        <f>VLOOKUP(FO38,'Ціни контур теплопостачання'!$C$89:$M$105,11,0)</f>
        <v>241.2</v>
      </c>
      <c r="FR38" s="904">
        <f t="shared" si="74"/>
        <v>241.2</v>
      </c>
      <c r="FS38" s="758">
        <f t="array" ref="FS38">MIN(IF('Ціни контур теплопостачання'!$AN$68:$AN$77&gt;(V38*1.2),'Ціни контур теплопостачання'!$AN$68:$AN$77))</f>
        <v>11.13</v>
      </c>
      <c r="FT38" s="749">
        <f>VLOOKUP(FS38,'Ціни контур теплопостачання'!$AN$68:$AO$77,2,0)</f>
        <v>32</v>
      </c>
      <c r="FU38" s="749">
        <f t="shared" si="22"/>
        <v>3</v>
      </c>
      <c r="FV38" s="747">
        <f>VLOOKUP(FT38,'Ціни контур теплопостачання'!$AO$68:$AQ$77,3,0)</f>
        <v>37.183999999999997</v>
      </c>
      <c r="FW38" s="765">
        <f t="shared" si="75"/>
        <v>111.55199999999999</v>
      </c>
      <c r="FX38" s="750">
        <v>15</v>
      </c>
      <c r="FY38" s="746">
        <v>2</v>
      </c>
      <c r="FZ38" s="747">
        <f>VLOOKUP(FX38,'Ціни контур мережний'!$J$73:$M$73,4,0)</f>
        <v>3.4649999999999999</v>
      </c>
      <c r="GA38" s="748">
        <f t="shared" si="76"/>
        <v>6.93</v>
      </c>
      <c r="GB38" s="750">
        <f>VLOOKUP(GC38,'Ціни контур теплопостачання'!$AN$6:$AO$13,2,0)</f>
        <v>32</v>
      </c>
      <c r="GC38" s="751">
        <f t="array" ref="GC38">MIN(IF('Ціни контур теплопостачання'!$AN$6:$AN$13&gt;N38,'Ціни контур теплопостачання'!$AN$6:$AN$13))</f>
        <v>6</v>
      </c>
      <c r="GD38" s="751">
        <v>1</v>
      </c>
      <c r="GE38" s="747">
        <f>VLOOKUP(GB38,'Ціни контур теплопостачання'!$AO$6:$AQ$13,3,0)</f>
        <v>85.682340000000011</v>
      </c>
      <c r="GF38" s="748">
        <f t="shared" si="77"/>
        <v>85.682340000000011</v>
      </c>
      <c r="GG38" s="750">
        <f t="shared" si="23"/>
        <v>50</v>
      </c>
      <c r="GH38" s="746">
        <v>1</v>
      </c>
      <c r="GI38" s="747">
        <f>VLOOKUP(GG38,'Ціни контур теплопостачання'!$AO$55:$AQ$63,3,0)</f>
        <v>355.5</v>
      </c>
      <c r="GJ38" s="768">
        <f t="shared" si="78"/>
        <v>355.5</v>
      </c>
      <c r="GK38" s="655" t="str">
        <f t="shared" si="91"/>
        <v>0-150</v>
      </c>
      <c r="GL38" s="720">
        <v>1</v>
      </c>
      <c r="GM38" s="747">
        <f>VLOOKUP(GK38,'Ціни контур мережний'!$I$79:$M$80,5,0)</f>
        <v>15.050156291498967</v>
      </c>
      <c r="GN38" s="748">
        <f t="shared" si="79"/>
        <v>15.050156291498967</v>
      </c>
      <c r="GO38" s="758" t="s">
        <v>109</v>
      </c>
      <c r="GP38" s="749">
        <v>5</v>
      </c>
      <c r="GQ38" s="747">
        <f>VLOOKUP(GO38,'Ціни контур мережний'!$I$79:$M$80,5,0)</f>
        <v>15.050156291498967</v>
      </c>
      <c r="GR38" s="765">
        <f t="shared" si="80"/>
        <v>75.250781457494838</v>
      </c>
      <c r="GS38" s="655" t="s">
        <v>108</v>
      </c>
      <c r="GT38" s="720">
        <v>5</v>
      </c>
      <c r="GU38" s="747">
        <f>VLOOKUP(GS38,'Ціни контур мережний'!$I$67:$M$69,5,0)</f>
        <v>4.4537969640631703</v>
      </c>
      <c r="GV38" s="748">
        <f t="shared" si="81"/>
        <v>22.26898482031585</v>
      </c>
      <c r="GW38" s="655" t="s">
        <v>106</v>
      </c>
      <c r="GX38" s="720">
        <f t="shared" si="94"/>
        <v>14</v>
      </c>
      <c r="GY38" s="747">
        <f>VLOOKUP(GW38,'Ціни контур мережний'!$I$67:$M$69,5,0)</f>
        <v>4.4537969640631703</v>
      </c>
      <c r="GZ38" s="748">
        <f t="shared" si="82"/>
        <v>62.353157496884386</v>
      </c>
      <c r="HA38" s="655" t="s">
        <v>1013</v>
      </c>
      <c r="HB38" s="720">
        <v>4</v>
      </c>
      <c r="HC38" s="747">
        <f>VLOOKUP(HA38,'Ціни контур мережний'!$I$64:$M$64,5,0)</f>
        <v>29.1312</v>
      </c>
      <c r="HD38" s="748">
        <f t="shared" si="83"/>
        <v>116.5248</v>
      </c>
      <c r="HE38" s="766" t="s">
        <v>1015</v>
      </c>
      <c r="HF38" s="749">
        <v>6</v>
      </c>
      <c r="HG38" s="747">
        <f>VLOOKUP(HE38,'Ціни контур мережний'!$I$89:$M$89,5,0)</f>
        <v>79.523165325760516</v>
      </c>
      <c r="HH38" s="765">
        <f t="shared" si="84"/>
        <v>477.1389919545631</v>
      </c>
      <c r="HI38" s="917" t="s">
        <v>1016</v>
      </c>
      <c r="HJ38" s="720">
        <f t="shared" si="92"/>
        <v>7</v>
      </c>
      <c r="HK38" s="747">
        <f>VLOOKUP(HI38,'Ціни контур мережний'!$I$88:$M$88,5,0)</f>
        <v>13.211568975967202</v>
      </c>
      <c r="HL38" s="768">
        <f t="shared" si="85"/>
        <v>92.480982831770419</v>
      </c>
      <c r="HM38" s="917" t="s">
        <v>383</v>
      </c>
      <c r="HN38" s="720">
        <v>1</v>
      </c>
      <c r="HO38" s="747">
        <f>VLOOKUP(HM38,'Ціни контур мережний'!$I$87:$M$87,5,0)</f>
        <v>13.483972460007763</v>
      </c>
      <c r="HP38" s="748">
        <f t="shared" si="86"/>
        <v>13.483972460007763</v>
      </c>
      <c r="HQ38" s="769">
        <f t="shared" si="24"/>
        <v>54</v>
      </c>
      <c r="HR38" s="770">
        <f t="shared" si="87"/>
        <v>6373.0542134353864</v>
      </c>
      <c r="HS38" s="771">
        <v>0</v>
      </c>
      <c r="HT38" s="771">
        <f>'Таблиця цін схема №1'!$JE$45/'Ціни контур мережний'!$G$26</f>
        <v>578.85740358619182</v>
      </c>
      <c r="HU38" s="770">
        <f>'Таблиця цін схема №1'!$JG$8</f>
        <v>661.80181284518619</v>
      </c>
      <c r="HV38" s="770">
        <f>'Таблиця цін схема №1'!$JH$8</f>
        <v>487.81784379022207</v>
      </c>
      <c r="HW38" s="770">
        <f>'Таблиця цін схема №1'!$JI$8</f>
        <v>323.47913729816605</v>
      </c>
      <c r="HX38" s="770">
        <f>'Таблиця цін схема №1'!$JJ$8</f>
        <v>66.611999999999995</v>
      </c>
      <c r="HY38" s="770">
        <f>'Таблиця цін схема №1'!$JK$28</f>
        <v>0</v>
      </c>
      <c r="HZ38" s="772">
        <f>'Таблиця цін схема №1'!$JL$8</f>
        <v>62.86234247089866</v>
      </c>
      <c r="IA38" s="770">
        <f>'Таблиця цін схема №1'!$JM$28</f>
        <v>0</v>
      </c>
      <c r="IB38" s="770">
        <v>0</v>
      </c>
      <c r="IC38" s="913">
        <f t="shared" si="25"/>
        <v>598.8139327398236</v>
      </c>
      <c r="ID38" s="914">
        <f t="shared" si="26"/>
        <v>855.44847534260498</v>
      </c>
      <c r="IE38" s="915">
        <f t="shared" si="27"/>
        <v>147.1583898345616</v>
      </c>
      <c r="IF38" s="776">
        <f>'Таблиця цін схема №1'!$JR$8</f>
        <v>300.63036461094771</v>
      </c>
      <c r="IG38" s="777">
        <f t="shared" si="88"/>
        <v>10456.535915953989</v>
      </c>
      <c r="II38" s="611">
        <f>[3]Расчеты!AX37/1.2</f>
        <v>4503.8297395772552</v>
      </c>
      <c r="IJ38" s="611">
        <f t="shared" si="89"/>
        <v>14960.365655531245</v>
      </c>
      <c r="IK38" s="611" t="e">
        <f>IJ38*1.2*#REF!</f>
        <v>#REF!</v>
      </c>
      <c r="IL38" s="611"/>
    </row>
    <row r="39" spans="1:246" ht="12.6" customHeight="1">
      <c r="A39" s="780"/>
      <c r="B39" s="905">
        <v>55</v>
      </c>
      <c r="C39" s="1056" t="s">
        <v>916</v>
      </c>
      <c r="D39" s="906">
        <v>0.33665</v>
      </c>
      <c r="E39" s="907">
        <v>0.26600000000000001</v>
      </c>
      <c r="F39" s="908">
        <f t="shared" si="28"/>
        <v>12.813345914513729</v>
      </c>
      <c r="G39" s="909">
        <v>65</v>
      </c>
      <c r="H39" s="598">
        <f t="shared" si="29"/>
        <v>6.0137549124687384</v>
      </c>
      <c r="I39" s="599">
        <v>50</v>
      </c>
      <c r="J39" s="598">
        <f t="shared" si="30"/>
        <v>13.997920997920996</v>
      </c>
      <c r="K39" s="599">
        <v>80</v>
      </c>
      <c r="L39" s="598">
        <f t="shared" si="31"/>
        <v>6.7995910020449903</v>
      </c>
      <c r="M39" s="599">
        <v>50</v>
      </c>
      <c r="N39" s="598">
        <f t="shared" si="32"/>
        <v>5.3955375253549702</v>
      </c>
      <c r="O39" s="599">
        <v>50</v>
      </c>
      <c r="P39" s="598">
        <f t="shared" si="93"/>
        <v>1.6186612576064909</v>
      </c>
      <c r="Q39" s="599">
        <v>32</v>
      </c>
      <c r="R39" s="598">
        <f t="shared" si="33"/>
        <v>8.5047337580011142</v>
      </c>
      <c r="S39" s="600">
        <f t="shared" si="34"/>
        <v>9.6160738136820889</v>
      </c>
      <c r="T39" s="910">
        <v>3</v>
      </c>
      <c r="U39" s="601">
        <f t="shared" si="35"/>
        <v>4.6659736659736657</v>
      </c>
      <c r="V39" s="601">
        <f t="shared" si="36"/>
        <v>6.5986832400956672</v>
      </c>
      <c r="W39" s="602">
        <v>40</v>
      </c>
      <c r="X39" s="745">
        <f t="shared" si="0"/>
        <v>65</v>
      </c>
      <c r="Y39" s="746">
        <v>2</v>
      </c>
      <c r="Z39" s="747">
        <f>VLOOKUP(X39,'Ціни контур мережний'!$Z$24:$AB$36,3,0)</f>
        <v>30.19184015363556</v>
      </c>
      <c r="AA39" s="748">
        <f t="shared" si="37"/>
        <v>60.383680307271121</v>
      </c>
      <c r="AB39" s="745">
        <f t="shared" si="1"/>
        <v>65</v>
      </c>
      <c r="AC39" s="749">
        <v>2</v>
      </c>
      <c r="AD39" s="747">
        <f>VLOOKUP(AB39,'Ціни контур мережний'!$Z$64:$AB$77,3,0)</f>
        <v>105.883234246566</v>
      </c>
      <c r="AE39" s="748">
        <f t="shared" si="38"/>
        <v>211.76646849313201</v>
      </c>
      <c r="AF39" s="745">
        <f t="shared" si="2"/>
        <v>65</v>
      </c>
      <c r="AG39" s="746">
        <v>1</v>
      </c>
      <c r="AH39" s="747">
        <f>VLOOKUP(AF39,'Ціни контур мережний'!$Z$5:$AB$17,3,0)</f>
        <v>39.731999999999999</v>
      </c>
      <c r="AI39" s="748">
        <f t="shared" si="39"/>
        <v>39.731999999999999</v>
      </c>
      <c r="AJ39" s="750">
        <f t="shared" si="3"/>
        <v>50</v>
      </c>
      <c r="AK39" s="746">
        <v>3</v>
      </c>
      <c r="AL39" s="747">
        <f>VLOOKUP(AJ39,'Ціни контур мережний'!$Z$43:$AB$55,3,0)</f>
        <v>23.2782130224622</v>
      </c>
      <c r="AM39" s="748">
        <f t="shared" si="40"/>
        <v>69.834639067386604</v>
      </c>
      <c r="AN39" s="745">
        <f t="shared" si="4"/>
        <v>50</v>
      </c>
      <c r="AO39" s="749">
        <v>4</v>
      </c>
      <c r="AP39" s="747">
        <f>VLOOKUP(AN39,'Ціни контур мережний'!$Z$43:$AB$55,3,0)</f>
        <v>23.2782130224622</v>
      </c>
      <c r="AQ39" s="759">
        <f t="shared" si="41"/>
        <v>93.112852089848801</v>
      </c>
      <c r="AR39" s="751" t="str">
        <f t="shared" si="42"/>
        <v>AMV20</v>
      </c>
      <c r="AS39" s="751">
        <v>1</v>
      </c>
      <c r="AT39" s="747">
        <f>VLOOKUP(AR39,'Ціни контур мережний'!$I$53:$M$57,5,0)</f>
        <v>110.39869654932889</v>
      </c>
      <c r="AU39" s="748">
        <f t="shared" si="43"/>
        <v>110.39869654932889</v>
      </c>
      <c r="AV39" s="752">
        <f t="array" ref="AV39">MIN(IF('Ціни контур мережний'!$Y$83:$Y$92&gt;(R39*1.2),'Ціни контур мережний'!$Y$83:$Y$92))</f>
        <v>16</v>
      </c>
      <c r="AW39" s="746">
        <f>VLOOKUP(AV39,'Ціни контур мережний'!$Y$83:$Z$92,2,0)</f>
        <v>32</v>
      </c>
      <c r="AX39" s="746">
        <v>1</v>
      </c>
      <c r="AY39" s="747">
        <f>VLOOKUP(AV39,'Ціни контур мережний'!$Y$83:$AB$92,4,0)</f>
        <v>130.5392363168325</v>
      </c>
      <c r="AZ39" s="748">
        <f t="shared" si="44"/>
        <v>130.5392363168325</v>
      </c>
      <c r="BA39" s="1099">
        <f t="array" ref="BA39">MIN(IF('[1]Ціни контур мережний'!$Y$104:$Y$114&gt;(R39*1.2),'[1]Ціни контур мережний'!$Y$104:$Y$114))</f>
        <v>12.5</v>
      </c>
      <c r="BB39" s="1101">
        <f>VLOOKUP(BA39,'[1]Ціни контур мережний'!$Y$104:$Z$114,2,0)</f>
        <v>32</v>
      </c>
      <c r="BC39" s="753">
        <v>1</v>
      </c>
      <c r="BD39" s="754">
        <f>VLOOKUP(BA39,'Ціни контур мережний'!$Y$104:$AB$114,4,0)</f>
        <v>435.76049604674444</v>
      </c>
      <c r="BE39" s="755">
        <f t="shared" si="45"/>
        <v>435.76049604674444</v>
      </c>
      <c r="BF39" s="751" t="s">
        <v>67</v>
      </c>
      <c r="BG39" s="749">
        <v>1</v>
      </c>
      <c r="BH39" s="747">
        <f>VLOOKUP(BF39,'Ціни контур мережний'!$I$53:$M$57,5,0)</f>
        <v>157.67238032974441</v>
      </c>
      <c r="BI39" s="768">
        <f t="shared" si="46"/>
        <v>157.67238032974441</v>
      </c>
      <c r="BJ39" s="894">
        <f t="array" ref="BJ39">MIN(IF('Ціни контур мережний'!$Y$83:$Y$93&gt;(S39*1.2),'Ціни контур мережний'!$Y$83:$Y$93))</f>
        <v>16</v>
      </c>
      <c r="BK39" s="895">
        <f>VLOOKUP(BJ39,'Ціни контур мережний'!$Y$83:$Z$93,2,0)</f>
        <v>32</v>
      </c>
      <c r="BL39" s="895">
        <v>1</v>
      </c>
      <c r="BM39" s="896">
        <f>VLOOKUP(BJ39,'Ціни контур мережний'!$Y$83:$AB$93,4,0)</f>
        <v>130.5392363168325</v>
      </c>
      <c r="BN39" s="916">
        <f t="shared" si="47"/>
        <v>130.5392363168325</v>
      </c>
      <c r="BO39" s="896">
        <f t="array" ref="BO39">MIN(IF('Ціни контур мережний'!$Y$104:$Y$114&gt;(S39*1.2),'Ціни контур мережний'!$Y$104:$Y$114))</f>
        <v>12.5</v>
      </c>
      <c r="BP39" s="895">
        <f>VLOOKUP(BO39,'Ціни контур мережний'!$Y$104:$Z$114,2,0)</f>
        <v>32</v>
      </c>
      <c r="BQ39" s="895">
        <v>1</v>
      </c>
      <c r="BR39" s="896">
        <f>VLOOKUP(BO39,'Ціни контур мережний'!$Y$104:$AB$114,4,0)</f>
        <v>435.76049604674444</v>
      </c>
      <c r="BS39" s="897">
        <f t="shared" si="48"/>
        <v>435.76049604674444</v>
      </c>
      <c r="BT39" s="751" t="s">
        <v>115</v>
      </c>
      <c r="BU39" s="751" t="s">
        <v>115</v>
      </c>
      <c r="BV39" s="746" t="s">
        <v>1025</v>
      </c>
      <c r="BW39" s="756">
        <v>0</v>
      </c>
      <c r="BX39" s="747">
        <v>0</v>
      </c>
      <c r="BY39" s="748">
        <f t="shared" si="49"/>
        <v>0</v>
      </c>
      <c r="BZ39" s="745">
        <f>VLOOKUP(CA39,'Ціни контур мережний'!$J$5:$L$12,3,0)</f>
        <v>40</v>
      </c>
      <c r="CA39" s="747">
        <f t="array" ref="CA39">MIN(IF('Ціни контур мережний'!$J$5:$J$12&gt;L39,'Ціни контур мережний'!$J$5:$J$12))</f>
        <v>10</v>
      </c>
      <c r="CB39" s="746" t="s">
        <v>130</v>
      </c>
      <c r="CC39" s="749">
        <v>1</v>
      </c>
      <c r="CD39" s="747">
        <f>VLOOKUP(CA39,'Ціни контур мережний'!$J$5:$N$12,5,0)</f>
        <v>375.23999999999995</v>
      </c>
      <c r="CE39" s="748">
        <f t="shared" si="50"/>
        <v>375.23999999999995</v>
      </c>
      <c r="CF39" s="898" t="s">
        <v>1360</v>
      </c>
      <c r="CG39" s="899">
        <v>1</v>
      </c>
      <c r="CH39" s="900">
        <v>613</v>
      </c>
      <c r="CI39" s="901">
        <f t="shared" si="51"/>
        <v>613</v>
      </c>
      <c r="CJ39" s="751">
        <f t="shared" si="5"/>
        <v>80</v>
      </c>
      <c r="CK39" s="746">
        <v>4</v>
      </c>
      <c r="CL39" s="747">
        <f>VLOOKUP(CJ39,'Ціни контур теплопостачання'!$Y$5:$AA$17,3,0)</f>
        <v>37.693832104112609</v>
      </c>
      <c r="CM39" s="748">
        <f t="shared" si="52"/>
        <v>150.77532841645044</v>
      </c>
      <c r="CN39" s="750">
        <f t="shared" si="6"/>
        <v>50</v>
      </c>
      <c r="CO39" s="746">
        <v>6</v>
      </c>
      <c r="CP39" s="747">
        <f>VLOOKUP(CN39,'Ціни контур теплопостачання'!$AO$20:$AQ$29,3,0)</f>
        <v>37.588411955788914</v>
      </c>
      <c r="CQ39" s="748">
        <f t="shared" si="53"/>
        <v>225.53047173473348</v>
      </c>
      <c r="CR39" s="750">
        <f t="shared" si="7"/>
        <v>32</v>
      </c>
      <c r="CS39" s="746">
        <v>3</v>
      </c>
      <c r="CT39" s="747">
        <f>VLOOKUP(CR39,'Ціни контур теплопостачання'!$AO$20:$AQ$29,3,0)</f>
        <v>10.381</v>
      </c>
      <c r="CU39" s="748">
        <f t="shared" si="54"/>
        <v>31.143000000000001</v>
      </c>
      <c r="CV39" s="757">
        <f t="shared" si="8"/>
        <v>40</v>
      </c>
      <c r="CW39" s="746">
        <f t="shared" si="9"/>
        <v>6</v>
      </c>
      <c r="CX39" s="747">
        <f>VLOOKUP(CV39,'Ціни контур теплопостачання'!$Y$5:$AA$17,3,0)</f>
        <v>18.42400964308333</v>
      </c>
      <c r="CY39" s="748">
        <f t="shared" si="55"/>
        <v>110.54405785849998</v>
      </c>
      <c r="CZ39" s="745">
        <v>20</v>
      </c>
      <c r="DA39" s="749">
        <v>2</v>
      </c>
      <c r="DB39" s="747">
        <f>VLOOKUP(CZ39,'Ціни контур теплопостачання'!$Y$5:$AA$17,3,0)</f>
        <v>3.577</v>
      </c>
      <c r="DC39" s="748">
        <f t="shared" si="56"/>
        <v>7.1539999999999999</v>
      </c>
      <c r="DD39" s="745">
        <v>15</v>
      </c>
      <c r="DE39" s="745">
        <v>8</v>
      </c>
      <c r="DF39" s="758">
        <f>VLOOKUP(DD39,'Ціни контур теплопостачання'!$Y$5:$AA$17,3,0)</f>
        <v>2.464</v>
      </c>
      <c r="DG39" s="759">
        <f t="shared" si="57"/>
        <v>19.712</v>
      </c>
      <c r="DH39" s="745">
        <v>15</v>
      </c>
      <c r="DI39" s="745">
        <f t="shared" si="58"/>
        <v>38</v>
      </c>
      <c r="DJ39" s="758">
        <f>VLOOKUP(DH39,'Ціни контур мережний'!$J$71:$M$71,4,0)</f>
        <v>3.3865201135922525</v>
      </c>
      <c r="DK39" s="759">
        <f t="shared" si="59"/>
        <v>128.68776431650559</v>
      </c>
      <c r="DL39" s="751">
        <f t="shared" si="10"/>
        <v>80</v>
      </c>
      <c r="DM39" s="746">
        <v>1</v>
      </c>
      <c r="DN39" s="747">
        <f>VLOOKUP(DL39,'Ціни контур теплопостачання'!$K$5:$M$17,3,0)</f>
        <v>50.12</v>
      </c>
      <c r="DO39" s="748">
        <f t="shared" si="60"/>
        <v>50.12</v>
      </c>
      <c r="DP39" s="745">
        <f t="shared" si="11"/>
        <v>50</v>
      </c>
      <c r="DQ39" s="749">
        <v>1</v>
      </c>
      <c r="DR39" s="747">
        <f>VLOOKUP(DP39,'Ціни контур теплопостачання'!$K$5:$M$17,3,0)</f>
        <v>26.284999999999997</v>
      </c>
      <c r="DS39" s="748">
        <f t="shared" si="61"/>
        <v>26.284999999999997</v>
      </c>
      <c r="DT39" s="745">
        <f t="shared" si="12"/>
        <v>32</v>
      </c>
      <c r="DU39" s="745">
        <v>1</v>
      </c>
      <c r="DV39" s="758">
        <f>VLOOKUP(DT39,'Ціни контур теплопостачання'!$K$5:$M$17,3,0)</f>
        <v>9.48</v>
      </c>
      <c r="DW39" s="759">
        <f t="shared" si="62"/>
        <v>9.48</v>
      </c>
      <c r="DX39" s="745">
        <f t="shared" si="63"/>
        <v>80</v>
      </c>
      <c r="DY39" s="745">
        <v>1</v>
      </c>
      <c r="DZ39" s="758">
        <f>VLOOKUP(DX39,'Ціни контур теплопостачання'!$Y$24:$AA$36,3,0)</f>
        <v>60.079499999999996</v>
      </c>
      <c r="EA39" s="759">
        <f t="shared" si="64"/>
        <v>60.079499999999996</v>
      </c>
      <c r="EB39" s="751">
        <f t="shared" si="13"/>
        <v>80</v>
      </c>
      <c r="EC39" s="746">
        <v>2</v>
      </c>
      <c r="ED39" s="747">
        <f>VLOOKUP(EB39,'Ціни контур теплопостачання'!$Y$24:$AA$36,3,0)</f>
        <v>60.079499999999996</v>
      </c>
      <c r="EE39" s="748">
        <f t="shared" si="65"/>
        <v>120.15899999999999</v>
      </c>
      <c r="EF39" s="745">
        <f t="shared" si="14"/>
        <v>50</v>
      </c>
      <c r="EG39" s="749">
        <v>1</v>
      </c>
      <c r="EH39" s="747">
        <f>VLOOKUP(EF39,'Ціни контур теплопостачання'!$AO$38:$AQ$50,3,0)</f>
        <v>28.560999999999996</v>
      </c>
      <c r="EI39" s="748">
        <f t="shared" si="66"/>
        <v>28.560999999999996</v>
      </c>
      <c r="EJ39" s="745">
        <f t="shared" si="15"/>
        <v>32</v>
      </c>
      <c r="EK39" s="745">
        <v>1</v>
      </c>
      <c r="EL39" s="758">
        <f>VLOOKUP(EJ39,'Ціни контур теплопостачання'!$AO$38:$AQ$50,3,0)</f>
        <v>10.773</v>
      </c>
      <c r="EM39" s="759">
        <f t="shared" si="67"/>
        <v>10.773</v>
      </c>
      <c r="EN39" s="745">
        <f t="shared" si="16"/>
        <v>40</v>
      </c>
      <c r="EO39" s="745">
        <f t="shared" si="17"/>
        <v>6</v>
      </c>
      <c r="EP39" s="758">
        <f>VLOOKUP(EN39,'Ціни контур теплопостачання'!$Y$76:$AA$88,3,0)</f>
        <v>16.809999999999999</v>
      </c>
      <c r="EQ39" s="759">
        <f t="shared" si="68"/>
        <v>100.85999999999999</v>
      </c>
      <c r="ER39" s="745">
        <f t="shared" si="18"/>
        <v>50</v>
      </c>
      <c r="ES39" s="745">
        <v>1</v>
      </c>
      <c r="ET39" s="758">
        <f>VLOOKUP(ER39,'Ціни контур теплопостачання'!$Y$76:$AA$88,3,0)</f>
        <v>20.6</v>
      </c>
      <c r="EU39" s="759">
        <f t="shared" si="69"/>
        <v>20.6</v>
      </c>
      <c r="EV39" s="745">
        <f t="shared" si="19"/>
        <v>32</v>
      </c>
      <c r="EW39" s="745">
        <v>1</v>
      </c>
      <c r="EX39" s="758">
        <f>VLOOKUP(EV39,'Ціни контур теплопостачання'!$Y$76:$AA$88,3,0)</f>
        <v>13.15</v>
      </c>
      <c r="EY39" s="759">
        <f t="shared" si="70"/>
        <v>13.15</v>
      </c>
      <c r="EZ39" s="758">
        <f t="shared" si="20"/>
        <v>29.471291115253159</v>
      </c>
      <c r="FA39" s="760">
        <v>32</v>
      </c>
      <c r="FB39" s="719">
        <v>2</v>
      </c>
      <c r="FC39" s="747">
        <f>VLOOKUP(FA39,'Ціни контур теплопостачання'!$K$74:$M$79,3,0)</f>
        <v>33.68</v>
      </c>
      <c r="FD39" s="761">
        <f t="shared" si="21"/>
        <v>67.36</v>
      </c>
      <c r="FE39" s="762">
        <f t="shared" si="71"/>
        <v>13.997920997920996</v>
      </c>
      <c r="FF39" s="911">
        <v>10</v>
      </c>
      <c r="FG39" s="900">
        <v>10</v>
      </c>
      <c r="FH39" s="830" t="s">
        <v>1090</v>
      </c>
      <c r="FI39" s="708">
        <v>2</v>
      </c>
      <c r="FJ39" s="709">
        <f>VLOOKUP(FH39,'Ціни контур теплопостачання'!$C$89:$M$105,11,0)</f>
        <v>648.69600000000003</v>
      </c>
      <c r="FK39" s="764">
        <f t="shared" si="72"/>
        <v>1297.3920000000001</v>
      </c>
      <c r="FL39" s="912">
        <f t="shared" si="73"/>
        <v>1.6186612576064909</v>
      </c>
      <c r="FM39" s="911">
        <v>10</v>
      </c>
      <c r="FN39" s="900">
        <v>11</v>
      </c>
      <c r="FO39" s="900" t="s">
        <v>1097</v>
      </c>
      <c r="FP39" s="749">
        <v>1</v>
      </c>
      <c r="FQ39" s="747">
        <f>VLOOKUP(FO39,'Ціни контур теплопостачання'!$C$89:$M$105,11,0)</f>
        <v>241.2</v>
      </c>
      <c r="FR39" s="904">
        <f t="shared" si="74"/>
        <v>241.2</v>
      </c>
      <c r="FS39" s="758">
        <f t="array" ref="FS39">MIN(IF('Ціни контур теплопостачання'!$AN$68:$AN$77&gt;(V39*1.2),'Ціни контур теплопостачання'!$AN$68:$AN$77))</f>
        <v>11.13</v>
      </c>
      <c r="FT39" s="749">
        <f>VLOOKUP(FS39,'Ціни контур теплопостачання'!$AN$68:$AO$77,2,0)</f>
        <v>32</v>
      </c>
      <c r="FU39" s="749">
        <f t="shared" si="22"/>
        <v>3</v>
      </c>
      <c r="FV39" s="747">
        <f>VLOOKUP(FT39,'Ціни контур теплопостачання'!$AO$68:$AQ$77,3,0)</f>
        <v>37.183999999999997</v>
      </c>
      <c r="FW39" s="765">
        <f t="shared" si="75"/>
        <v>111.55199999999999</v>
      </c>
      <c r="FX39" s="750">
        <v>15</v>
      </c>
      <c r="FY39" s="746">
        <v>2</v>
      </c>
      <c r="FZ39" s="747">
        <f>VLOOKUP(FX39,'Ціни контур мережний'!$J$73:$M$73,4,0)</f>
        <v>3.4649999999999999</v>
      </c>
      <c r="GA39" s="748">
        <f t="shared" si="76"/>
        <v>6.93</v>
      </c>
      <c r="GB39" s="750">
        <f>VLOOKUP(GC39,'Ціни контур теплопостачання'!$AN$6:$AO$13,2,0)</f>
        <v>32</v>
      </c>
      <c r="GC39" s="751">
        <f t="array" ref="GC39">MIN(IF('Ціни контур теплопостачання'!$AN$6:$AN$13&gt;N39,'Ціни контур теплопостачання'!$AN$6:$AN$13))</f>
        <v>6</v>
      </c>
      <c r="GD39" s="751">
        <v>1</v>
      </c>
      <c r="GE39" s="747">
        <f>VLOOKUP(GB39,'Ціни контур теплопостачання'!$AO$6:$AQ$13,3,0)</f>
        <v>85.682340000000011</v>
      </c>
      <c r="GF39" s="748">
        <f t="shared" si="77"/>
        <v>85.682340000000011</v>
      </c>
      <c r="GG39" s="750">
        <f t="shared" si="23"/>
        <v>50</v>
      </c>
      <c r="GH39" s="746">
        <v>1</v>
      </c>
      <c r="GI39" s="747">
        <f>VLOOKUP(GG39,'Ціни контур теплопостачання'!$AO$55:$AQ$63,3,0)</f>
        <v>355.5</v>
      </c>
      <c r="GJ39" s="768">
        <f t="shared" si="78"/>
        <v>355.5</v>
      </c>
      <c r="GK39" s="655" t="str">
        <f t="shared" si="91"/>
        <v>0-150</v>
      </c>
      <c r="GL39" s="720">
        <v>1</v>
      </c>
      <c r="GM39" s="747">
        <f>VLOOKUP(GK39,'Ціни контур мережний'!$I$79:$M$80,5,0)</f>
        <v>15.050156291498967</v>
      </c>
      <c r="GN39" s="748">
        <f t="shared" si="79"/>
        <v>15.050156291498967</v>
      </c>
      <c r="GO39" s="758" t="s">
        <v>109</v>
      </c>
      <c r="GP39" s="749">
        <v>5</v>
      </c>
      <c r="GQ39" s="747">
        <f>VLOOKUP(GO39,'Ціни контур мережний'!$I$79:$M$80,5,0)</f>
        <v>15.050156291498967</v>
      </c>
      <c r="GR39" s="765">
        <f t="shared" si="80"/>
        <v>75.250781457494838</v>
      </c>
      <c r="GS39" s="655" t="s">
        <v>108</v>
      </c>
      <c r="GT39" s="720">
        <v>5</v>
      </c>
      <c r="GU39" s="747">
        <f>VLOOKUP(GS39,'Ціни контур мережний'!$I$67:$M$69,5,0)</f>
        <v>4.4537969640631703</v>
      </c>
      <c r="GV39" s="748">
        <f t="shared" si="81"/>
        <v>22.26898482031585</v>
      </c>
      <c r="GW39" s="655" t="s">
        <v>106</v>
      </c>
      <c r="GX39" s="720">
        <f t="shared" si="94"/>
        <v>14</v>
      </c>
      <c r="GY39" s="747">
        <f>VLOOKUP(GW39,'Ціни контур мережний'!$I$67:$M$69,5,0)</f>
        <v>4.4537969640631703</v>
      </c>
      <c r="GZ39" s="748">
        <f t="shared" si="82"/>
        <v>62.353157496884386</v>
      </c>
      <c r="HA39" s="655" t="s">
        <v>1013</v>
      </c>
      <c r="HB39" s="720">
        <v>4</v>
      </c>
      <c r="HC39" s="747">
        <f>VLOOKUP(HA39,'Ціни контур мережний'!$I$64:$M$64,5,0)</f>
        <v>29.1312</v>
      </c>
      <c r="HD39" s="748">
        <f t="shared" si="83"/>
        <v>116.5248</v>
      </c>
      <c r="HE39" s="766" t="s">
        <v>1015</v>
      </c>
      <c r="HF39" s="749">
        <v>6</v>
      </c>
      <c r="HG39" s="747">
        <f>VLOOKUP(HE39,'Ціни контур мережний'!$I$89:$M$89,5,0)</f>
        <v>79.523165325760516</v>
      </c>
      <c r="HH39" s="765">
        <f t="shared" si="84"/>
        <v>477.1389919545631</v>
      </c>
      <c r="HI39" s="778" t="s">
        <v>1016</v>
      </c>
      <c r="HJ39" s="720">
        <f t="shared" si="92"/>
        <v>7</v>
      </c>
      <c r="HK39" s="747">
        <f>VLOOKUP(HI39,'Ціни контур мережний'!$I$88:$M$88,5,0)</f>
        <v>13.211568975967202</v>
      </c>
      <c r="HL39" s="768">
        <f t="shared" si="85"/>
        <v>92.480982831770419</v>
      </c>
      <c r="HM39" s="757" t="s">
        <v>383</v>
      </c>
      <c r="HN39" s="720">
        <v>1</v>
      </c>
      <c r="HO39" s="747">
        <f>VLOOKUP(HM39,'Ціни контур мережний'!$I$87:$M$87,5,0)</f>
        <v>13.483972460007763</v>
      </c>
      <c r="HP39" s="748">
        <f t="shared" si="86"/>
        <v>13.483972460007763</v>
      </c>
      <c r="HQ39" s="769">
        <f t="shared" si="24"/>
        <v>55</v>
      </c>
      <c r="HR39" s="770">
        <f t="shared" si="87"/>
        <v>7017.5224712025911</v>
      </c>
      <c r="HS39" s="771">
        <v>0</v>
      </c>
      <c r="HT39" s="771">
        <f>'Таблиця цін схема №1'!$JE$45/'Ціни контур мережний'!$G$26</f>
        <v>578.85740358619182</v>
      </c>
      <c r="HU39" s="770">
        <f>'Таблиця цін схема №1'!$JG$8</f>
        <v>661.80181284518619</v>
      </c>
      <c r="HV39" s="770">
        <f>'Таблиця цін схема №1'!$JH$8</f>
        <v>487.81784379022207</v>
      </c>
      <c r="HW39" s="770">
        <f>'Таблиця цін схема №1'!$JI$8</f>
        <v>323.47913729816605</v>
      </c>
      <c r="HX39" s="770">
        <f>'Таблиця цін схема №1'!$JJ$8</f>
        <v>66.611999999999995</v>
      </c>
      <c r="HY39" s="770">
        <f>'Таблиця цін схема №1'!$JK$28</f>
        <v>0</v>
      </c>
      <c r="HZ39" s="772">
        <f>'Таблиця цін схема №1'!$JL$8</f>
        <v>62.86234247089866</v>
      </c>
      <c r="IA39" s="770">
        <f>'Таблиця цін схема №1'!$JM$28</f>
        <v>0</v>
      </c>
      <c r="IB39" s="770">
        <v>0</v>
      </c>
      <c r="IC39" s="913">
        <f t="shared" si="25"/>
        <v>643.92671078352782</v>
      </c>
      <c r="ID39" s="914">
        <f t="shared" si="26"/>
        <v>919.8953011193255</v>
      </c>
      <c r="IE39" s="915">
        <f t="shared" si="27"/>
        <v>158.24484493339332</v>
      </c>
      <c r="IF39" s="776">
        <f>'Таблиця цін схема №1'!$JR$8</f>
        <v>300.63036461094771</v>
      </c>
      <c r="IG39" s="777">
        <f t="shared" si="88"/>
        <v>11221.65023264045</v>
      </c>
      <c r="II39" s="611">
        <f>[3]Расчеты!AX38/1.2</f>
        <v>4503.8297395772552</v>
      </c>
      <c r="IJ39" s="611">
        <f t="shared" si="89"/>
        <v>15725.479972217705</v>
      </c>
      <c r="IK39" s="611" t="e">
        <f>IJ39*1.2*#REF!</f>
        <v>#REF!</v>
      </c>
      <c r="IL39" s="611"/>
    </row>
    <row r="40" spans="1:246" ht="12.6" customHeight="1">
      <c r="A40" s="780"/>
      <c r="B40" s="905">
        <v>56</v>
      </c>
      <c r="C40" s="1058" t="s">
        <v>917</v>
      </c>
      <c r="D40" s="906">
        <v>0.36259999999999998</v>
      </c>
      <c r="E40" s="907">
        <v>0.27</v>
      </c>
      <c r="F40" s="920">
        <f t="shared" si="28"/>
        <v>13.37915381698547</v>
      </c>
      <c r="G40" s="921">
        <v>65</v>
      </c>
      <c r="H40" s="845">
        <f t="shared" si="29"/>
        <v>6.4773133261879234</v>
      </c>
      <c r="I40" s="846">
        <v>50</v>
      </c>
      <c r="J40" s="845">
        <f t="shared" si="30"/>
        <v>15.076923076923075</v>
      </c>
      <c r="K40" s="846">
        <v>80</v>
      </c>
      <c r="L40" s="845">
        <f t="shared" si="31"/>
        <v>6.9018404907975466</v>
      </c>
      <c r="M40" s="846">
        <v>50</v>
      </c>
      <c r="N40" s="845">
        <f t="shared" si="32"/>
        <v>5.4766734279918872</v>
      </c>
      <c r="O40" s="846">
        <v>50</v>
      </c>
      <c r="P40" s="845">
        <f t="shared" si="93"/>
        <v>1.6430020283975661</v>
      </c>
      <c r="Q40" s="846">
        <v>32</v>
      </c>
      <c r="R40" s="845">
        <f t="shared" si="33"/>
        <v>9.1603043536349436</v>
      </c>
      <c r="S40" s="847">
        <f>L40/SQRT(0.5)</f>
        <v>9.760676427421668</v>
      </c>
      <c r="T40" s="910">
        <v>1</v>
      </c>
      <c r="U40" s="848">
        <f t="shared" si="35"/>
        <v>15.076923076923075</v>
      </c>
      <c r="V40" s="848">
        <f t="shared" si="36"/>
        <v>21.321989094240507</v>
      </c>
      <c r="W40" s="849">
        <v>80</v>
      </c>
      <c r="X40" s="922">
        <f t="shared" si="0"/>
        <v>65</v>
      </c>
      <c r="Y40" s="923">
        <v>2</v>
      </c>
      <c r="Z40" s="924">
        <f>VLOOKUP(X40,'Ціни контур мережний'!$Z$24:$AB$36,3,0)</f>
        <v>30.19184015363556</v>
      </c>
      <c r="AA40" s="925">
        <f t="shared" si="37"/>
        <v>60.383680307271121</v>
      </c>
      <c r="AB40" s="922">
        <f t="shared" si="1"/>
        <v>65</v>
      </c>
      <c r="AC40" s="926">
        <v>2</v>
      </c>
      <c r="AD40" s="924">
        <f>VLOOKUP(AB40,'Ціни контур мережний'!$Z$64:$AB$77,3,0)</f>
        <v>105.883234246566</v>
      </c>
      <c r="AE40" s="925">
        <f t="shared" si="38"/>
        <v>211.76646849313201</v>
      </c>
      <c r="AF40" s="922">
        <f t="shared" si="2"/>
        <v>65</v>
      </c>
      <c r="AG40" s="923">
        <v>0</v>
      </c>
      <c r="AH40" s="924">
        <f>VLOOKUP(AF40,'Ціни контур мережний'!$Z$5:$AB$17,3,0)</f>
        <v>39.731999999999999</v>
      </c>
      <c r="AI40" s="925">
        <f t="shared" si="39"/>
        <v>0</v>
      </c>
      <c r="AJ40" s="927">
        <f t="shared" si="3"/>
        <v>50</v>
      </c>
      <c r="AK40" s="923">
        <v>1</v>
      </c>
      <c r="AL40" s="924">
        <f>VLOOKUP(AJ40,'Ціни контур мережний'!$Z$43:$AB$55,3,0)</f>
        <v>23.2782130224622</v>
      </c>
      <c r="AM40" s="925">
        <f t="shared" si="40"/>
        <v>23.2782130224622</v>
      </c>
      <c r="AN40" s="922">
        <f t="shared" si="4"/>
        <v>50</v>
      </c>
      <c r="AO40" s="926">
        <v>4</v>
      </c>
      <c r="AP40" s="924">
        <f>VLOOKUP(AN40,'Ціни контур мережний'!$Z$43:$AB$55,3,0)</f>
        <v>23.2782130224622</v>
      </c>
      <c r="AQ40" s="928">
        <f t="shared" si="41"/>
        <v>93.112852089848801</v>
      </c>
      <c r="AR40" s="929" t="str">
        <f t="shared" si="42"/>
        <v>AMV20</v>
      </c>
      <c r="AS40" s="929">
        <v>1</v>
      </c>
      <c r="AT40" s="924">
        <f>VLOOKUP(AR40,'Ціни контур мережний'!$I$53:$M$57,5,0)</f>
        <v>110.39869654932889</v>
      </c>
      <c r="AU40" s="925">
        <f t="shared" si="43"/>
        <v>110.39869654932889</v>
      </c>
      <c r="AV40" s="930">
        <f t="array" ref="AV40">MIN(IF('Ціни контур мережний'!$Y$83:$Y$92&gt;(R40*1.2),'Ціни контур мережний'!$Y$83:$Y$92))</f>
        <v>16</v>
      </c>
      <c r="AW40" s="923">
        <f>VLOOKUP(AV40,'Ціни контур мережний'!$Y$83:$Z$92,2,0)</f>
        <v>32</v>
      </c>
      <c r="AX40" s="923">
        <v>1</v>
      </c>
      <c r="AY40" s="924">
        <f>VLOOKUP(AV40,'Ціни контур мережний'!$Y$83:$AB$92,4,0)</f>
        <v>130.5392363168325</v>
      </c>
      <c r="AZ40" s="925">
        <f t="shared" si="44"/>
        <v>130.5392363168325</v>
      </c>
      <c r="BA40" s="1107">
        <f t="array" ref="BA40">MIN(IF('[1]Ціни контур мережний'!$Y$104:$Y$114&gt;(R40*1.2),'[1]Ціни контур мережний'!$Y$104:$Y$114))</f>
        <v>12.5</v>
      </c>
      <c r="BB40" s="1108">
        <f>VLOOKUP(BA40,'[1]Ціни контур мережний'!$Y$104:$Z$114,2,0)</f>
        <v>32</v>
      </c>
      <c r="BC40" s="931">
        <v>1</v>
      </c>
      <c r="BD40" s="932">
        <f>VLOOKUP(BA40,'Ціни контур мережний'!$Y$104:$AB$114,4,0)</f>
        <v>435.76049604674444</v>
      </c>
      <c r="BE40" s="933">
        <f t="shared" si="45"/>
        <v>435.76049604674444</v>
      </c>
      <c r="BF40" s="751" t="s">
        <v>67</v>
      </c>
      <c r="BG40" s="926">
        <v>1</v>
      </c>
      <c r="BH40" s="924">
        <f>VLOOKUP(BF40,'Ціни контур мережний'!$I$53:$M$57,5,0)</f>
        <v>157.67238032974441</v>
      </c>
      <c r="BI40" s="934">
        <f t="shared" si="46"/>
        <v>157.67238032974441</v>
      </c>
      <c r="BJ40" s="935">
        <f t="array" ref="BJ40">MIN(IF('Ціни контур мережний'!$Y$83:$Y$93&gt;(S40*1.2),'Ціни контур мережний'!$Y$83:$Y$93))</f>
        <v>16</v>
      </c>
      <c r="BK40" s="936">
        <f>VLOOKUP(BJ40,'Ціни контур мережний'!$Y$83:$Z$93,2,0)</f>
        <v>32</v>
      </c>
      <c r="BL40" s="937">
        <v>1</v>
      </c>
      <c r="BM40" s="938">
        <f>VLOOKUP(BJ40,'Ціни контур мережний'!$Y$83:$AB$93,4,0)</f>
        <v>130.5392363168325</v>
      </c>
      <c r="BN40" s="939">
        <f t="shared" si="47"/>
        <v>130.5392363168325</v>
      </c>
      <c r="BO40" s="938">
        <f t="array" ref="BO40">MIN(IF('Ціни контур мережний'!$Y$104:$Y$114&gt;S40,'Ціни контур мережний'!$Y$104:$Y$114))</f>
        <v>12.5</v>
      </c>
      <c r="BP40" s="936">
        <f>VLOOKUP(BO40,'Ціни контур мережний'!$Y$104:$Z$114,2,0)</f>
        <v>32</v>
      </c>
      <c r="BQ40" s="936">
        <v>1</v>
      </c>
      <c r="BR40" s="938">
        <f>VLOOKUP(BO40,'Ціни контур мережний'!$Y$104:$AB$114,4,0)</f>
        <v>435.76049604674444</v>
      </c>
      <c r="BS40" s="940">
        <f t="shared" si="48"/>
        <v>435.76049604674444</v>
      </c>
      <c r="BT40" s="929" t="s">
        <v>115</v>
      </c>
      <c r="BU40" s="929" t="s">
        <v>115</v>
      </c>
      <c r="BV40" s="746" t="s">
        <v>1025</v>
      </c>
      <c r="BW40" s="941">
        <v>0</v>
      </c>
      <c r="BX40" s="924">
        <v>0</v>
      </c>
      <c r="BY40" s="925">
        <f t="shared" si="49"/>
        <v>0</v>
      </c>
      <c r="BZ40" s="922">
        <f>VLOOKUP(CA40,'Ціни контур мережний'!$J$5:$L$12,3,0)</f>
        <v>40</v>
      </c>
      <c r="CA40" s="924">
        <f t="array" ref="CA40">MIN(IF('Ціни контур мережний'!$J$5:$J$12&gt;L40,'Ціни контур мережний'!$J$5:$J$12))</f>
        <v>10</v>
      </c>
      <c r="CB40" s="923" t="s">
        <v>130</v>
      </c>
      <c r="CC40" s="926">
        <v>1</v>
      </c>
      <c r="CD40" s="924">
        <f>VLOOKUP(CA40,'Ціни контур мережний'!$J$5:$N$12,5,0)</f>
        <v>375.23999999999995</v>
      </c>
      <c r="CE40" s="925">
        <f t="shared" si="50"/>
        <v>375.23999999999995</v>
      </c>
      <c r="CF40" s="942" t="s">
        <v>1346</v>
      </c>
      <c r="CG40" s="943">
        <v>1</v>
      </c>
      <c r="CH40" s="900">
        <v>645</v>
      </c>
      <c r="CI40" s="945">
        <f t="shared" si="51"/>
        <v>645</v>
      </c>
      <c r="CJ40" s="929">
        <f t="shared" si="5"/>
        <v>80</v>
      </c>
      <c r="CK40" s="923">
        <v>4</v>
      </c>
      <c r="CL40" s="924">
        <f>VLOOKUP(CJ40,'Ціни контур теплопостачання'!$Y$5:$AA$17,3,0)</f>
        <v>37.693832104112609</v>
      </c>
      <c r="CM40" s="925">
        <f t="shared" si="52"/>
        <v>150.77532841645044</v>
      </c>
      <c r="CN40" s="927">
        <f t="shared" si="6"/>
        <v>50</v>
      </c>
      <c r="CO40" s="923">
        <v>6</v>
      </c>
      <c r="CP40" s="924">
        <f>VLOOKUP(CN40,'Ціни контур теплопостачання'!$AO$20:$AQ$29,3,0)</f>
        <v>37.588411955788914</v>
      </c>
      <c r="CQ40" s="925">
        <f t="shared" si="53"/>
        <v>225.53047173473348</v>
      </c>
      <c r="CR40" s="927">
        <f t="shared" si="7"/>
        <v>32</v>
      </c>
      <c r="CS40" s="923">
        <v>3</v>
      </c>
      <c r="CT40" s="924">
        <f>VLOOKUP(CR40,'Ціни контур теплопостачання'!$AO$20:$AQ$29,3,0)</f>
        <v>10.381</v>
      </c>
      <c r="CU40" s="925">
        <f t="shared" si="54"/>
        <v>31.143000000000001</v>
      </c>
      <c r="CV40" s="946">
        <f t="shared" si="8"/>
        <v>80</v>
      </c>
      <c r="CW40" s="923">
        <f t="shared" si="9"/>
        <v>2</v>
      </c>
      <c r="CX40" s="924">
        <f>VLOOKUP(CV40,'Ціни контур теплопостачання'!$Y$5:$AA$17,3,0)</f>
        <v>37.693832104112609</v>
      </c>
      <c r="CY40" s="925">
        <f t="shared" si="55"/>
        <v>75.387664208225218</v>
      </c>
      <c r="CZ40" s="922">
        <v>20</v>
      </c>
      <c r="DA40" s="926">
        <v>2</v>
      </c>
      <c r="DB40" s="924">
        <f>VLOOKUP(CZ40,'Ціни контур теплопостачання'!$Y$5:$AA$17,3,0)</f>
        <v>3.577</v>
      </c>
      <c r="DC40" s="925">
        <f t="shared" si="56"/>
        <v>7.1539999999999999</v>
      </c>
      <c r="DD40" s="922">
        <v>15</v>
      </c>
      <c r="DE40" s="922">
        <v>8</v>
      </c>
      <c r="DF40" s="947">
        <f>VLOOKUP(DD40,'Ціни контур теплопостачання'!$Y$5:$AA$17,3,0)</f>
        <v>2.464</v>
      </c>
      <c r="DG40" s="928">
        <f t="shared" si="57"/>
        <v>19.712</v>
      </c>
      <c r="DH40" s="922">
        <v>15</v>
      </c>
      <c r="DI40" s="745">
        <f>35</f>
        <v>35</v>
      </c>
      <c r="DJ40" s="947">
        <f>VLOOKUP(DH40,'Ціни контур мережний'!$J$71:$M$71,4,0)</f>
        <v>3.3865201135922525</v>
      </c>
      <c r="DK40" s="928">
        <f t="shared" si="59"/>
        <v>118.52820397572884</v>
      </c>
      <c r="DL40" s="929">
        <f t="shared" si="10"/>
        <v>80</v>
      </c>
      <c r="DM40" s="923">
        <v>1</v>
      </c>
      <c r="DN40" s="924">
        <f>VLOOKUP(DL40,'Ціни контур теплопостачання'!$K$5:$M$17,3,0)</f>
        <v>50.12</v>
      </c>
      <c r="DO40" s="925">
        <f t="shared" si="60"/>
        <v>50.12</v>
      </c>
      <c r="DP40" s="922">
        <f t="shared" si="11"/>
        <v>50</v>
      </c>
      <c r="DQ40" s="926">
        <v>1</v>
      </c>
      <c r="DR40" s="924">
        <f>VLOOKUP(DP40,'Ціни контур теплопостачання'!$K$5:$M$17,3,0)</f>
        <v>26.284999999999997</v>
      </c>
      <c r="DS40" s="925">
        <f t="shared" si="61"/>
        <v>26.284999999999997</v>
      </c>
      <c r="DT40" s="922">
        <f t="shared" si="12"/>
        <v>32</v>
      </c>
      <c r="DU40" s="922">
        <v>1</v>
      </c>
      <c r="DV40" s="947">
        <f>VLOOKUP(DT40,'Ціни контур теплопостачання'!$K$5:$M$17,3,0)</f>
        <v>9.48</v>
      </c>
      <c r="DW40" s="928">
        <f t="shared" si="62"/>
        <v>9.48</v>
      </c>
      <c r="DX40" s="745">
        <f t="shared" si="63"/>
        <v>80</v>
      </c>
      <c r="DY40" s="745">
        <v>1</v>
      </c>
      <c r="DZ40" s="758">
        <f>VLOOKUP(DX40,'Ціни контур теплопостачання'!$Y$24:$AA$36,3,0)</f>
        <v>60.079499999999996</v>
      </c>
      <c r="EA40" s="759">
        <f t="shared" si="64"/>
        <v>60.079499999999996</v>
      </c>
      <c r="EB40" s="929">
        <f t="shared" si="13"/>
        <v>80</v>
      </c>
      <c r="EC40" s="923">
        <v>2</v>
      </c>
      <c r="ED40" s="924">
        <f>VLOOKUP(EB40,'Ціни контур теплопостачання'!$Y$24:$AA$36,3,0)</f>
        <v>60.079499999999996</v>
      </c>
      <c r="EE40" s="925">
        <f t="shared" si="65"/>
        <v>120.15899999999999</v>
      </c>
      <c r="EF40" s="922">
        <f t="shared" si="14"/>
        <v>50</v>
      </c>
      <c r="EG40" s="926">
        <v>1</v>
      </c>
      <c r="EH40" s="924">
        <f>VLOOKUP(EF40,'Ціни контур теплопостачання'!$AO$38:$AQ$50,3,0)</f>
        <v>28.560999999999996</v>
      </c>
      <c r="EI40" s="925">
        <f t="shared" si="66"/>
        <v>28.560999999999996</v>
      </c>
      <c r="EJ40" s="922">
        <f t="shared" si="15"/>
        <v>32</v>
      </c>
      <c r="EK40" s="922">
        <v>1</v>
      </c>
      <c r="EL40" s="947">
        <f>VLOOKUP(EJ40,'Ціни контур теплопостачання'!$AO$38:$AQ$50,3,0)</f>
        <v>10.773</v>
      </c>
      <c r="EM40" s="928">
        <f t="shared" si="67"/>
        <v>10.773</v>
      </c>
      <c r="EN40" s="922">
        <f t="shared" si="16"/>
        <v>80</v>
      </c>
      <c r="EO40" s="922">
        <f t="shared" si="17"/>
        <v>2</v>
      </c>
      <c r="EP40" s="947">
        <f>VLOOKUP(EN40,'Ціни контур теплопостачання'!$Y$76:$AA$88,3,0)</f>
        <v>31.42</v>
      </c>
      <c r="EQ40" s="928">
        <f t="shared" si="68"/>
        <v>62.84</v>
      </c>
      <c r="ER40" s="922">
        <f t="shared" si="18"/>
        <v>50</v>
      </c>
      <c r="ES40" s="922">
        <v>1</v>
      </c>
      <c r="ET40" s="947">
        <f>VLOOKUP(ER40,'Ціни контур теплопостачання'!$Y$76:$AA$88,3,0)</f>
        <v>20.6</v>
      </c>
      <c r="EU40" s="928">
        <f t="shared" si="69"/>
        <v>20.6</v>
      </c>
      <c r="EV40" s="922">
        <f t="shared" si="19"/>
        <v>32</v>
      </c>
      <c r="EW40" s="922">
        <v>1</v>
      </c>
      <c r="EX40" s="947">
        <f>VLOOKUP(EV40,'Ціни контур теплопостачання'!$Y$76:$AA$88,3,0)</f>
        <v>13.15</v>
      </c>
      <c r="EY40" s="928">
        <f t="shared" si="70"/>
        <v>13.15</v>
      </c>
      <c r="EZ40" s="947">
        <f t="shared" ref="EZ40:EZ73" si="95">((3*10^-6*D40*0.86*1000000)/(FB40*0.05))^0.5*10</f>
        <v>30.586075263099708</v>
      </c>
      <c r="FA40" s="948">
        <v>32</v>
      </c>
      <c r="FB40" s="666">
        <v>2</v>
      </c>
      <c r="FC40" s="747">
        <f>VLOOKUP(FA40,'Ціни контур теплопостачання'!$K$74:$M$79,3,0)</f>
        <v>33.68</v>
      </c>
      <c r="FD40" s="901">
        <f t="shared" ref="FD40:FD71" si="96">FB40*FC40</f>
        <v>67.36</v>
      </c>
      <c r="FE40" s="949">
        <f t="shared" si="71"/>
        <v>15.076923076923075</v>
      </c>
      <c r="FF40" s="911">
        <v>9</v>
      </c>
      <c r="FG40" s="900">
        <v>8</v>
      </c>
      <c r="FH40" s="830" t="s">
        <v>119</v>
      </c>
      <c r="FI40" s="720">
        <v>2</v>
      </c>
      <c r="FJ40" s="709">
        <f>VLOOKUP(FH40,'Ціни контур теплопостачання'!$C$89:$M$105,11,0)</f>
        <v>391.06799999999998</v>
      </c>
      <c r="FK40" s="748">
        <f t="shared" si="72"/>
        <v>782.13599999999997</v>
      </c>
      <c r="FL40" s="912">
        <f t="shared" si="73"/>
        <v>1.6430020283975661</v>
      </c>
      <c r="FM40" s="911">
        <v>9</v>
      </c>
      <c r="FN40" s="900">
        <v>9</v>
      </c>
      <c r="FO40" s="900" t="s">
        <v>1097</v>
      </c>
      <c r="FP40" s="926">
        <v>1</v>
      </c>
      <c r="FQ40" s="747">
        <f>VLOOKUP(FO40,'Ціни контур теплопостачання'!$C$89:$M$105,11,0)</f>
        <v>241.2</v>
      </c>
      <c r="FR40" s="748">
        <f t="shared" si="74"/>
        <v>241.2</v>
      </c>
      <c r="FS40" s="947">
        <f t="array" ref="FS40">MIN(IF('Ціни контур теплопостачання'!$AN$68:$AN$77&gt;(V40*1.2),'Ціни контур теплопостачання'!$AN$68:$AN$77))</f>
        <v>32.15</v>
      </c>
      <c r="FT40" s="926">
        <f>VLOOKUP(FS40,'Ціни контур теплопостачання'!$AN$68:$AO$77,2,0)</f>
        <v>50</v>
      </c>
      <c r="FU40" s="926">
        <v>0</v>
      </c>
      <c r="FV40" s="924">
        <f>VLOOKUP(FT40,'Ціни контур теплопостачання'!$AO$68:$AQ$77,3,0)</f>
        <v>0</v>
      </c>
      <c r="FW40" s="950">
        <f t="shared" si="75"/>
        <v>0</v>
      </c>
      <c r="FX40" s="927">
        <v>15</v>
      </c>
      <c r="FY40" s="923">
        <v>2</v>
      </c>
      <c r="FZ40" s="924">
        <f>VLOOKUP(FX40,'Ціни контур мережний'!$J$73:$M$73,4,0)</f>
        <v>3.4649999999999999</v>
      </c>
      <c r="GA40" s="925">
        <f t="shared" si="76"/>
        <v>6.93</v>
      </c>
      <c r="GB40" s="927">
        <f>VLOOKUP(GC40,'Ціни контур теплопостачання'!$AN$6:$AO$13,2,0)</f>
        <v>32</v>
      </c>
      <c r="GC40" s="929">
        <f t="array" ref="GC40">MIN(IF('Ціни контур теплопостачання'!$AN$6:$AN$13&gt;N40,'Ціни контур теплопостачання'!$AN$6:$AN$13))</f>
        <v>6</v>
      </c>
      <c r="GD40" s="929">
        <v>1</v>
      </c>
      <c r="GE40" s="924">
        <f>VLOOKUP(GB40,'Ціни контур теплопостачання'!$AO$6:$AQ$13,3,0)</f>
        <v>85.682340000000011</v>
      </c>
      <c r="GF40" s="925">
        <f t="shared" si="77"/>
        <v>85.682340000000011</v>
      </c>
      <c r="GG40" s="927">
        <f t="shared" si="23"/>
        <v>50</v>
      </c>
      <c r="GH40" s="923">
        <v>1</v>
      </c>
      <c r="GI40" s="924">
        <f>VLOOKUP(GG40,'Ціни контур теплопостачання'!$AO$55:$AQ$63,3,0)</f>
        <v>355.5</v>
      </c>
      <c r="GJ40" s="934">
        <f t="shared" si="78"/>
        <v>355.5</v>
      </c>
      <c r="GK40" s="875" t="str">
        <f t="shared" si="91"/>
        <v>0-150</v>
      </c>
      <c r="GL40" s="951">
        <v>1</v>
      </c>
      <c r="GM40" s="924">
        <f>VLOOKUP(GK40,'Ціни контур мережний'!$I$79:$M$80,5,0)</f>
        <v>15.050156291498967</v>
      </c>
      <c r="GN40" s="925">
        <f t="shared" si="79"/>
        <v>15.050156291498967</v>
      </c>
      <c r="GO40" s="947" t="s">
        <v>109</v>
      </c>
      <c r="GP40" s="926">
        <v>1</v>
      </c>
      <c r="GQ40" s="924">
        <f>VLOOKUP(GO40,'Ціни контур мережний'!$I$79:$M$80,5,0)</f>
        <v>15.050156291498967</v>
      </c>
      <c r="GR40" s="950">
        <f t="shared" si="80"/>
        <v>15.050156291498967</v>
      </c>
      <c r="GS40" s="875" t="s">
        <v>108</v>
      </c>
      <c r="GT40" s="951">
        <v>3</v>
      </c>
      <c r="GU40" s="924">
        <f>VLOOKUP(GS40,'Ціни контур мережний'!$I$67:$M$69,5,0)</f>
        <v>4.4537969640631703</v>
      </c>
      <c r="GV40" s="925">
        <f t="shared" si="81"/>
        <v>13.361390892189512</v>
      </c>
      <c r="GW40" s="875" t="s">
        <v>106</v>
      </c>
      <c r="GX40" s="951">
        <f>11</f>
        <v>11</v>
      </c>
      <c r="GY40" s="924">
        <f>VLOOKUP(GW40,'Ціни контур мережний'!$I$67:$M$69,5,0)</f>
        <v>4.4537969640631703</v>
      </c>
      <c r="GZ40" s="925">
        <f t="shared" si="82"/>
        <v>48.991766604694874</v>
      </c>
      <c r="HA40" s="655" t="s">
        <v>1013</v>
      </c>
      <c r="HB40" s="951">
        <v>4</v>
      </c>
      <c r="HC40" s="924">
        <f>VLOOKUP(HA40,'Ціни контур мережний'!$I$64:$M$64,5,0)</f>
        <v>29.1312</v>
      </c>
      <c r="HD40" s="925">
        <f t="shared" si="83"/>
        <v>116.5248</v>
      </c>
      <c r="HE40" s="766" t="s">
        <v>1015</v>
      </c>
      <c r="HF40" s="926">
        <v>6</v>
      </c>
      <c r="HG40" s="747">
        <f>VLOOKUP(HE40,'Ціни контур мережний'!$I$89:$M$89,5,0)</f>
        <v>79.523165325760516</v>
      </c>
      <c r="HH40" s="950">
        <f t="shared" si="84"/>
        <v>477.1389919545631</v>
      </c>
      <c r="HI40" s="917" t="s">
        <v>1016</v>
      </c>
      <c r="HJ40" s="951">
        <f t="shared" si="92"/>
        <v>7</v>
      </c>
      <c r="HK40" s="924">
        <f>VLOOKUP(HI40,'Ціни контур мережний'!$I$88:$M$88,5,0)</f>
        <v>13.211568975967202</v>
      </c>
      <c r="HL40" s="934">
        <f t="shared" si="85"/>
        <v>92.480982831770419</v>
      </c>
      <c r="HM40" s="917" t="s">
        <v>383</v>
      </c>
      <c r="HN40" s="951">
        <v>1</v>
      </c>
      <c r="HO40" s="924">
        <f>VLOOKUP(HM40,'Ціни контур мережний'!$I$87:$M$87,5,0)</f>
        <v>13.483972460007763</v>
      </c>
      <c r="HP40" s="925">
        <f t="shared" si="86"/>
        <v>13.483972460007763</v>
      </c>
      <c r="HQ40" s="769">
        <f t="shared" ref="HQ40:HQ73" si="97">B40</f>
        <v>56</v>
      </c>
      <c r="HR40" s="770">
        <f t="shared" si="87"/>
        <v>6170.6204811803027</v>
      </c>
      <c r="HS40" s="771">
        <v>0</v>
      </c>
      <c r="HT40" s="771">
        <f>'Таблиця цін схема №1'!$JE$45/'Ціни контур мережний'!$G$26</f>
        <v>578.85740358619182</v>
      </c>
      <c r="HU40" s="770">
        <f>'Таблиця цін схема №1'!$JG$8</f>
        <v>661.80181284518619</v>
      </c>
      <c r="HV40" s="770">
        <f>'Таблиця цін схема №1'!$JH$8</f>
        <v>487.81784379022207</v>
      </c>
      <c r="HW40" s="770">
        <f>'Таблиця цін схема №1'!$JI$8</f>
        <v>323.47913729816605</v>
      </c>
      <c r="HX40" s="770">
        <f>'Таблиця цін схема №1'!$JJ$8</f>
        <v>66.611999999999995</v>
      </c>
      <c r="HY40" s="770">
        <f>'Таблиця цін схема №1'!$JK$28</f>
        <v>0</v>
      </c>
      <c r="HZ40" s="772">
        <f>'Таблиця цін схема №1'!$JL$8</f>
        <v>62.86234247089866</v>
      </c>
      <c r="IA40" s="770">
        <f>'Таблиця цін схема №1'!$JM$28</f>
        <v>0</v>
      </c>
      <c r="IB40" s="770">
        <v>0</v>
      </c>
      <c r="IC40" s="952">
        <f t="shared" ref="IC40:IC71" si="98">SUM(HR40:IB40)*$IC$1</f>
        <v>584.64357148196768</v>
      </c>
      <c r="ID40" s="953">
        <f t="shared" ref="ID40:ID73" si="99">SUM(HR40:IB40)*$ID$1</f>
        <v>835.20510211709666</v>
      </c>
      <c r="IE40" s="954">
        <f t="shared" ref="IE40:IE71" si="100">ABS(SUM(HR40:ID40)*$IE$1-SUM(HR40:ID40))</f>
        <v>143.67602672964858</v>
      </c>
      <c r="IF40" s="776">
        <f>'Таблиця цін схема №1'!$JR$8</f>
        <v>300.63036461094771</v>
      </c>
      <c r="IG40" s="777">
        <f t="shared" si="88"/>
        <v>10216.206086110627</v>
      </c>
      <c r="II40" s="611">
        <f>[3]Расчеты!AX39/1.2</f>
        <v>4676.7942128596769</v>
      </c>
      <c r="IJ40" s="611">
        <f t="shared" si="89"/>
        <v>14893.000298970304</v>
      </c>
      <c r="IK40" s="611" t="e">
        <f>IJ40*1.2*#REF!</f>
        <v>#REF!</v>
      </c>
      <c r="IL40" s="611"/>
    </row>
    <row r="41" spans="1:246" s="780" customFormat="1" ht="12.6" customHeight="1">
      <c r="B41" s="905">
        <v>57</v>
      </c>
      <c r="C41" s="1056" t="s">
        <v>918</v>
      </c>
      <c r="D41" s="906">
        <v>0.29520000000000002</v>
      </c>
      <c r="E41" s="907">
        <v>0.32800000000000001</v>
      </c>
      <c r="F41" s="908">
        <f>H41+L41</f>
        <v>13.657769974815722</v>
      </c>
      <c r="G41" s="599">
        <v>65</v>
      </c>
      <c r="H41" s="598">
        <f>D41*1000/((130-70)*0.933)</f>
        <v>5.2733118971061099</v>
      </c>
      <c r="I41" s="599">
        <v>40</v>
      </c>
      <c r="J41" s="598">
        <f>D41*1000/((95-70)*0.962)</f>
        <v>12.274428274428276</v>
      </c>
      <c r="K41" s="599">
        <v>65</v>
      </c>
      <c r="L41" s="598">
        <f>E41*1000/((70-30)*0.978)</f>
        <v>8.3844580777096116</v>
      </c>
      <c r="M41" s="599">
        <v>50</v>
      </c>
      <c r="N41" s="598">
        <f>E41*1000/((55-5)*0.986)</f>
        <v>6.6531440162271807</v>
      </c>
      <c r="O41" s="599">
        <v>50</v>
      </c>
      <c r="P41" s="598">
        <f>N41*0.3</f>
        <v>1.995943204868154</v>
      </c>
      <c r="Q41" s="599">
        <v>32</v>
      </c>
      <c r="R41" s="598">
        <f>H41/SQRT(0.5)</f>
        <v>7.4575892035108549</v>
      </c>
      <c r="S41" s="600">
        <f>L41/SQRT(0.5)</f>
        <v>11.857414326645582</v>
      </c>
      <c r="T41" s="910">
        <v>2</v>
      </c>
      <c r="U41" s="601">
        <f>J41/T41</f>
        <v>6.137214137214138</v>
      </c>
      <c r="V41" s="601">
        <f>U41/SQRT(0.5)</f>
        <v>8.6793314680361267</v>
      </c>
      <c r="W41" s="850">
        <v>50</v>
      </c>
      <c r="X41" s="751">
        <f t="shared" si="0"/>
        <v>65</v>
      </c>
      <c r="Y41" s="746">
        <v>2</v>
      </c>
      <c r="Z41" s="747">
        <f>VLOOKUP(X41,'Ціни контур мережний'!$Z$24:$AB$36,3,0)</f>
        <v>30.19184015363556</v>
      </c>
      <c r="AA41" s="748">
        <f>Z41*Y41</f>
        <v>60.383680307271121</v>
      </c>
      <c r="AB41" s="749">
        <f t="shared" si="1"/>
        <v>65</v>
      </c>
      <c r="AC41" s="749">
        <v>2</v>
      </c>
      <c r="AD41" s="747">
        <f>VLOOKUP(AB41,'Ціни контур мережний'!$Z$64:$AB$77,3,0)</f>
        <v>105.883234246566</v>
      </c>
      <c r="AE41" s="748">
        <f>AC41*AD41</f>
        <v>211.76646849313201</v>
      </c>
      <c r="AF41" s="746">
        <f t="shared" si="2"/>
        <v>65</v>
      </c>
      <c r="AG41" s="746">
        <v>0</v>
      </c>
      <c r="AH41" s="747">
        <f>VLOOKUP(AF41,'Ціни контур мережний'!$Z$5:$AB$17,3,0)</f>
        <v>39.731999999999999</v>
      </c>
      <c r="AI41" s="748">
        <f>AG41*AH41</f>
        <v>0</v>
      </c>
      <c r="AJ41" s="746">
        <f t="shared" si="3"/>
        <v>40</v>
      </c>
      <c r="AK41" s="746">
        <v>1</v>
      </c>
      <c r="AL41" s="747">
        <f>VLOOKUP(AJ41,'Ціни контур мережний'!$Z$43:$AB$55,3,0)</f>
        <v>18.42400964308333</v>
      </c>
      <c r="AM41" s="748">
        <f>AK41*AL41</f>
        <v>18.42400964308333</v>
      </c>
      <c r="AN41" s="745">
        <f t="shared" si="4"/>
        <v>50</v>
      </c>
      <c r="AO41" s="749">
        <v>4</v>
      </c>
      <c r="AP41" s="747">
        <f>VLOOKUP(AN41,'Ціни контур мережний'!$Z$43:$AB$55,3,0)</f>
        <v>23.2782130224622</v>
      </c>
      <c r="AQ41" s="759">
        <f>AO41*AP41</f>
        <v>93.112852089848801</v>
      </c>
      <c r="AR41" s="929" t="str">
        <f t="shared" si="42"/>
        <v>AMV20</v>
      </c>
      <c r="AS41" s="751">
        <v>1</v>
      </c>
      <c r="AT41" s="747">
        <f>VLOOKUP(AR41,'Ціни контур мережний'!$I$53:$M$57,5,0)</f>
        <v>110.39869654932889</v>
      </c>
      <c r="AU41" s="748">
        <f>AS41*AT41</f>
        <v>110.39869654932889</v>
      </c>
      <c r="AV41" s="752">
        <f t="array" ref="AV41">MIN(IF('Ціни контур мережний'!$Y$83:$Y$92&gt;(R41*1.2),'Ціни контур мережний'!$Y$83:$Y$92))</f>
        <v>10</v>
      </c>
      <c r="AW41" s="746">
        <f>VLOOKUP(AV41,'Ціни контур мережний'!$Y$83:$Z$92,2,0)</f>
        <v>25</v>
      </c>
      <c r="AX41" s="746">
        <v>1</v>
      </c>
      <c r="AY41" s="747">
        <f>VLOOKUP(AV41,'Ціни контур мережний'!$Y$83:$AB$92,4,0)</f>
        <v>117.50505648967251</v>
      </c>
      <c r="AZ41" s="748">
        <f>AX41*AY41</f>
        <v>117.50505648967251</v>
      </c>
      <c r="BA41" s="1099">
        <f t="array" ref="BA41">MIN(IF('[1]Ціни контур мережний'!$Y$104:$Y$114&gt;(R41*1.2),'[1]Ціни контур мережний'!$Y$104:$Y$114))</f>
        <v>12.5</v>
      </c>
      <c r="BB41" s="1101">
        <f>VLOOKUP(BA41,'[1]Ціни контур мережний'!$Y$104:$Z$114,2,0)</f>
        <v>32</v>
      </c>
      <c r="BC41" s="753">
        <v>1</v>
      </c>
      <c r="BD41" s="754">
        <f>VLOOKUP(BA41,'Ціни контур мережний'!$Y$104:$AB$114,4,0)</f>
        <v>435.76049604674444</v>
      </c>
      <c r="BE41" s="755">
        <f>BC41*BD41</f>
        <v>435.76049604674444</v>
      </c>
      <c r="BF41" s="751" t="s">
        <v>67</v>
      </c>
      <c r="BG41" s="749">
        <v>1</v>
      </c>
      <c r="BH41" s="747">
        <f>VLOOKUP(BF41,'Ціни контур мережний'!$I$53:$M$57,5,0)</f>
        <v>157.67238032974441</v>
      </c>
      <c r="BI41" s="768">
        <f>BG41*BH41</f>
        <v>157.67238032974441</v>
      </c>
      <c r="BJ41" s="894">
        <f t="array" ref="BJ41">MIN(IF('Ціни контур мережний'!$Y$83:$Y$93&gt;(S41*1.2),'Ціни контур мережний'!$Y$83:$Y$93))</f>
        <v>16</v>
      </c>
      <c r="BK41" s="895">
        <f>VLOOKUP(BJ41,'Ціни контур мережний'!$Y$83:$Z$93,2,0)</f>
        <v>32</v>
      </c>
      <c r="BL41" s="895">
        <v>1</v>
      </c>
      <c r="BM41" s="896">
        <f>VLOOKUP(BJ41,'Ціни контур мережний'!$Y$83:$AB$93,4,0)</f>
        <v>130.5392363168325</v>
      </c>
      <c r="BN41" s="916">
        <f>BL41*BM41</f>
        <v>130.5392363168325</v>
      </c>
      <c r="BO41" s="896">
        <f t="array" ref="BO41">MIN(IF('Ціни контур мережний'!$Y$104:$Y$114&gt;(S41*1.2),'Ціни контур мережний'!$Y$104:$Y$114))</f>
        <v>20</v>
      </c>
      <c r="BP41" s="895">
        <f>VLOOKUP(BO41,'Ціни контур мережний'!$Y$104:$Z$114,2,0)</f>
        <v>40</v>
      </c>
      <c r="BQ41" s="895">
        <v>1</v>
      </c>
      <c r="BR41" s="896">
        <f>VLOOKUP(BO41,'Ціни контур мережний'!$Y$104:$AB$114,4,0)</f>
        <v>448.22326189551967</v>
      </c>
      <c r="BS41" s="897">
        <f>BQ41*BR41</f>
        <v>448.22326189551967</v>
      </c>
      <c r="BT41" s="751" t="s">
        <v>115</v>
      </c>
      <c r="BU41" s="751" t="s">
        <v>115</v>
      </c>
      <c r="BV41" s="746" t="s">
        <v>1025</v>
      </c>
      <c r="BW41" s="756">
        <v>0</v>
      </c>
      <c r="BX41" s="747">
        <v>0</v>
      </c>
      <c r="BY41" s="748">
        <f>BW41*BX41</f>
        <v>0</v>
      </c>
      <c r="BZ41" s="745">
        <f>VLOOKUP(CA41,'Ціни контур мережний'!$J$5:$L$12,3,0)</f>
        <v>40</v>
      </c>
      <c r="CA41" s="747">
        <f t="array" ref="CA41">MIN(IF('Ціни контур мережний'!$J$5:$J$12&gt;L41,'Ціни контур мережний'!$J$5:$J$12))</f>
        <v>10</v>
      </c>
      <c r="CB41" s="746" t="s">
        <v>130</v>
      </c>
      <c r="CC41" s="749">
        <v>1</v>
      </c>
      <c r="CD41" s="747">
        <f>VLOOKUP(CA41,'Ціни контур мережний'!$J$5:$N$12,5,0)</f>
        <v>375.23999999999995</v>
      </c>
      <c r="CE41" s="748">
        <f>CC41*CD41</f>
        <v>375.23999999999995</v>
      </c>
      <c r="CF41" s="898" t="s">
        <v>1361</v>
      </c>
      <c r="CG41" s="899">
        <v>1</v>
      </c>
      <c r="CH41" s="900">
        <v>677</v>
      </c>
      <c r="CI41" s="901">
        <f>CG41*CH41</f>
        <v>677</v>
      </c>
      <c r="CJ41" s="751">
        <f t="shared" si="5"/>
        <v>65</v>
      </c>
      <c r="CK41" s="746">
        <v>4</v>
      </c>
      <c r="CL41" s="747">
        <f>VLOOKUP(CJ41,'Ціни контур теплопостачання'!$Y$5:$AA$17,3,0)</f>
        <v>30.19184015363556</v>
      </c>
      <c r="CM41" s="748">
        <f>CK41*CL41</f>
        <v>120.76736061454224</v>
      </c>
      <c r="CN41" s="746">
        <f t="shared" si="6"/>
        <v>50</v>
      </c>
      <c r="CO41" s="746">
        <v>6</v>
      </c>
      <c r="CP41" s="747">
        <f>VLOOKUP(CN41,'Ціни контур теплопостачання'!$AO$20:$AQ$29,3,0)</f>
        <v>37.588411955788914</v>
      </c>
      <c r="CQ41" s="748">
        <f>CO41*CP41</f>
        <v>225.53047173473348</v>
      </c>
      <c r="CR41" s="746">
        <f t="shared" si="7"/>
        <v>32</v>
      </c>
      <c r="CS41" s="746">
        <v>3</v>
      </c>
      <c r="CT41" s="747">
        <f>VLOOKUP(CR41,'Ціни контур теплопостачання'!$AO$20:$AQ$29,3,0)</f>
        <v>10.381</v>
      </c>
      <c r="CU41" s="748">
        <f>CS41*CT41</f>
        <v>31.143000000000001</v>
      </c>
      <c r="CV41" s="746">
        <f t="shared" si="8"/>
        <v>50</v>
      </c>
      <c r="CW41" s="746">
        <f t="shared" ref="CW41:CW73" si="101">2*T41</f>
        <v>4</v>
      </c>
      <c r="CX41" s="747">
        <f>VLOOKUP(CV41,'Ціни контур теплопостачання'!$Y$5:$AA$17,3,0)</f>
        <v>23.2782130224622</v>
      </c>
      <c r="CY41" s="748">
        <f>CW41*CX41</f>
        <v>93.112852089848801</v>
      </c>
      <c r="CZ41" s="745">
        <v>20</v>
      </c>
      <c r="DA41" s="749">
        <v>2</v>
      </c>
      <c r="DB41" s="747">
        <f>VLOOKUP(CZ41,'Ціни контур теплопостачання'!$Y$5:$AA$17,3,0)</f>
        <v>3.577</v>
      </c>
      <c r="DC41" s="748">
        <f>DA41*DB41</f>
        <v>7.1539999999999999</v>
      </c>
      <c r="DD41" s="745">
        <v>15</v>
      </c>
      <c r="DE41" s="745">
        <v>8</v>
      </c>
      <c r="DF41" s="758">
        <f>VLOOKUP(DD41,'Ціни контур теплопостачання'!$Y$5:$AA$17,3,0)</f>
        <v>2.464</v>
      </c>
      <c r="DG41" s="759">
        <f>DE41*DF41</f>
        <v>19.712</v>
      </c>
      <c r="DH41" s="745">
        <v>15</v>
      </c>
      <c r="DI41" s="745">
        <f t="shared" si="58"/>
        <v>37</v>
      </c>
      <c r="DJ41" s="758">
        <f>VLOOKUP(DH41,'Ціни контур мережний'!$J$71:$M$71,4,0)</f>
        <v>3.3865201135922525</v>
      </c>
      <c r="DK41" s="759">
        <f>DI41*DJ41</f>
        <v>125.30124420291334</v>
      </c>
      <c r="DL41" s="751">
        <f t="shared" si="10"/>
        <v>65</v>
      </c>
      <c r="DM41" s="746">
        <v>1</v>
      </c>
      <c r="DN41" s="747">
        <f>VLOOKUP(DL41,'Ціни контур теплопостачання'!$K$5:$M$17,3,0)</f>
        <v>39.731999999999999</v>
      </c>
      <c r="DO41" s="748">
        <f>DM41*DN41</f>
        <v>39.731999999999999</v>
      </c>
      <c r="DP41" s="745">
        <f t="shared" si="11"/>
        <v>50</v>
      </c>
      <c r="DQ41" s="749">
        <v>1</v>
      </c>
      <c r="DR41" s="747">
        <f>VLOOKUP(DP41,'Ціни контур теплопостачання'!$K$5:$M$17,3,0)</f>
        <v>26.284999999999997</v>
      </c>
      <c r="DS41" s="748">
        <f>DQ41*DR41</f>
        <v>26.284999999999997</v>
      </c>
      <c r="DT41" s="745">
        <f t="shared" si="12"/>
        <v>32</v>
      </c>
      <c r="DU41" s="745">
        <v>1</v>
      </c>
      <c r="DV41" s="758">
        <f>VLOOKUP(DT41,'Ціни контур теплопостачання'!$K$5:$M$17,3,0)</f>
        <v>9.48</v>
      </c>
      <c r="DW41" s="759">
        <f>DU41*DV41</f>
        <v>9.48</v>
      </c>
      <c r="DX41" s="745">
        <f t="shared" si="63"/>
        <v>65</v>
      </c>
      <c r="DY41" s="745">
        <v>1</v>
      </c>
      <c r="DZ41" s="758">
        <f>VLOOKUP(DX41,'Ціни контур теплопостачання'!$Y$24:$AA$36,3,0)</f>
        <v>42.080999999999996</v>
      </c>
      <c r="EA41" s="759">
        <f t="shared" si="64"/>
        <v>42.080999999999996</v>
      </c>
      <c r="EB41" s="751">
        <f t="shared" si="13"/>
        <v>65</v>
      </c>
      <c r="EC41" s="746">
        <v>2</v>
      </c>
      <c r="ED41" s="747">
        <f>VLOOKUP(EB41,'Ціни контур теплопостачання'!$Y$24:$AA$36,3,0)</f>
        <v>42.080999999999996</v>
      </c>
      <c r="EE41" s="748">
        <f>ED41*EC41</f>
        <v>84.161999999999992</v>
      </c>
      <c r="EF41" s="745">
        <f t="shared" si="14"/>
        <v>50</v>
      </c>
      <c r="EG41" s="749">
        <v>1</v>
      </c>
      <c r="EH41" s="747">
        <f>VLOOKUP(EF41,'Ціни контур теплопостачання'!$AO$38:$AQ$50,3,0)</f>
        <v>28.560999999999996</v>
      </c>
      <c r="EI41" s="748">
        <f>EG41*EH41</f>
        <v>28.560999999999996</v>
      </c>
      <c r="EJ41" s="745">
        <f t="shared" si="15"/>
        <v>32</v>
      </c>
      <c r="EK41" s="745">
        <v>1</v>
      </c>
      <c r="EL41" s="758">
        <f>VLOOKUP(EJ41,'Ціни контур теплопостачання'!$AO$38:$AQ$50,3,0)</f>
        <v>10.773</v>
      </c>
      <c r="EM41" s="759">
        <f>EK41*EL41</f>
        <v>10.773</v>
      </c>
      <c r="EN41" s="745">
        <f t="shared" si="16"/>
        <v>50</v>
      </c>
      <c r="EO41" s="745">
        <f t="shared" ref="EO41:EO73" si="102">2*T41</f>
        <v>4</v>
      </c>
      <c r="EP41" s="758">
        <f>VLOOKUP(EN41,'Ціни контур теплопостачання'!$Y$76:$AA$88,3,0)</f>
        <v>20.6</v>
      </c>
      <c r="EQ41" s="759">
        <f>EO41*EP41</f>
        <v>82.4</v>
      </c>
      <c r="ER41" s="745">
        <f t="shared" si="18"/>
        <v>50</v>
      </c>
      <c r="ES41" s="745">
        <v>1</v>
      </c>
      <c r="ET41" s="758">
        <f>VLOOKUP(ER41,'Ціни контур теплопостачання'!$Y$76:$AA$88,3,0)</f>
        <v>20.6</v>
      </c>
      <c r="EU41" s="759">
        <f>ES41*ET41</f>
        <v>20.6</v>
      </c>
      <c r="EV41" s="745">
        <f t="shared" si="19"/>
        <v>32</v>
      </c>
      <c r="EW41" s="745">
        <v>1</v>
      </c>
      <c r="EX41" s="758">
        <f>VLOOKUP(EV41,'Ціни контур теплопостачання'!$Y$76:$AA$88,3,0)</f>
        <v>13.15</v>
      </c>
      <c r="EY41" s="759">
        <f>EW41*EX41</f>
        <v>13.15</v>
      </c>
      <c r="EZ41" s="758">
        <f t="shared" si="95"/>
        <v>27.597391181051879</v>
      </c>
      <c r="FA41" s="955">
        <v>32</v>
      </c>
      <c r="FB41" s="666">
        <v>2</v>
      </c>
      <c r="FC41" s="747">
        <f>VLOOKUP(FA41,'Ціни контур теплопостачання'!$K$74:$M$79,3,0)</f>
        <v>33.68</v>
      </c>
      <c r="FD41" s="901">
        <f t="shared" si="96"/>
        <v>67.36</v>
      </c>
      <c r="FE41" s="949">
        <f t="shared" si="71"/>
        <v>12.274428274428276</v>
      </c>
      <c r="FF41" s="911">
        <v>10</v>
      </c>
      <c r="FG41" s="900">
        <v>10</v>
      </c>
      <c r="FH41" s="830" t="s">
        <v>1090</v>
      </c>
      <c r="FI41" s="720">
        <v>2</v>
      </c>
      <c r="FJ41" s="709">
        <f>VLOOKUP(FH41,'Ціни контур теплопостачання'!$C$89:$M$105,11,0)</f>
        <v>648.69600000000003</v>
      </c>
      <c r="FK41" s="748">
        <f>FI41*FJ41</f>
        <v>1297.3920000000001</v>
      </c>
      <c r="FL41" s="912">
        <f t="shared" si="73"/>
        <v>1.995943204868154</v>
      </c>
      <c r="FM41" s="911">
        <v>10</v>
      </c>
      <c r="FN41" s="900">
        <v>11</v>
      </c>
      <c r="FO41" s="900" t="s">
        <v>1097</v>
      </c>
      <c r="FP41" s="749">
        <v>1</v>
      </c>
      <c r="FQ41" s="747">
        <f>VLOOKUP(FO41,'Ціни контур теплопостачання'!$C$89:$M$105,11,0)</f>
        <v>241.2</v>
      </c>
      <c r="FR41" s="904">
        <f>FP41*FQ41</f>
        <v>241.2</v>
      </c>
      <c r="FS41" s="758">
        <f t="array" ref="FS41">MIN(IF('Ціни контур теплопостачання'!$AN$68:$AN$77&gt;(V41*1.2),'Ціни контур теплопостачання'!$AN$68:$AN$77))</f>
        <v>11.13</v>
      </c>
      <c r="FT41" s="749">
        <f>VLOOKUP(FS41,'Ціни контур теплопостачання'!$AN$68:$AO$77,2,0)</f>
        <v>32</v>
      </c>
      <c r="FU41" s="749">
        <f t="shared" ref="FU41:FU72" si="103">T41</f>
        <v>2</v>
      </c>
      <c r="FV41" s="747">
        <f>VLOOKUP(FT41,'Ціни контур теплопостачання'!$AO$68:$AQ$77,3,0)</f>
        <v>37.183999999999997</v>
      </c>
      <c r="FW41" s="765">
        <f>FU41*FV41</f>
        <v>74.367999999999995</v>
      </c>
      <c r="FX41" s="750">
        <v>15</v>
      </c>
      <c r="FY41" s="746">
        <v>2</v>
      </c>
      <c r="FZ41" s="747">
        <f>VLOOKUP(FX41,'Ціни контур мережний'!$J$73:$M$73,4,0)</f>
        <v>3.4649999999999999</v>
      </c>
      <c r="GA41" s="748">
        <f>FY41*FZ41</f>
        <v>6.93</v>
      </c>
      <c r="GB41" s="750">
        <f>VLOOKUP(GC41,'Ціни контур теплопостачання'!$AN$6:$AO$13,2,0)</f>
        <v>40</v>
      </c>
      <c r="GC41" s="751">
        <f t="array" ref="GC41">MIN(IF('Ціни контур теплопостачання'!$AN$6:$AN$13&gt;N41,'Ціни контур теплопостачання'!$AN$6:$AN$13))</f>
        <v>15</v>
      </c>
      <c r="GD41" s="751">
        <v>1</v>
      </c>
      <c r="GE41" s="747">
        <f>VLOOKUP(GB41,'Ціни контур теплопостачання'!$AO$6:$AQ$13,3,0)</f>
        <v>140.82444000000001</v>
      </c>
      <c r="GF41" s="748">
        <f>GE41*GD41</f>
        <v>140.82444000000001</v>
      </c>
      <c r="GG41" s="746">
        <f t="shared" si="23"/>
        <v>50</v>
      </c>
      <c r="GH41" s="746">
        <v>1</v>
      </c>
      <c r="GI41" s="747">
        <f>VLOOKUP(GG41,'Ціни контур теплопостачання'!$AO$55:$AQ$63,3,0)</f>
        <v>355.5</v>
      </c>
      <c r="GJ41" s="768">
        <f>GH41*GI41</f>
        <v>355.5</v>
      </c>
      <c r="GK41" s="655" t="s">
        <v>864</v>
      </c>
      <c r="GL41" s="720">
        <v>1</v>
      </c>
      <c r="GM41" s="747">
        <f>VLOOKUP(GK41,'Ціни контур мережний'!$I$79:$M$80,5,0)</f>
        <v>15.050156291498967</v>
      </c>
      <c r="GN41" s="748">
        <f>GL41*GM41</f>
        <v>15.050156291498967</v>
      </c>
      <c r="GO41" s="758" t="s">
        <v>109</v>
      </c>
      <c r="GP41" s="749">
        <v>1</v>
      </c>
      <c r="GQ41" s="747">
        <f>VLOOKUP(GO41,'Ціни контур мережний'!$I$79:$M$80,5,0)</f>
        <v>15.050156291498967</v>
      </c>
      <c r="GR41" s="765">
        <f>GP41*GQ41</f>
        <v>15.050156291498967</v>
      </c>
      <c r="GS41" s="655" t="s">
        <v>108</v>
      </c>
      <c r="GT41" s="720">
        <v>3</v>
      </c>
      <c r="GU41" s="747">
        <f>VLOOKUP(GS41,'Ціни контур мережний'!$I$67:$M$69,5,0)</f>
        <v>4.4537969640631703</v>
      </c>
      <c r="GV41" s="748">
        <f>GT41*GU41</f>
        <v>13.361390892189512</v>
      </c>
      <c r="GW41" s="655" t="s">
        <v>106</v>
      </c>
      <c r="GX41" s="720">
        <f>11+T41</f>
        <v>13</v>
      </c>
      <c r="GY41" s="747">
        <f>VLOOKUP(GW41,'Ціни контур мережний'!$I$67:$M$69,5,0)</f>
        <v>4.4537969640631703</v>
      </c>
      <c r="GZ41" s="748">
        <f>GX41*GY41</f>
        <v>57.899360532821213</v>
      </c>
      <c r="HA41" s="655" t="s">
        <v>1013</v>
      </c>
      <c r="HB41" s="720">
        <v>4</v>
      </c>
      <c r="HC41" s="747">
        <f>VLOOKUP(HA41,'Ціни контур мережний'!$I$64:$M$64,5,0)</f>
        <v>29.1312</v>
      </c>
      <c r="HD41" s="748">
        <f>HB41*HC41</f>
        <v>116.5248</v>
      </c>
      <c r="HE41" s="766" t="s">
        <v>1015</v>
      </c>
      <c r="HF41" s="749">
        <v>6</v>
      </c>
      <c r="HG41" s="747">
        <f>VLOOKUP(HE41,'Ціни контур мережний'!$I$89:$M$89,5,0)</f>
        <v>79.523165325760516</v>
      </c>
      <c r="HH41" s="765">
        <f>HF41*HG41</f>
        <v>477.1389919545631</v>
      </c>
      <c r="HI41" s="778" t="s">
        <v>1016</v>
      </c>
      <c r="HJ41" s="720">
        <v>7</v>
      </c>
      <c r="HK41" s="747">
        <f>VLOOKUP(HI41,'Ціни контур мережний'!$I$88:$M$88,5,0)</f>
        <v>13.211568975967202</v>
      </c>
      <c r="HL41" s="768">
        <f>HJ41*HK41</f>
        <v>92.480982831770419</v>
      </c>
      <c r="HM41" s="757" t="s">
        <v>383</v>
      </c>
      <c r="HN41" s="720">
        <v>1</v>
      </c>
      <c r="HO41" s="747">
        <f>VLOOKUP(HM41,'Ціни контур мережний'!$I$87:$M$87,5,0)</f>
        <v>13.483972460007763</v>
      </c>
      <c r="HP41" s="748">
        <f>HN41*HO41</f>
        <v>13.483972460007763</v>
      </c>
      <c r="HQ41" s="769">
        <f t="shared" si="97"/>
        <v>57</v>
      </c>
      <c r="HR41" s="770">
        <f t="shared" si="87"/>
        <v>6800.5353180575667</v>
      </c>
      <c r="HS41" s="771">
        <v>0</v>
      </c>
      <c r="HT41" s="771">
        <f>'Таблиця цін схема №1'!$JE$45/'Ціни контур мережний'!$G$26</f>
        <v>578.85740358619182</v>
      </c>
      <c r="HU41" s="770">
        <f>'Таблиця цін схема №1'!$JG$8</f>
        <v>661.80181284518619</v>
      </c>
      <c r="HV41" s="770">
        <f>'Таблиця цін схема №1'!$JH$8</f>
        <v>487.81784379022207</v>
      </c>
      <c r="HW41" s="770">
        <f>'Таблиця цін схема №1'!$JI$8</f>
        <v>323.47913729816605</v>
      </c>
      <c r="HX41" s="770">
        <f>'Таблиця цін схема №1'!$JJ$8</f>
        <v>66.611999999999995</v>
      </c>
      <c r="HY41" s="770">
        <f>'Таблиця цін схема №1'!$JK$28</f>
        <v>0</v>
      </c>
      <c r="HZ41" s="772">
        <f>'Таблиця цін схема №1'!$JL$8</f>
        <v>62.86234247089866</v>
      </c>
      <c r="IA41" s="770">
        <f>'Таблиця цін схема №1'!$JM$28</f>
        <v>0</v>
      </c>
      <c r="IB41" s="770">
        <v>0</v>
      </c>
      <c r="IC41" s="913">
        <f t="shared" si="98"/>
        <v>628.73761006337611</v>
      </c>
      <c r="ID41" s="914">
        <f t="shared" si="99"/>
        <v>898.19658580482303</v>
      </c>
      <c r="IE41" s="915">
        <f t="shared" si="100"/>
        <v>154.51212683382437</v>
      </c>
      <c r="IF41" s="776">
        <f>'Таблиця цін схема №1'!$JR$8</f>
        <v>300.63036461094771</v>
      </c>
      <c r="IG41" s="777">
        <f t="shared" si="88"/>
        <v>10964.042545361201</v>
      </c>
      <c r="II41" s="835"/>
      <c r="IJ41" s="835"/>
      <c r="IK41" s="835"/>
      <c r="IL41" s="835"/>
    </row>
    <row r="42" spans="1:246" s="780" customFormat="1" ht="12.6" customHeight="1">
      <c r="B42" s="905">
        <v>58</v>
      </c>
      <c r="C42" s="1056" t="s">
        <v>919</v>
      </c>
      <c r="D42" s="906">
        <v>0.37892999999999999</v>
      </c>
      <c r="E42" s="907">
        <v>0.22500000000000001</v>
      </c>
      <c r="F42" s="908">
        <f t="shared" si="28"/>
        <v>12.520558393992596</v>
      </c>
      <c r="G42" s="599">
        <v>65</v>
      </c>
      <c r="H42" s="598">
        <f t="shared" si="29"/>
        <v>6.7690246516613071</v>
      </c>
      <c r="I42" s="599">
        <v>50</v>
      </c>
      <c r="J42" s="598">
        <f t="shared" si="30"/>
        <v>15.755925155925155</v>
      </c>
      <c r="K42" s="599">
        <v>80</v>
      </c>
      <c r="L42" s="598">
        <f t="shared" si="31"/>
        <v>5.7515337423312891</v>
      </c>
      <c r="M42" s="599">
        <v>50</v>
      </c>
      <c r="N42" s="598">
        <f t="shared" si="32"/>
        <v>4.5638945233265726</v>
      </c>
      <c r="O42" s="599">
        <v>40</v>
      </c>
      <c r="P42" s="598">
        <f>N42*0.3</f>
        <v>1.3691683569979718</v>
      </c>
      <c r="Q42" s="599">
        <v>25</v>
      </c>
      <c r="R42" s="598">
        <f t="shared" si="33"/>
        <v>9.5728464664172357</v>
      </c>
      <c r="S42" s="600">
        <f t="shared" ref="S42:S72" si="104">L42/SQRT(0.5)</f>
        <v>8.1338970228513912</v>
      </c>
      <c r="T42" s="910">
        <v>1</v>
      </c>
      <c r="U42" s="601">
        <f t="shared" si="35"/>
        <v>15.755925155925155</v>
      </c>
      <c r="V42" s="601">
        <f t="shared" si="36"/>
        <v>22.282243043244776</v>
      </c>
      <c r="W42" s="850">
        <v>80</v>
      </c>
      <c r="X42" s="751">
        <f t="shared" si="0"/>
        <v>65</v>
      </c>
      <c r="Y42" s="746">
        <v>2</v>
      </c>
      <c r="Z42" s="747">
        <f>VLOOKUP(X42,'Ціни контур мережний'!$Z$24:$AB$36,3,0)</f>
        <v>30.19184015363556</v>
      </c>
      <c r="AA42" s="748">
        <f t="shared" ref="AA42:AA73" si="105">Z42*Y42</f>
        <v>60.383680307271121</v>
      </c>
      <c r="AB42" s="749">
        <f t="shared" si="1"/>
        <v>65</v>
      </c>
      <c r="AC42" s="749">
        <v>2</v>
      </c>
      <c r="AD42" s="747">
        <f>VLOOKUP(AB42,'Ціни контур мережний'!$Z$64:$AB$77,3,0)</f>
        <v>105.883234246566</v>
      </c>
      <c r="AE42" s="748">
        <f t="shared" ref="AE42:AE73" si="106">AC42*AD42</f>
        <v>211.76646849313201</v>
      </c>
      <c r="AF42" s="746">
        <f t="shared" si="2"/>
        <v>65</v>
      </c>
      <c r="AG42" s="746">
        <v>1</v>
      </c>
      <c r="AH42" s="747">
        <f>VLOOKUP(AF42,'Ціни контур мережний'!$Z$5:$AB$17,3,0)</f>
        <v>39.731999999999999</v>
      </c>
      <c r="AI42" s="748">
        <f t="shared" ref="AI42:AI73" si="107">AG42*AH42</f>
        <v>39.731999999999999</v>
      </c>
      <c r="AJ42" s="746">
        <f t="shared" si="3"/>
        <v>50</v>
      </c>
      <c r="AK42" s="746">
        <v>3</v>
      </c>
      <c r="AL42" s="747">
        <f>VLOOKUP(AJ42,'Ціни контур мережний'!$Z$43:$AB$55,3,0)</f>
        <v>23.2782130224622</v>
      </c>
      <c r="AM42" s="748">
        <f t="shared" ref="AM42:AM73" si="108">AK42*AL42</f>
        <v>69.834639067386604</v>
      </c>
      <c r="AN42" s="745">
        <f t="shared" si="4"/>
        <v>50</v>
      </c>
      <c r="AO42" s="749">
        <v>4</v>
      </c>
      <c r="AP42" s="747">
        <f>VLOOKUP(AN42,'Ціни контур мережний'!$Z$43:$AB$55,3,0)</f>
        <v>23.2782130224622</v>
      </c>
      <c r="AQ42" s="759">
        <f t="shared" ref="AQ42:AQ73" si="109">AO42*AP42</f>
        <v>93.112852089848801</v>
      </c>
      <c r="AR42" s="751" t="str">
        <f t="shared" si="42"/>
        <v>AMV20</v>
      </c>
      <c r="AS42" s="751">
        <v>1</v>
      </c>
      <c r="AT42" s="747">
        <f>VLOOKUP(AR42,'Ціни контур мережний'!$I$53:$M$57,5,0)</f>
        <v>110.39869654932889</v>
      </c>
      <c r="AU42" s="748">
        <f t="shared" ref="AU42:AU73" si="110">AS42*AT42</f>
        <v>110.39869654932889</v>
      </c>
      <c r="AV42" s="752">
        <f t="array" ref="AV42">MIN(IF('Ціни контур мережний'!$Y$83:$Y$92&gt;(R42*1.2),'Ціни контур мережний'!$Y$83:$Y$92))</f>
        <v>16</v>
      </c>
      <c r="AW42" s="746">
        <f>VLOOKUP(AV42,'Ціни контур мережний'!$Y$83:$Z$92,2,0)</f>
        <v>32</v>
      </c>
      <c r="AX42" s="746">
        <v>1</v>
      </c>
      <c r="AY42" s="747">
        <f>VLOOKUP(AV42,'Ціни контур мережний'!$Y$83:$AB$92,4,0)</f>
        <v>130.5392363168325</v>
      </c>
      <c r="AZ42" s="748">
        <f t="shared" ref="AZ42:AZ73" si="111">AX42*AY42</f>
        <v>130.5392363168325</v>
      </c>
      <c r="BA42" s="1099">
        <f t="array" ref="BA42">MIN(IF('[1]Ціни контур мережний'!$Y$104:$Y$114&gt;(R42*1.2),'[1]Ціни контур мережний'!$Y$104:$Y$114))</f>
        <v>12.5</v>
      </c>
      <c r="BB42" s="1101">
        <f>VLOOKUP(BA42,'[1]Ціни контур мережний'!$Y$104:$Z$114,2,0)</f>
        <v>32</v>
      </c>
      <c r="BC42" s="753">
        <v>1</v>
      </c>
      <c r="BD42" s="754">
        <f>VLOOKUP(BA42,'Ціни контур мережний'!$Y$104:$AB$114,4,0)</f>
        <v>435.76049604674444</v>
      </c>
      <c r="BE42" s="755">
        <f t="shared" ref="BE42:BE73" si="112">BC42*BD42</f>
        <v>435.76049604674444</v>
      </c>
      <c r="BF42" s="751" t="s">
        <v>67</v>
      </c>
      <c r="BG42" s="749">
        <v>1</v>
      </c>
      <c r="BH42" s="747">
        <f>VLOOKUP(BF42,'Ціни контур мережний'!$I$53:$M$57,5,0)</f>
        <v>157.67238032974441</v>
      </c>
      <c r="BI42" s="768">
        <f t="shared" ref="BI42:BI73" si="113">BG42*BH42</f>
        <v>157.67238032974441</v>
      </c>
      <c r="BJ42" s="894">
        <f t="array" ref="BJ42">MIN(IF('Ціни контур мережний'!$Y$83:$Y$93&gt;(S42*1.2),'Ціни контур мережний'!$Y$83:$Y$93))</f>
        <v>10</v>
      </c>
      <c r="BK42" s="895">
        <f>VLOOKUP(BJ42,'Ціни контур мережний'!$Y$83:$Z$93,2,0)</f>
        <v>25</v>
      </c>
      <c r="BL42" s="895">
        <v>1</v>
      </c>
      <c r="BM42" s="896">
        <f>VLOOKUP(BJ42,'Ціни контур мережний'!$Y$83:$AB$93,4,0)</f>
        <v>117.50505648967251</v>
      </c>
      <c r="BN42" s="916">
        <f t="shared" ref="BN42:BN73" si="114">BL42*BM42</f>
        <v>117.50505648967251</v>
      </c>
      <c r="BO42" s="896">
        <f t="array" ref="BO42">MIN(IF('Ціни контур мережний'!$Y$104:$Y$114&gt;(S42*1.2),'Ціни контур мережний'!$Y$104:$Y$114))</f>
        <v>12.5</v>
      </c>
      <c r="BP42" s="895">
        <f>VLOOKUP(BO42,'Ціни контур мережний'!$Y$104:$Z$114,2,0)</f>
        <v>32</v>
      </c>
      <c r="BQ42" s="895">
        <v>1</v>
      </c>
      <c r="BR42" s="896">
        <f>VLOOKUP(BO42,'Ціни контур мережний'!$Y$104:$AB$114,4,0)</f>
        <v>435.76049604674444</v>
      </c>
      <c r="BS42" s="897">
        <f t="shared" ref="BS42:BS73" si="115">BQ42*BR42</f>
        <v>435.76049604674444</v>
      </c>
      <c r="BT42" s="751" t="s">
        <v>115</v>
      </c>
      <c r="BU42" s="751" t="s">
        <v>115</v>
      </c>
      <c r="BV42" s="746" t="s">
        <v>1025</v>
      </c>
      <c r="BW42" s="756">
        <v>0</v>
      </c>
      <c r="BX42" s="747">
        <v>0</v>
      </c>
      <c r="BY42" s="748">
        <f t="shared" ref="BY42:BY73" si="116">BW42*BX42</f>
        <v>0</v>
      </c>
      <c r="BZ42" s="745">
        <f>VLOOKUP(CA42,'Ціни контур мережний'!$J$5:$L$12,3,0)</f>
        <v>25</v>
      </c>
      <c r="CA42" s="747">
        <f t="array" ref="CA42">MIN(IF('Ціни контур мережний'!$J$5:$J$12&gt;L42,'Ціни контур мережний'!$J$5:$J$12))</f>
        <v>6</v>
      </c>
      <c r="CB42" s="746" t="s">
        <v>130</v>
      </c>
      <c r="CC42" s="749">
        <v>1</v>
      </c>
      <c r="CD42" s="747">
        <f>VLOOKUP(CA42,'Ціни контур мережний'!$J$5:$N$12,5,0)</f>
        <v>341.25599999999997</v>
      </c>
      <c r="CE42" s="748">
        <f t="shared" ref="CE42:CE73" si="117">CC42*CD42</f>
        <v>341.25599999999997</v>
      </c>
      <c r="CF42" s="898" t="s">
        <v>1362</v>
      </c>
      <c r="CG42" s="899">
        <v>1</v>
      </c>
      <c r="CH42" s="900">
        <v>582</v>
      </c>
      <c r="CI42" s="901">
        <f t="shared" ref="CI42:CI73" si="118">CG42*CH42</f>
        <v>582</v>
      </c>
      <c r="CJ42" s="751">
        <f t="shared" si="5"/>
        <v>80</v>
      </c>
      <c r="CK42" s="746">
        <v>4</v>
      </c>
      <c r="CL42" s="747">
        <f>VLOOKUP(CJ42,'Ціни контур теплопостачання'!$Y$5:$AA$17,3,0)</f>
        <v>37.693832104112609</v>
      </c>
      <c r="CM42" s="748">
        <f t="shared" ref="CM42:CM73" si="119">CK42*CL42</f>
        <v>150.77532841645044</v>
      </c>
      <c r="CN42" s="746">
        <f t="shared" si="6"/>
        <v>40</v>
      </c>
      <c r="CO42" s="746">
        <v>6</v>
      </c>
      <c r="CP42" s="747">
        <f>VLOOKUP(CN42,'Ціни контур теплопостачання'!$AO$20:$AQ$29,3,0)</f>
        <v>37.980000000000004</v>
      </c>
      <c r="CQ42" s="748">
        <f t="shared" ref="CQ42:CQ73" si="120">CO42*CP42</f>
        <v>227.88000000000002</v>
      </c>
      <c r="CR42" s="746">
        <f t="shared" si="7"/>
        <v>25</v>
      </c>
      <c r="CS42" s="746">
        <v>3</v>
      </c>
      <c r="CT42" s="747">
        <f>VLOOKUP(CR42,'Ціни контур теплопостачання'!$AO$20:$AQ$29,3,0)</f>
        <v>6.3070000000000004</v>
      </c>
      <c r="CU42" s="748">
        <f t="shared" ref="CU42:CU73" si="121">CS42*CT42</f>
        <v>18.920999999999999</v>
      </c>
      <c r="CV42" s="746">
        <f t="shared" si="8"/>
        <v>80</v>
      </c>
      <c r="CW42" s="746">
        <f t="shared" si="101"/>
        <v>2</v>
      </c>
      <c r="CX42" s="747">
        <f>VLOOKUP(CV42,'Ціни контур теплопостачання'!$Y$5:$AA$17,3,0)</f>
        <v>37.693832104112609</v>
      </c>
      <c r="CY42" s="748">
        <f t="shared" ref="CY42:CY73" si="122">CW42*CX42</f>
        <v>75.387664208225218</v>
      </c>
      <c r="CZ42" s="745">
        <v>20</v>
      </c>
      <c r="DA42" s="749">
        <v>2</v>
      </c>
      <c r="DB42" s="747">
        <f>VLOOKUP(CZ42,'Ціни контур теплопостачання'!$Y$5:$AA$17,3,0)</f>
        <v>3.577</v>
      </c>
      <c r="DC42" s="748">
        <f t="shared" ref="DC42:DC73" si="123">DA42*DB42</f>
        <v>7.1539999999999999</v>
      </c>
      <c r="DD42" s="745">
        <v>15</v>
      </c>
      <c r="DE42" s="745">
        <v>8</v>
      </c>
      <c r="DF42" s="758">
        <f>VLOOKUP(DD42,'Ціни контур теплопостачання'!$Y$5:$AA$17,3,0)</f>
        <v>2.464</v>
      </c>
      <c r="DG42" s="759">
        <f t="shared" ref="DG42:DG73" si="124">DE42*DF42</f>
        <v>19.712</v>
      </c>
      <c r="DH42" s="745">
        <v>15</v>
      </c>
      <c r="DI42" s="745">
        <f>35</f>
        <v>35</v>
      </c>
      <c r="DJ42" s="758">
        <f>VLOOKUP(DH42,'Ціни контур мережний'!$J$71:$M$71,4,0)</f>
        <v>3.3865201135922525</v>
      </c>
      <c r="DK42" s="759">
        <f t="shared" ref="DK42:DK73" si="125">DI42*DJ42</f>
        <v>118.52820397572884</v>
      </c>
      <c r="DL42" s="751">
        <f t="shared" si="10"/>
        <v>80</v>
      </c>
      <c r="DM42" s="746">
        <v>1</v>
      </c>
      <c r="DN42" s="747">
        <f>VLOOKUP(DL42,'Ціни контур теплопостачання'!$K$5:$M$17,3,0)</f>
        <v>50.12</v>
      </c>
      <c r="DO42" s="748">
        <f t="shared" ref="DO42:DO73" si="126">DM42*DN42</f>
        <v>50.12</v>
      </c>
      <c r="DP42" s="745">
        <f t="shared" si="11"/>
        <v>40</v>
      </c>
      <c r="DQ42" s="749">
        <v>1</v>
      </c>
      <c r="DR42" s="747">
        <f>VLOOKUP(DP42,'Ціни контур теплопостачання'!$K$5:$M$17,3,0)</f>
        <v>23.225999999999999</v>
      </c>
      <c r="DS42" s="748">
        <f t="shared" ref="DS42:DS73" si="127">DQ42*DR42</f>
        <v>23.225999999999999</v>
      </c>
      <c r="DT42" s="745">
        <f t="shared" si="12"/>
        <v>25</v>
      </c>
      <c r="DU42" s="745">
        <v>1</v>
      </c>
      <c r="DV42" s="758">
        <f>VLOOKUP(DT42,'Ціни контур теплопостачання'!$K$5:$M$17,3,0)</f>
        <v>4.78</v>
      </c>
      <c r="DW42" s="759">
        <f t="shared" ref="DW42:DW73" si="128">DU42*DV42</f>
        <v>4.78</v>
      </c>
      <c r="DX42" s="745">
        <f t="shared" si="63"/>
        <v>80</v>
      </c>
      <c r="DY42" s="745">
        <v>1</v>
      </c>
      <c r="DZ42" s="758">
        <f>VLOOKUP(DX42,'Ціни контур теплопостачання'!$Y$24:$AA$36,3,0)</f>
        <v>60.079499999999996</v>
      </c>
      <c r="EA42" s="759">
        <f t="shared" si="64"/>
        <v>60.079499999999996</v>
      </c>
      <c r="EB42" s="751">
        <f t="shared" si="13"/>
        <v>80</v>
      </c>
      <c r="EC42" s="746">
        <v>2</v>
      </c>
      <c r="ED42" s="747">
        <f>VLOOKUP(EB42,'Ціни контур теплопостачання'!$Y$24:$AA$36,3,0)</f>
        <v>60.079499999999996</v>
      </c>
      <c r="EE42" s="748">
        <f t="shared" ref="EE42:EE73" si="129">ED42*EC42</f>
        <v>120.15899999999999</v>
      </c>
      <c r="EF42" s="745">
        <f t="shared" si="14"/>
        <v>40</v>
      </c>
      <c r="EG42" s="749">
        <v>1</v>
      </c>
      <c r="EH42" s="747">
        <f>VLOOKUP(EF42,'Ціни контур теплопостачання'!$AO$38:$AQ$50,3,0)</f>
        <v>20.3645</v>
      </c>
      <c r="EI42" s="748">
        <f t="shared" ref="EI42:EI73" si="130">EG42*EH42</f>
        <v>20.3645</v>
      </c>
      <c r="EJ42" s="745">
        <f t="shared" si="15"/>
        <v>25</v>
      </c>
      <c r="EK42" s="745">
        <v>1</v>
      </c>
      <c r="EL42" s="758">
        <f>VLOOKUP(EJ42,'Ціни контур теплопостачання'!$AO$38:$AQ$50,3,0)</f>
        <v>6.9659999999999993</v>
      </c>
      <c r="EM42" s="759">
        <f t="shared" ref="EM42:EM73" si="131">EK42*EL42</f>
        <v>6.9659999999999993</v>
      </c>
      <c r="EN42" s="745">
        <f t="shared" si="16"/>
        <v>80</v>
      </c>
      <c r="EO42" s="745">
        <f t="shared" si="102"/>
        <v>2</v>
      </c>
      <c r="EP42" s="758">
        <f>VLOOKUP(EN42,'Ціни контур теплопостачання'!$Y$76:$AA$88,3,0)</f>
        <v>31.42</v>
      </c>
      <c r="EQ42" s="759">
        <f t="shared" ref="EQ42:EQ73" si="132">EO42*EP42</f>
        <v>62.84</v>
      </c>
      <c r="ER42" s="745">
        <f t="shared" si="18"/>
        <v>40</v>
      </c>
      <c r="ES42" s="745">
        <v>1</v>
      </c>
      <c r="ET42" s="758">
        <f>VLOOKUP(ER42,'Ціни контур теплопостачання'!$Y$76:$AA$88,3,0)</f>
        <v>16.809999999999999</v>
      </c>
      <c r="EU42" s="759">
        <f t="shared" ref="EU42:EU73" si="133">ES42*ET42</f>
        <v>16.809999999999999</v>
      </c>
      <c r="EV42" s="745">
        <f t="shared" si="19"/>
        <v>25</v>
      </c>
      <c r="EW42" s="745">
        <v>1</v>
      </c>
      <c r="EX42" s="758">
        <f>VLOOKUP(EV42,'Ціни контур теплопостачання'!$Y$76:$AA$88,3,0)</f>
        <v>11.45</v>
      </c>
      <c r="EY42" s="759">
        <f t="shared" ref="EY42:EY73" si="134">EW42*EX42</f>
        <v>11.45</v>
      </c>
      <c r="EZ42" s="758">
        <f t="shared" si="95"/>
        <v>31.267225652430369</v>
      </c>
      <c r="FA42" s="955">
        <v>32</v>
      </c>
      <c r="FB42" s="719">
        <v>2</v>
      </c>
      <c r="FC42" s="747">
        <f>VLOOKUP(FA42,'Ціни контур теплопостачання'!$K$74:$M$79,3,0)</f>
        <v>33.68</v>
      </c>
      <c r="FD42" s="761">
        <f t="shared" si="96"/>
        <v>67.36</v>
      </c>
      <c r="FE42" s="949">
        <f t="shared" si="71"/>
        <v>15.755925155925155</v>
      </c>
      <c r="FF42" s="911">
        <v>9</v>
      </c>
      <c r="FG42" s="900">
        <v>8</v>
      </c>
      <c r="FH42" s="830" t="s">
        <v>1090</v>
      </c>
      <c r="FI42" s="708">
        <v>2</v>
      </c>
      <c r="FJ42" s="709">
        <f>VLOOKUP(FH42,'Ціни контур теплопостачання'!$C$89:$M$105,11,0)</f>
        <v>648.69600000000003</v>
      </c>
      <c r="FK42" s="764">
        <f t="shared" ref="FK42:FK73" si="135">FI42*FJ42</f>
        <v>1297.3920000000001</v>
      </c>
      <c r="FL42" s="912">
        <f t="shared" si="73"/>
        <v>1.3691683569979718</v>
      </c>
      <c r="FM42" s="911">
        <v>9</v>
      </c>
      <c r="FN42" s="900">
        <v>9</v>
      </c>
      <c r="FO42" s="900" t="s">
        <v>1097</v>
      </c>
      <c r="FP42" s="749">
        <v>1</v>
      </c>
      <c r="FQ42" s="747">
        <f>VLOOKUP(FO42,'Ціни контур теплопостачання'!$C$89:$M$105,11,0)</f>
        <v>241.2</v>
      </c>
      <c r="FR42" s="904">
        <f t="shared" ref="FR42:FR73" si="136">FP42*FQ42</f>
        <v>241.2</v>
      </c>
      <c r="FS42" s="758">
        <f t="array" ref="FS42">MIN(IF('Ціни контур теплопостачання'!$AN$68:$AN$77&gt;(V42*1.2),'Ціни контур теплопостачання'!$AN$68:$AN$77))</f>
        <v>32.15</v>
      </c>
      <c r="FT42" s="749">
        <f>VLOOKUP(FS42,'Ціни контур теплопостачання'!$AN$68:$AO$77,2,0)</f>
        <v>50</v>
      </c>
      <c r="FU42" s="749">
        <v>0</v>
      </c>
      <c r="FV42" s="747">
        <f>VLOOKUP(FT42,'Ціни контур теплопостачання'!$AO$68:$AQ$77,3,0)</f>
        <v>0</v>
      </c>
      <c r="FW42" s="765">
        <f t="shared" ref="FW42:FW73" si="137">FU42*FV42</f>
        <v>0</v>
      </c>
      <c r="FX42" s="750">
        <v>15</v>
      </c>
      <c r="FY42" s="746">
        <v>2</v>
      </c>
      <c r="FZ42" s="747">
        <f>VLOOKUP(FX42,'Ціни контур мережний'!$J$73:$M$73,4,0)</f>
        <v>3.4649999999999999</v>
      </c>
      <c r="GA42" s="748">
        <f t="shared" ref="GA42:GA73" si="138">FY42*FZ42</f>
        <v>6.93</v>
      </c>
      <c r="GB42" s="750">
        <f>VLOOKUP(GC42,'Ціни контур теплопостачання'!$AN$6:$AO$13,2,0)</f>
        <v>32</v>
      </c>
      <c r="GC42" s="751">
        <f t="array" ref="GC42">MIN(IF('Ціни контур теплопостачання'!$AN$6:$AN$13&gt;N42,'Ціни контур теплопостачання'!$AN$6:$AN$13))</f>
        <v>6</v>
      </c>
      <c r="GD42" s="751">
        <v>1</v>
      </c>
      <c r="GE42" s="747">
        <f>VLOOKUP(GB42,'Ціни контур теплопостачання'!$AO$6:$AQ$13,3,0)</f>
        <v>85.682340000000011</v>
      </c>
      <c r="GF42" s="748">
        <f t="shared" ref="GF42:GF73" si="139">GE42*GD42</f>
        <v>85.682340000000011</v>
      </c>
      <c r="GG42" s="746">
        <f t="shared" si="23"/>
        <v>40</v>
      </c>
      <c r="GH42" s="746">
        <v>1</v>
      </c>
      <c r="GI42" s="747">
        <f>VLOOKUP(GG42,'Ціни контур теплопостачання'!$AO$55:$AQ$63,3,0)</f>
        <v>193.55</v>
      </c>
      <c r="GJ42" s="768">
        <f t="shared" ref="GJ42:GJ73" si="140">GH42*GI42</f>
        <v>193.55</v>
      </c>
      <c r="GK42" s="655" t="str">
        <f>GK41</f>
        <v>0-150</v>
      </c>
      <c r="GL42" s="720">
        <v>1</v>
      </c>
      <c r="GM42" s="747">
        <f>VLOOKUP(GK42,'Ціни контур мережний'!$I$79:$M$80,5,0)</f>
        <v>15.050156291498967</v>
      </c>
      <c r="GN42" s="748">
        <f t="shared" ref="GN42:GN73" si="141">GL42*GM42</f>
        <v>15.050156291498967</v>
      </c>
      <c r="GO42" s="758" t="s">
        <v>109</v>
      </c>
      <c r="GP42" s="749">
        <v>5</v>
      </c>
      <c r="GQ42" s="747">
        <f>VLOOKUP(GO42,'Ціни контур мережний'!$I$79:$M$80,5,0)</f>
        <v>15.050156291498967</v>
      </c>
      <c r="GR42" s="765">
        <f t="shared" ref="GR42:GR73" si="142">GP42*GQ42</f>
        <v>75.250781457494838</v>
      </c>
      <c r="GS42" s="655" t="s">
        <v>108</v>
      </c>
      <c r="GT42" s="720">
        <v>5</v>
      </c>
      <c r="GU42" s="747">
        <f>VLOOKUP(GS42,'Ціни контур мережний'!$I$67:$M$69,5,0)</f>
        <v>4.4537969640631703</v>
      </c>
      <c r="GV42" s="748">
        <f t="shared" ref="GV42:GV73" si="143">GT42*GU42</f>
        <v>22.26898482031585</v>
      </c>
      <c r="GW42" s="655" t="s">
        <v>106</v>
      </c>
      <c r="GX42" s="720">
        <f>11</f>
        <v>11</v>
      </c>
      <c r="GY42" s="747">
        <f>VLOOKUP(GW42,'Ціни контур мережний'!$I$67:$M$69,5,0)</f>
        <v>4.4537969640631703</v>
      </c>
      <c r="GZ42" s="748">
        <f t="shared" ref="GZ42:GZ73" si="144">GX42*GY42</f>
        <v>48.991766604694874</v>
      </c>
      <c r="HA42" s="655" t="s">
        <v>1013</v>
      </c>
      <c r="HB42" s="720">
        <v>4</v>
      </c>
      <c r="HC42" s="747">
        <f>VLOOKUP(HA42,'Ціни контур мережний'!$I$64:$M$64,5,0)</f>
        <v>29.1312</v>
      </c>
      <c r="HD42" s="748">
        <f t="shared" ref="HD42:HD73" si="145">HB42*HC42</f>
        <v>116.5248</v>
      </c>
      <c r="HE42" s="766" t="s">
        <v>1015</v>
      </c>
      <c r="HF42" s="749">
        <v>6</v>
      </c>
      <c r="HG42" s="747">
        <f>VLOOKUP(HE42,'Ціни контур мережний'!$I$89:$M$89,5,0)</f>
        <v>79.523165325760516</v>
      </c>
      <c r="HH42" s="765">
        <f t="shared" ref="HH42:HH73" si="146">HF42*HG42</f>
        <v>477.1389919545631</v>
      </c>
      <c r="HI42" s="917" t="s">
        <v>1016</v>
      </c>
      <c r="HJ42" s="720">
        <v>7</v>
      </c>
      <c r="HK42" s="747">
        <f>VLOOKUP(HI42,'Ціни контур мережний'!$I$88:$M$88,5,0)</f>
        <v>13.211568975967202</v>
      </c>
      <c r="HL42" s="768">
        <f t="shared" ref="HL42:HL73" si="147">HJ42*HK42</f>
        <v>92.480982831770419</v>
      </c>
      <c r="HM42" s="917" t="s">
        <v>383</v>
      </c>
      <c r="HN42" s="720">
        <v>1</v>
      </c>
      <c r="HO42" s="747">
        <f>VLOOKUP(HM42,'Ціни контур мережний'!$I$87:$M$87,5,0)</f>
        <v>13.483972460007763</v>
      </c>
      <c r="HP42" s="748">
        <f t="shared" ref="HP42:HP73" si="148">HN42*HO42</f>
        <v>13.483972460007763</v>
      </c>
      <c r="HQ42" s="769">
        <f t="shared" si="97"/>
        <v>58</v>
      </c>
      <c r="HR42" s="770">
        <f t="shared" si="87"/>
        <v>6534.1799747574569</v>
      </c>
      <c r="HS42" s="771">
        <v>0</v>
      </c>
      <c r="HT42" s="771">
        <f>'Таблиця цін схема №1'!$JE$44/'Ціни контур мережний'!$G$26</f>
        <v>476.70609707098151</v>
      </c>
      <c r="HU42" s="770">
        <f>'Таблиця цін схема №1'!$JG$8</f>
        <v>661.80181284518619</v>
      </c>
      <c r="HV42" s="770">
        <f>'Таблиця цін схема №1'!$JH$8</f>
        <v>487.81784379022207</v>
      </c>
      <c r="HW42" s="770">
        <f>'Таблиця цін схема №1'!$JI$8</f>
        <v>323.47913729816605</v>
      </c>
      <c r="HX42" s="770">
        <f>'Таблиця цін схема №1'!$JJ$8</f>
        <v>66.611999999999995</v>
      </c>
      <c r="HY42" s="770">
        <f>'Таблиця цін схема №1'!$JK$28</f>
        <v>0</v>
      </c>
      <c r="HZ42" s="772">
        <f>'Таблиця цін схема №1'!$JL$8</f>
        <v>62.86234247089866</v>
      </c>
      <c r="IA42" s="770">
        <f>'Таблиця цін схема №1'!$JM$28</f>
        <v>0</v>
      </c>
      <c r="IB42" s="770">
        <v>0</v>
      </c>
      <c r="IC42" s="913">
        <f t="shared" si="98"/>
        <v>602.9421445763038</v>
      </c>
      <c r="ID42" s="914">
        <f t="shared" si="99"/>
        <v>861.34592082329118</v>
      </c>
      <c r="IE42" s="915">
        <f t="shared" si="100"/>
        <v>148.17289696864282</v>
      </c>
      <c r="IF42" s="776">
        <f>'Таблиця цін схема №1'!$JR$8</f>
        <v>300.63036461094771</v>
      </c>
      <c r="IG42" s="777">
        <f t="shared" si="88"/>
        <v>10526.550535212096</v>
      </c>
      <c r="II42" s="835"/>
      <c r="IJ42" s="835"/>
      <c r="IK42" s="835"/>
      <c r="IL42" s="835"/>
    </row>
    <row r="43" spans="1:246" s="780" customFormat="1" ht="12.6" customHeight="1">
      <c r="B43" s="905">
        <v>59</v>
      </c>
      <c r="C43" s="1056" t="s">
        <v>920</v>
      </c>
      <c r="D43" s="906">
        <v>0.14565</v>
      </c>
      <c r="E43" s="907">
        <v>0.19539999999999999</v>
      </c>
      <c r="F43" s="908">
        <f t="shared" si="28"/>
        <v>7.5967096048764127</v>
      </c>
      <c r="G43" s="599">
        <v>50</v>
      </c>
      <c r="H43" s="598">
        <f t="shared" si="29"/>
        <v>2.6018220793140405</v>
      </c>
      <c r="I43" s="599">
        <v>32</v>
      </c>
      <c r="J43" s="598">
        <f t="shared" si="30"/>
        <v>6.0561330561330564</v>
      </c>
      <c r="K43" s="599">
        <v>50</v>
      </c>
      <c r="L43" s="598">
        <f t="shared" si="31"/>
        <v>4.9948875255623717</v>
      </c>
      <c r="M43" s="599">
        <v>40</v>
      </c>
      <c r="N43" s="598">
        <f t="shared" si="32"/>
        <v>3.9634888438133871</v>
      </c>
      <c r="O43" s="599">
        <v>40</v>
      </c>
      <c r="P43" s="598">
        <f t="shared" ref="P43:P46" si="149">N43*0.3</f>
        <v>1.189046653144016</v>
      </c>
      <c r="Q43" s="599">
        <v>25</v>
      </c>
      <c r="R43" s="598">
        <f t="shared" si="33"/>
        <v>3.6795320714476825</v>
      </c>
      <c r="S43" s="600">
        <f t="shared" si="104"/>
        <v>7.0638376811784953</v>
      </c>
      <c r="T43" s="910">
        <v>1</v>
      </c>
      <c r="U43" s="601">
        <f t="shared" si="35"/>
        <v>6.0561330561330564</v>
      </c>
      <c r="V43" s="601">
        <f t="shared" si="36"/>
        <v>8.5646655035193877</v>
      </c>
      <c r="W43" s="850">
        <v>50</v>
      </c>
      <c r="X43" s="751">
        <f t="shared" si="0"/>
        <v>50</v>
      </c>
      <c r="Y43" s="746">
        <v>2</v>
      </c>
      <c r="Z43" s="747">
        <f>VLOOKUP(X43,'Ціни контур мережний'!$Z$24:$AB$36,3,0)</f>
        <v>23.2782130224622</v>
      </c>
      <c r="AA43" s="748">
        <f t="shared" si="105"/>
        <v>46.5564260449244</v>
      </c>
      <c r="AB43" s="749">
        <f t="shared" si="1"/>
        <v>50</v>
      </c>
      <c r="AC43" s="749">
        <v>2</v>
      </c>
      <c r="AD43" s="747">
        <f>VLOOKUP(AB43,'Ціни контур мережний'!$Z$64:$AB$77,3,0)</f>
        <v>80.03214361111678</v>
      </c>
      <c r="AE43" s="748">
        <f t="shared" si="106"/>
        <v>160.06428722223356</v>
      </c>
      <c r="AF43" s="746">
        <f t="shared" si="2"/>
        <v>50</v>
      </c>
      <c r="AG43" s="746">
        <v>0</v>
      </c>
      <c r="AH43" s="747">
        <f>VLOOKUP(AF43,'Ціни контур мережний'!$Z$5:$AB$17,3,0)</f>
        <v>26.284999999999997</v>
      </c>
      <c r="AI43" s="748">
        <f t="shared" si="107"/>
        <v>0</v>
      </c>
      <c r="AJ43" s="746">
        <f t="shared" si="3"/>
        <v>32</v>
      </c>
      <c r="AK43" s="746">
        <v>1</v>
      </c>
      <c r="AL43" s="747">
        <f>VLOOKUP(AJ43,'Ціни контур мережний'!$Z$43:$AB$55,3,0)</f>
        <v>16.107218011318363</v>
      </c>
      <c r="AM43" s="748">
        <f t="shared" si="108"/>
        <v>16.107218011318363</v>
      </c>
      <c r="AN43" s="745">
        <f t="shared" si="4"/>
        <v>40</v>
      </c>
      <c r="AO43" s="749">
        <v>4</v>
      </c>
      <c r="AP43" s="747">
        <f>VLOOKUP(AN43,'Ціни контур мережний'!$Z$43:$AB$55,3,0)</f>
        <v>18.42400964308333</v>
      </c>
      <c r="AQ43" s="759">
        <f t="shared" si="109"/>
        <v>73.696038572333322</v>
      </c>
      <c r="AR43" s="751" t="str">
        <f t="shared" si="42"/>
        <v>AMV20</v>
      </c>
      <c r="AS43" s="751">
        <v>1</v>
      </c>
      <c r="AT43" s="747">
        <f>VLOOKUP(AR43,'Ціни контур мережний'!$I$53:$M$57,5,0)</f>
        <v>110.39869654932889</v>
      </c>
      <c r="AU43" s="748">
        <f t="shared" si="110"/>
        <v>110.39869654932889</v>
      </c>
      <c r="AV43" s="752">
        <f t="array" ref="AV43">MIN(IF('Ціни контур мережний'!$Y$83:$Y$92&gt;(R43*1.2),'Ціни контур мережний'!$Y$83:$Y$92))</f>
        <v>6.3</v>
      </c>
      <c r="AW43" s="746">
        <f>VLOOKUP(AV43,'Ціни контур мережний'!$Y$83:$Z$92,2,0)</f>
        <v>20</v>
      </c>
      <c r="AX43" s="746">
        <v>1</v>
      </c>
      <c r="AY43" s="747">
        <f>VLOOKUP(AV43,'Ціни контур мережний'!$Y$83:$AB$92,4,0)</f>
        <v>113.14115267534271</v>
      </c>
      <c r="AZ43" s="748">
        <f t="shared" si="111"/>
        <v>113.14115267534271</v>
      </c>
      <c r="BA43" s="1099">
        <f t="array" ref="BA43">MIN(IF('[1]Ціни контур мережний'!$Y$104:$Y$114&gt;(R43*1.2),'[1]Ціни контур мережний'!$Y$104:$Y$114))</f>
        <v>6.3</v>
      </c>
      <c r="BB43" s="1101">
        <f>VLOOKUP(BA43,'[1]Ціни контур мережний'!$Y$104:$Z$114,2,0)</f>
        <v>20</v>
      </c>
      <c r="BC43" s="753">
        <v>1</v>
      </c>
      <c r="BD43" s="754">
        <f>VLOOKUP(BA43,'Ціни контур мережний'!$Y$104:$AB$114,4,0)</f>
        <v>259.83406541769665</v>
      </c>
      <c r="BE43" s="755">
        <f t="shared" si="112"/>
        <v>259.83406541769665</v>
      </c>
      <c r="BF43" s="751" t="s">
        <v>67</v>
      </c>
      <c r="BG43" s="749">
        <v>1</v>
      </c>
      <c r="BH43" s="747">
        <f>VLOOKUP(BF43,'Ціни контур мережний'!$I$53:$M$57,5,0)</f>
        <v>157.67238032974441</v>
      </c>
      <c r="BI43" s="768">
        <f t="shared" si="113"/>
        <v>157.67238032974441</v>
      </c>
      <c r="BJ43" s="894">
        <f t="array" ref="BJ43">MIN(IF('Ціни контур мережний'!$Y$83:$Y$93&gt;(S43*1.2),'Ціни контур мережний'!$Y$83:$Y$93))</f>
        <v>10</v>
      </c>
      <c r="BK43" s="895">
        <f>VLOOKUP(BJ43,'Ціни контур мережний'!$Y$83:$Z$93,2,0)</f>
        <v>25</v>
      </c>
      <c r="BL43" s="895">
        <v>1</v>
      </c>
      <c r="BM43" s="896">
        <f>VLOOKUP(BJ43,'Ціни контур мережний'!$Y$83:$AB$93,4,0)</f>
        <v>117.50505648967251</v>
      </c>
      <c r="BN43" s="916">
        <f t="shared" si="114"/>
        <v>117.50505648967251</v>
      </c>
      <c r="BO43" s="896">
        <f t="array" ref="BO43">MIN(IF('Ціни контур мережний'!$Y$104:$Y$114&gt;(S43*1.2),'Ціни контур мережний'!$Y$104:$Y$114))</f>
        <v>12.5</v>
      </c>
      <c r="BP43" s="895">
        <f>VLOOKUP(BO43,'Ціни контур мережний'!$Y$104:$Z$114,2,0)</f>
        <v>32</v>
      </c>
      <c r="BQ43" s="895">
        <v>1</v>
      </c>
      <c r="BR43" s="896">
        <f>VLOOKUP(BO43,'Ціни контур мережний'!$Y$104:$AB$114,4,0)</f>
        <v>435.76049604674444</v>
      </c>
      <c r="BS43" s="897">
        <f t="shared" si="115"/>
        <v>435.76049604674444</v>
      </c>
      <c r="BT43" s="751" t="s">
        <v>115</v>
      </c>
      <c r="BU43" s="751" t="s">
        <v>115</v>
      </c>
      <c r="BV43" s="746" t="s">
        <v>1025</v>
      </c>
      <c r="BW43" s="756">
        <v>0</v>
      </c>
      <c r="BX43" s="747">
        <v>0</v>
      </c>
      <c r="BY43" s="748">
        <f t="shared" si="116"/>
        <v>0</v>
      </c>
      <c r="BZ43" s="745">
        <f>VLOOKUP(CA43,'Ціни контур мережний'!$J$5:$L$12,3,0)</f>
        <v>25</v>
      </c>
      <c r="CA43" s="747">
        <f t="array" ref="CA43">MIN(IF('Ціни контур мережний'!$J$5:$J$12&gt;L43,'Ціни контур мережний'!$J$5:$J$12))</f>
        <v>6</v>
      </c>
      <c r="CB43" s="746" t="s">
        <v>130</v>
      </c>
      <c r="CC43" s="749">
        <v>1</v>
      </c>
      <c r="CD43" s="747">
        <f>VLOOKUP(CA43,'Ціни контур мережний'!$J$5:$N$12,5,0)</f>
        <v>341.25599999999997</v>
      </c>
      <c r="CE43" s="748">
        <f t="shared" si="117"/>
        <v>341.25599999999997</v>
      </c>
      <c r="CF43" s="898" t="s">
        <v>1363</v>
      </c>
      <c r="CG43" s="899">
        <v>1</v>
      </c>
      <c r="CH43" s="900">
        <v>550</v>
      </c>
      <c r="CI43" s="901">
        <f t="shared" si="118"/>
        <v>550</v>
      </c>
      <c r="CJ43" s="751">
        <f t="shared" si="5"/>
        <v>50</v>
      </c>
      <c r="CK43" s="746">
        <v>4</v>
      </c>
      <c r="CL43" s="747">
        <f>VLOOKUP(CJ43,'Ціни контур теплопостачання'!$Y$5:$AA$17,3,0)</f>
        <v>23.2782130224622</v>
      </c>
      <c r="CM43" s="748">
        <f t="shared" si="119"/>
        <v>93.112852089848801</v>
      </c>
      <c r="CN43" s="746">
        <f t="shared" si="6"/>
        <v>40</v>
      </c>
      <c r="CO43" s="746">
        <v>6</v>
      </c>
      <c r="CP43" s="747">
        <f>VLOOKUP(CN43,'Ціни контур теплопостачання'!$AO$20:$AQ$29,3,0)</f>
        <v>37.980000000000004</v>
      </c>
      <c r="CQ43" s="748">
        <f t="shared" si="120"/>
        <v>227.88000000000002</v>
      </c>
      <c r="CR43" s="746">
        <f t="shared" si="7"/>
        <v>25</v>
      </c>
      <c r="CS43" s="746">
        <v>3</v>
      </c>
      <c r="CT43" s="747">
        <f>VLOOKUP(CR43,'Ціни контур теплопостачання'!$AO$20:$AQ$29,3,0)</f>
        <v>6.3070000000000004</v>
      </c>
      <c r="CU43" s="748">
        <f t="shared" si="121"/>
        <v>18.920999999999999</v>
      </c>
      <c r="CV43" s="746">
        <f t="shared" si="8"/>
        <v>50</v>
      </c>
      <c r="CW43" s="746">
        <f t="shared" si="101"/>
        <v>2</v>
      </c>
      <c r="CX43" s="747">
        <f>VLOOKUP(CV43,'Ціни контур теплопостачання'!$Y$5:$AA$17,3,0)</f>
        <v>23.2782130224622</v>
      </c>
      <c r="CY43" s="748">
        <f t="shared" si="122"/>
        <v>46.5564260449244</v>
      </c>
      <c r="CZ43" s="745">
        <v>20</v>
      </c>
      <c r="DA43" s="749">
        <v>2</v>
      </c>
      <c r="DB43" s="747">
        <f>VLOOKUP(CZ43,'Ціни контур теплопостачання'!$Y$5:$AA$17,3,0)</f>
        <v>3.577</v>
      </c>
      <c r="DC43" s="748">
        <f t="shared" si="123"/>
        <v>7.1539999999999999</v>
      </c>
      <c r="DD43" s="745">
        <v>15</v>
      </c>
      <c r="DE43" s="745">
        <v>8</v>
      </c>
      <c r="DF43" s="758">
        <f>VLOOKUP(DD43,'Ціни контур теплопостачання'!$Y$5:$AA$17,3,0)</f>
        <v>2.464</v>
      </c>
      <c r="DG43" s="759">
        <f t="shared" si="124"/>
        <v>19.712</v>
      </c>
      <c r="DH43" s="745">
        <v>15</v>
      </c>
      <c r="DI43" s="745">
        <f>35</f>
        <v>35</v>
      </c>
      <c r="DJ43" s="758">
        <f>VLOOKUP(DH43,'Ціни контур мережний'!$J$71:$M$71,4,0)</f>
        <v>3.3865201135922525</v>
      </c>
      <c r="DK43" s="759">
        <f t="shared" si="125"/>
        <v>118.52820397572884</v>
      </c>
      <c r="DL43" s="751">
        <f t="shared" si="10"/>
        <v>50</v>
      </c>
      <c r="DM43" s="746">
        <v>1</v>
      </c>
      <c r="DN43" s="747">
        <f>VLOOKUP(DL43,'Ціни контур теплопостачання'!$K$5:$M$17,3,0)</f>
        <v>26.284999999999997</v>
      </c>
      <c r="DO43" s="748">
        <f t="shared" si="126"/>
        <v>26.284999999999997</v>
      </c>
      <c r="DP43" s="745">
        <f t="shared" si="11"/>
        <v>40</v>
      </c>
      <c r="DQ43" s="749">
        <v>1</v>
      </c>
      <c r="DR43" s="747">
        <f>VLOOKUP(DP43,'Ціни контур теплопостачання'!$K$5:$M$17,3,0)</f>
        <v>23.225999999999999</v>
      </c>
      <c r="DS43" s="748">
        <f t="shared" si="127"/>
        <v>23.225999999999999</v>
      </c>
      <c r="DT43" s="745">
        <f t="shared" si="12"/>
        <v>25</v>
      </c>
      <c r="DU43" s="745">
        <v>1</v>
      </c>
      <c r="DV43" s="758">
        <f>VLOOKUP(DT43,'Ціни контур теплопостачання'!$K$5:$M$17,3,0)</f>
        <v>4.78</v>
      </c>
      <c r="DW43" s="759">
        <f t="shared" si="128"/>
        <v>4.78</v>
      </c>
      <c r="DX43" s="745">
        <f t="shared" si="63"/>
        <v>50</v>
      </c>
      <c r="DY43" s="745">
        <v>1</v>
      </c>
      <c r="DZ43" s="758">
        <f>VLOOKUP(DX43,'Ціни контур теплопостачання'!$Y$24:$AA$36,3,0)</f>
        <v>28.560999999999996</v>
      </c>
      <c r="EA43" s="759">
        <f t="shared" si="64"/>
        <v>28.560999999999996</v>
      </c>
      <c r="EB43" s="751">
        <f t="shared" si="13"/>
        <v>50</v>
      </c>
      <c r="EC43" s="746">
        <v>2</v>
      </c>
      <c r="ED43" s="747">
        <f>VLOOKUP(EB43,'Ціни контур теплопостачання'!$Y$24:$AA$36,3,0)</f>
        <v>28.560999999999996</v>
      </c>
      <c r="EE43" s="748">
        <f t="shared" si="129"/>
        <v>57.121999999999993</v>
      </c>
      <c r="EF43" s="745">
        <f t="shared" si="14"/>
        <v>40</v>
      </c>
      <c r="EG43" s="749">
        <v>1</v>
      </c>
      <c r="EH43" s="747">
        <f>VLOOKUP(EF43,'Ціни контур теплопостачання'!$AO$38:$AQ$50,3,0)</f>
        <v>20.3645</v>
      </c>
      <c r="EI43" s="748">
        <f t="shared" si="130"/>
        <v>20.3645</v>
      </c>
      <c r="EJ43" s="745">
        <f t="shared" si="15"/>
        <v>25</v>
      </c>
      <c r="EK43" s="745">
        <v>1</v>
      </c>
      <c r="EL43" s="758">
        <f>VLOOKUP(EJ43,'Ціни контур теплопостачання'!$AO$38:$AQ$50,3,0)</f>
        <v>6.9659999999999993</v>
      </c>
      <c r="EM43" s="759">
        <f t="shared" si="131"/>
        <v>6.9659999999999993</v>
      </c>
      <c r="EN43" s="745">
        <f t="shared" si="16"/>
        <v>50</v>
      </c>
      <c r="EO43" s="745">
        <f t="shared" si="102"/>
        <v>2</v>
      </c>
      <c r="EP43" s="758">
        <f>VLOOKUP(EN43,'Ціни контур теплопостачання'!$Y$76:$AA$88,3,0)</f>
        <v>20.6</v>
      </c>
      <c r="EQ43" s="759">
        <f t="shared" si="132"/>
        <v>41.2</v>
      </c>
      <c r="ER43" s="745">
        <f t="shared" si="18"/>
        <v>40</v>
      </c>
      <c r="ES43" s="745">
        <v>1</v>
      </c>
      <c r="ET43" s="758">
        <f>VLOOKUP(ER43,'Ціни контур теплопостачання'!$Y$76:$AA$88,3,0)</f>
        <v>16.809999999999999</v>
      </c>
      <c r="EU43" s="759">
        <f t="shared" si="133"/>
        <v>16.809999999999999</v>
      </c>
      <c r="EV43" s="745">
        <f t="shared" si="19"/>
        <v>25</v>
      </c>
      <c r="EW43" s="745">
        <v>1</v>
      </c>
      <c r="EX43" s="758">
        <f>VLOOKUP(EV43,'Ціни контур теплопостачання'!$Y$76:$AA$88,3,0)</f>
        <v>11.45</v>
      </c>
      <c r="EY43" s="759">
        <f t="shared" si="134"/>
        <v>11.45</v>
      </c>
      <c r="EZ43" s="758">
        <f t="shared" si="95"/>
        <v>19.384968403378945</v>
      </c>
      <c r="FA43" s="955">
        <v>20</v>
      </c>
      <c r="FB43" s="719">
        <v>2</v>
      </c>
      <c r="FC43" s="747">
        <f>VLOOKUP(FA43,'Ціни контур теплопостачання'!$K$74:$M$79,3,0)</f>
        <v>16.440000000000001</v>
      </c>
      <c r="FD43" s="761">
        <f t="shared" si="96"/>
        <v>32.880000000000003</v>
      </c>
      <c r="FE43" s="762">
        <f t="shared" si="71"/>
        <v>6.0561330561330564</v>
      </c>
      <c r="FF43" s="911">
        <v>9</v>
      </c>
      <c r="FG43" s="900">
        <v>8</v>
      </c>
      <c r="FH43" s="830" t="s">
        <v>1091</v>
      </c>
      <c r="FI43" s="708">
        <v>2</v>
      </c>
      <c r="FJ43" s="709">
        <f>VLOOKUP(FH43,'Ціни контур теплопостачання'!$C$89:$M$105,11,0)</f>
        <v>198.83999999999997</v>
      </c>
      <c r="FK43" s="764">
        <f t="shared" si="135"/>
        <v>397.67999999999995</v>
      </c>
      <c r="FL43" s="912">
        <f t="shared" si="73"/>
        <v>1.189046653144016</v>
      </c>
      <c r="FM43" s="911">
        <v>9</v>
      </c>
      <c r="FN43" s="900">
        <v>9</v>
      </c>
      <c r="FO43" s="900" t="s">
        <v>1097</v>
      </c>
      <c r="FP43" s="749">
        <v>1</v>
      </c>
      <c r="FQ43" s="747">
        <f>VLOOKUP(FO43,'Ціни контур теплопостачання'!$C$89:$M$105,11,0)</f>
        <v>241.2</v>
      </c>
      <c r="FR43" s="904">
        <f t="shared" si="136"/>
        <v>241.2</v>
      </c>
      <c r="FS43" s="758">
        <f t="array" ref="FS43">MIN(IF('Ціни контур теплопостачання'!$AN$68:$AN$77&gt;(V43*1.2),'Ціни контур теплопостачання'!$AN$68:$AN$77))</f>
        <v>11.13</v>
      </c>
      <c r="FT43" s="749">
        <f>VLOOKUP(FS43,'Ціни контур теплопостачання'!$AN$68:$AO$77,2,0)</f>
        <v>32</v>
      </c>
      <c r="FU43" s="749">
        <v>0</v>
      </c>
      <c r="FV43" s="747">
        <f>VLOOKUP(FT43,'Ціни контур теплопостачання'!$AO$68:$AQ$77,3,0)</f>
        <v>37.183999999999997</v>
      </c>
      <c r="FW43" s="765">
        <f t="shared" si="137"/>
        <v>0</v>
      </c>
      <c r="FX43" s="750">
        <v>15</v>
      </c>
      <c r="FY43" s="746">
        <v>2</v>
      </c>
      <c r="FZ43" s="747">
        <f>VLOOKUP(FX43,'Ціни контур мережний'!$J$73:$M$73,4,0)</f>
        <v>3.4649999999999999</v>
      </c>
      <c r="GA43" s="748">
        <f t="shared" si="138"/>
        <v>6.93</v>
      </c>
      <c r="GB43" s="750">
        <f>VLOOKUP(GC43,'Ціни контур теплопостачання'!$AN$6:$AO$13,2,0)</f>
        <v>32</v>
      </c>
      <c r="GC43" s="751">
        <f t="array" ref="GC43">MIN(IF('Ціни контур теплопостачання'!$AN$6:$AN$13&gt;N43,'Ціни контур теплопостачання'!$AN$6:$AN$13))</f>
        <v>6</v>
      </c>
      <c r="GD43" s="751">
        <v>1</v>
      </c>
      <c r="GE43" s="747">
        <f>VLOOKUP(GB43,'Ціни контур теплопостачання'!$AO$6:$AQ$13,3,0)</f>
        <v>85.682340000000011</v>
      </c>
      <c r="GF43" s="748">
        <f t="shared" si="139"/>
        <v>85.682340000000011</v>
      </c>
      <c r="GG43" s="746">
        <f t="shared" si="23"/>
        <v>40</v>
      </c>
      <c r="GH43" s="746">
        <v>1</v>
      </c>
      <c r="GI43" s="747">
        <f>VLOOKUP(GG43,'Ціни контур теплопостачання'!$AO$55:$AQ$63,3,0)</f>
        <v>193.55</v>
      </c>
      <c r="GJ43" s="768">
        <f t="shared" si="140"/>
        <v>193.55</v>
      </c>
      <c r="GK43" s="655" t="str">
        <f t="shared" ref="GK43:GK73" si="150">GK42</f>
        <v>0-150</v>
      </c>
      <c r="GL43" s="720">
        <v>1</v>
      </c>
      <c r="GM43" s="747">
        <f>VLOOKUP(GK43,'Ціни контур мережний'!$I$79:$M$80,5,0)</f>
        <v>15.050156291498967</v>
      </c>
      <c r="GN43" s="748">
        <f t="shared" si="141"/>
        <v>15.050156291498967</v>
      </c>
      <c r="GO43" s="758" t="s">
        <v>109</v>
      </c>
      <c r="GP43" s="749">
        <v>1</v>
      </c>
      <c r="GQ43" s="747">
        <f>VLOOKUP(GO43,'Ціни контур мережний'!$I$79:$M$80,5,0)</f>
        <v>15.050156291498967</v>
      </c>
      <c r="GR43" s="765">
        <f t="shared" si="142"/>
        <v>15.050156291498967</v>
      </c>
      <c r="GS43" s="655" t="s">
        <v>108</v>
      </c>
      <c r="GT43" s="720">
        <v>3</v>
      </c>
      <c r="GU43" s="747">
        <f>VLOOKUP(GS43,'Ціни контур мережний'!$I$67:$M$69,5,0)</f>
        <v>4.4537969640631703</v>
      </c>
      <c r="GV43" s="748">
        <f t="shared" si="143"/>
        <v>13.361390892189512</v>
      </c>
      <c r="GW43" s="655" t="s">
        <v>106</v>
      </c>
      <c r="GX43" s="720">
        <f>11</f>
        <v>11</v>
      </c>
      <c r="GY43" s="747">
        <f>VLOOKUP(GW43,'Ціни контур мережний'!$I$67:$M$69,5,0)</f>
        <v>4.4537969640631703</v>
      </c>
      <c r="GZ43" s="748">
        <f t="shared" si="144"/>
        <v>48.991766604694874</v>
      </c>
      <c r="HA43" s="655" t="s">
        <v>1013</v>
      </c>
      <c r="HB43" s="720">
        <v>4</v>
      </c>
      <c r="HC43" s="747">
        <f>VLOOKUP(HA43,'Ціни контур мережний'!$I$64:$M$64,5,0)</f>
        <v>29.1312</v>
      </c>
      <c r="HD43" s="748">
        <f t="shared" si="145"/>
        <v>116.5248</v>
      </c>
      <c r="HE43" s="766" t="s">
        <v>1015</v>
      </c>
      <c r="HF43" s="749">
        <v>6</v>
      </c>
      <c r="HG43" s="747">
        <f>VLOOKUP(HE43,'Ціни контур мережний'!$I$89:$M$89,5,0)</f>
        <v>79.523165325760516</v>
      </c>
      <c r="HH43" s="765">
        <f t="shared" si="146"/>
        <v>477.1389919545631</v>
      </c>
      <c r="HI43" s="778" t="s">
        <v>1016</v>
      </c>
      <c r="HJ43" s="720">
        <v>7</v>
      </c>
      <c r="HK43" s="747">
        <f>VLOOKUP(HI43,'Ціни контур мережний'!$I$88:$M$88,5,0)</f>
        <v>13.211568975967202</v>
      </c>
      <c r="HL43" s="768">
        <f t="shared" si="147"/>
        <v>92.480982831770419</v>
      </c>
      <c r="HM43" s="757" t="s">
        <v>383</v>
      </c>
      <c r="HN43" s="720">
        <v>1</v>
      </c>
      <c r="HO43" s="747">
        <f>VLOOKUP(HM43,'Ціни контур мережний'!$I$87:$M$87,5,0)</f>
        <v>13.483972460007763</v>
      </c>
      <c r="HP43" s="748">
        <f t="shared" si="148"/>
        <v>13.483972460007763</v>
      </c>
      <c r="HQ43" s="769">
        <f t="shared" si="97"/>
        <v>59</v>
      </c>
      <c r="HR43" s="770">
        <f t="shared" si="87"/>
        <v>4900.6253567960639</v>
      </c>
      <c r="HS43" s="771">
        <v>0</v>
      </c>
      <c r="HT43" s="771">
        <f>'Таблиця цін схема №1'!$JE$44/'Ціни контур мережний'!$G$26</f>
        <v>476.70609707098151</v>
      </c>
      <c r="HU43" s="770">
        <f>'Таблиця цін схема №1'!$JG$8</f>
        <v>661.80181284518619</v>
      </c>
      <c r="HV43" s="770">
        <f>'Таблиця цін схема №1'!$JH$8</f>
        <v>487.81784379022207</v>
      </c>
      <c r="HW43" s="770">
        <f>'Таблиця цін схема №1'!$JI$8</f>
        <v>323.47913729816605</v>
      </c>
      <c r="HX43" s="770">
        <f>'Таблиця цін схема №1'!$JJ$8</f>
        <v>66.611999999999995</v>
      </c>
      <c r="HY43" s="770">
        <f>'Таблиця цін схема №1'!$JK$28</f>
        <v>0</v>
      </c>
      <c r="HZ43" s="772">
        <f>'Таблиця цін схема №1'!$JL$8</f>
        <v>62.86234247089866</v>
      </c>
      <c r="IA43" s="770">
        <f>'Таблиця цін схема №1'!$JM$28</f>
        <v>0</v>
      </c>
      <c r="IB43" s="770">
        <v>0</v>
      </c>
      <c r="IC43" s="913">
        <f t="shared" si="98"/>
        <v>488.59332131900635</v>
      </c>
      <c r="ID43" s="914">
        <f t="shared" si="99"/>
        <v>697.99045902715193</v>
      </c>
      <c r="IE43" s="915">
        <f t="shared" si="100"/>
        <v>120.07169926766619</v>
      </c>
      <c r="IF43" s="776">
        <f>'Таблиця цін схема №1'!$JR$8</f>
        <v>300.63036461094771</v>
      </c>
      <c r="IG43" s="777">
        <f t="shared" si="88"/>
        <v>8587.1904344962913</v>
      </c>
      <c r="II43" s="835"/>
      <c r="IJ43" s="835"/>
      <c r="IK43" s="835"/>
      <c r="IL43" s="835"/>
    </row>
    <row r="44" spans="1:246" s="780" customFormat="1" ht="12.6" customHeight="1">
      <c r="B44" s="740">
        <v>60</v>
      </c>
      <c r="C44" s="1056" t="s">
        <v>921</v>
      </c>
      <c r="D44" s="892">
        <v>0.44450000000000001</v>
      </c>
      <c r="E44" s="918">
        <v>0.42049999999999998</v>
      </c>
      <c r="F44" s="742">
        <f t="shared" si="28"/>
        <v>18.689313339338984</v>
      </c>
      <c r="G44" s="599">
        <v>80</v>
      </c>
      <c r="H44" s="598">
        <f t="shared" si="29"/>
        <v>7.9403358342265085</v>
      </c>
      <c r="I44" s="599">
        <v>50</v>
      </c>
      <c r="J44" s="598">
        <f t="shared" si="30"/>
        <v>18.48232848232848</v>
      </c>
      <c r="K44" s="599">
        <v>80</v>
      </c>
      <c r="L44" s="598">
        <f t="shared" si="31"/>
        <v>10.748977505112475</v>
      </c>
      <c r="M44" s="599">
        <v>65</v>
      </c>
      <c r="N44" s="598">
        <f t="shared" si="32"/>
        <v>8.5294117647058822</v>
      </c>
      <c r="O44" s="599">
        <v>65</v>
      </c>
      <c r="P44" s="598">
        <f t="shared" si="149"/>
        <v>2.5588235294117645</v>
      </c>
      <c r="Q44" s="599">
        <v>40</v>
      </c>
      <c r="R44" s="598">
        <f t="shared" si="33"/>
        <v>11.229330626560211</v>
      </c>
      <c r="S44" s="600">
        <f t="shared" si="104"/>
        <v>15.201349769373374</v>
      </c>
      <c r="T44" s="744">
        <v>4</v>
      </c>
      <c r="U44" s="601">
        <f t="shared" si="35"/>
        <v>4.62058212058212</v>
      </c>
      <c r="V44" s="601">
        <f t="shared" si="36"/>
        <v>6.5344899009858697</v>
      </c>
      <c r="W44" s="850">
        <v>40</v>
      </c>
      <c r="X44" s="751">
        <f t="shared" si="0"/>
        <v>80</v>
      </c>
      <c r="Y44" s="746">
        <v>2</v>
      </c>
      <c r="Z44" s="747">
        <f>VLOOKUP(X44,'Ціни контур мережний'!$Z$24:$AB$36,3,0)</f>
        <v>37.693832104112609</v>
      </c>
      <c r="AA44" s="748">
        <f t="shared" si="105"/>
        <v>75.387664208225218</v>
      </c>
      <c r="AB44" s="749">
        <f t="shared" si="1"/>
        <v>80</v>
      </c>
      <c r="AC44" s="749">
        <v>2</v>
      </c>
      <c r="AD44" s="747">
        <f>VLOOKUP(AB44,'Ціни контур мережний'!$Z$64:$AB$77,3,0)</f>
        <v>111.00441974652855</v>
      </c>
      <c r="AE44" s="748">
        <f t="shared" si="106"/>
        <v>222.00883949305711</v>
      </c>
      <c r="AF44" s="746">
        <f t="shared" si="2"/>
        <v>80</v>
      </c>
      <c r="AG44" s="746">
        <v>1</v>
      </c>
      <c r="AH44" s="747">
        <f>VLOOKUP(AF44,'Ціни контур мережний'!$Z$5:$AB$17,3,0)</f>
        <v>50.12</v>
      </c>
      <c r="AI44" s="748">
        <f t="shared" si="107"/>
        <v>50.12</v>
      </c>
      <c r="AJ44" s="746">
        <f t="shared" si="3"/>
        <v>50</v>
      </c>
      <c r="AK44" s="746">
        <v>3</v>
      </c>
      <c r="AL44" s="747">
        <f>VLOOKUP(AJ44,'Ціни контур мережний'!$Z$43:$AB$55,3,0)</f>
        <v>23.2782130224622</v>
      </c>
      <c r="AM44" s="748">
        <f t="shared" si="108"/>
        <v>69.834639067386604</v>
      </c>
      <c r="AN44" s="745">
        <f t="shared" si="4"/>
        <v>65</v>
      </c>
      <c r="AO44" s="749">
        <v>4</v>
      </c>
      <c r="AP44" s="747">
        <f>VLOOKUP(AN44,'Ціни контур мережний'!$Z$43:$AB$55,3,0)</f>
        <v>30.19184015363556</v>
      </c>
      <c r="AQ44" s="759">
        <f t="shared" si="109"/>
        <v>120.76736061454224</v>
      </c>
      <c r="AR44" s="751" t="str">
        <f t="shared" si="42"/>
        <v>AMV20</v>
      </c>
      <c r="AS44" s="751">
        <v>1</v>
      </c>
      <c r="AT44" s="747">
        <f>VLOOKUP(AR44,'Ціни контур мережний'!$I$53:$M$57,5,0)</f>
        <v>110.39869654932889</v>
      </c>
      <c r="AU44" s="748">
        <f t="shared" si="110"/>
        <v>110.39869654932889</v>
      </c>
      <c r="AV44" s="752">
        <f t="array" ref="AV44">MIN(IF('Ціни контур мережний'!$Y$83:$Y$92&gt;(R44*1.2),'Ціни контур мережний'!$Y$83:$Y$92))</f>
        <v>16</v>
      </c>
      <c r="AW44" s="746">
        <f>VLOOKUP(AV44,'Ціни контур мережний'!$Y$83:$Z$92,2,0)</f>
        <v>32</v>
      </c>
      <c r="AX44" s="746">
        <v>1</v>
      </c>
      <c r="AY44" s="747">
        <f>VLOOKUP(AV44,'Ціни контур мережний'!$Y$83:$AB$92,4,0)</f>
        <v>130.5392363168325</v>
      </c>
      <c r="AZ44" s="748">
        <f t="shared" si="111"/>
        <v>130.5392363168325</v>
      </c>
      <c r="BA44" s="1099">
        <v>20</v>
      </c>
      <c r="BB44" s="1101">
        <f>VLOOKUP(BA44,'[1]Ціни контур мережний'!$Y$104:$Z$114,2,0)</f>
        <v>50</v>
      </c>
      <c r="BC44" s="753">
        <v>1</v>
      </c>
      <c r="BD44" s="754">
        <f>VLOOKUP(BA44,'Ціни контур мережний'!$Y$104:$AB$114,4,0)</f>
        <v>448.22326189551967</v>
      </c>
      <c r="BE44" s="755">
        <f t="shared" si="112"/>
        <v>448.22326189551967</v>
      </c>
      <c r="BF44" s="751" t="s">
        <v>67</v>
      </c>
      <c r="BG44" s="749">
        <v>1</v>
      </c>
      <c r="BH44" s="747">
        <f>VLOOKUP(BF44,'Ціни контур мережний'!$I$53:$M$57,5,0)</f>
        <v>157.67238032974441</v>
      </c>
      <c r="BI44" s="768">
        <f t="shared" si="113"/>
        <v>157.67238032974441</v>
      </c>
      <c r="BJ44" s="894">
        <f t="array" ref="BJ44">MIN(IF('Ціни контур мережний'!$Y$83:$Y$93&gt;(S44*1.2),'Ціни контур мережний'!$Y$83:$Y$93))</f>
        <v>25</v>
      </c>
      <c r="BK44" s="895">
        <f>VLOOKUP(BJ44,'Ціни контур мережний'!$Y$83:$Z$93,2,0)</f>
        <v>40</v>
      </c>
      <c r="BL44" s="895">
        <v>1</v>
      </c>
      <c r="BM44" s="896">
        <f>VLOOKUP(BJ44,'Ціни контур мережний'!$Y$83:$AB$93,4,0)</f>
        <v>156.6569554824606</v>
      </c>
      <c r="BN44" s="916">
        <f t="shared" si="114"/>
        <v>156.6569554824606</v>
      </c>
      <c r="BO44" s="896">
        <f t="array" ref="BO44">MIN(IF('Ціни контур мережний'!$Y$104:$Y$114&gt;(S44*1.2),'Ціни контур мережний'!$Y$104:$Y$114))</f>
        <v>20</v>
      </c>
      <c r="BP44" s="895">
        <f>VLOOKUP(BO44,'Ціни контур мережний'!$Y$104:$Z$114,2,0)</f>
        <v>40</v>
      </c>
      <c r="BQ44" s="895">
        <v>1</v>
      </c>
      <c r="BR44" s="896">
        <f>VLOOKUP(BO44,'Ціни контур мережний'!$Y$104:$AB$114,4,0)</f>
        <v>448.22326189551967</v>
      </c>
      <c r="BS44" s="897">
        <f t="shared" si="115"/>
        <v>448.22326189551967</v>
      </c>
      <c r="BT44" s="751">
        <f>VLOOKUP(BU44,'Ціни контур мережний'!$J$5:$L$12,3,0)</f>
        <v>40</v>
      </c>
      <c r="BU44" s="751">
        <f t="array" ref="BU44">MIN(IF('Ціни контур мережний'!$J$5:$J$12&gt;H44,'Ціни контур мережний'!$J$5:$J$12))</f>
        <v>10</v>
      </c>
      <c r="BV44" s="746" t="s">
        <v>130</v>
      </c>
      <c r="BW44" s="756">
        <v>1</v>
      </c>
      <c r="BX44" s="747">
        <f>VLOOKUP(BU44,'Ціни контур мережний'!$J$5:$N$12,5,0)</f>
        <v>375.23999999999995</v>
      </c>
      <c r="BY44" s="748">
        <f t="shared" si="116"/>
        <v>375.23999999999995</v>
      </c>
      <c r="BZ44" s="745">
        <f>VLOOKUP(CA44,'Ціни контур мережний'!$J$5:$L$12,3,0)</f>
        <v>50</v>
      </c>
      <c r="CA44" s="747">
        <f t="array" ref="CA44">MIN(IF('Ціни контур мережний'!$J$5:$J$12&gt;L44,'Ціни контур мережний'!$J$5:$J$12))</f>
        <v>15</v>
      </c>
      <c r="CB44" s="746" t="s">
        <v>130</v>
      </c>
      <c r="CC44" s="749">
        <v>1</v>
      </c>
      <c r="CD44" s="747">
        <f>VLOOKUP(CA44,'Ціни контур мережний'!$J$5:$N$12,5,0)</f>
        <v>366.74399999999997</v>
      </c>
      <c r="CE44" s="748">
        <f t="shared" si="117"/>
        <v>366.74399999999997</v>
      </c>
      <c r="CF44" s="898" t="s">
        <v>1350</v>
      </c>
      <c r="CG44" s="899">
        <v>1</v>
      </c>
      <c r="CH44" s="900">
        <v>772</v>
      </c>
      <c r="CI44" s="901">
        <f t="shared" si="118"/>
        <v>772</v>
      </c>
      <c r="CJ44" s="751">
        <f t="shared" si="5"/>
        <v>80</v>
      </c>
      <c r="CK44" s="746">
        <v>4</v>
      </c>
      <c r="CL44" s="747">
        <f>VLOOKUP(CJ44,'Ціни контур теплопостачання'!$Y$5:$AA$17,3,0)</f>
        <v>37.693832104112609</v>
      </c>
      <c r="CM44" s="748">
        <f t="shared" si="119"/>
        <v>150.77532841645044</v>
      </c>
      <c r="CN44" s="746">
        <f t="shared" si="6"/>
        <v>65</v>
      </c>
      <c r="CO44" s="746">
        <v>6</v>
      </c>
      <c r="CP44" s="747">
        <f>VLOOKUP(CN44,'Ціни контур теплопостачання'!$AO$20:$AQ$29,3,0)</f>
        <v>42.675547020246391</v>
      </c>
      <c r="CQ44" s="748">
        <f t="shared" si="120"/>
        <v>256.05328212147833</v>
      </c>
      <c r="CR44" s="746">
        <f t="shared" si="7"/>
        <v>40</v>
      </c>
      <c r="CS44" s="746">
        <v>3</v>
      </c>
      <c r="CT44" s="747">
        <f>VLOOKUP(CR44,'Ціни контур теплопостачання'!$AO$20:$AQ$29,3,0)</f>
        <v>37.980000000000004</v>
      </c>
      <c r="CU44" s="748">
        <f t="shared" si="121"/>
        <v>113.94000000000001</v>
      </c>
      <c r="CV44" s="746">
        <f t="shared" si="8"/>
        <v>40</v>
      </c>
      <c r="CW44" s="746">
        <f t="shared" si="101"/>
        <v>8</v>
      </c>
      <c r="CX44" s="747">
        <f>VLOOKUP(CV44,'Ціни контур теплопостачання'!$Y$5:$AA$17,3,0)</f>
        <v>18.42400964308333</v>
      </c>
      <c r="CY44" s="748">
        <f t="shared" si="122"/>
        <v>147.39207714466664</v>
      </c>
      <c r="CZ44" s="745">
        <v>20</v>
      </c>
      <c r="DA44" s="749">
        <v>2</v>
      </c>
      <c r="DB44" s="747">
        <f>VLOOKUP(CZ44,'Ціни контур теплопостачання'!$Y$5:$AA$17,3,0)</f>
        <v>3.577</v>
      </c>
      <c r="DC44" s="748">
        <f t="shared" si="123"/>
        <v>7.1539999999999999</v>
      </c>
      <c r="DD44" s="745">
        <v>15</v>
      </c>
      <c r="DE44" s="745">
        <v>8</v>
      </c>
      <c r="DF44" s="758">
        <f>VLOOKUP(DD44,'Ціни контур теплопостачання'!$Y$5:$AA$17,3,0)</f>
        <v>2.464</v>
      </c>
      <c r="DG44" s="759">
        <f t="shared" si="124"/>
        <v>19.712</v>
      </c>
      <c r="DH44" s="745">
        <v>15</v>
      </c>
      <c r="DI44" s="745">
        <f t="shared" si="58"/>
        <v>39</v>
      </c>
      <c r="DJ44" s="758">
        <f>VLOOKUP(DH44,'Ціни контур мережний'!$J$71:$M$71,4,0)</f>
        <v>3.3865201135922525</v>
      </c>
      <c r="DK44" s="759">
        <f t="shared" si="125"/>
        <v>132.07428443009783</v>
      </c>
      <c r="DL44" s="751">
        <f t="shared" si="10"/>
        <v>80</v>
      </c>
      <c r="DM44" s="746">
        <v>1</v>
      </c>
      <c r="DN44" s="747">
        <f>VLOOKUP(DL44,'Ціни контур теплопостачання'!$K$5:$M$17,3,0)</f>
        <v>50.12</v>
      </c>
      <c r="DO44" s="748">
        <f t="shared" si="126"/>
        <v>50.12</v>
      </c>
      <c r="DP44" s="745">
        <f t="shared" si="11"/>
        <v>65</v>
      </c>
      <c r="DQ44" s="749">
        <v>1</v>
      </c>
      <c r="DR44" s="747">
        <f>VLOOKUP(DP44,'Ціни контур теплопостачання'!$K$5:$M$17,3,0)</f>
        <v>39.731999999999999</v>
      </c>
      <c r="DS44" s="748">
        <f t="shared" si="127"/>
        <v>39.731999999999999</v>
      </c>
      <c r="DT44" s="745">
        <f t="shared" si="12"/>
        <v>40</v>
      </c>
      <c r="DU44" s="745">
        <v>1</v>
      </c>
      <c r="DV44" s="758">
        <f>VLOOKUP(DT44,'Ціни контур теплопостачання'!$K$5:$M$17,3,0)</f>
        <v>23.225999999999999</v>
      </c>
      <c r="DW44" s="759">
        <f t="shared" si="128"/>
        <v>23.225999999999999</v>
      </c>
      <c r="DX44" s="745">
        <f t="shared" si="63"/>
        <v>80</v>
      </c>
      <c r="DY44" s="745">
        <v>1</v>
      </c>
      <c r="DZ44" s="758">
        <f>VLOOKUP(DX44,'Ціни контур теплопостачання'!$Y$24:$AA$36,3,0)</f>
        <v>60.079499999999996</v>
      </c>
      <c r="EA44" s="759">
        <f t="shared" si="64"/>
        <v>60.079499999999996</v>
      </c>
      <c r="EB44" s="751">
        <f t="shared" si="13"/>
        <v>80</v>
      </c>
      <c r="EC44" s="746">
        <v>2</v>
      </c>
      <c r="ED44" s="747">
        <f>VLOOKUP(EB44,'Ціни контур теплопостачання'!$Y$24:$AA$36,3,0)</f>
        <v>60.079499999999996</v>
      </c>
      <c r="EE44" s="748">
        <f t="shared" si="129"/>
        <v>120.15899999999999</v>
      </c>
      <c r="EF44" s="745">
        <f t="shared" si="14"/>
        <v>65</v>
      </c>
      <c r="EG44" s="749">
        <v>1</v>
      </c>
      <c r="EH44" s="747">
        <f>VLOOKUP(EF44,'Ціни контур теплопостачання'!$AO$38:$AQ$50,3,0)</f>
        <v>42.080999999999996</v>
      </c>
      <c r="EI44" s="748">
        <f t="shared" si="130"/>
        <v>42.080999999999996</v>
      </c>
      <c r="EJ44" s="745">
        <f t="shared" si="15"/>
        <v>40</v>
      </c>
      <c r="EK44" s="745">
        <v>1</v>
      </c>
      <c r="EL44" s="758">
        <f>VLOOKUP(EJ44,'Ціни контур теплопостачання'!$AO$38:$AQ$50,3,0)</f>
        <v>20.3645</v>
      </c>
      <c r="EM44" s="759">
        <f t="shared" si="131"/>
        <v>20.3645</v>
      </c>
      <c r="EN44" s="745">
        <f t="shared" si="16"/>
        <v>40</v>
      </c>
      <c r="EO44" s="745">
        <f t="shared" si="102"/>
        <v>8</v>
      </c>
      <c r="EP44" s="758">
        <f>VLOOKUP(EN44,'Ціни контур теплопостачання'!$Y$76:$AA$88,3,0)</f>
        <v>16.809999999999999</v>
      </c>
      <c r="EQ44" s="759">
        <f t="shared" si="132"/>
        <v>134.47999999999999</v>
      </c>
      <c r="ER44" s="745">
        <f t="shared" si="18"/>
        <v>65</v>
      </c>
      <c r="ES44" s="745">
        <v>1</v>
      </c>
      <c r="ET44" s="758">
        <f>VLOOKUP(ER44,'Ціни контур теплопостачання'!$Y$76:$AA$88,3,0)</f>
        <v>26.33</v>
      </c>
      <c r="EU44" s="759">
        <f t="shared" si="133"/>
        <v>26.33</v>
      </c>
      <c r="EV44" s="745">
        <f t="shared" si="19"/>
        <v>40</v>
      </c>
      <c r="EW44" s="745">
        <v>1</v>
      </c>
      <c r="EX44" s="758">
        <f>VLOOKUP(EV44,'Ціни контур теплопостачання'!$Y$76:$AA$88,3,0)</f>
        <v>16.809999999999999</v>
      </c>
      <c r="EY44" s="759">
        <f t="shared" si="134"/>
        <v>16.809999999999999</v>
      </c>
      <c r="EZ44" s="758">
        <f t="shared" si="95"/>
        <v>33.864583269250488</v>
      </c>
      <c r="FA44" s="955">
        <v>40</v>
      </c>
      <c r="FB44" s="719">
        <v>2</v>
      </c>
      <c r="FC44" s="747">
        <f>VLOOKUP(FA44,'Ціни контур теплопостачання'!$K$74:$M$79,3,0)</f>
        <v>43.19</v>
      </c>
      <c r="FD44" s="761">
        <f t="shared" si="96"/>
        <v>86.38</v>
      </c>
      <c r="FE44" s="762">
        <f t="shared" si="71"/>
        <v>18.48232848232848</v>
      </c>
      <c r="FF44" s="902">
        <v>9</v>
      </c>
      <c r="FG44" s="900">
        <v>8</v>
      </c>
      <c r="FH44" s="830" t="s">
        <v>1090</v>
      </c>
      <c r="FI44" s="708">
        <v>2</v>
      </c>
      <c r="FJ44" s="709">
        <f>VLOOKUP(FH44,'Ціни контур теплопостачання'!$C$89:$M$105,11,0)</f>
        <v>648.69600000000003</v>
      </c>
      <c r="FK44" s="764">
        <f t="shared" si="135"/>
        <v>1297.3920000000001</v>
      </c>
      <c r="FL44" s="912">
        <f t="shared" si="73"/>
        <v>2.5588235294117645</v>
      </c>
      <c r="FM44" s="902">
        <v>9</v>
      </c>
      <c r="FN44" s="900">
        <v>9</v>
      </c>
      <c r="FO44" s="900" t="s">
        <v>1097</v>
      </c>
      <c r="FP44" s="749">
        <v>1</v>
      </c>
      <c r="FQ44" s="747">
        <f>VLOOKUP(FO44,'Ціни контур теплопостачання'!$C$89:$M$105,11,0)</f>
        <v>241.2</v>
      </c>
      <c r="FR44" s="904">
        <f t="shared" si="136"/>
        <v>241.2</v>
      </c>
      <c r="FS44" s="758">
        <f t="array" ref="FS44">MIN(IF('Ціни контур теплопостачання'!$AN$68:$AN$77&gt;(V44*1.2),'Ціни контур теплопостачання'!$AN$68:$AN$77))</f>
        <v>11.13</v>
      </c>
      <c r="FT44" s="749">
        <f>VLOOKUP(FS44,'Ціни контур теплопостачання'!$AN$68:$AO$77,2,0)</f>
        <v>32</v>
      </c>
      <c r="FU44" s="749">
        <f t="shared" si="103"/>
        <v>4</v>
      </c>
      <c r="FV44" s="747">
        <f>VLOOKUP(FT44,'Ціни контур теплопостачання'!$AO$68:$AQ$77,3,0)</f>
        <v>37.183999999999997</v>
      </c>
      <c r="FW44" s="765">
        <f t="shared" si="137"/>
        <v>148.73599999999999</v>
      </c>
      <c r="FX44" s="750">
        <v>15</v>
      </c>
      <c r="FY44" s="746">
        <v>2</v>
      </c>
      <c r="FZ44" s="747">
        <f>VLOOKUP(FX44,'Ціни контур мережний'!$J$73:$M$73,4,0)</f>
        <v>3.4649999999999999</v>
      </c>
      <c r="GA44" s="748">
        <f t="shared" si="138"/>
        <v>6.93</v>
      </c>
      <c r="GB44" s="750">
        <f>VLOOKUP(GC44,'Ціни контур теплопостачання'!$AN$6:$AO$13,2,0)</f>
        <v>40</v>
      </c>
      <c r="GC44" s="751">
        <f t="array" ref="GC44">MIN(IF('Ціни контур теплопостачання'!$AN$6:$AN$13&gt;N44,'Ціни контур теплопостачання'!$AN$6:$AN$13))</f>
        <v>15</v>
      </c>
      <c r="GD44" s="751">
        <v>1</v>
      </c>
      <c r="GE44" s="747">
        <f>VLOOKUP(GB44,'Ціни контур теплопостачання'!$AO$6:$AQ$13,3,0)</f>
        <v>140.82444000000001</v>
      </c>
      <c r="GF44" s="748">
        <f t="shared" si="139"/>
        <v>140.82444000000001</v>
      </c>
      <c r="GG44" s="746">
        <f t="shared" si="23"/>
        <v>65</v>
      </c>
      <c r="GH44" s="746">
        <v>1</v>
      </c>
      <c r="GI44" s="747">
        <f>VLOOKUP(GG44,'Ціни контур теплопостачання'!$AO$55:$AQ$63,3,0)</f>
        <v>426.6</v>
      </c>
      <c r="GJ44" s="768">
        <f t="shared" si="140"/>
        <v>426.6</v>
      </c>
      <c r="GK44" s="655" t="str">
        <f t="shared" si="150"/>
        <v>0-150</v>
      </c>
      <c r="GL44" s="720">
        <v>1</v>
      </c>
      <c r="GM44" s="747">
        <f>VLOOKUP(GK44,'Ціни контур мережний'!$I$79:$M$80,5,0)</f>
        <v>15.050156291498967</v>
      </c>
      <c r="GN44" s="748">
        <f t="shared" si="141"/>
        <v>15.050156291498967</v>
      </c>
      <c r="GO44" s="758" t="s">
        <v>109</v>
      </c>
      <c r="GP44" s="749">
        <v>5</v>
      </c>
      <c r="GQ44" s="747">
        <f>VLOOKUP(GO44,'Ціни контур мережний'!$I$79:$M$80,5,0)</f>
        <v>15.050156291498967</v>
      </c>
      <c r="GR44" s="765">
        <f t="shared" si="142"/>
        <v>75.250781457494838</v>
      </c>
      <c r="GS44" s="655" t="s">
        <v>108</v>
      </c>
      <c r="GT44" s="720">
        <v>5</v>
      </c>
      <c r="GU44" s="747">
        <f>VLOOKUP(GS44,'Ціни контур мережний'!$I$67:$M$69,5,0)</f>
        <v>4.4537969640631703</v>
      </c>
      <c r="GV44" s="748">
        <f t="shared" si="143"/>
        <v>22.26898482031585</v>
      </c>
      <c r="GW44" s="655" t="s">
        <v>106</v>
      </c>
      <c r="GX44" s="720">
        <f t="shared" ref="GX44:GX64" si="151">11+T44</f>
        <v>15</v>
      </c>
      <c r="GY44" s="747">
        <f>VLOOKUP(GW44,'Ціни контур мережний'!$I$67:$M$69,5,0)</f>
        <v>4.4537969640631703</v>
      </c>
      <c r="GZ44" s="748">
        <f t="shared" si="144"/>
        <v>66.806954460947551</v>
      </c>
      <c r="HA44" s="655" t="s">
        <v>1013</v>
      </c>
      <c r="HB44" s="720">
        <v>4</v>
      </c>
      <c r="HC44" s="747">
        <f>VLOOKUP(HA44,'Ціни контур мережний'!$I$64:$M$64,5,0)</f>
        <v>29.1312</v>
      </c>
      <c r="HD44" s="748">
        <f t="shared" si="145"/>
        <v>116.5248</v>
      </c>
      <c r="HE44" s="766" t="s">
        <v>1015</v>
      </c>
      <c r="HF44" s="749">
        <v>6</v>
      </c>
      <c r="HG44" s="747">
        <f>VLOOKUP(HE44,'Ціни контур мережний'!$I$89:$M$89,5,0)</f>
        <v>79.523165325760516</v>
      </c>
      <c r="HH44" s="765">
        <f t="shared" si="146"/>
        <v>477.1389919545631</v>
      </c>
      <c r="HI44" s="767" t="s">
        <v>1016</v>
      </c>
      <c r="HJ44" s="720">
        <f t="shared" ref="HJ44:HJ73" si="152">$HJ$8</f>
        <v>7</v>
      </c>
      <c r="HK44" s="747">
        <f>VLOOKUP(HI44,'Ціни контур мережний'!$I$88:$M$88,5,0)</f>
        <v>13.211568975967202</v>
      </c>
      <c r="HL44" s="768">
        <f t="shared" si="147"/>
        <v>92.480982831770419</v>
      </c>
      <c r="HM44" s="767" t="s">
        <v>383</v>
      </c>
      <c r="HN44" s="720">
        <v>1</v>
      </c>
      <c r="HO44" s="747">
        <f>VLOOKUP(HM44,'Ціни контур мережний'!$I$87:$M$87,5,0)</f>
        <v>13.483972460007763</v>
      </c>
      <c r="HP44" s="748">
        <f t="shared" si="148"/>
        <v>13.483972460007763</v>
      </c>
      <c r="HQ44" s="769">
        <f t="shared" si="97"/>
        <v>60</v>
      </c>
      <c r="HR44" s="770">
        <f t="shared" si="87"/>
        <v>8091.367332241909</v>
      </c>
      <c r="HS44" s="771">
        <v>0</v>
      </c>
      <c r="HT44" s="771">
        <f>'Таблиця цін схема №1'!$JE$45/'Ціни контур мережний'!$G$26</f>
        <v>578.85740358619182</v>
      </c>
      <c r="HU44" s="770">
        <f>'Таблиця цін схема №1'!$JG$8</f>
        <v>661.80181284518619</v>
      </c>
      <c r="HV44" s="770">
        <f>'Таблиця цін схема №1'!$JH$8</f>
        <v>487.81784379022207</v>
      </c>
      <c r="HW44" s="770">
        <f>'Таблиця цін схема №1'!$JI$8</f>
        <v>323.47913729816605</v>
      </c>
      <c r="HX44" s="770">
        <f>'Таблиця цін схема №1'!$JJ$8</f>
        <v>66.611999999999995</v>
      </c>
      <c r="HY44" s="770">
        <f>'Таблиця цін схема №1'!$JK$28</f>
        <v>0</v>
      </c>
      <c r="HZ44" s="772">
        <f>'Таблиця цін схема №1'!$JL$8</f>
        <v>62.86234247089866</v>
      </c>
      <c r="IA44" s="770">
        <f>'Таблиця цін схема №1'!$JM$28</f>
        <v>0</v>
      </c>
      <c r="IB44" s="770">
        <v>0</v>
      </c>
      <c r="IC44" s="773">
        <f t="shared" si="98"/>
        <v>719.09585105628003</v>
      </c>
      <c r="ID44" s="774">
        <f t="shared" si="99"/>
        <v>1027.2797872232572</v>
      </c>
      <c r="IE44" s="775">
        <f t="shared" si="100"/>
        <v>176.71764431729207</v>
      </c>
      <c r="IF44" s="776">
        <f>'Таблиця цін схема №1'!$JR$8</f>
        <v>300.63036461094771</v>
      </c>
      <c r="IG44" s="777">
        <f t="shared" si="88"/>
        <v>12496.521519440348</v>
      </c>
      <c r="II44" s="826"/>
      <c r="IJ44" s="826"/>
      <c r="IK44" s="826"/>
      <c r="IL44" s="826"/>
    </row>
    <row r="45" spans="1:246" s="780" customFormat="1" ht="12.6" customHeight="1">
      <c r="B45" s="905">
        <v>61</v>
      </c>
      <c r="C45" s="1056" t="s">
        <v>922</v>
      </c>
      <c r="D45" s="906">
        <v>0.34264</v>
      </c>
      <c r="E45" s="907">
        <v>0.16919999999999999</v>
      </c>
      <c r="F45" s="908">
        <f t="shared" si="28"/>
        <v>10.445910787595043</v>
      </c>
      <c r="G45" s="599">
        <v>65</v>
      </c>
      <c r="H45" s="598">
        <f t="shared" si="29"/>
        <v>6.1207574133619147</v>
      </c>
      <c r="I45" s="599">
        <v>50</v>
      </c>
      <c r="J45" s="598">
        <f t="shared" si="30"/>
        <v>14.246985446985446</v>
      </c>
      <c r="K45" s="599">
        <v>80</v>
      </c>
      <c r="L45" s="598">
        <f t="shared" si="31"/>
        <v>4.3251533742331292</v>
      </c>
      <c r="M45" s="599">
        <v>40</v>
      </c>
      <c r="N45" s="598">
        <f t="shared" si="32"/>
        <v>3.4320486815415823</v>
      </c>
      <c r="O45" s="599">
        <v>40</v>
      </c>
      <c r="P45" s="598">
        <f t="shared" si="149"/>
        <v>1.0296146044624745</v>
      </c>
      <c r="Q45" s="599">
        <v>25</v>
      </c>
      <c r="R45" s="598">
        <f t="shared" si="33"/>
        <v>8.656058145972084</v>
      </c>
      <c r="S45" s="600">
        <f t="shared" si="104"/>
        <v>6.1166905611842459</v>
      </c>
      <c r="T45" s="910">
        <v>4</v>
      </c>
      <c r="U45" s="601">
        <f t="shared" si="35"/>
        <v>3.5617463617463616</v>
      </c>
      <c r="V45" s="601">
        <f t="shared" si="36"/>
        <v>5.0370700105147321</v>
      </c>
      <c r="W45" s="850">
        <v>40</v>
      </c>
      <c r="X45" s="751">
        <f t="shared" si="0"/>
        <v>65</v>
      </c>
      <c r="Y45" s="746">
        <v>2</v>
      </c>
      <c r="Z45" s="747">
        <f>VLOOKUP(X45,'Ціни контур мережний'!$Z$24:$AB$36,3,0)</f>
        <v>30.19184015363556</v>
      </c>
      <c r="AA45" s="748">
        <f t="shared" si="105"/>
        <v>60.383680307271121</v>
      </c>
      <c r="AB45" s="749">
        <f t="shared" si="1"/>
        <v>65</v>
      </c>
      <c r="AC45" s="749">
        <v>2</v>
      </c>
      <c r="AD45" s="747">
        <f>VLOOKUP(AB45,'Ціни контур мережний'!$Z$64:$AB$77,3,0)</f>
        <v>105.883234246566</v>
      </c>
      <c r="AE45" s="748">
        <f t="shared" si="106"/>
        <v>211.76646849313201</v>
      </c>
      <c r="AF45" s="746">
        <f t="shared" si="2"/>
        <v>65</v>
      </c>
      <c r="AG45" s="746">
        <v>1</v>
      </c>
      <c r="AH45" s="747">
        <f>VLOOKUP(AF45,'Ціни контур мережний'!$Z$5:$AB$17,3,0)</f>
        <v>39.731999999999999</v>
      </c>
      <c r="AI45" s="748">
        <f t="shared" si="107"/>
        <v>39.731999999999999</v>
      </c>
      <c r="AJ45" s="746">
        <f t="shared" si="3"/>
        <v>50</v>
      </c>
      <c r="AK45" s="746">
        <v>3</v>
      </c>
      <c r="AL45" s="747">
        <f>VLOOKUP(AJ45,'Ціни контур мережний'!$Z$43:$AB$55,3,0)</f>
        <v>23.2782130224622</v>
      </c>
      <c r="AM45" s="748">
        <f t="shared" si="108"/>
        <v>69.834639067386604</v>
      </c>
      <c r="AN45" s="745">
        <f t="shared" si="4"/>
        <v>40</v>
      </c>
      <c r="AO45" s="749">
        <v>4</v>
      </c>
      <c r="AP45" s="747">
        <f>VLOOKUP(AN45,'Ціни контур мережний'!$Z$43:$AB$55,3,0)</f>
        <v>18.42400964308333</v>
      </c>
      <c r="AQ45" s="759">
        <f t="shared" si="109"/>
        <v>73.696038572333322</v>
      </c>
      <c r="AR45" s="751" t="str">
        <f t="shared" si="42"/>
        <v>AMV20</v>
      </c>
      <c r="AS45" s="751">
        <v>1</v>
      </c>
      <c r="AT45" s="747">
        <f>VLOOKUP(AR45,'Ціни контур мережний'!$I$53:$M$57,5,0)</f>
        <v>110.39869654932889</v>
      </c>
      <c r="AU45" s="748">
        <f t="shared" si="110"/>
        <v>110.39869654932889</v>
      </c>
      <c r="AV45" s="752">
        <f t="array" ref="AV45">MIN(IF('Ціни контур мережний'!$Y$83:$Y$92&gt;(R45*1.2),'Ціни контур мережний'!$Y$83:$Y$92))</f>
        <v>16</v>
      </c>
      <c r="AW45" s="746">
        <f>VLOOKUP(AV45,'Ціни контур мережний'!$Y$83:$Z$92,2,0)</f>
        <v>32</v>
      </c>
      <c r="AX45" s="746">
        <v>1</v>
      </c>
      <c r="AY45" s="747">
        <f>VLOOKUP(AV45,'Ціни контур мережний'!$Y$83:$AB$92,4,0)</f>
        <v>130.5392363168325</v>
      </c>
      <c r="AZ45" s="748">
        <f t="shared" si="111"/>
        <v>130.5392363168325</v>
      </c>
      <c r="BA45" s="1099">
        <f t="array" ref="BA45">MIN(IF('[1]Ціни контур мережний'!$Y$104:$Y$114&gt;(R45*1.2),'[1]Ціни контур мережний'!$Y$104:$Y$114))</f>
        <v>12.5</v>
      </c>
      <c r="BB45" s="1101">
        <f>VLOOKUP(BA45,'[1]Ціни контур мережний'!$Y$104:$Z$114,2,0)</f>
        <v>32</v>
      </c>
      <c r="BC45" s="753">
        <v>1</v>
      </c>
      <c r="BD45" s="754">
        <f>VLOOKUP(BA45,'Ціни контур мережний'!$Y$104:$AB$114,4,0)</f>
        <v>435.76049604674444</v>
      </c>
      <c r="BE45" s="755">
        <f t="shared" si="112"/>
        <v>435.76049604674444</v>
      </c>
      <c r="BF45" s="751" t="s">
        <v>67</v>
      </c>
      <c r="BG45" s="749">
        <v>1</v>
      </c>
      <c r="BH45" s="747">
        <f>VLOOKUP(BF45,'Ціни контур мережний'!$I$53:$M$57,5,0)</f>
        <v>157.67238032974441</v>
      </c>
      <c r="BI45" s="768">
        <f t="shared" si="113"/>
        <v>157.67238032974441</v>
      </c>
      <c r="BJ45" s="894">
        <f t="array" ref="BJ45">MIN(IF('Ціни контур мережний'!$Y$83:$Y$93&gt;(S45*1.2),'Ціни контур мережний'!$Y$83:$Y$93))</f>
        <v>10</v>
      </c>
      <c r="BK45" s="895">
        <f>VLOOKUP(BJ45,'Ціни контур мережний'!$Y$83:$Z$93,2,0)</f>
        <v>25</v>
      </c>
      <c r="BL45" s="895">
        <v>1</v>
      </c>
      <c r="BM45" s="896">
        <f>VLOOKUP(BJ45,'Ціни контур мережний'!$Y$83:$AB$93,4,0)</f>
        <v>117.50505648967251</v>
      </c>
      <c r="BN45" s="916">
        <f t="shared" si="114"/>
        <v>117.50505648967251</v>
      </c>
      <c r="BO45" s="896">
        <f t="array" ref="BO45">MIN(IF('Ціни контур мережний'!$Y$104:$Y$114&gt;(S45*1.2),'Ціни контур мережний'!$Y$104:$Y$114))</f>
        <v>8</v>
      </c>
      <c r="BP45" s="895">
        <f>VLOOKUP(BO45,'Ціни контур мережний'!$Y$104:$Z$114,2,0)</f>
        <v>25</v>
      </c>
      <c r="BQ45" s="895">
        <v>1</v>
      </c>
      <c r="BR45" s="896">
        <f>VLOOKUP(BO45,'Ціни контур мережний'!$Y$104:$AB$114,4,0)</f>
        <v>278.09338672441618</v>
      </c>
      <c r="BS45" s="897">
        <f t="shared" si="115"/>
        <v>278.09338672441618</v>
      </c>
      <c r="BT45" s="751" t="s">
        <v>115</v>
      </c>
      <c r="BU45" s="751" t="s">
        <v>115</v>
      </c>
      <c r="BV45" s="746" t="s">
        <v>1025</v>
      </c>
      <c r="BW45" s="756">
        <v>0</v>
      </c>
      <c r="BX45" s="747">
        <v>0</v>
      </c>
      <c r="BY45" s="748">
        <f t="shared" si="116"/>
        <v>0</v>
      </c>
      <c r="BZ45" s="745">
        <f>VLOOKUP(CA45,'Ціни контур мережний'!$J$5:$L$12,3,0)</f>
        <v>25</v>
      </c>
      <c r="CA45" s="747">
        <f t="array" ref="CA45">MIN(IF('Ціни контур мережний'!$J$5:$J$12&gt;L45,'Ціни контур мережний'!$J$5:$J$12))</f>
        <v>6</v>
      </c>
      <c r="CB45" s="746" t="s">
        <v>130</v>
      </c>
      <c r="CC45" s="749">
        <v>1</v>
      </c>
      <c r="CD45" s="747">
        <f>VLOOKUP(CA45,'Ціни контур мережний'!$J$5:$N$12,5,0)</f>
        <v>341.25599999999997</v>
      </c>
      <c r="CE45" s="748">
        <f t="shared" si="117"/>
        <v>341.25599999999997</v>
      </c>
      <c r="CF45" s="898" t="s">
        <v>1364</v>
      </c>
      <c r="CG45" s="899">
        <v>1</v>
      </c>
      <c r="CH45" s="900">
        <v>550</v>
      </c>
      <c r="CI45" s="901">
        <f t="shared" si="118"/>
        <v>550</v>
      </c>
      <c r="CJ45" s="751">
        <f t="shared" si="5"/>
        <v>80</v>
      </c>
      <c r="CK45" s="746">
        <v>4</v>
      </c>
      <c r="CL45" s="747">
        <f>VLOOKUP(CJ45,'Ціни контур теплопостачання'!$Y$5:$AA$17,3,0)</f>
        <v>37.693832104112609</v>
      </c>
      <c r="CM45" s="748">
        <f t="shared" si="119"/>
        <v>150.77532841645044</v>
      </c>
      <c r="CN45" s="746">
        <f t="shared" si="6"/>
        <v>40</v>
      </c>
      <c r="CO45" s="746">
        <v>6</v>
      </c>
      <c r="CP45" s="747">
        <f>VLOOKUP(CN45,'Ціни контур теплопостачання'!$AO$20:$AQ$29,3,0)</f>
        <v>37.980000000000004</v>
      </c>
      <c r="CQ45" s="748">
        <f t="shared" si="120"/>
        <v>227.88000000000002</v>
      </c>
      <c r="CR45" s="746">
        <f t="shared" si="7"/>
        <v>25</v>
      </c>
      <c r="CS45" s="746">
        <v>3</v>
      </c>
      <c r="CT45" s="747">
        <f>VLOOKUP(CR45,'Ціни контур теплопостачання'!$AO$20:$AQ$29,3,0)</f>
        <v>6.3070000000000004</v>
      </c>
      <c r="CU45" s="748">
        <f t="shared" si="121"/>
        <v>18.920999999999999</v>
      </c>
      <c r="CV45" s="746">
        <f t="shared" si="8"/>
        <v>40</v>
      </c>
      <c r="CW45" s="746">
        <f t="shared" si="101"/>
        <v>8</v>
      </c>
      <c r="CX45" s="747">
        <f>VLOOKUP(CV45,'Ціни контур теплопостачання'!$Y$5:$AA$17,3,0)</f>
        <v>18.42400964308333</v>
      </c>
      <c r="CY45" s="748">
        <f t="shared" si="122"/>
        <v>147.39207714466664</v>
      </c>
      <c r="CZ45" s="745">
        <v>20</v>
      </c>
      <c r="DA45" s="749">
        <v>2</v>
      </c>
      <c r="DB45" s="747">
        <f>VLOOKUP(CZ45,'Ціни контур теплопостачання'!$Y$5:$AA$17,3,0)</f>
        <v>3.577</v>
      </c>
      <c r="DC45" s="748">
        <f t="shared" si="123"/>
        <v>7.1539999999999999</v>
      </c>
      <c r="DD45" s="745">
        <v>15</v>
      </c>
      <c r="DE45" s="745">
        <v>8</v>
      </c>
      <c r="DF45" s="758">
        <f>VLOOKUP(DD45,'Ціни контур теплопостачання'!$Y$5:$AA$17,3,0)</f>
        <v>2.464</v>
      </c>
      <c r="DG45" s="759">
        <f t="shared" si="124"/>
        <v>19.712</v>
      </c>
      <c r="DH45" s="745">
        <v>15</v>
      </c>
      <c r="DI45" s="745">
        <f t="shared" si="58"/>
        <v>39</v>
      </c>
      <c r="DJ45" s="758">
        <f>VLOOKUP(DH45,'Ціни контур мережний'!$J$71:$M$71,4,0)</f>
        <v>3.3865201135922525</v>
      </c>
      <c r="DK45" s="759">
        <f t="shared" si="125"/>
        <v>132.07428443009783</v>
      </c>
      <c r="DL45" s="751">
        <f t="shared" si="10"/>
        <v>80</v>
      </c>
      <c r="DM45" s="746">
        <v>1</v>
      </c>
      <c r="DN45" s="747">
        <f>VLOOKUP(DL45,'Ціни контур теплопостачання'!$K$5:$M$17,3,0)</f>
        <v>50.12</v>
      </c>
      <c r="DO45" s="748">
        <f t="shared" si="126"/>
        <v>50.12</v>
      </c>
      <c r="DP45" s="745">
        <f t="shared" si="11"/>
        <v>40</v>
      </c>
      <c r="DQ45" s="749">
        <v>1</v>
      </c>
      <c r="DR45" s="747">
        <f>VLOOKUP(DP45,'Ціни контур теплопостачання'!$K$5:$M$17,3,0)</f>
        <v>23.225999999999999</v>
      </c>
      <c r="DS45" s="748">
        <f t="shared" si="127"/>
        <v>23.225999999999999</v>
      </c>
      <c r="DT45" s="745">
        <f t="shared" si="12"/>
        <v>25</v>
      </c>
      <c r="DU45" s="745">
        <v>1</v>
      </c>
      <c r="DV45" s="758">
        <f>VLOOKUP(DT45,'Ціни контур теплопостачання'!$K$5:$M$17,3,0)</f>
        <v>4.78</v>
      </c>
      <c r="DW45" s="759">
        <f t="shared" si="128"/>
        <v>4.78</v>
      </c>
      <c r="DX45" s="745">
        <f t="shared" si="63"/>
        <v>80</v>
      </c>
      <c r="DY45" s="745">
        <v>1</v>
      </c>
      <c r="DZ45" s="758">
        <f>VLOOKUP(DX45,'Ціни контур теплопостачання'!$Y$24:$AA$36,3,0)</f>
        <v>60.079499999999996</v>
      </c>
      <c r="EA45" s="759">
        <f t="shared" si="64"/>
        <v>60.079499999999996</v>
      </c>
      <c r="EB45" s="751">
        <f t="shared" si="13"/>
        <v>80</v>
      </c>
      <c r="EC45" s="746">
        <v>2</v>
      </c>
      <c r="ED45" s="747">
        <f>VLOOKUP(EB45,'Ціни контур теплопостачання'!$Y$24:$AA$36,3,0)</f>
        <v>60.079499999999996</v>
      </c>
      <c r="EE45" s="748">
        <f t="shared" si="129"/>
        <v>120.15899999999999</v>
      </c>
      <c r="EF45" s="745">
        <f t="shared" si="14"/>
        <v>40</v>
      </c>
      <c r="EG45" s="749">
        <v>1</v>
      </c>
      <c r="EH45" s="747">
        <f>VLOOKUP(EF45,'Ціни контур теплопостачання'!$AO$38:$AQ$50,3,0)</f>
        <v>20.3645</v>
      </c>
      <c r="EI45" s="748">
        <f t="shared" si="130"/>
        <v>20.3645</v>
      </c>
      <c r="EJ45" s="745">
        <f t="shared" si="15"/>
        <v>25</v>
      </c>
      <c r="EK45" s="745">
        <v>1</v>
      </c>
      <c r="EL45" s="758">
        <f>VLOOKUP(EJ45,'Ціни контур теплопостачання'!$AO$38:$AQ$50,3,0)</f>
        <v>6.9659999999999993</v>
      </c>
      <c r="EM45" s="759">
        <f t="shared" si="131"/>
        <v>6.9659999999999993</v>
      </c>
      <c r="EN45" s="745">
        <f t="shared" si="16"/>
        <v>40</v>
      </c>
      <c r="EO45" s="745">
        <f t="shared" si="102"/>
        <v>8</v>
      </c>
      <c r="EP45" s="758">
        <f>VLOOKUP(EN45,'Ціни контур теплопостачання'!$Y$76:$AA$88,3,0)</f>
        <v>16.809999999999999</v>
      </c>
      <c r="EQ45" s="759">
        <f t="shared" si="132"/>
        <v>134.47999999999999</v>
      </c>
      <c r="ER45" s="745">
        <f t="shared" si="18"/>
        <v>40</v>
      </c>
      <c r="ES45" s="745">
        <v>1</v>
      </c>
      <c r="ET45" s="758">
        <f>VLOOKUP(ER45,'Ціни контур теплопостачання'!$Y$76:$AA$88,3,0)</f>
        <v>16.809999999999999</v>
      </c>
      <c r="EU45" s="759">
        <f t="shared" si="133"/>
        <v>16.809999999999999</v>
      </c>
      <c r="EV45" s="745">
        <f t="shared" si="19"/>
        <v>25</v>
      </c>
      <c r="EW45" s="745">
        <v>1</v>
      </c>
      <c r="EX45" s="758">
        <f>VLOOKUP(EV45,'Ціни контур теплопостачання'!$Y$76:$AA$88,3,0)</f>
        <v>11.45</v>
      </c>
      <c r="EY45" s="759">
        <f t="shared" si="134"/>
        <v>11.45</v>
      </c>
      <c r="EZ45" s="758">
        <f t="shared" si="95"/>
        <v>29.732325842422753</v>
      </c>
      <c r="FA45" s="955">
        <v>32</v>
      </c>
      <c r="FB45" s="719">
        <v>2</v>
      </c>
      <c r="FC45" s="747">
        <f>VLOOKUP(FA45,'Ціни контур теплопостачання'!$K$74:$M$79,3,0)</f>
        <v>33.68</v>
      </c>
      <c r="FD45" s="761">
        <f t="shared" si="96"/>
        <v>67.36</v>
      </c>
      <c r="FE45" s="762">
        <f t="shared" si="71"/>
        <v>14.246985446985446</v>
      </c>
      <c r="FF45" s="911">
        <v>9</v>
      </c>
      <c r="FG45" s="900">
        <v>8</v>
      </c>
      <c r="FH45" s="830" t="s">
        <v>119</v>
      </c>
      <c r="FI45" s="708">
        <v>2</v>
      </c>
      <c r="FJ45" s="709">
        <f>VLOOKUP(FH45,'Ціни контур теплопостачання'!$C$89:$M$105,11,0)</f>
        <v>391.06799999999998</v>
      </c>
      <c r="FK45" s="764">
        <f t="shared" si="135"/>
        <v>782.13599999999997</v>
      </c>
      <c r="FL45" s="912">
        <f t="shared" si="73"/>
        <v>1.0296146044624745</v>
      </c>
      <c r="FM45" s="911">
        <v>9</v>
      </c>
      <c r="FN45" s="900">
        <v>9</v>
      </c>
      <c r="FO45" s="900" t="s">
        <v>1097</v>
      </c>
      <c r="FP45" s="749">
        <v>1</v>
      </c>
      <c r="FQ45" s="747">
        <f>VLOOKUP(FO45,'Ціни контур теплопостачання'!$C$89:$M$105,11,0)</f>
        <v>241.2</v>
      </c>
      <c r="FR45" s="904">
        <f t="shared" si="136"/>
        <v>241.2</v>
      </c>
      <c r="FS45" s="758">
        <f t="array" ref="FS45">MIN(IF('Ціни контур теплопостачання'!$AN$68:$AN$77&gt;(V45*1.2),'Ціни контур теплопостачання'!$AN$68:$AN$77))</f>
        <v>11.13</v>
      </c>
      <c r="FT45" s="749">
        <f>VLOOKUP(FS45,'Ціни контур теплопостачання'!$AN$68:$AO$77,2,0)</f>
        <v>32</v>
      </c>
      <c r="FU45" s="749">
        <f t="shared" si="103"/>
        <v>4</v>
      </c>
      <c r="FV45" s="747">
        <f>VLOOKUP(FT45,'Ціни контур теплопостачання'!$AO$68:$AQ$77,3,0)</f>
        <v>37.183999999999997</v>
      </c>
      <c r="FW45" s="765">
        <f t="shared" si="137"/>
        <v>148.73599999999999</v>
      </c>
      <c r="FX45" s="750">
        <v>15</v>
      </c>
      <c r="FY45" s="746">
        <v>2</v>
      </c>
      <c r="FZ45" s="747">
        <f>VLOOKUP(FX45,'Ціни контур мережний'!$J$73:$M$73,4,0)</f>
        <v>3.4649999999999999</v>
      </c>
      <c r="GA45" s="748">
        <f t="shared" si="138"/>
        <v>6.93</v>
      </c>
      <c r="GB45" s="750">
        <f>VLOOKUP(GC45,'Ціни контур теплопостачання'!$AN$6:$AO$13,2,0)</f>
        <v>25</v>
      </c>
      <c r="GC45" s="751">
        <f t="array" ref="GC45">MIN(IF('Ціни контур теплопостачання'!$AN$6:$AN$13&gt;N45,'Ціни контур теплопостачання'!$AN$6:$AN$13))</f>
        <v>3.5</v>
      </c>
      <c r="GD45" s="751">
        <v>1</v>
      </c>
      <c r="GE45" s="747">
        <f>VLOOKUP(GB45,'Ціни контур теплопостачання'!$AO$6:$AQ$13,3,0)</f>
        <v>76.3506</v>
      </c>
      <c r="GF45" s="748">
        <f t="shared" si="139"/>
        <v>76.3506</v>
      </c>
      <c r="GG45" s="746">
        <f t="shared" si="23"/>
        <v>40</v>
      </c>
      <c r="GH45" s="746">
        <v>1</v>
      </c>
      <c r="GI45" s="747">
        <f>VLOOKUP(GG45,'Ціни контур теплопостачання'!$AO$55:$AQ$63,3,0)</f>
        <v>193.55</v>
      </c>
      <c r="GJ45" s="768">
        <f t="shared" si="140"/>
        <v>193.55</v>
      </c>
      <c r="GK45" s="655" t="str">
        <f t="shared" si="150"/>
        <v>0-150</v>
      </c>
      <c r="GL45" s="720">
        <v>1</v>
      </c>
      <c r="GM45" s="747">
        <f>VLOOKUP(GK45,'Ціни контур мережний'!$I$79:$M$80,5,0)</f>
        <v>15.050156291498967</v>
      </c>
      <c r="GN45" s="748">
        <f t="shared" si="141"/>
        <v>15.050156291498967</v>
      </c>
      <c r="GO45" s="758" t="s">
        <v>109</v>
      </c>
      <c r="GP45" s="749">
        <v>5</v>
      </c>
      <c r="GQ45" s="747">
        <f>VLOOKUP(GO45,'Ціни контур мережний'!$I$79:$M$80,5,0)</f>
        <v>15.050156291498967</v>
      </c>
      <c r="GR45" s="765">
        <f t="shared" si="142"/>
        <v>75.250781457494838</v>
      </c>
      <c r="GS45" s="655" t="s">
        <v>108</v>
      </c>
      <c r="GT45" s="720">
        <v>5</v>
      </c>
      <c r="GU45" s="747">
        <f>VLOOKUP(GS45,'Ціни контур мережний'!$I$67:$M$69,5,0)</f>
        <v>4.4537969640631703</v>
      </c>
      <c r="GV45" s="748">
        <f t="shared" si="143"/>
        <v>22.26898482031585</v>
      </c>
      <c r="GW45" s="655" t="s">
        <v>106</v>
      </c>
      <c r="GX45" s="720">
        <f t="shared" si="151"/>
        <v>15</v>
      </c>
      <c r="GY45" s="747">
        <f>VLOOKUP(GW45,'Ціни контур мережний'!$I$67:$M$69,5,0)</f>
        <v>4.4537969640631703</v>
      </c>
      <c r="GZ45" s="748">
        <f t="shared" si="144"/>
        <v>66.806954460947551</v>
      </c>
      <c r="HA45" s="655" t="s">
        <v>1013</v>
      </c>
      <c r="HB45" s="720">
        <v>4</v>
      </c>
      <c r="HC45" s="747">
        <f>VLOOKUP(HA45,'Ціни контур мережний'!$I$64:$M$64,5,0)</f>
        <v>29.1312</v>
      </c>
      <c r="HD45" s="748">
        <f t="shared" si="145"/>
        <v>116.5248</v>
      </c>
      <c r="HE45" s="766" t="s">
        <v>1015</v>
      </c>
      <c r="HF45" s="749">
        <v>6</v>
      </c>
      <c r="HG45" s="747">
        <f>VLOOKUP(HE45,'Ціни контур мережний'!$I$89:$M$89,5,0)</f>
        <v>79.523165325760516</v>
      </c>
      <c r="HH45" s="765">
        <f t="shared" si="146"/>
        <v>477.1389919545631</v>
      </c>
      <c r="HI45" s="778" t="s">
        <v>1016</v>
      </c>
      <c r="HJ45" s="720">
        <f t="shared" si="152"/>
        <v>7</v>
      </c>
      <c r="HK45" s="747">
        <f>VLOOKUP(HI45,'Ціни контур мережний'!$I$88:$M$88,5,0)</f>
        <v>13.211568975967202</v>
      </c>
      <c r="HL45" s="768">
        <f t="shared" si="147"/>
        <v>92.480982831770419</v>
      </c>
      <c r="HM45" s="757" t="s">
        <v>383</v>
      </c>
      <c r="HN45" s="720">
        <v>1</v>
      </c>
      <c r="HO45" s="747">
        <f>VLOOKUP(HM45,'Ціни контур мережний'!$I$87:$M$87,5,0)</f>
        <v>13.483972460007763</v>
      </c>
      <c r="HP45" s="748">
        <f t="shared" si="148"/>
        <v>13.483972460007763</v>
      </c>
      <c r="HQ45" s="769">
        <f t="shared" si="97"/>
        <v>61</v>
      </c>
      <c r="HR45" s="770">
        <f t="shared" si="87"/>
        <v>6124.2499931646753</v>
      </c>
      <c r="HS45" s="771">
        <v>0</v>
      </c>
      <c r="HT45" s="771">
        <f>'Таблиця цін схема №1'!$JE$44/'Ціни контур мережний'!$G$26</f>
        <v>476.70609707098151</v>
      </c>
      <c r="HU45" s="770">
        <f>'Таблиця цін схема №1'!$JG$8</f>
        <v>661.80181284518619</v>
      </c>
      <c r="HV45" s="770">
        <f>'Таблиця цін схема №1'!$JH$8</f>
        <v>487.81784379022207</v>
      </c>
      <c r="HW45" s="770">
        <f>'Таблиця цін схема №1'!$JI$8</f>
        <v>323.47913729816605</v>
      </c>
      <c r="HX45" s="770">
        <f>'Таблиця цін схема №1'!$JJ$8</f>
        <v>66.611999999999995</v>
      </c>
      <c r="HY45" s="770">
        <f>'Таблиця цін схема №1'!$JK$28</f>
        <v>0</v>
      </c>
      <c r="HZ45" s="772">
        <f>'Таблиця цін схема №1'!$JL$8</f>
        <v>62.86234247089866</v>
      </c>
      <c r="IA45" s="770">
        <f>'Таблиця цін схема №1'!$JM$28</f>
        <v>0</v>
      </c>
      <c r="IB45" s="770">
        <v>0</v>
      </c>
      <c r="IC45" s="913">
        <f t="shared" si="98"/>
        <v>574.24704586480914</v>
      </c>
      <c r="ID45" s="914">
        <f t="shared" si="99"/>
        <v>820.35292266401302</v>
      </c>
      <c r="IE45" s="915">
        <f t="shared" si="100"/>
        <v>141.12108288808849</v>
      </c>
      <c r="IF45" s="776">
        <f>'Таблиця цін схема №1'!$JR$8</f>
        <v>300.63036461094771</v>
      </c>
      <c r="IG45" s="777">
        <f t="shared" si="88"/>
        <v>10039.880642667989</v>
      </c>
      <c r="II45" s="835"/>
      <c r="IJ45" s="835"/>
      <c r="IK45" s="835"/>
      <c r="IL45" s="835"/>
    </row>
    <row r="46" spans="1:246" s="780" customFormat="1" ht="12.6" customHeight="1">
      <c r="B46" s="740">
        <v>62</v>
      </c>
      <c r="C46" s="1056" t="s">
        <v>923</v>
      </c>
      <c r="D46" s="892">
        <v>0.43678</v>
      </c>
      <c r="E46" s="918">
        <v>0.22176000000000001</v>
      </c>
      <c r="F46" s="742">
        <f t="shared" si="28"/>
        <v>13.471141095527106</v>
      </c>
      <c r="G46" s="599">
        <v>65</v>
      </c>
      <c r="H46" s="598">
        <f t="shared" si="29"/>
        <v>7.8024294390853877</v>
      </c>
      <c r="I46" s="599">
        <v>50</v>
      </c>
      <c r="J46" s="598">
        <f t="shared" si="30"/>
        <v>18.161330561330562</v>
      </c>
      <c r="K46" s="599">
        <v>80</v>
      </c>
      <c r="L46" s="598">
        <f t="shared" si="31"/>
        <v>5.6687116564417188</v>
      </c>
      <c r="M46" s="599">
        <v>50</v>
      </c>
      <c r="N46" s="598">
        <f t="shared" si="32"/>
        <v>4.4981744421906704</v>
      </c>
      <c r="O46" s="599">
        <v>40</v>
      </c>
      <c r="P46" s="598">
        <f t="shared" si="149"/>
        <v>1.349452332657201</v>
      </c>
      <c r="Q46" s="599">
        <v>25</v>
      </c>
      <c r="R46" s="598">
        <f t="shared" si="33"/>
        <v>11.034301532213656</v>
      </c>
      <c r="S46" s="600">
        <f t="shared" si="104"/>
        <v>8.0167689057223317</v>
      </c>
      <c r="T46" s="744">
        <v>4</v>
      </c>
      <c r="U46" s="601">
        <f t="shared" si="35"/>
        <v>4.5403326403326405</v>
      </c>
      <c r="V46" s="601">
        <f t="shared" si="36"/>
        <v>6.4209999976436638</v>
      </c>
      <c r="W46" s="850">
        <v>40</v>
      </c>
      <c r="X46" s="751">
        <f t="shared" si="0"/>
        <v>65</v>
      </c>
      <c r="Y46" s="746">
        <v>2</v>
      </c>
      <c r="Z46" s="747">
        <f>VLOOKUP(X46,'Ціни контур мережний'!$Z$24:$AB$36,3,0)</f>
        <v>30.19184015363556</v>
      </c>
      <c r="AA46" s="748">
        <f t="shared" si="105"/>
        <v>60.383680307271121</v>
      </c>
      <c r="AB46" s="749">
        <f t="shared" si="1"/>
        <v>65</v>
      </c>
      <c r="AC46" s="749">
        <v>2</v>
      </c>
      <c r="AD46" s="747">
        <f>VLOOKUP(AB46,'Ціни контур мережний'!$Z$64:$AB$77,3,0)</f>
        <v>105.883234246566</v>
      </c>
      <c r="AE46" s="748">
        <f t="shared" si="106"/>
        <v>211.76646849313201</v>
      </c>
      <c r="AF46" s="746">
        <f t="shared" si="2"/>
        <v>65</v>
      </c>
      <c r="AG46" s="746">
        <v>1</v>
      </c>
      <c r="AH46" s="747">
        <f>VLOOKUP(AF46,'Ціни контур мережний'!$Z$5:$AB$17,3,0)</f>
        <v>39.731999999999999</v>
      </c>
      <c r="AI46" s="748">
        <f t="shared" si="107"/>
        <v>39.731999999999999</v>
      </c>
      <c r="AJ46" s="746">
        <f t="shared" si="3"/>
        <v>50</v>
      </c>
      <c r="AK46" s="746">
        <v>3</v>
      </c>
      <c r="AL46" s="747">
        <f>VLOOKUP(AJ46,'Ціни контур мережний'!$Z$43:$AB$55,3,0)</f>
        <v>23.2782130224622</v>
      </c>
      <c r="AM46" s="748">
        <f t="shared" si="108"/>
        <v>69.834639067386604</v>
      </c>
      <c r="AN46" s="745">
        <f t="shared" si="4"/>
        <v>50</v>
      </c>
      <c r="AO46" s="749">
        <v>4</v>
      </c>
      <c r="AP46" s="747">
        <f>VLOOKUP(AN46,'Ціни контур мережний'!$Z$43:$AB$55,3,0)</f>
        <v>23.2782130224622</v>
      </c>
      <c r="AQ46" s="759">
        <f t="shared" si="109"/>
        <v>93.112852089848801</v>
      </c>
      <c r="AR46" s="751" t="str">
        <f t="shared" si="42"/>
        <v>AMV20</v>
      </c>
      <c r="AS46" s="751">
        <v>1</v>
      </c>
      <c r="AT46" s="747">
        <f>VLOOKUP(AR46,'Ціни контур мережний'!$I$53:$M$57,5,0)</f>
        <v>110.39869654932889</v>
      </c>
      <c r="AU46" s="748">
        <f t="shared" si="110"/>
        <v>110.39869654932889</v>
      </c>
      <c r="AV46" s="752">
        <f t="array" ref="AV46">MIN(IF('Ціни контур мережний'!$Y$83:$Y$92&gt;(R46*1.2),'Ціни контур мережний'!$Y$83:$Y$92))</f>
        <v>16</v>
      </c>
      <c r="AW46" s="746">
        <f>VLOOKUP(AV46,'Ціни контур мережний'!$Y$83:$Z$92,2,0)</f>
        <v>32</v>
      </c>
      <c r="AX46" s="746">
        <v>1</v>
      </c>
      <c r="AY46" s="747">
        <f>VLOOKUP(AV46,'Ціни контур мережний'!$Y$83:$AB$92,4,0)</f>
        <v>130.5392363168325</v>
      </c>
      <c r="AZ46" s="748">
        <f t="shared" si="111"/>
        <v>130.5392363168325</v>
      </c>
      <c r="BA46" s="1099">
        <v>20</v>
      </c>
      <c r="BB46" s="1101">
        <f>VLOOKUP(BA46,'[1]Ціни контур мережний'!$Y$104:$Z$114,2,0)</f>
        <v>50</v>
      </c>
      <c r="BC46" s="753">
        <v>1</v>
      </c>
      <c r="BD46" s="754">
        <f>VLOOKUP(BA46,'Ціни контур мережний'!$Y$104:$AB$114,4,0)</f>
        <v>448.22326189551967</v>
      </c>
      <c r="BE46" s="755">
        <f t="shared" si="112"/>
        <v>448.22326189551967</v>
      </c>
      <c r="BF46" s="751" t="s">
        <v>67</v>
      </c>
      <c r="BG46" s="749">
        <v>1</v>
      </c>
      <c r="BH46" s="747">
        <f>VLOOKUP(BF46,'Ціни контур мережний'!$I$53:$M$57,5,0)</f>
        <v>157.67238032974441</v>
      </c>
      <c r="BI46" s="768">
        <f t="shared" si="113"/>
        <v>157.67238032974441</v>
      </c>
      <c r="BJ46" s="894">
        <f t="array" ref="BJ46">MIN(IF('Ціни контур мережний'!$Y$83:$Y$93&gt;(S46*1.2),'Ціни контур мережний'!$Y$83:$Y$93))</f>
        <v>10</v>
      </c>
      <c r="BK46" s="895">
        <f>VLOOKUP(BJ46,'Ціни контур мережний'!$Y$83:$Z$93,2,0)</f>
        <v>25</v>
      </c>
      <c r="BL46" s="895">
        <v>1</v>
      </c>
      <c r="BM46" s="896">
        <f>VLOOKUP(BJ46,'Ціни контур мережний'!$Y$83:$AB$93,4,0)</f>
        <v>117.50505648967251</v>
      </c>
      <c r="BN46" s="916">
        <f t="shared" si="114"/>
        <v>117.50505648967251</v>
      </c>
      <c r="BO46" s="896">
        <f t="array" ref="BO46">MIN(IF('Ціни контур мережний'!$Y$104:$Y$114&gt;(S46*1.2),'Ціни контур мережний'!$Y$104:$Y$114))</f>
        <v>12.5</v>
      </c>
      <c r="BP46" s="895">
        <f>VLOOKUP(BO46,'Ціни контур мережний'!$Y$104:$Z$114,2,0)</f>
        <v>32</v>
      </c>
      <c r="BQ46" s="895">
        <v>1</v>
      </c>
      <c r="BR46" s="896">
        <f>VLOOKUP(BO46,'Ціни контур мережний'!$Y$104:$AB$114,4,0)</f>
        <v>435.76049604674444</v>
      </c>
      <c r="BS46" s="897">
        <f t="shared" si="115"/>
        <v>435.76049604674444</v>
      </c>
      <c r="BT46" s="751">
        <f>VLOOKUP(BU46,'Ціни контур мережний'!$J$5:$L$12,3,0)</f>
        <v>40</v>
      </c>
      <c r="BU46" s="751">
        <f t="array" ref="BU46">MIN(IF('Ціни контур мережний'!$J$5:$J$12&gt;H46,'Ціни контур мережний'!$J$5:$J$12))</f>
        <v>10</v>
      </c>
      <c r="BV46" s="746" t="s">
        <v>130</v>
      </c>
      <c r="BW46" s="756">
        <v>1</v>
      </c>
      <c r="BX46" s="747">
        <f>VLOOKUP(BU46,'Ціни контур мережний'!$J$5:$N$12,5,0)</f>
        <v>375.23999999999995</v>
      </c>
      <c r="BY46" s="748">
        <f t="shared" si="116"/>
        <v>375.23999999999995</v>
      </c>
      <c r="BZ46" s="745">
        <f>VLOOKUP(CA46,'Ціни контур мережний'!$J$5:$L$12,3,0)</f>
        <v>25</v>
      </c>
      <c r="CA46" s="747">
        <f t="array" ref="CA46">MIN(IF('Ціни контур мережний'!$J$5:$J$12&gt;L46,'Ціни контур мережний'!$J$5:$J$12))</f>
        <v>6</v>
      </c>
      <c r="CB46" s="746" t="s">
        <v>130</v>
      </c>
      <c r="CC46" s="749">
        <v>1</v>
      </c>
      <c r="CD46" s="747">
        <f>VLOOKUP(CA46,'Ціни контур мережний'!$J$5:$N$12,5,0)</f>
        <v>341.25599999999997</v>
      </c>
      <c r="CE46" s="748">
        <f t="shared" si="117"/>
        <v>341.25599999999997</v>
      </c>
      <c r="CF46" s="898" t="s">
        <v>1365</v>
      </c>
      <c r="CG46" s="899">
        <v>1</v>
      </c>
      <c r="CH46" s="900">
        <v>582</v>
      </c>
      <c r="CI46" s="901">
        <f t="shared" si="118"/>
        <v>582</v>
      </c>
      <c r="CJ46" s="751">
        <f t="shared" si="5"/>
        <v>80</v>
      </c>
      <c r="CK46" s="746">
        <v>4</v>
      </c>
      <c r="CL46" s="747">
        <f>VLOOKUP(CJ46,'Ціни контур теплопостачання'!$Y$5:$AA$17,3,0)</f>
        <v>37.693832104112609</v>
      </c>
      <c r="CM46" s="748">
        <f t="shared" si="119"/>
        <v>150.77532841645044</v>
      </c>
      <c r="CN46" s="746">
        <f t="shared" si="6"/>
        <v>40</v>
      </c>
      <c r="CO46" s="746">
        <v>6</v>
      </c>
      <c r="CP46" s="747">
        <f>VLOOKUP(CN46,'Ціни контур теплопостачання'!$AO$20:$AQ$29,3,0)</f>
        <v>37.980000000000004</v>
      </c>
      <c r="CQ46" s="748">
        <f t="shared" si="120"/>
        <v>227.88000000000002</v>
      </c>
      <c r="CR46" s="746">
        <f t="shared" si="7"/>
        <v>25</v>
      </c>
      <c r="CS46" s="746">
        <v>3</v>
      </c>
      <c r="CT46" s="747">
        <f>VLOOKUP(CR46,'Ціни контур теплопостачання'!$AO$20:$AQ$29,3,0)</f>
        <v>6.3070000000000004</v>
      </c>
      <c r="CU46" s="748">
        <f t="shared" si="121"/>
        <v>18.920999999999999</v>
      </c>
      <c r="CV46" s="746">
        <f t="shared" si="8"/>
        <v>40</v>
      </c>
      <c r="CW46" s="746">
        <f t="shared" si="101"/>
        <v>8</v>
      </c>
      <c r="CX46" s="747">
        <f>VLOOKUP(CV46,'Ціни контур теплопостачання'!$Y$5:$AA$17,3,0)</f>
        <v>18.42400964308333</v>
      </c>
      <c r="CY46" s="748">
        <f t="shared" si="122"/>
        <v>147.39207714466664</v>
      </c>
      <c r="CZ46" s="745">
        <v>20</v>
      </c>
      <c r="DA46" s="749">
        <v>2</v>
      </c>
      <c r="DB46" s="747">
        <f>VLOOKUP(CZ46,'Ціни контур теплопостачання'!$Y$5:$AA$17,3,0)</f>
        <v>3.577</v>
      </c>
      <c r="DC46" s="748">
        <f t="shared" si="123"/>
        <v>7.1539999999999999</v>
      </c>
      <c r="DD46" s="745">
        <v>15</v>
      </c>
      <c r="DE46" s="745">
        <v>8</v>
      </c>
      <c r="DF46" s="758">
        <f>VLOOKUP(DD46,'Ціни контур теплопостачання'!$Y$5:$AA$17,3,0)</f>
        <v>2.464</v>
      </c>
      <c r="DG46" s="759">
        <f t="shared" si="124"/>
        <v>19.712</v>
      </c>
      <c r="DH46" s="745">
        <v>15</v>
      </c>
      <c r="DI46" s="745">
        <f t="shared" si="58"/>
        <v>39</v>
      </c>
      <c r="DJ46" s="758">
        <f>VLOOKUP(DH46,'Ціни контур мережний'!$J$71:$M$71,4,0)</f>
        <v>3.3865201135922525</v>
      </c>
      <c r="DK46" s="759">
        <f t="shared" si="125"/>
        <v>132.07428443009783</v>
      </c>
      <c r="DL46" s="751">
        <f t="shared" si="10"/>
        <v>80</v>
      </c>
      <c r="DM46" s="746">
        <v>1</v>
      </c>
      <c r="DN46" s="747">
        <f>VLOOKUP(DL46,'Ціни контур теплопостачання'!$K$5:$M$17,3,0)</f>
        <v>50.12</v>
      </c>
      <c r="DO46" s="748">
        <f t="shared" si="126"/>
        <v>50.12</v>
      </c>
      <c r="DP46" s="745">
        <f t="shared" si="11"/>
        <v>40</v>
      </c>
      <c r="DQ46" s="749">
        <v>1</v>
      </c>
      <c r="DR46" s="747">
        <f>VLOOKUP(DP46,'Ціни контур теплопостачання'!$K$5:$M$17,3,0)</f>
        <v>23.225999999999999</v>
      </c>
      <c r="DS46" s="748">
        <f t="shared" si="127"/>
        <v>23.225999999999999</v>
      </c>
      <c r="DT46" s="745">
        <f t="shared" si="12"/>
        <v>25</v>
      </c>
      <c r="DU46" s="745">
        <v>1</v>
      </c>
      <c r="DV46" s="758">
        <f>VLOOKUP(DT46,'Ціни контур теплопостачання'!$K$5:$M$17,3,0)</f>
        <v>4.78</v>
      </c>
      <c r="DW46" s="759">
        <f t="shared" si="128"/>
        <v>4.78</v>
      </c>
      <c r="DX46" s="745">
        <f t="shared" si="63"/>
        <v>80</v>
      </c>
      <c r="DY46" s="745">
        <v>1</v>
      </c>
      <c r="DZ46" s="758">
        <f>VLOOKUP(DX46,'Ціни контур теплопостачання'!$Y$24:$AA$36,3,0)</f>
        <v>60.079499999999996</v>
      </c>
      <c r="EA46" s="759">
        <f t="shared" si="64"/>
        <v>60.079499999999996</v>
      </c>
      <c r="EB46" s="751">
        <f t="shared" si="13"/>
        <v>80</v>
      </c>
      <c r="EC46" s="746">
        <v>2</v>
      </c>
      <c r="ED46" s="747">
        <f>VLOOKUP(EB46,'Ціни контур теплопостачання'!$Y$24:$AA$36,3,0)</f>
        <v>60.079499999999996</v>
      </c>
      <c r="EE46" s="748">
        <f t="shared" si="129"/>
        <v>120.15899999999999</v>
      </c>
      <c r="EF46" s="745">
        <f t="shared" si="14"/>
        <v>40</v>
      </c>
      <c r="EG46" s="749">
        <v>1</v>
      </c>
      <c r="EH46" s="747">
        <f>VLOOKUP(EF46,'Ціни контур теплопостачання'!$AO$38:$AQ$50,3,0)</f>
        <v>20.3645</v>
      </c>
      <c r="EI46" s="748">
        <f t="shared" si="130"/>
        <v>20.3645</v>
      </c>
      <c r="EJ46" s="745">
        <f t="shared" si="15"/>
        <v>25</v>
      </c>
      <c r="EK46" s="745">
        <v>1</v>
      </c>
      <c r="EL46" s="758">
        <f>VLOOKUP(EJ46,'Ціни контур теплопостачання'!$AO$38:$AQ$50,3,0)</f>
        <v>6.9659999999999993</v>
      </c>
      <c r="EM46" s="759">
        <f t="shared" si="131"/>
        <v>6.9659999999999993</v>
      </c>
      <c r="EN46" s="745">
        <f t="shared" si="16"/>
        <v>40</v>
      </c>
      <c r="EO46" s="745">
        <f t="shared" si="102"/>
        <v>8</v>
      </c>
      <c r="EP46" s="758">
        <f>VLOOKUP(EN46,'Ціни контур теплопостачання'!$Y$76:$AA$88,3,0)</f>
        <v>16.809999999999999</v>
      </c>
      <c r="EQ46" s="759">
        <f t="shared" si="132"/>
        <v>134.47999999999999</v>
      </c>
      <c r="ER46" s="745">
        <f t="shared" si="18"/>
        <v>40</v>
      </c>
      <c r="ES46" s="745">
        <v>1</v>
      </c>
      <c r="ET46" s="758">
        <f>VLOOKUP(ER46,'Ціни контур теплопостачання'!$Y$76:$AA$88,3,0)</f>
        <v>16.809999999999999</v>
      </c>
      <c r="EU46" s="759">
        <f t="shared" si="133"/>
        <v>16.809999999999999</v>
      </c>
      <c r="EV46" s="745">
        <f t="shared" si="19"/>
        <v>25</v>
      </c>
      <c r="EW46" s="745">
        <v>1</v>
      </c>
      <c r="EX46" s="758">
        <f>VLOOKUP(EV46,'Ціни контур теплопостачання'!$Y$76:$AA$88,3,0)</f>
        <v>11.45</v>
      </c>
      <c r="EY46" s="759">
        <f t="shared" si="134"/>
        <v>11.45</v>
      </c>
      <c r="EZ46" s="758">
        <f t="shared" si="95"/>
        <v>33.569218042724799</v>
      </c>
      <c r="FA46" s="955">
        <v>40</v>
      </c>
      <c r="FB46" s="719">
        <v>2</v>
      </c>
      <c r="FC46" s="747">
        <f>VLOOKUP(FA46,'Ціни контур теплопостачання'!$K$74:$M$79,3,0)</f>
        <v>43.19</v>
      </c>
      <c r="FD46" s="761">
        <f t="shared" si="96"/>
        <v>86.38</v>
      </c>
      <c r="FE46" s="762">
        <f t="shared" si="71"/>
        <v>18.161330561330562</v>
      </c>
      <c r="FF46" s="902">
        <v>9</v>
      </c>
      <c r="FG46" s="900">
        <v>8</v>
      </c>
      <c r="FH46" s="830" t="s">
        <v>1090</v>
      </c>
      <c r="FI46" s="708">
        <v>2</v>
      </c>
      <c r="FJ46" s="709">
        <f>VLOOKUP(FH46,'Ціни контур теплопостачання'!$C$89:$M$105,11,0)</f>
        <v>648.69600000000003</v>
      </c>
      <c r="FK46" s="764">
        <f t="shared" si="135"/>
        <v>1297.3920000000001</v>
      </c>
      <c r="FL46" s="912">
        <f t="shared" si="73"/>
        <v>1.349452332657201</v>
      </c>
      <c r="FM46" s="902">
        <v>9</v>
      </c>
      <c r="FN46" s="900">
        <v>9</v>
      </c>
      <c r="FO46" s="900" t="s">
        <v>1097</v>
      </c>
      <c r="FP46" s="749">
        <v>1</v>
      </c>
      <c r="FQ46" s="747">
        <f>VLOOKUP(FO46,'Ціни контур теплопостачання'!$C$89:$M$105,11,0)</f>
        <v>241.2</v>
      </c>
      <c r="FR46" s="904">
        <f t="shared" si="136"/>
        <v>241.2</v>
      </c>
      <c r="FS46" s="758">
        <f t="array" ref="FS46">MIN(IF('Ціни контур теплопостачання'!$AN$68:$AN$77&gt;(V46*1.2),'Ціни контур теплопостачання'!$AN$68:$AN$77))</f>
        <v>11.13</v>
      </c>
      <c r="FT46" s="749">
        <f>VLOOKUP(FS46,'Ціни контур теплопостачання'!$AN$68:$AO$77,2,0)</f>
        <v>32</v>
      </c>
      <c r="FU46" s="749">
        <f t="shared" si="103"/>
        <v>4</v>
      </c>
      <c r="FV46" s="747">
        <f>VLOOKUP(FT46,'Ціни контур теплопостачання'!$AO$68:$AQ$77,3,0)</f>
        <v>37.183999999999997</v>
      </c>
      <c r="FW46" s="765">
        <f t="shared" si="137"/>
        <v>148.73599999999999</v>
      </c>
      <c r="FX46" s="750">
        <v>15</v>
      </c>
      <c r="FY46" s="746">
        <v>2</v>
      </c>
      <c r="FZ46" s="747">
        <f>VLOOKUP(FX46,'Ціни контур мережний'!$J$73:$M$73,4,0)</f>
        <v>3.4649999999999999</v>
      </c>
      <c r="GA46" s="748">
        <f t="shared" si="138"/>
        <v>6.93</v>
      </c>
      <c r="GB46" s="750">
        <f>VLOOKUP(GC46,'Ціни контур теплопостачання'!$AN$6:$AO$13,2,0)</f>
        <v>32</v>
      </c>
      <c r="GC46" s="751">
        <f t="array" ref="GC46">MIN(IF('Ціни контур теплопостачання'!$AN$6:$AN$13&gt;N46,'Ціни контур теплопостачання'!$AN$6:$AN$13))</f>
        <v>6</v>
      </c>
      <c r="GD46" s="751">
        <v>1</v>
      </c>
      <c r="GE46" s="747">
        <f>VLOOKUP(GB46,'Ціни контур теплопостачання'!$AO$6:$AQ$13,3,0)</f>
        <v>85.682340000000011</v>
      </c>
      <c r="GF46" s="748">
        <f t="shared" si="139"/>
        <v>85.682340000000011</v>
      </c>
      <c r="GG46" s="746">
        <f t="shared" si="23"/>
        <v>40</v>
      </c>
      <c r="GH46" s="746">
        <v>1</v>
      </c>
      <c r="GI46" s="747">
        <f>VLOOKUP(GG46,'Ціни контур теплопостачання'!$AO$55:$AQ$63,3,0)</f>
        <v>193.55</v>
      </c>
      <c r="GJ46" s="768">
        <f t="shared" si="140"/>
        <v>193.55</v>
      </c>
      <c r="GK46" s="655" t="str">
        <f t="shared" si="150"/>
        <v>0-150</v>
      </c>
      <c r="GL46" s="720">
        <v>1</v>
      </c>
      <c r="GM46" s="747">
        <f>VLOOKUP(GK46,'Ціни контур мережний'!$I$79:$M$80,5,0)</f>
        <v>15.050156291498967</v>
      </c>
      <c r="GN46" s="748">
        <f t="shared" si="141"/>
        <v>15.050156291498967</v>
      </c>
      <c r="GO46" s="758" t="s">
        <v>109</v>
      </c>
      <c r="GP46" s="749">
        <v>5</v>
      </c>
      <c r="GQ46" s="747">
        <f>VLOOKUP(GO46,'Ціни контур мережний'!$I$79:$M$80,5,0)</f>
        <v>15.050156291498967</v>
      </c>
      <c r="GR46" s="765">
        <f t="shared" si="142"/>
        <v>75.250781457494838</v>
      </c>
      <c r="GS46" s="655" t="s">
        <v>108</v>
      </c>
      <c r="GT46" s="720">
        <v>5</v>
      </c>
      <c r="GU46" s="747">
        <f>VLOOKUP(GS46,'Ціни контур мережний'!$I$67:$M$69,5,0)</f>
        <v>4.4537969640631703</v>
      </c>
      <c r="GV46" s="748">
        <f t="shared" si="143"/>
        <v>22.26898482031585</v>
      </c>
      <c r="GW46" s="655" t="s">
        <v>106</v>
      </c>
      <c r="GX46" s="720">
        <f t="shared" si="151"/>
        <v>15</v>
      </c>
      <c r="GY46" s="747">
        <f>VLOOKUP(GW46,'Ціни контур мережний'!$I$67:$M$69,5,0)</f>
        <v>4.4537969640631703</v>
      </c>
      <c r="GZ46" s="748">
        <f t="shared" si="144"/>
        <v>66.806954460947551</v>
      </c>
      <c r="HA46" s="655" t="s">
        <v>1013</v>
      </c>
      <c r="HB46" s="720">
        <v>4</v>
      </c>
      <c r="HC46" s="747">
        <f>VLOOKUP(HA46,'Ціни контур мережний'!$I$64:$M$64,5,0)</f>
        <v>29.1312</v>
      </c>
      <c r="HD46" s="748">
        <f t="shared" si="145"/>
        <v>116.5248</v>
      </c>
      <c r="HE46" s="766" t="s">
        <v>1015</v>
      </c>
      <c r="HF46" s="749">
        <v>6</v>
      </c>
      <c r="HG46" s="747">
        <f>VLOOKUP(HE46,'Ціни контур мережний'!$I$89:$M$89,5,0)</f>
        <v>79.523165325760516</v>
      </c>
      <c r="HH46" s="765">
        <f t="shared" si="146"/>
        <v>477.1389919545631</v>
      </c>
      <c r="HI46" s="767" t="s">
        <v>1016</v>
      </c>
      <c r="HJ46" s="720">
        <f t="shared" si="152"/>
        <v>7</v>
      </c>
      <c r="HK46" s="747">
        <f>VLOOKUP(HI46,'Ціни контур мережний'!$I$88:$M$88,5,0)</f>
        <v>13.211568975967202</v>
      </c>
      <c r="HL46" s="768">
        <f t="shared" si="147"/>
        <v>92.480982831770419</v>
      </c>
      <c r="HM46" s="767" t="s">
        <v>383</v>
      </c>
      <c r="HN46" s="720">
        <v>1</v>
      </c>
      <c r="HO46" s="747">
        <f>VLOOKUP(HM46,'Ціни контур мережний'!$I$87:$M$87,5,0)</f>
        <v>13.483972460007763</v>
      </c>
      <c r="HP46" s="748">
        <f t="shared" si="148"/>
        <v>13.483972460007763</v>
      </c>
      <c r="HQ46" s="769">
        <f t="shared" si="97"/>
        <v>62</v>
      </c>
      <c r="HR46" s="770">
        <f t="shared" si="87"/>
        <v>7264.6444218532943</v>
      </c>
      <c r="HS46" s="771">
        <v>0</v>
      </c>
      <c r="HT46" s="771">
        <f>'Таблиця цін схема №1'!$JE$44/'Ціни контур мережний'!$G$26</f>
        <v>476.70609707098151</v>
      </c>
      <c r="HU46" s="770">
        <f>'Таблиця цін схема №1'!$JG$8</f>
        <v>661.80181284518619</v>
      </c>
      <c r="HV46" s="770">
        <f>'Таблиця цін схема №1'!$JH$8</f>
        <v>487.81784379022207</v>
      </c>
      <c r="HW46" s="770">
        <f>'Таблиця цін схема №1'!$JI$8</f>
        <v>323.47913729816605</v>
      </c>
      <c r="HX46" s="770">
        <f>'Таблиця цін схема №1'!$JJ$8</f>
        <v>66.611999999999995</v>
      </c>
      <c r="HY46" s="770">
        <f>'Таблиця цін схема №1'!$JK$28</f>
        <v>0</v>
      </c>
      <c r="HZ46" s="772">
        <f>'Таблиця цін схема №1'!$JL$8</f>
        <v>62.86234247089866</v>
      </c>
      <c r="IA46" s="770">
        <f>'Таблиця цін схема №1'!$JM$28</f>
        <v>0</v>
      </c>
      <c r="IB46" s="770">
        <v>0</v>
      </c>
      <c r="IC46" s="773">
        <f t="shared" si="98"/>
        <v>654.07465587301249</v>
      </c>
      <c r="ID46" s="774">
        <f t="shared" si="99"/>
        <v>934.39236553287492</v>
      </c>
      <c r="IE46" s="775">
        <f t="shared" si="100"/>
        <v>160.73870016596265</v>
      </c>
      <c r="IF46" s="776">
        <f>'Таблиця цін схема №1'!$JR$8</f>
        <v>300.63036461094771</v>
      </c>
      <c r="IG46" s="777">
        <f t="shared" si="88"/>
        <v>11393.759741511547</v>
      </c>
      <c r="II46" s="826"/>
      <c r="IJ46" s="826"/>
      <c r="IK46" s="826"/>
      <c r="IL46" s="826"/>
    </row>
    <row r="47" spans="1:246" s="780" customFormat="1" ht="12.6" customHeight="1">
      <c r="B47" s="905">
        <v>63</v>
      </c>
      <c r="C47" s="1056" t="s">
        <v>924</v>
      </c>
      <c r="D47" s="906">
        <v>0.28290999999999999</v>
      </c>
      <c r="E47" s="907">
        <v>0.11304</v>
      </c>
      <c r="F47" s="908">
        <f t="shared" si="28"/>
        <v>7.9433397554341258</v>
      </c>
      <c r="G47" s="599">
        <v>50</v>
      </c>
      <c r="H47" s="598">
        <f t="shared" si="29"/>
        <v>5.0537692032868868</v>
      </c>
      <c r="I47" s="599">
        <v>40</v>
      </c>
      <c r="J47" s="598">
        <f t="shared" si="30"/>
        <v>11.763409563409562</v>
      </c>
      <c r="K47" s="599">
        <v>65</v>
      </c>
      <c r="L47" s="598">
        <f t="shared" si="31"/>
        <v>2.8895705521472395</v>
      </c>
      <c r="M47" s="599">
        <v>32</v>
      </c>
      <c r="N47" s="598">
        <f t="shared" si="32"/>
        <v>2.29290060851927</v>
      </c>
      <c r="O47" s="599">
        <v>32</v>
      </c>
      <c r="P47" s="598">
        <f>N47*0.3</f>
        <v>0.68787018255578103</v>
      </c>
      <c r="Q47" s="599">
        <v>20</v>
      </c>
      <c r="R47" s="598">
        <f t="shared" si="33"/>
        <v>7.1471089483917858</v>
      </c>
      <c r="S47" s="600">
        <f t="shared" si="104"/>
        <v>4.0864698642805388</v>
      </c>
      <c r="T47" s="910">
        <v>4</v>
      </c>
      <c r="U47" s="601">
        <f t="shared" si="35"/>
        <v>2.9408523908523905</v>
      </c>
      <c r="V47" s="601">
        <f t="shared" si="36"/>
        <v>4.1589933360807922</v>
      </c>
      <c r="W47" s="850">
        <v>32</v>
      </c>
      <c r="X47" s="751">
        <f t="shared" si="0"/>
        <v>50</v>
      </c>
      <c r="Y47" s="746">
        <v>2</v>
      </c>
      <c r="Z47" s="747">
        <f>VLOOKUP(X47,'Ціни контур мережний'!$Z$24:$AB$36,3,0)</f>
        <v>23.2782130224622</v>
      </c>
      <c r="AA47" s="748">
        <f t="shared" si="105"/>
        <v>46.5564260449244</v>
      </c>
      <c r="AB47" s="749">
        <f t="shared" si="1"/>
        <v>50</v>
      </c>
      <c r="AC47" s="749">
        <v>2</v>
      </c>
      <c r="AD47" s="747">
        <f>VLOOKUP(AB47,'Ціни контур мережний'!$Z$64:$AB$77,3,0)</f>
        <v>80.03214361111678</v>
      </c>
      <c r="AE47" s="748">
        <f t="shared" si="106"/>
        <v>160.06428722223356</v>
      </c>
      <c r="AF47" s="746">
        <f t="shared" si="2"/>
        <v>50</v>
      </c>
      <c r="AG47" s="746">
        <v>0</v>
      </c>
      <c r="AH47" s="747">
        <f>VLOOKUP(AF47,'Ціни контур мережний'!$Z$5:$AB$17,3,0)</f>
        <v>26.284999999999997</v>
      </c>
      <c r="AI47" s="748">
        <f t="shared" si="107"/>
        <v>0</v>
      </c>
      <c r="AJ47" s="746">
        <f t="shared" si="3"/>
        <v>40</v>
      </c>
      <c r="AK47" s="746">
        <v>1</v>
      </c>
      <c r="AL47" s="747">
        <f>VLOOKUP(AJ47,'Ціни контур мережний'!$Z$43:$AB$55,3,0)</f>
        <v>18.42400964308333</v>
      </c>
      <c r="AM47" s="748">
        <f t="shared" si="108"/>
        <v>18.42400964308333</v>
      </c>
      <c r="AN47" s="745">
        <f t="shared" si="4"/>
        <v>32</v>
      </c>
      <c r="AO47" s="749">
        <v>4</v>
      </c>
      <c r="AP47" s="747">
        <f>VLOOKUP(AN47,'Ціни контур мережний'!$Z$43:$AB$55,3,0)</f>
        <v>16.107218011318363</v>
      </c>
      <c r="AQ47" s="759">
        <f t="shared" si="109"/>
        <v>64.428872045273451</v>
      </c>
      <c r="AR47" s="751" t="str">
        <f t="shared" si="42"/>
        <v>AMV20</v>
      </c>
      <c r="AS47" s="751">
        <v>1</v>
      </c>
      <c r="AT47" s="747">
        <f>VLOOKUP(AR47,'Ціни контур мережний'!$I$53:$M$57,5,0)</f>
        <v>110.39869654932889</v>
      </c>
      <c r="AU47" s="748">
        <f t="shared" si="110"/>
        <v>110.39869654932889</v>
      </c>
      <c r="AV47" s="752">
        <f t="array" ref="AV47">MIN(IF('Ціни контур мережний'!$Y$83:$Y$92&gt;(R47*1.2),'Ціни контур мережний'!$Y$83:$Y$92))</f>
        <v>10</v>
      </c>
      <c r="AW47" s="746">
        <f>VLOOKUP(AV47,'Ціни контур мережний'!$Y$83:$Z$92,2,0)</f>
        <v>25</v>
      </c>
      <c r="AX47" s="746">
        <v>1</v>
      </c>
      <c r="AY47" s="747">
        <f>VLOOKUP(AV47,'Ціни контур мережний'!$Y$83:$AB$92,4,0)</f>
        <v>117.50505648967251</v>
      </c>
      <c r="AZ47" s="748">
        <f t="shared" si="111"/>
        <v>117.50505648967251</v>
      </c>
      <c r="BA47" s="1099">
        <f t="array" ref="BA47">MIN(IF('[1]Ціни контур мережний'!$Y$104:$Y$114&gt;(R47*1.2),'[1]Ціни контур мережний'!$Y$104:$Y$114))</f>
        <v>12.5</v>
      </c>
      <c r="BB47" s="1101">
        <f>VLOOKUP(BA47,'[1]Ціни контур мережний'!$Y$104:$Z$114,2,0)</f>
        <v>32</v>
      </c>
      <c r="BC47" s="753">
        <v>1</v>
      </c>
      <c r="BD47" s="754">
        <f>VLOOKUP(BA47,'Ціни контур мережний'!$Y$104:$AB$114,4,0)</f>
        <v>435.76049604674444</v>
      </c>
      <c r="BE47" s="755">
        <f t="shared" si="112"/>
        <v>435.76049604674444</v>
      </c>
      <c r="BF47" s="751" t="s">
        <v>67</v>
      </c>
      <c r="BG47" s="749">
        <v>1</v>
      </c>
      <c r="BH47" s="747">
        <f>VLOOKUP(BF47,'Ціни контур мережний'!$I$53:$M$57,5,0)</f>
        <v>157.67238032974441</v>
      </c>
      <c r="BI47" s="768">
        <f t="shared" si="113"/>
        <v>157.67238032974441</v>
      </c>
      <c r="BJ47" s="894">
        <f t="array" ref="BJ47">MIN(IF('Ціни контур мережний'!$Y$83:$Y$93&gt;(S47*1.2),'Ціни контур мережний'!$Y$83:$Y$93))</f>
        <v>6.3</v>
      </c>
      <c r="BK47" s="895">
        <f>VLOOKUP(BJ47,'Ціни контур мережний'!$Y$83:$Z$93,2,0)</f>
        <v>20</v>
      </c>
      <c r="BL47" s="895">
        <v>1</v>
      </c>
      <c r="BM47" s="896">
        <f>VLOOKUP(BJ47,'Ціни контур мережний'!$Y$83:$AB$93,4,0)</f>
        <v>113.14115267534271</v>
      </c>
      <c r="BN47" s="916">
        <f t="shared" si="114"/>
        <v>113.14115267534271</v>
      </c>
      <c r="BO47" s="896">
        <f t="array" ref="BO47">MIN(IF('Ціни контур мережний'!$Y$104:$Y$114&gt;(S47*1.2),'Ціни контур мережний'!$Y$104:$Y$114))</f>
        <v>6.3</v>
      </c>
      <c r="BP47" s="895">
        <f>VLOOKUP(BO47,'Ціни контур мережний'!$Y$104:$Z$114,2,0)</f>
        <v>20</v>
      </c>
      <c r="BQ47" s="895">
        <v>1</v>
      </c>
      <c r="BR47" s="896">
        <f>VLOOKUP(BO47,'Ціни контур мережний'!$Y$104:$AB$114,4,0)</f>
        <v>259.83406541769665</v>
      </c>
      <c r="BS47" s="897">
        <f t="shared" si="115"/>
        <v>259.83406541769665</v>
      </c>
      <c r="BT47" s="751" t="s">
        <v>115</v>
      </c>
      <c r="BU47" s="751" t="s">
        <v>115</v>
      </c>
      <c r="BV47" s="746" t="s">
        <v>1025</v>
      </c>
      <c r="BW47" s="756">
        <v>0</v>
      </c>
      <c r="BX47" s="747">
        <v>0</v>
      </c>
      <c r="BY47" s="748">
        <f t="shared" si="116"/>
        <v>0</v>
      </c>
      <c r="BZ47" s="745">
        <f>VLOOKUP(CA47,'Ціни контур мережний'!$J$5:$L$12,3,0)</f>
        <v>25</v>
      </c>
      <c r="CA47" s="747">
        <f t="array" ref="CA47">MIN(IF('Ціни контур мережний'!$J$5:$J$12&gt;L47,'Ціни контур мережний'!$J$5:$J$12))</f>
        <v>3.5</v>
      </c>
      <c r="CB47" s="746" t="s">
        <v>130</v>
      </c>
      <c r="CC47" s="749">
        <v>1</v>
      </c>
      <c r="CD47" s="747">
        <f>VLOOKUP(CA47,'Ціни контур мережний'!$J$5:$N$12,5,0)</f>
        <v>341.25599999999997</v>
      </c>
      <c r="CE47" s="748">
        <f t="shared" si="117"/>
        <v>341.25599999999997</v>
      </c>
      <c r="CF47" s="898" t="s">
        <v>1366</v>
      </c>
      <c r="CG47" s="899">
        <v>1</v>
      </c>
      <c r="CH47" s="900">
        <v>417</v>
      </c>
      <c r="CI47" s="901">
        <f t="shared" si="118"/>
        <v>417</v>
      </c>
      <c r="CJ47" s="751">
        <f t="shared" si="5"/>
        <v>65</v>
      </c>
      <c r="CK47" s="746">
        <v>4</v>
      </c>
      <c r="CL47" s="747">
        <f>VLOOKUP(CJ47,'Ціни контур теплопостачання'!$Y$5:$AA$17,3,0)</f>
        <v>30.19184015363556</v>
      </c>
      <c r="CM47" s="748">
        <f t="shared" si="119"/>
        <v>120.76736061454224</v>
      </c>
      <c r="CN47" s="746">
        <f t="shared" si="6"/>
        <v>32</v>
      </c>
      <c r="CO47" s="746">
        <v>6</v>
      </c>
      <c r="CP47" s="747">
        <f>VLOOKUP(CN47,'Ціни контур теплопостачання'!$AO$20:$AQ$29,3,0)</f>
        <v>10.381</v>
      </c>
      <c r="CQ47" s="748">
        <f t="shared" si="120"/>
        <v>62.286000000000001</v>
      </c>
      <c r="CR47" s="746">
        <f t="shared" si="7"/>
        <v>20</v>
      </c>
      <c r="CS47" s="746">
        <v>3</v>
      </c>
      <c r="CT47" s="747">
        <f>VLOOKUP(CR47,'Ціни контур теплопостачання'!$AO$20:$AQ$29,3,0)</f>
        <v>3.577</v>
      </c>
      <c r="CU47" s="748">
        <f t="shared" si="121"/>
        <v>10.731</v>
      </c>
      <c r="CV47" s="746">
        <f t="shared" si="8"/>
        <v>32</v>
      </c>
      <c r="CW47" s="746">
        <f t="shared" si="101"/>
        <v>8</v>
      </c>
      <c r="CX47" s="747">
        <f>VLOOKUP(CV47,'Ціни контур теплопостачання'!$Y$5:$AA$17,3,0)</f>
        <v>10.381</v>
      </c>
      <c r="CY47" s="748">
        <f t="shared" si="122"/>
        <v>83.048000000000002</v>
      </c>
      <c r="CZ47" s="745">
        <v>20</v>
      </c>
      <c r="DA47" s="749">
        <v>2</v>
      </c>
      <c r="DB47" s="747">
        <f>VLOOKUP(CZ47,'Ціни контур теплопостачання'!$Y$5:$AA$17,3,0)</f>
        <v>3.577</v>
      </c>
      <c r="DC47" s="748">
        <f t="shared" si="123"/>
        <v>7.1539999999999999</v>
      </c>
      <c r="DD47" s="745">
        <v>15</v>
      </c>
      <c r="DE47" s="745">
        <v>8</v>
      </c>
      <c r="DF47" s="758">
        <f>VLOOKUP(DD47,'Ціни контур теплопостачання'!$Y$5:$AA$17,3,0)</f>
        <v>2.464</v>
      </c>
      <c r="DG47" s="759">
        <f t="shared" si="124"/>
        <v>19.712</v>
      </c>
      <c r="DH47" s="745">
        <v>15</v>
      </c>
      <c r="DI47" s="745">
        <f t="shared" si="58"/>
        <v>39</v>
      </c>
      <c r="DJ47" s="758">
        <f>VLOOKUP(DH47,'Ціни контур мережний'!$J$71:$M$71,4,0)</f>
        <v>3.3865201135922525</v>
      </c>
      <c r="DK47" s="759">
        <f t="shared" si="125"/>
        <v>132.07428443009783</v>
      </c>
      <c r="DL47" s="751">
        <f t="shared" si="10"/>
        <v>65</v>
      </c>
      <c r="DM47" s="746">
        <v>1</v>
      </c>
      <c r="DN47" s="747">
        <f>VLOOKUP(DL47,'Ціни контур теплопостачання'!$K$5:$M$17,3,0)</f>
        <v>39.731999999999999</v>
      </c>
      <c r="DO47" s="748">
        <f t="shared" si="126"/>
        <v>39.731999999999999</v>
      </c>
      <c r="DP47" s="745">
        <f t="shared" si="11"/>
        <v>32</v>
      </c>
      <c r="DQ47" s="749">
        <v>1</v>
      </c>
      <c r="DR47" s="747">
        <f>VLOOKUP(DP47,'Ціни контур теплопостачання'!$K$5:$M$17,3,0)</f>
        <v>9.48</v>
      </c>
      <c r="DS47" s="748">
        <f t="shared" si="127"/>
        <v>9.48</v>
      </c>
      <c r="DT47" s="745">
        <f t="shared" si="12"/>
        <v>20</v>
      </c>
      <c r="DU47" s="745">
        <v>1</v>
      </c>
      <c r="DV47" s="758">
        <f>VLOOKUP(DT47,'Ціни контур теплопостачання'!$K$5:$M$17,3,0)</f>
        <v>3.48</v>
      </c>
      <c r="DW47" s="759">
        <f t="shared" si="128"/>
        <v>3.48</v>
      </c>
      <c r="DX47" s="745">
        <f t="shared" si="63"/>
        <v>65</v>
      </c>
      <c r="DY47" s="745">
        <v>1</v>
      </c>
      <c r="DZ47" s="758">
        <f>VLOOKUP(DX47,'Ціни контур теплопостачання'!$Y$24:$AA$36,3,0)</f>
        <v>42.080999999999996</v>
      </c>
      <c r="EA47" s="759">
        <f t="shared" si="64"/>
        <v>42.080999999999996</v>
      </c>
      <c r="EB47" s="751">
        <f t="shared" si="13"/>
        <v>65</v>
      </c>
      <c r="EC47" s="746">
        <v>2</v>
      </c>
      <c r="ED47" s="747">
        <f>VLOOKUP(EB47,'Ціни контур теплопостачання'!$Y$24:$AA$36,3,0)</f>
        <v>42.080999999999996</v>
      </c>
      <c r="EE47" s="748">
        <f t="shared" si="129"/>
        <v>84.161999999999992</v>
      </c>
      <c r="EF47" s="745">
        <f t="shared" si="14"/>
        <v>32</v>
      </c>
      <c r="EG47" s="749">
        <v>1</v>
      </c>
      <c r="EH47" s="747">
        <f>VLOOKUP(EF47,'Ціни контур теплопостачання'!$AO$38:$AQ$50,3,0)</f>
        <v>10.773</v>
      </c>
      <c r="EI47" s="748">
        <f t="shared" si="130"/>
        <v>10.773</v>
      </c>
      <c r="EJ47" s="745">
        <f t="shared" si="15"/>
        <v>20</v>
      </c>
      <c r="EK47" s="745">
        <v>1</v>
      </c>
      <c r="EL47" s="758">
        <f>VLOOKUP(EJ47,'Ціни контур теплопостачання'!$AO$38:$AQ$50,3,0)</f>
        <v>4.5359999999999996</v>
      </c>
      <c r="EM47" s="759">
        <f t="shared" si="131"/>
        <v>4.5359999999999996</v>
      </c>
      <c r="EN47" s="745">
        <f t="shared" si="16"/>
        <v>32</v>
      </c>
      <c r="EO47" s="745">
        <f t="shared" si="102"/>
        <v>8</v>
      </c>
      <c r="EP47" s="758">
        <f>VLOOKUP(EN47,'Ціни контур теплопостачання'!$Y$76:$AA$88,3,0)</f>
        <v>13.15</v>
      </c>
      <c r="EQ47" s="759">
        <f t="shared" si="132"/>
        <v>105.2</v>
      </c>
      <c r="ER47" s="745">
        <f t="shared" si="18"/>
        <v>32</v>
      </c>
      <c r="ES47" s="745">
        <v>1</v>
      </c>
      <c r="ET47" s="758">
        <f>VLOOKUP(ER47,'Ціни контур теплопостачання'!$Y$76:$AA$88,3,0)</f>
        <v>13.15</v>
      </c>
      <c r="EU47" s="759">
        <f t="shared" si="133"/>
        <v>13.15</v>
      </c>
      <c r="EV47" s="745">
        <f t="shared" si="19"/>
        <v>20</v>
      </c>
      <c r="EW47" s="745">
        <v>1</v>
      </c>
      <c r="EX47" s="758">
        <f>VLOOKUP(EV47,'Ціни контур теплопостачання'!$Y$76:$AA$88,3,0)</f>
        <v>11.45</v>
      </c>
      <c r="EY47" s="759">
        <f t="shared" si="134"/>
        <v>11.45</v>
      </c>
      <c r="EZ47" s="758">
        <f t="shared" si="95"/>
        <v>27.016805880784645</v>
      </c>
      <c r="FA47" s="955">
        <v>32</v>
      </c>
      <c r="FB47" s="719">
        <v>2</v>
      </c>
      <c r="FC47" s="747">
        <f>VLOOKUP(FA47,'Ціни контур теплопостачання'!$K$74:$M$79,3,0)</f>
        <v>33.68</v>
      </c>
      <c r="FD47" s="761">
        <f t="shared" si="96"/>
        <v>67.36</v>
      </c>
      <c r="FE47" s="762">
        <f t="shared" si="71"/>
        <v>11.763409563409562</v>
      </c>
      <c r="FF47" s="911">
        <v>9</v>
      </c>
      <c r="FG47" s="900">
        <v>8</v>
      </c>
      <c r="FH47" s="830" t="s">
        <v>123</v>
      </c>
      <c r="FI47" s="708">
        <v>2</v>
      </c>
      <c r="FJ47" s="709">
        <f>VLOOKUP(FH47,'Ціни контур теплопостачання'!$C$89:$M$105,11,0)</f>
        <v>387.45599999999996</v>
      </c>
      <c r="FK47" s="764">
        <f t="shared" si="135"/>
        <v>774.91199999999992</v>
      </c>
      <c r="FL47" s="912">
        <f t="shared" si="73"/>
        <v>0.68787018255578103</v>
      </c>
      <c r="FM47" s="911">
        <v>9</v>
      </c>
      <c r="FN47" s="900">
        <v>9</v>
      </c>
      <c r="FO47" s="900" t="s">
        <v>1097</v>
      </c>
      <c r="FP47" s="749">
        <v>1</v>
      </c>
      <c r="FQ47" s="747">
        <f>VLOOKUP(FO47,'Ціни контур теплопостачання'!$C$89:$M$105,11,0)</f>
        <v>241.2</v>
      </c>
      <c r="FR47" s="904">
        <f t="shared" si="136"/>
        <v>241.2</v>
      </c>
      <c r="FS47" s="758">
        <f t="array" ref="FS47">MIN(IF('Ціни контур теплопостачання'!$AN$68:$AN$77&gt;(V47*1.2),'Ціни контур теплопостачання'!$AN$68:$AN$77))</f>
        <v>5.83</v>
      </c>
      <c r="FT47" s="749">
        <f>VLOOKUP(FS47,'Ціни контур теплопостачання'!$AN$68:$AO$77,2,0)</f>
        <v>25</v>
      </c>
      <c r="FU47" s="749">
        <f t="shared" si="103"/>
        <v>4</v>
      </c>
      <c r="FV47" s="747">
        <f>VLOOKUP(FT47,'Ціни контур теплопостачання'!$AO$68:$AQ$77,3,0)</f>
        <v>26.495000000000001</v>
      </c>
      <c r="FW47" s="765">
        <f t="shared" si="137"/>
        <v>105.98</v>
      </c>
      <c r="FX47" s="750">
        <v>15</v>
      </c>
      <c r="FY47" s="746">
        <v>2</v>
      </c>
      <c r="FZ47" s="747">
        <f>VLOOKUP(FX47,'Ціни контур мережний'!$J$73:$M$73,4,0)</f>
        <v>3.4649999999999999</v>
      </c>
      <c r="GA47" s="748">
        <f t="shared" si="138"/>
        <v>6.93</v>
      </c>
      <c r="GB47" s="750">
        <f>VLOOKUP(GC47,'Ціни контур теплопостачання'!$AN$6:$AO$13,2,0)</f>
        <v>20</v>
      </c>
      <c r="GC47" s="751">
        <f t="array" ref="GC47">MIN(IF('Ціни контур теплопостачання'!$AN$6:$AN$13&gt;N47,'Ціни контур теплопостачання'!$AN$6:$AN$13))</f>
        <v>2.5</v>
      </c>
      <c r="GD47" s="751">
        <v>1</v>
      </c>
      <c r="GE47" s="747">
        <f>VLOOKUP(GB47,'Ціни контур теплопостачання'!$AO$6:$AQ$13,3,0)</f>
        <v>23.753519999999998</v>
      </c>
      <c r="GF47" s="748">
        <f t="shared" si="139"/>
        <v>23.753519999999998</v>
      </c>
      <c r="GG47" s="746">
        <f t="shared" si="23"/>
        <v>32</v>
      </c>
      <c r="GH47" s="746">
        <v>1</v>
      </c>
      <c r="GI47" s="747">
        <f>VLOOKUP(GG47,'Ціни контур теплопостачання'!$AO$55:$AQ$63,3,0)</f>
        <v>150.1</v>
      </c>
      <c r="GJ47" s="768">
        <f t="shared" si="140"/>
        <v>150.1</v>
      </c>
      <c r="GK47" s="655" t="str">
        <f t="shared" si="150"/>
        <v>0-150</v>
      </c>
      <c r="GL47" s="720">
        <v>1</v>
      </c>
      <c r="GM47" s="747">
        <f>VLOOKUP(GK47,'Ціни контур мережний'!$I$79:$M$80,5,0)</f>
        <v>15.050156291498967</v>
      </c>
      <c r="GN47" s="748">
        <f t="shared" si="141"/>
        <v>15.050156291498967</v>
      </c>
      <c r="GO47" s="758" t="s">
        <v>109</v>
      </c>
      <c r="GP47" s="749">
        <v>1</v>
      </c>
      <c r="GQ47" s="747">
        <f>VLOOKUP(GO47,'Ціни контур мережний'!$I$79:$M$80,5,0)</f>
        <v>15.050156291498967</v>
      </c>
      <c r="GR47" s="765">
        <f t="shared" si="142"/>
        <v>15.050156291498967</v>
      </c>
      <c r="GS47" s="655" t="s">
        <v>108</v>
      </c>
      <c r="GT47" s="720">
        <v>3</v>
      </c>
      <c r="GU47" s="747">
        <f>VLOOKUP(GS47,'Ціни контур мережний'!$I$67:$M$69,5,0)</f>
        <v>4.4537969640631703</v>
      </c>
      <c r="GV47" s="748">
        <f t="shared" si="143"/>
        <v>13.361390892189512</v>
      </c>
      <c r="GW47" s="655" t="s">
        <v>106</v>
      </c>
      <c r="GX47" s="720">
        <f t="shared" si="151"/>
        <v>15</v>
      </c>
      <c r="GY47" s="747">
        <f>VLOOKUP(GW47,'Ціни контур мережний'!$I$67:$M$69,5,0)</f>
        <v>4.4537969640631703</v>
      </c>
      <c r="GZ47" s="748">
        <f t="shared" si="144"/>
        <v>66.806954460947551</v>
      </c>
      <c r="HA47" s="655" t="s">
        <v>1013</v>
      </c>
      <c r="HB47" s="720">
        <v>4</v>
      </c>
      <c r="HC47" s="747">
        <f>VLOOKUP(HA47,'Ціни контур мережний'!$I$64:$M$64,5,0)</f>
        <v>29.1312</v>
      </c>
      <c r="HD47" s="748">
        <f t="shared" si="145"/>
        <v>116.5248</v>
      </c>
      <c r="HE47" s="766" t="s">
        <v>1015</v>
      </c>
      <c r="HF47" s="749">
        <v>6</v>
      </c>
      <c r="HG47" s="747">
        <f>VLOOKUP(HE47,'Ціни контур мережний'!$I$89:$M$89,5,0)</f>
        <v>79.523165325760516</v>
      </c>
      <c r="HH47" s="765">
        <f t="shared" si="146"/>
        <v>477.1389919545631</v>
      </c>
      <c r="HI47" s="778" t="s">
        <v>1016</v>
      </c>
      <c r="HJ47" s="720">
        <f t="shared" si="152"/>
        <v>7</v>
      </c>
      <c r="HK47" s="747">
        <f>VLOOKUP(HI47,'Ціни контур мережний'!$I$88:$M$88,5,0)</f>
        <v>13.211568975967202</v>
      </c>
      <c r="HL47" s="768">
        <f t="shared" si="147"/>
        <v>92.480982831770419</v>
      </c>
      <c r="HM47" s="757" t="s">
        <v>383</v>
      </c>
      <c r="HN47" s="720">
        <v>1</v>
      </c>
      <c r="HO47" s="747">
        <f>VLOOKUP(HM47,'Ціни контур мережний'!$I$87:$M$87,5,0)</f>
        <v>13.483972460007763</v>
      </c>
      <c r="HP47" s="748">
        <f t="shared" si="148"/>
        <v>13.483972460007763</v>
      </c>
      <c r="HQ47" s="769">
        <f t="shared" si="97"/>
        <v>63</v>
      </c>
      <c r="HR47" s="770">
        <f t="shared" si="87"/>
        <v>5181.9910126911609</v>
      </c>
      <c r="HS47" s="771">
        <v>0</v>
      </c>
      <c r="HT47" s="771">
        <f>'Таблиця цін схема №1'!$JE$44/'Ціни контур мережний'!$G$26</f>
        <v>476.70609707098151</v>
      </c>
      <c r="HU47" s="770">
        <f>'Таблиця цін схема №1'!$JG$8</f>
        <v>661.80181284518619</v>
      </c>
      <c r="HV47" s="770">
        <f>'Таблиця цін схема №1'!$JH$8</f>
        <v>487.81784379022207</v>
      </c>
      <c r="HW47" s="770">
        <f>'Таблиця цін схема №1'!$JI$8</f>
        <v>323.47913729816605</v>
      </c>
      <c r="HX47" s="770">
        <f>'Таблиця цін схема №1'!$JJ$8</f>
        <v>66.611999999999995</v>
      </c>
      <c r="HY47" s="770">
        <f>'Таблиця цін схема №1'!$JK$28</f>
        <v>0</v>
      </c>
      <c r="HZ47" s="772">
        <f>'Таблиця цін схема №1'!$JL$8</f>
        <v>62.86234247089866</v>
      </c>
      <c r="IA47" s="770">
        <f>'Таблиця цін схема №1'!$JM$28</f>
        <v>0</v>
      </c>
      <c r="IB47" s="770">
        <v>0</v>
      </c>
      <c r="IC47" s="913">
        <f t="shared" si="98"/>
        <v>508.28891723166316</v>
      </c>
      <c r="ID47" s="914">
        <f t="shared" si="99"/>
        <v>726.12702461666163</v>
      </c>
      <c r="IE47" s="915">
        <f t="shared" si="100"/>
        <v>124.91188755132498</v>
      </c>
      <c r="IF47" s="776">
        <f>'Таблиця цін схема №1'!$JR$8</f>
        <v>300.63036461094771</v>
      </c>
      <c r="IG47" s="777">
        <f t="shared" si="88"/>
        <v>8921.228440177214</v>
      </c>
      <c r="II47" s="835"/>
      <c r="IJ47" s="835"/>
      <c r="IK47" s="835"/>
      <c r="IL47" s="835"/>
    </row>
    <row r="48" spans="1:246" s="780" customFormat="1" ht="12.6" customHeight="1">
      <c r="B48" s="740">
        <v>64</v>
      </c>
      <c r="C48" s="1056" t="s">
        <v>925</v>
      </c>
      <c r="D48" s="892">
        <v>0.25340000000000001</v>
      </c>
      <c r="E48" s="918">
        <v>0.12239999999999999</v>
      </c>
      <c r="F48" s="742">
        <f t="shared" si="28"/>
        <v>7.6554510046313649</v>
      </c>
      <c r="G48" s="599">
        <v>50</v>
      </c>
      <c r="H48" s="598">
        <f t="shared" si="29"/>
        <v>4.5266166488031434</v>
      </c>
      <c r="I48" s="599">
        <v>40</v>
      </c>
      <c r="J48" s="598">
        <f t="shared" si="30"/>
        <v>10.536382536382536</v>
      </c>
      <c r="K48" s="599">
        <v>65</v>
      </c>
      <c r="L48" s="598">
        <f t="shared" si="31"/>
        <v>3.128834355828221</v>
      </c>
      <c r="M48" s="599">
        <v>32</v>
      </c>
      <c r="N48" s="598">
        <f t="shared" si="32"/>
        <v>2.4827586206896552</v>
      </c>
      <c r="O48" s="599">
        <v>32</v>
      </c>
      <c r="P48" s="598">
        <f t="shared" ref="P48:P73" si="153">N48*0.3</f>
        <v>0.7448275862068966</v>
      </c>
      <c r="Q48" s="599">
        <v>20</v>
      </c>
      <c r="R48" s="598">
        <f t="shared" si="33"/>
        <v>6.4016026564012547</v>
      </c>
      <c r="S48" s="600">
        <f t="shared" si="104"/>
        <v>4.4248399804311562</v>
      </c>
      <c r="T48" s="744">
        <v>4</v>
      </c>
      <c r="U48" s="601">
        <f t="shared" si="35"/>
        <v>2.6340956340956341</v>
      </c>
      <c r="V48" s="601">
        <f t="shared" si="36"/>
        <v>3.725173770325803</v>
      </c>
      <c r="W48" s="850">
        <v>32</v>
      </c>
      <c r="X48" s="751">
        <f t="shared" si="0"/>
        <v>50</v>
      </c>
      <c r="Y48" s="746">
        <v>2</v>
      </c>
      <c r="Z48" s="747">
        <f>VLOOKUP(X48,'Ціни контур мережний'!$Z$24:$AB$36,3,0)</f>
        <v>23.2782130224622</v>
      </c>
      <c r="AA48" s="748">
        <f t="shared" si="105"/>
        <v>46.5564260449244</v>
      </c>
      <c r="AB48" s="749">
        <f t="shared" si="1"/>
        <v>50</v>
      </c>
      <c r="AC48" s="749">
        <v>2</v>
      </c>
      <c r="AD48" s="747">
        <f>VLOOKUP(AB48,'Ціни контур мережний'!$Z$64:$AB$77,3,0)</f>
        <v>80.03214361111678</v>
      </c>
      <c r="AE48" s="748">
        <f t="shared" si="106"/>
        <v>160.06428722223356</v>
      </c>
      <c r="AF48" s="746">
        <f t="shared" si="2"/>
        <v>50</v>
      </c>
      <c r="AG48" s="746">
        <v>1</v>
      </c>
      <c r="AH48" s="747">
        <f>VLOOKUP(AF48,'Ціни контур мережний'!$Z$5:$AB$17,3,0)</f>
        <v>26.284999999999997</v>
      </c>
      <c r="AI48" s="748">
        <f t="shared" si="107"/>
        <v>26.284999999999997</v>
      </c>
      <c r="AJ48" s="746">
        <f t="shared" si="3"/>
        <v>40</v>
      </c>
      <c r="AK48" s="746">
        <v>3</v>
      </c>
      <c r="AL48" s="747">
        <f>VLOOKUP(AJ48,'Ціни контур мережний'!$Z$43:$AB$55,3,0)</f>
        <v>18.42400964308333</v>
      </c>
      <c r="AM48" s="748">
        <f t="shared" si="108"/>
        <v>55.272028929249991</v>
      </c>
      <c r="AN48" s="745">
        <f t="shared" si="4"/>
        <v>32</v>
      </c>
      <c r="AO48" s="749">
        <v>4</v>
      </c>
      <c r="AP48" s="747">
        <f>VLOOKUP(AN48,'Ціни контур мережний'!$Z$43:$AB$55,3,0)</f>
        <v>16.107218011318363</v>
      </c>
      <c r="AQ48" s="759">
        <f t="shared" si="109"/>
        <v>64.428872045273451</v>
      </c>
      <c r="AR48" s="751" t="str">
        <f t="shared" si="42"/>
        <v>AMV20</v>
      </c>
      <c r="AS48" s="751">
        <v>1</v>
      </c>
      <c r="AT48" s="747">
        <f>VLOOKUP(AR48,'Ціни контур мережний'!$I$53:$M$57,5,0)</f>
        <v>110.39869654932889</v>
      </c>
      <c r="AU48" s="748">
        <f t="shared" si="110"/>
        <v>110.39869654932889</v>
      </c>
      <c r="AV48" s="752">
        <f t="array" ref="AV48">MIN(IF('Ціни контур мережний'!$Y$83:$Y$92&gt;(R48*1.2),'Ціни контур мережний'!$Y$83:$Y$92))</f>
        <v>10</v>
      </c>
      <c r="AW48" s="746">
        <f>VLOOKUP(AV48,'Ціни контур мережний'!$Y$83:$Z$92,2,0)</f>
        <v>25</v>
      </c>
      <c r="AX48" s="746">
        <v>1</v>
      </c>
      <c r="AY48" s="747">
        <f>VLOOKUP(AV48,'Ціни контур мережний'!$Y$83:$AB$92,4,0)</f>
        <v>117.50505648967251</v>
      </c>
      <c r="AZ48" s="748">
        <f t="shared" si="111"/>
        <v>117.50505648967251</v>
      </c>
      <c r="BA48" s="1099">
        <f t="array" ref="BA48">MIN(IF('[1]Ціни контур мережний'!$Y$104:$Y$114&gt;(R48*1.2),'[1]Ціни контур мережний'!$Y$104:$Y$114))</f>
        <v>8</v>
      </c>
      <c r="BB48" s="1101">
        <f>VLOOKUP(BA48,'[1]Ціни контур мережний'!$Y$104:$Z$114,2,0)</f>
        <v>25</v>
      </c>
      <c r="BC48" s="753">
        <v>1</v>
      </c>
      <c r="BD48" s="754">
        <f>VLOOKUP(BA48,'Ціни контур мережний'!$Y$104:$AB$114,4,0)</f>
        <v>278.09338672441618</v>
      </c>
      <c r="BE48" s="755">
        <f t="shared" si="112"/>
        <v>278.09338672441618</v>
      </c>
      <c r="BF48" s="751" t="s">
        <v>67</v>
      </c>
      <c r="BG48" s="749">
        <v>1</v>
      </c>
      <c r="BH48" s="747">
        <f>VLOOKUP(BF48,'Ціни контур мережний'!$I$53:$M$57,5,0)</f>
        <v>157.67238032974441</v>
      </c>
      <c r="BI48" s="768">
        <f t="shared" si="113"/>
        <v>157.67238032974441</v>
      </c>
      <c r="BJ48" s="894">
        <f t="array" ref="BJ48">MIN(IF('Ціни контур мережний'!$Y$83:$Y$93&gt;(S48*1.2),'Ціни контур мережний'!$Y$83:$Y$93))</f>
        <v>6.3</v>
      </c>
      <c r="BK48" s="895">
        <f>VLOOKUP(BJ48,'Ціни контур мережний'!$Y$83:$Z$93,2,0)</f>
        <v>20</v>
      </c>
      <c r="BL48" s="895">
        <v>1</v>
      </c>
      <c r="BM48" s="896">
        <f>VLOOKUP(BJ48,'Ціни контур мережний'!$Y$83:$AB$93,4,0)</f>
        <v>113.14115267534271</v>
      </c>
      <c r="BN48" s="916">
        <f t="shared" si="114"/>
        <v>113.14115267534271</v>
      </c>
      <c r="BO48" s="896">
        <f t="array" ref="BO48">MIN(IF('Ціни контур мережний'!$Y$104:$Y$114&gt;(S48*1.2),'Ціни контур мережний'!$Y$104:$Y$114))</f>
        <v>6.3</v>
      </c>
      <c r="BP48" s="895">
        <f>VLOOKUP(BO48,'Ціни контур мережний'!$Y$104:$Z$114,2,0)</f>
        <v>20</v>
      </c>
      <c r="BQ48" s="895">
        <v>1</v>
      </c>
      <c r="BR48" s="896">
        <f>VLOOKUP(BO48,'Ціни контур мережний'!$Y$104:$AB$114,4,0)</f>
        <v>259.83406541769665</v>
      </c>
      <c r="BS48" s="897">
        <f t="shared" si="115"/>
        <v>259.83406541769665</v>
      </c>
      <c r="BT48" s="751">
        <f>VLOOKUP(BU48,'Ціни контур мережний'!$J$5:$L$12,3,0)</f>
        <v>25</v>
      </c>
      <c r="BU48" s="751">
        <f t="array" ref="BU48">MIN(IF('Ціни контур мережний'!$J$5:$J$12&gt;H48,'Ціни контур мережний'!$J$5:$J$12))</f>
        <v>6</v>
      </c>
      <c r="BV48" s="746" t="s">
        <v>130</v>
      </c>
      <c r="BW48" s="756">
        <v>1</v>
      </c>
      <c r="BX48" s="747">
        <f>VLOOKUP(BU48,'Ціни контур мережний'!$J$5:$N$12,5,0)</f>
        <v>341.25599999999997</v>
      </c>
      <c r="BY48" s="748">
        <f t="shared" si="116"/>
        <v>341.25599999999997</v>
      </c>
      <c r="BZ48" s="745">
        <f>VLOOKUP(CA48,'Ціни контур мережний'!$J$5:$L$12,3,0)</f>
        <v>25</v>
      </c>
      <c r="CA48" s="747">
        <f t="array" ref="CA48">MIN(IF('Ціни контур мережний'!$J$5:$J$12&gt;L48,'Ціни контур мережний'!$J$5:$J$12))</f>
        <v>3.5</v>
      </c>
      <c r="CB48" s="746" t="s">
        <v>130</v>
      </c>
      <c r="CC48" s="749">
        <v>1</v>
      </c>
      <c r="CD48" s="747">
        <f>VLOOKUP(CA48,'Ціни контур мережний'!$J$5:$N$12,5,0)</f>
        <v>341.25599999999997</v>
      </c>
      <c r="CE48" s="748">
        <f t="shared" si="117"/>
        <v>341.25599999999997</v>
      </c>
      <c r="CF48" s="898" t="s">
        <v>1367</v>
      </c>
      <c r="CG48" s="899">
        <v>1</v>
      </c>
      <c r="CH48" s="900">
        <v>433</v>
      </c>
      <c r="CI48" s="901">
        <f t="shared" si="118"/>
        <v>433</v>
      </c>
      <c r="CJ48" s="751">
        <f t="shared" si="5"/>
        <v>65</v>
      </c>
      <c r="CK48" s="746">
        <v>4</v>
      </c>
      <c r="CL48" s="747">
        <f>VLOOKUP(CJ48,'Ціни контур теплопостачання'!$Y$5:$AA$17,3,0)</f>
        <v>30.19184015363556</v>
      </c>
      <c r="CM48" s="748">
        <f t="shared" si="119"/>
        <v>120.76736061454224</v>
      </c>
      <c r="CN48" s="746">
        <f t="shared" si="6"/>
        <v>32</v>
      </c>
      <c r="CO48" s="746">
        <v>6</v>
      </c>
      <c r="CP48" s="747">
        <f>VLOOKUP(CN48,'Ціни контур теплопостачання'!$AO$20:$AQ$29,3,0)</f>
        <v>10.381</v>
      </c>
      <c r="CQ48" s="748">
        <f t="shared" si="120"/>
        <v>62.286000000000001</v>
      </c>
      <c r="CR48" s="746">
        <f t="shared" si="7"/>
        <v>20</v>
      </c>
      <c r="CS48" s="746">
        <v>3</v>
      </c>
      <c r="CT48" s="747">
        <f>VLOOKUP(CR48,'Ціни контур теплопостачання'!$AO$20:$AQ$29,3,0)</f>
        <v>3.577</v>
      </c>
      <c r="CU48" s="748">
        <f t="shared" si="121"/>
        <v>10.731</v>
      </c>
      <c r="CV48" s="746">
        <f t="shared" si="8"/>
        <v>32</v>
      </c>
      <c r="CW48" s="746">
        <f t="shared" si="101"/>
        <v>8</v>
      </c>
      <c r="CX48" s="747">
        <f>VLOOKUP(CV48,'Ціни контур теплопостачання'!$Y$5:$AA$17,3,0)</f>
        <v>10.381</v>
      </c>
      <c r="CY48" s="748">
        <f t="shared" si="122"/>
        <v>83.048000000000002</v>
      </c>
      <c r="CZ48" s="745">
        <v>20</v>
      </c>
      <c r="DA48" s="749">
        <v>2</v>
      </c>
      <c r="DB48" s="747">
        <f>VLOOKUP(CZ48,'Ціни контур теплопостачання'!$Y$5:$AA$17,3,0)</f>
        <v>3.577</v>
      </c>
      <c r="DC48" s="748">
        <f t="shared" si="123"/>
        <v>7.1539999999999999</v>
      </c>
      <c r="DD48" s="745">
        <v>15</v>
      </c>
      <c r="DE48" s="745">
        <v>8</v>
      </c>
      <c r="DF48" s="758">
        <f>VLOOKUP(DD48,'Ціни контур теплопостачання'!$Y$5:$AA$17,3,0)</f>
        <v>2.464</v>
      </c>
      <c r="DG48" s="759">
        <f t="shared" si="124"/>
        <v>19.712</v>
      </c>
      <c r="DH48" s="745">
        <v>15</v>
      </c>
      <c r="DI48" s="745">
        <f t="shared" si="58"/>
        <v>39</v>
      </c>
      <c r="DJ48" s="758">
        <f>VLOOKUP(DH48,'Ціни контур мережний'!$J$71:$M$71,4,0)</f>
        <v>3.3865201135922525</v>
      </c>
      <c r="DK48" s="759">
        <f t="shared" si="125"/>
        <v>132.07428443009783</v>
      </c>
      <c r="DL48" s="751">
        <f t="shared" si="10"/>
        <v>65</v>
      </c>
      <c r="DM48" s="746">
        <v>1</v>
      </c>
      <c r="DN48" s="747">
        <f>VLOOKUP(DL48,'Ціни контур теплопостачання'!$K$5:$M$17,3,0)</f>
        <v>39.731999999999999</v>
      </c>
      <c r="DO48" s="748">
        <f t="shared" si="126"/>
        <v>39.731999999999999</v>
      </c>
      <c r="DP48" s="745">
        <f t="shared" si="11"/>
        <v>32</v>
      </c>
      <c r="DQ48" s="749">
        <v>1</v>
      </c>
      <c r="DR48" s="747">
        <f>VLOOKUP(DP48,'Ціни контур теплопостачання'!$K$5:$M$17,3,0)</f>
        <v>9.48</v>
      </c>
      <c r="DS48" s="748">
        <f t="shared" si="127"/>
        <v>9.48</v>
      </c>
      <c r="DT48" s="745">
        <f t="shared" si="12"/>
        <v>20</v>
      </c>
      <c r="DU48" s="745">
        <v>1</v>
      </c>
      <c r="DV48" s="758">
        <f>VLOOKUP(DT48,'Ціни контур теплопостачання'!$K$5:$M$17,3,0)</f>
        <v>3.48</v>
      </c>
      <c r="DW48" s="759">
        <f t="shared" si="128"/>
        <v>3.48</v>
      </c>
      <c r="DX48" s="745">
        <f t="shared" si="63"/>
        <v>65</v>
      </c>
      <c r="DY48" s="745">
        <v>1</v>
      </c>
      <c r="DZ48" s="758">
        <f>VLOOKUP(DX48,'Ціни контур теплопостачання'!$Y$24:$AA$36,3,0)</f>
        <v>42.080999999999996</v>
      </c>
      <c r="EA48" s="759">
        <f t="shared" si="64"/>
        <v>42.080999999999996</v>
      </c>
      <c r="EB48" s="751">
        <f t="shared" si="13"/>
        <v>65</v>
      </c>
      <c r="EC48" s="746">
        <v>2</v>
      </c>
      <c r="ED48" s="747">
        <f>VLOOKUP(EB48,'Ціни контур теплопостачання'!$Y$24:$AA$36,3,0)</f>
        <v>42.080999999999996</v>
      </c>
      <c r="EE48" s="748">
        <f t="shared" si="129"/>
        <v>84.161999999999992</v>
      </c>
      <c r="EF48" s="745">
        <f t="shared" si="14"/>
        <v>32</v>
      </c>
      <c r="EG48" s="749">
        <v>1</v>
      </c>
      <c r="EH48" s="747">
        <f>VLOOKUP(EF48,'Ціни контур теплопостачання'!$AO$38:$AQ$50,3,0)</f>
        <v>10.773</v>
      </c>
      <c r="EI48" s="748">
        <f t="shared" si="130"/>
        <v>10.773</v>
      </c>
      <c r="EJ48" s="745">
        <f t="shared" si="15"/>
        <v>20</v>
      </c>
      <c r="EK48" s="745">
        <v>1</v>
      </c>
      <c r="EL48" s="758">
        <f>VLOOKUP(EJ48,'Ціни контур теплопостачання'!$AO$38:$AQ$50,3,0)</f>
        <v>4.5359999999999996</v>
      </c>
      <c r="EM48" s="759">
        <f t="shared" si="131"/>
        <v>4.5359999999999996</v>
      </c>
      <c r="EN48" s="745">
        <f t="shared" si="16"/>
        <v>32</v>
      </c>
      <c r="EO48" s="745">
        <f t="shared" si="102"/>
        <v>8</v>
      </c>
      <c r="EP48" s="758">
        <f>VLOOKUP(EN48,'Ціни контур теплопостачання'!$Y$76:$AA$88,3,0)</f>
        <v>13.15</v>
      </c>
      <c r="EQ48" s="759">
        <f t="shared" si="132"/>
        <v>105.2</v>
      </c>
      <c r="ER48" s="745">
        <f t="shared" si="18"/>
        <v>32</v>
      </c>
      <c r="ES48" s="745">
        <v>1</v>
      </c>
      <c r="ET48" s="758">
        <f>VLOOKUP(ER48,'Ціни контур теплопостачання'!$Y$76:$AA$88,3,0)</f>
        <v>13.15</v>
      </c>
      <c r="EU48" s="759">
        <f t="shared" si="133"/>
        <v>13.15</v>
      </c>
      <c r="EV48" s="745">
        <f t="shared" si="19"/>
        <v>20</v>
      </c>
      <c r="EW48" s="745">
        <v>1</v>
      </c>
      <c r="EX48" s="758">
        <f>VLOOKUP(EV48,'Ціни контур теплопостачання'!$Y$76:$AA$88,3,0)</f>
        <v>11.45</v>
      </c>
      <c r="EY48" s="759">
        <f t="shared" si="134"/>
        <v>11.45</v>
      </c>
      <c r="EZ48" s="758">
        <f t="shared" si="95"/>
        <v>25.568965563745436</v>
      </c>
      <c r="FA48" s="955">
        <v>25</v>
      </c>
      <c r="FB48" s="719">
        <v>2</v>
      </c>
      <c r="FC48" s="747">
        <f>VLOOKUP(FA48,'Ціни контур теплопостачання'!$K$74:$M$79,3,0)</f>
        <v>22.22</v>
      </c>
      <c r="FD48" s="761">
        <f t="shared" si="96"/>
        <v>44.44</v>
      </c>
      <c r="FE48" s="762">
        <f t="shared" si="71"/>
        <v>10.536382536382536</v>
      </c>
      <c r="FF48" s="902">
        <v>9</v>
      </c>
      <c r="FG48" s="900">
        <v>8</v>
      </c>
      <c r="FH48" s="830" t="s">
        <v>123</v>
      </c>
      <c r="FI48" s="708">
        <v>2</v>
      </c>
      <c r="FJ48" s="709">
        <f>VLOOKUP(FH48,'Ціни контур теплопостачання'!$C$89:$M$105,11,0)</f>
        <v>387.45599999999996</v>
      </c>
      <c r="FK48" s="764">
        <f t="shared" si="135"/>
        <v>774.91199999999992</v>
      </c>
      <c r="FL48" s="912">
        <f t="shared" si="73"/>
        <v>0.7448275862068966</v>
      </c>
      <c r="FM48" s="902">
        <v>9</v>
      </c>
      <c r="FN48" s="900">
        <v>9</v>
      </c>
      <c r="FO48" s="900" t="s">
        <v>1097</v>
      </c>
      <c r="FP48" s="749">
        <v>1</v>
      </c>
      <c r="FQ48" s="747">
        <f>VLOOKUP(FO48,'Ціни контур теплопостачання'!$C$89:$M$105,11,0)</f>
        <v>241.2</v>
      </c>
      <c r="FR48" s="904">
        <f t="shared" si="136"/>
        <v>241.2</v>
      </c>
      <c r="FS48" s="758">
        <f t="array" ref="FS48">MIN(IF('Ціни контур теплопостачання'!$AN$68:$AN$77&gt;(V48*1.2),'Ціни контур теплопостачання'!$AN$68:$AN$77))</f>
        <v>5.83</v>
      </c>
      <c r="FT48" s="749">
        <f>VLOOKUP(FS48,'Ціни контур теплопостачання'!$AN$68:$AO$77,2,0)</f>
        <v>25</v>
      </c>
      <c r="FU48" s="749">
        <f t="shared" si="103"/>
        <v>4</v>
      </c>
      <c r="FV48" s="747">
        <f>VLOOKUP(FT48,'Ціни контур теплопостачання'!$AO$68:$AQ$77,3,0)</f>
        <v>26.495000000000001</v>
      </c>
      <c r="FW48" s="765">
        <f t="shared" si="137"/>
        <v>105.98</v>
      </c>
      <c r="FX48" s="750">
        <v>15</v>
      </c>
      <c r="FY48" s="746">
        <v>2</v>
      </c>
      <c r="FZ48" s="747">
        <f>VLOOKUP(FX48,'Ціни контур мережний'!$J$73:$M$73,4,0)</f>
        <v>3.4649999999999999</v>
      </c>
      <c r="GA48" s="748">
        <f t="shared" si="138"/>
        <v>6.93</v>
      </c>
      <c r="GB48" s="750">
        <f>VLOOKUP(GC48,'Ціни контур теплопостачання'!$AN$6:$AO$13,2,0)</f>
        <v>20</v>
      </c>
      <c r="GC48" s="751">
        <f t="array" ref="GC48">MIN(IF('Ціни контур теплопостачання'!$AN$6:$AN$13&gt;N48,'Ціни контур теплопостачання'!$AN$6:$AN$13))</f>
        <v>2.5</v>
      </c>
      <c r="GD48" s="751">
        <v>1</v>
      </c>
      <c r="GE48" s="747">
        <f>VLOOKUP(GB48,'Ціни контур теплопостачання'!$AO$6:$AQ$13,3,0)</f>
        <v>23.753519999999998</v>
      </c>
      <c r="GF48" s="748">
        <f t="shared" si="139"/>
        <v>23.753519999999998</v>
      </c>
      <c r="GG48" s="746">
        <f t="shared" si="23"/>
        <v>32</v>
      </c>
      <c r="GH48" s="746">
        <v>1</v>
      </c>
      <c r="GI48" s="747">
        <f>VLOOKUP(GG48,'Ціни контур теплопостачання'!$AO$55:$AQ$63,3,0)</f>
        <v>150.1</v>
      </c>
      <c r="GJ48" s="768">
        <f t="shared" si="140"/>
        <v>150.1</v>
      </c>
      <c r="GK48" s="655" t="str">
        <f t="shared" si="150"/>
        <v>0-150</v>
      </c>
      <c r="GL48" s="720">
        <v>1</v>
      </c>
      <c r="GM48" s="747">
        <f>VLOOKUP(GK48,'Ціни контур мережний'!$I$79:$M$80,5,0)</f>
        <v>15.050156291498967</v>
      </c>
      <c r="GN48" s="748">
        <f t="shared" si="141"/>
        <v>15.050156291498967</v>
      </c>
      <c r="GO48" s="758" t="s">
        <v>109</v>
      </c>
      <c r="GP48" s="749">
        <v>5</v>
      </c>
      <c r="GQ48" s="747">
        <f>VLOOKUP(GO48,'Ціни контур мережний'!$I$79:$M$80,5,0)</f>
        <v>15.050156291498967</v>
      </c>
      <c r="GR48" s="765">
        <f t="shared" si="142"/>
        <v>75.250781457494838</v>
      </c>
      <c r="GS48" s="655" t="s">
        <v>108</v>
      </c>
      <c r="GT48" s="720">
        <v>5</v>
      </c>
      <c r="GU48" s="747">
        <f>VLOOKUP(GS48,'Ціни контур мережний'!$I$67:$M$69,5,0)</f>
        <v>4.4537969640631703</v>
      </c>
      <c r="GV48" s="748">
        <f t="shared" si="143"/>
        <v>22.26898482031585</v>
      </c>
      <c r="GW48" s="655" t="s">
        <v>106</v>
      </c>
      <c r="GX48" s="720">
        <f t="shared" si="151"/>
        <v>15</v>
      </c>
      <c r="GY48" s="747">
        <f>VLOOKUP(GW48,'Ціни контур мережний'!$I$67:$M$69,5,0)</f>
        <v>4.4537969640631703</v>
      </c>
      <c r="GZ48" s="748">
        <f t="shared" si="144"/>
        <v>66.806954460947551</v>
      </c>
      <c r="HA48" s="655" t="s">
        <v>1013</v>
      </c>
      <c r="HB48" s="720">
        <v>4</v>
      </c>
      <c r="HC48" s="747">
        <f>VLOOKUP(HA48,'Ціни контур мережний'!$I$64:$M$64,5,0)</f>
        <v>29.1312</v>
      </c>
      <c r="HD48" s="748">
        <f t="shared" si="145"/>
        <v>116.5248</v>
      </c>
      <c r="HE48" s="766" t="s">
        <v>1015</v>
      </c>
      <c r="HF48" s="749">
        <v>6</v>
      </c>
      <c r="HG48" s="747">
        <f>VLOOKUP(HE48,'Ціни контур мережний'!$I$89:$M$89,5,0)</f>
        <v>79.523165325760516</v>
      </c>
      <c r="HH48" s="765">
        <f t="shared" si="146"/>
        <v>477.1389919545631</v>
      </c>
      <c r="HI48" s="767" t="s">
        <v>1016</v>
      </c>
      <c r="HJ48" s="720">
        <f t="shared" si="152"/>
        <v>7</v>
      </c>
      <c r="HK48" s="747">
        <f>VLOOKUP(HI48,'Ціни контур мережний'!$I$88:$M$88,5,0)</f>
        <v>13.211568975967202</v>
      </c>
      <c r="HL48" s="768">
        <f t="shared" si="147"/>
        <v>92.480982831770419</v>
      </c>
      <c r="HM48" s="767" t="s">
        <v>383</v>
      </c>
      <c r="HN48" s="720">
        <v>1</v>
      </c>
      <c r="HO48" s="747">
        <f>VLOOKUP(HM48,'Ціни контур мережний'!$I$87:$M$87,5,0)</f>
        <v>13.483972460007763</v>
      </c>
      <c r="HP48" s="748">
        <f t="shared" si="148"/>
        <v>13.483972460007763</v>
      </c>
      <c r="HQ48" s="769">
        <f t="shared" si="97"/>
        <v>64</v>
      </c>
      <c r="HR48" s="770">
        <f t="shared" si="87"/>
        <v>5490.901141749122</v>
      </c>
      <c r="HS48" s="771">
        <v>0</v>
      </c>
      <c r="HT48" s="771">
        <f>'Таблиця цін схема №1'!$JE$44/'Ціни контур мережний'!$G$26</f>
        <v>476.70609707098151</v>
      </c>
      <c r="HU48" s="770">
        <f>'Таблиця цін схема №1'!$JG$8</f>
        <v>661.80181284518619</v>
      </c>
      <c r="HV48" s="770">
        <f>'Таблиця цін схема №1'!$JH$8</f>
        <v>487.81784379022207</v>
      </c>
      <c r="HW48" s="770">
        <f>'Таблиця цін схема №1'!$JI$8</f>
        <v>323.47913729816605</v>
      </c>
      <c r="HX48" s="770">
        <f>'Таблиця цін схема №1'!$JJ$8</f>
        <v>66.611999999999995</v>
      </c>
      <c r="HY48" s="770">
        <f>'Таблиця цін схема №1'!$JK$28</f>
        <v>0</v>
      </c>
      <c r="HZ48" s="772">
        <f>'Таблиця цін схема №1'!$JL$8</f>
        <v>62.86234247089866</v>
      </c>
      <c r="IA48" s="770">
        <f>'Таблиця цін схема №1'!$JM$28</f>
        <v>0</v>
      </c>
      <c r="IB48" s="770">
        <v>0</v>
      </c>
      <c r="IC48" s="773">
        <f t="shared" si="98"/>
        <v>529.91262626572041</v>
      </c>
      <c r="ID48" s="774">
        <f t="shared" si="99"/>
        <v>757.01803752245769</v>
      </c>
      <c r="IE48" s="775">
        <f t="shared" si="100"/>
        <v>130.22590920266521</v>
      </c>
      <c r="IF48" s="776">
        <f>'Таблиця цін схема №1'!$JR$8</f>
        <v>300.63036461094771</v>
      </c>
      <c r="IG48" s="777">
        <f t="shared" si="88"/>
        <v>9287.9673128263676</v>
      </c>
      <c r="II48" s="826"/>
      <c r="IJ48" s="826"/>
      <c r="IK48" s="826"/>
      <c r="IL48" s="826"/>
    </row>
    <row r="49" spans="2:246" s="780" customFormat="1" ht="12.6" customHeight="1">
      <c r="B49" s="905">
        <v>65</v>
      </c>
      <c r="C49" s="1056" t="s">
        <v>926</v>
      </c>
      <c r="D49" s="906">
        <v>0.25739000000000001</v>
      </c>
      <c r="E49" s="907">
        <v>0.12456</v>
      </c>
      <c r="F49" s="908">
        <f t="shared" si="28"/>
        <v>7.7819411840775743</v>
      </c>
      <c r="G49" s="599">
        <v>50</v>
      </c>
      <c r="H49" s="598">
        <f t="shared" si="29"/>
        <v>4.5978921043229724</v>
      </c>
      <c r="I49" s="599">
        <v>40</v>
      </c>
      <c r="J49" s="598">
        <f t="shared" si="30"/>
        <v>10.702286902286902</v>
      </c>
      <c r="K49" s="599">
        <v>65</v>
      </c>
      <c r="L49" s="598">
        <f t="shared" si="31"/>
        <v>3.1840490797546015</v>
      </c>
      <c r="M49" s="599">
        <v>32</v>
      </c>
      <c r="N49" s="598">
        <f t="shared" si="32"/>
        <v>2.5265720081135905</v>
      </c>
      <c r="O49" s="599">
        <v>32</v>
      </c>
      <c r="P49" s="598">
        <f t="shared" si="153"/>
        <v>0.75797160243407713</v>
      </c>
      <c r="Q49" s="599">
        <v>20</v>
      </c>
      <c r="R49" s="598">
        <f t="shared" si="33"/>
        <v>6.5024013722617164</v>
      </c>
      <c r="S49" s="600">
        <f t="shared" si="104"/>
        <v>4.5029253918505301</v>
      </c>
      <c r="T49" s="910">
        <v>4</v>
      </c>
      <c r="U49" s="601">
        <f t="shared" si="35"/>
        <v>2.6755717255717255</v>
      </c>
      <c r="V49" s="601">
        <f t="shared" si="36"/>
        <v>3.7838298214055186</v>
      </c>
      <c r="W49" s="850">
        <v>32</v>
      </c>
      <c r="X49" s="751">
        <f t="shared" si="0"/>
        <v>50</v>
      </c>
      <c r="Y49" s="746">
        <v>2</v>
      </c>
      <c r="Z49" s="747">
        <f>VLOOKUP(X49,'Ціни контур мережний'!$Z$24:$AB$36,3,0)</f>
        <v>23.2782130224622</v>
      </c>
      <c r="AA49" s="748">
        <f t="shared" si="105"/>
        <v>46.5564260449244</v>
      </c>
      <c r="AB49" s="749">
        <f t="shared" si="1"/>
        <v>50</v>
      </c>
      <c r="AC49" s="749">
        <v>2</v>
      </c>
      <c r="AD49" s="747">
        <f>VLOOKUP(AB49,'Ціни контур мережний'!$Z$64:$AB$77,3,0)</f>
        <v>80.03214361111678</v>
      </c>
      <c r="AE49" s="748">
        <f t="shared" si="106"/>
        <v>160.06428722223356</v>
      </c>
      <c r="AF49" s="746">
        <f t="shared" si="2"/>
        <v>50</v>
      </c>
      <c r="AG49" s="746">
        <v>1</v>
      </c>
      <c r="AH49" s="747">
        <f>VLOOKUP(AF49,'Ціни контур мережний'!$Z$5:$AB$17,3,0)</f>
        <v>26.284999999999997</v>
      </c>
      <c r="AI49" s="748">
        <f t="shared" si="107"/>
        <v>26.284999999999997</v>
      </c>
      <c r="AJ49" s="746">
        <f t="shared" si="3"/>
        <v>40</v>
      </c>
      <c r="AK49" s="746">
        <v>3</v>
      </c>
      <c r="AL49" s="747">
        <f>VLOOKUP(AJ49,'Ціни контур мережний'!$Z$43:$AB$55,3,0)</f>
        <v>18.42400964308333</v>
      </c>
      <c r="AM49" s="748">
        <f t="shared" si="108"/>
        <v>55.272028929249991</v>
      </c>
      <c r="AN49" s="745">
        <f t="shared" si="4"/>
        <v>32</v>
      </c>
      <c r="AO49" s="749">
        <v>4</v>
      </c>
      <c r="AP49" s="747">
        <f>VLOOKUP(AN49,'Ціни контур мережний'!$Z$43:$AB$55,3,0)</f>
        <v>16.107218011318363</v>
      </c>
      <c r="AQ49" s="759">
        <f t="shared" si="109"/>
        <v>64.428872045273451</v>
      </c>
      <c r="AR49" s="751" t="str">
        <f t="shared" si="42"/>
        <v>AMV20</v>
      </c>
      <c r="AS49" s="751">
        <v>1</v>
      </c>
      <c r="AT49" s="747">
        <f>VLOOKUP(AR49,'Ціни контур мережний'!$I$53:$M$57,5,0)</f>
        <v>110.39869654932889</v>
      </c>
      <c r="AU49" s="748">
        <f t="shared" si="110"/>
        <v>110.39869654932889</v>
      </c>
      <c r="AV49" s="752">
        <f t="array" ref="AV49">MIN(IF('Ціни контур мережний'!$Y$83:$Y$92&gt;(R49*1.2),'Ціни контур мережний'!$Y$83:$Y$92))</f>
        <v>10</v>
      </c>
      <c r="AW49" s="746">
        <f>VLOOKUP(AV49,'Ціни контур мережний'!$Y$83:$Z$92,2,0)</f>
        <v>25</v>
      </c>
      <c r="AX49" s="746">
        <v>1</v>
      </c>
      <c r="AY49" s="747">
        <f>VLOOKUP(AV49,'Ціни контур мережний'!$Y$83:$AB$92,4,0)</f>
        <v>117.50505648967251</v>
      </c>
      <c r="AZ49" s="748">
        <f t="shared" si="111"/>
        <v>117.50505648967251</v>
      </c>
      <c r="BA49" s="1099">
        <f t="array" ref="BA49">MIN(IF('[1]Ціни контур мережний'!$Y$104:$Y$114&gt;(R49*1.2),'[1]Ціни контур мережний'!$Y$104:$Y$114))</f>
        <v>8</v>
      </c>
      <c r="BB49" s="1101">
        <f>VLOOKUP(BA49,'[1]Ціни контур мережний'!$Y$104:$Z$114,2,0)</f>
        <v>25</v>
      </c>
      <c r="BC49" s="753">
        <v>1</v>
      </c>
      <c r="BD49" s="754">
        <f>VLOOKUP(BA49,'Ціни контур мережний'!$Y$104:$AB$114,4,0)</f>
        <v>278.09338672441618</v>
      </c>
      <c r="BE49" s="755">
        <f t="shared" si="112"/>
        <v>278.09338672441618</v>
      </c>
      <c r="BF49" s="751" t="s">
        <v>67</v>
      </c>
      <c r="BG49" s="749">
        <v>1</v>
      </c>
      <c r="BH49" s="747">
        <f>VLOOKUP(BF49,'Ціни контур мережний'!$I$53:$M$57,5,0)</f>
        <v>157.67238032974441</v>
      </c>
      <c r="BI49" s="768">
        <f t="shared" si="113"/>
        <v>157.67238032974441</v>
      </c>
      <c r="BJ49" s="894">
        <f t="array" ref="BJ49">MIN(IF('Ціни контур мережний'!$Y$83:$Y$93&gt;(S49*1.2),'Ціни контур мережний'!$Y$83:$Y$93))</f>
        <v>6.3</v>
      </c>
      <c r="BK49" s="895">
        <f>VLOOKUP(BJ49,'Ціни контур мережний'!$Y$83:$Z$93,2,0)</f>
        <v>20</v>
      </c>
      <c r="BL49" s="895">
        <v>1</v>
      </c>
      <c r="BM49" s="896">
        <f>VLOOKUP(BJ49,'Ціни контур мережний'!$Y$83:$AB$93,4,0)</f>
        <v>113.14115267534271</v>
      </c>
      <c r="BN49" s="916">
        <f t="shared" si="114"/>
        <v>113.14115267534271</v>
      </c>
      <c r="BO49" s="896">
        <f t="array" ref="BO49">MIN(IF('Ціни контур мережний'!$Y$104:$Y$114&gt;(S49*1.2),'Ціни контур мережний'!$Y$104:$Y$114))</f>
        <v>6.3</v>
      </c>
      <c r="BP49" s="895">
        <f>VLOOKUP(BO49,'Ціни контур мережний'!$Y$104:$Z$114,2,0)</f>
        <v>20</v>
      </c>
      <c r="BQ49" s="895">
        <v>1</v>
      </c>
      <c r="BR49" s="896">
        <f>VLOOKUP(BO49,'Ціни контур мережний'!$Y$104:$AB$114,4,0)</f>
        <v>259.83406541769665</v>
      </c>
      <c r="BS49" s="897">
        <f t="shared" si="115"/>
        <v>259.83406541769665</v>
      </c>
      <c r="BT49" s="751" t="s">
        <v>115</v>
      </c>
      <c r="BU49" s="751" t="s">
        <v>115</v>
      </c>
      <c r="BV49" s="746" t="s">
        <v>1025</v>
      </c>
      <c r="BW49" s="756">
        <v>0</v>
      </c>
      <c r="BX49" s="747">
        <v>0</v>
      </c>
      <c r="BY49" s="748">
        <f t="shared" si="116"/>
        <v>0</v>
      </c>
      <c r="BZ49" s="745">
        <f>VLOOKUP(CA49,'Ціни контур мережний'!$J$5:$L$12,3,0)</f>
        <v>25</v>
      </c>
      <c r="CA49" s="747">
        <f t="array" ref="CA49">MIN(IF('Ціни контур мережний'!$J$5:$J$12&gt;L49,'Ціни контур мережний'!$J$5:$J$12))</f>
        <v>3.5</v>
      </c>
      <c r="CB49" s="746" t="s">
        <v>130</v>
      </c>
      <c r="CC49" s="749">
        <v>1</v>
      </c>
      <c r="CD49" s="747">
        <f>VLOOKUP(CA49,'Ціни контур мережний'!$J$5:$N$12,5,0)</f>
        <v>341.25599999999997</v>
      </c>
      <c r="CE49" s="748">
        <f t="shared" si="117"/>
        <v>341.25599999999997</v>
      </c>
      <c r="CF49" s="898" t="s">
        <v>1368</v>
      </c>
      <c r="CG49" s="899">
        <v>1</v>
      </c>
      <c r="CH49" s="900">
        <v>433</v>
      </c>
      <c r="CI49" s="901">
        <f t="shared" si="118"/>
        <v>433</v>
      </c>
      <c r="CJ49" s="751">
        <f t="shared" si="5"/>
        <v>65</v>
      </c>
      <c r="CK49" s="746">
        <v>4</v>
      </c>
      <c r="CL49" s="747">
        <f>VLOOKUP(CJ49,'Ціни контур теплопостачання'!$Y$5:$AA$17,3,0)</f>
        <v>30.19184015363556</v>
      </c>
      <c r="CM49" s="748">
        <f t="shared" si="119"/>
        <v>120.76736061454224</v>
      </c>
      <c r="CN49" s="746">
        <f t="shared" si="6"/>
        <v>32</v>
      </c>
      <c r="CO49" s="746">
        <v>6</v>
      </c>
      <c r="CP49" s="747">
        <f>VLOOKUP(CN49,'Ціни контур теплопостачання'!$AO$20:$AQ$29,3,0)</f>
        <v>10.381</v>
      </c>
      <c r="CQ49" s="748">
        <f t="shared" si="120"/>
        <v>62.286000000000001</v>
      </c>
      <c r="CR49" s="746">
        <f t="shared" si="7"/>
        <v>20</v>
      </c>
      <c r="CS49" s="746">
        <v>3</v>
      </c>
      <c r="CT49" s="747">
        <f>VLOOKUP(CR49,'Ціни контур теплопостачання'!$AO$20:$AQ$29,3,0)</f>
        <v>3.577</v>
      </c>
      <c r="CU49" s="748">
        <f t="shared" si="121"/>
        <v>10.731</v>
      </c>
      <c r="CV49" s="746">
        <f t="shared" si="8"/>
        <v>32</v>
      </c>
      <c r="CW49" s="746">
        <f t="shared" si="101"/>
        <v>8</v>
      </c>
      <c r="CX49" s="747">
        <f>VLOOKUP(CV49,'Ціни контур теплопостачання'!$Y$5:$AA$17,3,0)</f>
        <v>10.381</v>
      </c>
      <c r="CY49" s="748">
        <f t="shared" si="122"/>
        <v>83.048000000000002</v>
      </c>
      <c r="CZ49" s="745">
        <v>20</v>
      </c>
      <c r="DA49" s="749">
        <v>2</v>
      </c>
      <c r="DB49" s="747">
        <f>VLOOKUP(CZ49,'Ціни контур теплопостачання'!$Y$5:$AA$17,3,0)</f>
        <v>3.577</v>
      </c>
      <c r="DC49" s="748">
        <f t="shared" si="123"/>
        <v>7.1539999999999999</v>
      </c>
      <c r="DD49" s="745">
        <v>15</v>
      </c>
      <c r="DE49" s="745">
        <v>8</v>
      </c>
      <c r="DF49" s="758">
        <f>VLOOKUP(DD49,'Ціни контур теплопостачання'!$Y$5:$AA$17,3,0)</f>
        <v>2.464</v>
      </c>
      <c r="DG49" s="759">
        <f t="shared" si="124"/>
        <v>19.712</v>
      </c>
      <c r="DH49" s="745">
        <v>15</v>
      </c>
      <c r="DI49" s="745">
        <f t="shared" si="58"/>
        <v>39</v>
      </c>
      <c r="DJ49" s="758">
        <f>VLOOKUP(DH49,'Ціни контур мережний'!$J$71:$M$71,4,0)</f>
        <v>3.3865201135922525</v>
      </c>
      <c r="DK49" s="759">
        <f t="shared" si="125"/>
        <v>132.07428443009783</v>
      </c>
      <c r="DL49" s="751">
        <f t="shared" si="10"/>
        <v>65</v>
      </c>
      <c r="DM49" s="746">
        <v>1</v>
      </c>
      <c r="DN49" s="747">
        <f>VLOOKUP(DL49,'Ціни контур теплопостачання'!$K$5:$M$17,3,0)</f>
        <v>39.731999999999999</v>
      </c>
      <c r="DO49" s="748">
        <f t="shared" si="126"/>
        <v>39.731999999999999</v>
      </c>
      <c r="DP49" s="745">
        <f t="shared" si="11"/>
        <v>32</v>
      </c>
      <c r="DQ49" s="749">
        <v>1</v>
      </c>
      <c r="DR49" s="747">
        <f>VLOOKUP(DP49,'Ціни контур теплопостачання'!$K$5:$M$17,3,0)</f>
        <v>9.48</v>
      </c>
      <c r="DS49" s="748">
        <f t="shared" si="127"/>
        <v>9.48</v>
      </c>
      <c r="DT49" s="745">
        <f t="shared" si="12"/>
        <v>20</v>
      </c>
      <c r="DU49" s="745">
        <v>1</v>
      </c>
      <c r="DV49" s="758">
        <f>VLOOKUP(DT49,'Ціни контур теплопостачання'!$K$5:$M$17,3,0)</f>
        <v>3.48</v>
      </c>
      <c r="DW49" s="759">
        <f t="shared" si="128"/>
        <v>3.48</v>
      </c>
      <c r="DX49" s="745">
        <f t="shared" si="63"/>
        <v>65</v>
      </c>
      <c r="DY49" s="745">
        <v>1</v>
      </c>
      <c r="DZ49" s="758">
        <f>VLOOKUP(DX49,'Ціни контур теплопостачання'!$Y$24:$AA$36,3,0)</f>
        <v>42.080999999999996</v>
      </c>
      <c r="EA49" s="759">
        <f t="shared" si="64"/>
        <v>42.080999999999996</v>
      </c>
      <c r="EB49" s="751">
        <f t="shared" si="13"/>
        <v>65</v>
      </c>
      <c r="EC49" s="746">
        <v>2</v>
      </c>
      <c r="ED49" s="747">
        <f>VLOOKUP(EB49,'Ціни контур теплопостачання'!$Y$24:$AA$36,3,0)</f>
        <v>42.080999999999996</v>
      </c>
      <c r="EE49" s="748">
        <f t="shared" si="129"/>
        <v>84.161999999999992</v>
      </c>
      <c r="EF49" s="745">
        <f t="shared" si="14"/>
        <v>32</v>
      </c>
      <c r="EG49" s="749">
        <v>1</v>
      </c>
      <c r="EH49" s="747">
        <f>VLOOKUP(EF49,'Ціни контур теплопостачання'!$AO$38:$AQ$50,3,0)</f>
        <v>10.773</v>
      </c>
      <c r="EI49" s="748">
        <f t="shared" si="130"/>
        <v>10.773</v>
      </c>
      <c r="EJ49" s="745">
        <f t="shared" si="15"/>
        <v>20</v>
      </c>
      <c r="EK49" s="745">
        <v>1</v>
      </c>
      <c r="EL49" s="758">
        <f>VLOOKUP(EJ49,'Ціни контур теплопостачання'!$AO$38:$AQ$50,3,0)</f>
        <v>4.5359999999999996</v>
      </c>
      <c r="EM49" s="759">
        <f t="shared" si="131"/>
        <v>4.5359999999999996</v>
      </c>
      <c r="EN49" s="745">
        <f t="shared" si="16"/>
        <v>32</v>
      </c>
      <c r="EO49" s="745">
        <f t="shared" si="102"/>
        <v>8</v>
      </c>
      <c r="EP49" s="758">
        <f>VLOOKUP(EN49,'Ціни контур теплопостачання'!$Y$76:$AA$88,3,0)</f>
        <v>13.15</v>
      </c>
      <c r="EQ49" s="759">
        <f t="shared" si="132"/>
        <v>105.2</v>
      </c>
      <c r="ER49" s="745">
        <f t="shared" si="18"/>
        <v>32</v>
      </c>
      <c r="ES49" s="745">
        <v>1</v>
      </c>
      <c r="ET49" s="758">
        <f>VLOOKUP(ER49,'Ціни контур теплопостачання'!$Y$76:$AA$88,3,0)</f>
        <v>13.15</v>
      </c>
      <c r="EU49" s="759">
        <f t="shared" si="133"/>
        <v>13.15</v>
      </c>
      <c r="EV49" s="745">
        <f t="shared" si="19"/>
        <v>20</v>
      </c>
      <c r="EW49" s="745">
        <v>1</v>
      </c>
      <c r="EX49" s="758">
        <f>VLOOKUP(EV49,'Ціни контур теплопостачання'!$Y$76:$AA$88,3,0)</f>
        <v>11.45</v>
      </c>
      <c r="EY49" s="759">
        <f t="shared" si="134"/>
        <v>11.45</v>
      </c>
      <c r="EZ49" s="758">
        <f t="shared" si="95"/>
        <v>25.769481950555392</v>
      </c>
      <c r="FA49" s="955">
        <v>25</v>
      </c>
      <c r="FB49" s="719">
        <v>2</v>
      </c>
      <c r="FC49" s="747">
        <f>VLOOKUP(FA49,'Ціни контур теплопостачання'!$K$74:$M$79,3,0)</f>
        <v>22.22</v>
      </c>
      <c r="FD49" s="761">
        <f t="shared" si="96"/>
        <v>44.44</v>
      </c>
      <c r="FE49" s="762">
        <f t="shared" si="71"/>
        <v>10.702286902286902</v>
      </c>
      <c r="FF49" s="911">
        <v>9</v>
      </c>
      <c r="FG49" s="900">
        <v>8</v>
      </c>
      <c r="FH49" s="830" t="s">
        <v>123</v>
      </c>
      <c r="FI49" s="708">
        <v>2</v>
      </c>
      <c r="FJ49" s="709">
        <f>VLOOKUP(FH49,'Ціни контур теплопостачання'!$C$89:$M$105,11,0)</f>
        <v>387.45599999999996</v>
      </c>
      <c r="FK49" s="764">
        <f t="shared" si="135"/>
        <v>774.91199999999992</v>
      </c>
      <c r="FL49" s="912">
        <f t="shared" si="73"/>
        <v>0.75797160243407713</v>
      </c>
      <c r="FM49" s="911">
        <v>9</v>
      </c>
      <c r="FN49" s="900">
        <v>9</v>
      </c>
      <c r="FO49" s="900" t="s">
        <v>1097</v>
      </c>
      <c r="FP49" s="749">
        <v>1</v>
      </c>
      <c r="FQ49" s="747">
        <f>VLOOKUP(FO49,'Ціни контур теплопостачання'!$C$89:$M$105,11,0)</f>
        <v>241.2</v>
      </c>
      <c r="FR49" s="904">
        <f t="shared" si="136"/>
        <v>241.2</v>
      </c>
      <c r="FS49" s="758">
        <f t="array" ref="FS49">MIN(IF('Ціни контур теплопостачання'!$AN$68:$AN$77&gt;(V49*1.2),'Ціни контур теплопостачання'!$AN$68:$AN$77))</f>
        <v>5.83</v>
      </c>
      <c r="FT49" s="749">
        <f>VLOOKUP(FS49,'Ціни контур теплопостачання'!$AN$68:$AO$77,2,0)</f>
        <v>25</v>
      </c>
      <c r="FU49" s="749">
        <f t="shared" si="103"/>
        <v>4</v>
      </c>
      <c r="FV49" s="747">
        <f>VLOOKUP(FT49,'Ціни контур теплопостачання'!$AO$68:$AQ$77,3,0)</f>
        <v>26.495000000000001</v>
      </c>
      <c r="FW49" s="765">
        <f t="shared" si="137"/>
        <v>105.98</v>
      </c>
      <c r="FX49" s="750">
        <v>15</v>
      </c>
      <c r="FY49" s="746">
        <v>2</v>
      </c>
      <c r="FZ49" s="747">
        <f>VLOOKUP(FX49,'Ціни контур мережний'!$J$73:$M$73,4,0)</f>
        <v>3.4649999999999999</v>
      </c>
      <c r="GA49" s="748">
        <f t="shared" si="138"/>
        <v>6.93</v>
      </c>
      <c r="GB49" s="750">
        <f>VLOOKUP(GC49,'Ціни контур теплопостачання'!$AN$6:$AO$13,2,0)</f>
        <v>25</v>
      </c>
      <c r="GC49" s="751">
        <f t="array" ref="GC49">MIN(IF('Ціни контур теплопостачання'!$AN$6:$AN$13&gt;N49,'Ціни контур теплопостачання'!$AN$6:$AN$13))</f>
        <v>3.5</v>
      </c>
      <c r="GD49" s="751">
        <v>1</v>
      </c>
      <c r="GE49" s="747">
        <f>VLOOKUP(GB49,'Ціни контур теплопостачання'!$AO$6:$AQ$13,3,0)</f>
        <v>76.3506</v>
      </c>
      <c r="GF49" s="748">
        <f t="shared" si="139"/>
        <v>76.3506</v>
      </c>
      <c r="GG49" s="746">
        <f t="shared" si="23"/>
        <v>32</v>
      </c>
      <c r="GH49" s="746">
        <v>1</v>
      </c>
      <c r="GI49" s="747">
        <f>VLOOKUP(GG49,'Ціни контур теплопостачання'!$AO$55:$AQ$63,3,0)</f>
        <v>150.1</v>
      </c>
      <c r="GJ49" s="768">
        <f t="shared" si="140"/>
        <v>150.1</v>
      </c>
      <c r="GK49" s="655" t="str">
        <f t="shared" si="150"/>
        <v>0-150</v>
      </c>
      <c r="GL49" s="720">
        <v>1</v>
      </c>
      <c r="GM49" s="747">
        <f>VLOOKUP(GK49,'Ціни контур мережний'!$I$79:$M$80,5,0)</f>
        <v>15.050156291498967</v>
      </c>
      <c r="GN49" s="748">
        <f t="shared" si="141"/>
        <v>15.050156291498967</v>
      </c>
      <c r="GO49" s="758" t="s">
        <v>109</v>
      </c>
      <c r="GP49" s="749">
        <v>5</v>
      </c>
      <c r="GQ49" s="747">
        <f>VLOOKUP(GO49,'Ціни контур мережний'!$I$79:$M$80,5,0)</f>
        <v>15.050156291498967</v>
      </c>
      <c r="GR49" s="765">
        <f t="shared" si="142"/>
        <v>75.250781457494838</v>
      </c>
      <c r="GS49" s="655" t="s">
        <v>108</v>
      </c>
      <c r="GT49" s="720">
        <v>5</v>
      </c>
      <c r="GU49" s="747">
        <f>VLOOKUP(GS49,'Ціни контур мережний'!$I$67:$M$69,5,0)</f>
        <v>4.4537969640631703</v>
      </c>
      <c r="GV49" s="748">
        <f t="shared" si="143"/>
        <v>22.26898482031585</v>
      </c>
      <c r="GW49" s="655" t="s">
        <v>106</v>
      </c>
      <c r="GX49" s="720">
        <f t="shared" si="151"/>
        <v>15</v>
      </c>
      <c r="GY49" s="747">
        <f>VLOOKUP(GW49,'Ціни контур мережний'!$I$67:$M$69,5,0)</f>
        <v>4.4537969640631703</v>
      </c>
      <c r="GZ49" s="748">
        <f t="shared" si="144"/>
        <v>66.806954460947551</v>
      </c>
      <c r="HA49" s="655" t="s">
        <v>1013</v>
      </c>
      <c r="HB49" s="720">
        <v>4</v>
      </c>
      <c r="HC49" s="747">
        <f>VLOOKUP(HA49,'Ціни контур мережний'!$I$64:$M$64,5,0)</f>
        <v>29.1312</v>
      </c>
      <c r="HD49" s="748">
        <f t="shared" si="145"/>
        <v>116.5248</v>
      </c>
      <c r="HE49" s="766" t="s">
        <v>1015</v>
      </c>
      <c r="HF49" s="749">
        <v>6</v>
      </c>
      <c r="HG49" s="747">
        <f>VLOOKUP(HE49,'Ціни контур мережний'!$I$89:$M$89,5,0)</f>
        <v>79.523165325760516</v>
      </c>
      <c r="HH49" s="765">
        <f t="shared" si="146"/>
        <v>477.1389919545631</v>
      </c>
      <c r="HI49" s="778" t="s">
        <v>1016</v>
      </c>
      <c r="HJ49" s="720">
        <f t="shared" si="152"/>
        <v>7</v>
      </c>
      <c r="HK49" s="747">
        <f>VLOOKUP(HI49,'Ціни контур мережний'!$I$88:$M$88,5,0)</f>
        <v>13.211568975967202</v>
      </c>
      <c r="HL49" s="768">
        <f t="shared" si="147"/>
        <v>92.480982831770419</v>
      </c>
      <c r="HM49" s="757" t="s">
        <v>383</v>
      </c>
      <c r="HN49" s="720">
        <v>1</v>
      </c>
      <c r="HO49" s="747">
        <f>VLOOKUP(HM49,'Ціни контур мережний'!$I$87:$M$87,5,0)</f>
        <v>13.483972460007763</v>
      </c>
      <c r="HP49" s="748">
        <f t="shared" si="148"/>
        <v>13.483972460007763</v>
      </c>
      <c r="HQ49" s="769">
        <f t="shared" si="97"/>
        <v>65</v>
      </c>
      <c r="HR49" s="770">
        <f t="shared" si="87"/>
        <v>5202.2422217491221</v>
      </c>
      <c r="HS49" s="771">
        <v>0</v>
      </c>
      <c r="HT49" s="771">
        <f>'Таблиця цін схема №1'!$JE$44/'Ціни контур мережний'!$G$26</f>
        <v>476.70609707098151</v>
      </c>
      <c r="HU49" s="770">
        <f>'Таблиця цін схема №1'!$JG$8</f>
        <v>661.80181284518619</v>
      </c>
      <c r="HV49" s="770">
        <f>'Таблиця цін схема №1'!$JH$8</f>
        <v>487.81784379022207</v>
      </c>
      <c r="HW49" s="770">
        <f>'Таблиця цін схема №1'!$JI$8</f>
        <v>323.47913729816605</v>
      </c>
      <c r="HX49" s="770">
        <f>'Таблиця цін схема №1'!$JJ$8</f>
        <v>66.611999999999995</v>
      </c>
      <c r="HY49" s="770">
        <f>'Таблиця цін схема №1'!$JK$28</f>
        <v>0</v>
      </c>
      <c r="HZ49" s="772">
        <f>'Таблиця цін схема №1'!$JL$8</f>
        <v>62.86234247089866</v>
      </c>
      <c r="IA49" s="770">
        <f>'Таблиця цін схема №1'!$JM$28</f>
        <v>0</v>
      </c>
      <c r="IB49" s="770">
        <v>0</v>
      </c>
      <c r="IC49" s="913">
        <f t="shared" si="98"/>
        <v>509.70650186572044</v>
      </c>
      <c r="ID49" s="914">
        <f t="shared" si="99"/>
        <v>728.15214552245777</v>
      </c>
      <c r="IE49" s="915">
        <f t="shared" si="100"/>
        <v>125.2602586576013</v>
      </c>
      <c r="IF49" s="776">
        <f>'Таблиця цін схема №1'!$JR$8</f>
        <v>300.63036461094771</v>
      </c>
      <c r="IG49" s="777">
        <f t="shared" si="88"/>
        <v>8945.2707258813043</v>
      </c>
      <c r="II49" s="835"/>
      <c r="IJ49" s="835"/>
      <c r="IK49" s="835"/>
      <c r="IL49" s="835"/>
    </row>
    <row r="50" spans="2:246" s="780" customFormat="1" ht="12.6" customHeight="1">
      <c r="B50" s="905">
        <v>66</v>
      </c>
      <c r="C50" s="1056" t="s">
        <v>927</v>
      </c>
      <c r="D50" s="906">
        <v>0.25772</v>
      </c>
      <c r="E50" s="907">
        <v>0.126</v>
      </c>
      <c r="F50" s="908">
        <f t="shared" si="28"/>
        <v>7.8246459625150973</v>
      </c>
      <c r="G50" s="599">
        <v>50</v>
      </c>
      <c r="H50" s="598">
        <f t="shared" si="29"/>
        <v>4.6037870668095753</v>
      </c>
      <c r="I50" s="599">
        <v>40</v>
      </c>
      <c r="J50" s="598">
        <f t="shared" si="30"/>
        <v>10.716008316008317</v>
      </c>
      <c r="K50" s="599">
        <v>65</v>
      </c>
      <c r="L50" s="598">
        <f t="shared" si="31"/>
        <v>3.2208588957055215</v>
      </c>
      <c r="M50" s="599">
        <v>32</v>
      </c>
      <c r="N50" s="598">
        <f t="shared" si="32"/>
        <v>2.5557809330628807</v>
      </c>
      <c r="O50" s="599">
        <v>32</v>
      </c>
      <c r="P50" s="598">
        <f t="shared" si="153"/>
        <v>0.76673427991886423</v>
      </c>
      <c r="Q50" s="599">
        <v>20</v>
      </c>
      <c r="R50" s="598">
        <f t="shared" si="33"/>
        <v>6.5107381081599511</v>
      </c>
      <c r="S50" s="600">
        <f t="shared" si="104"/>
        <v>4.5549823327967784</v>
      </c>
      <c r="T50" s="910">
        <v>4</v>
      </c>
      <c r="U50" s="601">
        <f t="shared" si="35"/>
        <v>2.6790020790020792</v>
      </c>
      <c r="V50" s="601">
        <f t="shared" si="36"/>
        <v>3.7886810737504582</v>
      </c>
      <c r="W50" s="850">
        <v>32</v>
      </c>
      <c r="X50" s="751">
        <f t="shared" si="0"/>
        <v>50</v>
      </c>
      <c r="Y50" s="746">
        <v>2</v>
      </c>
      <c r="Z50" s="747">
        <f>VLOOKUP(X50,'Ціни контур мережний'!$Z$24:$AB$36,3,0)</f>
        <v>23.2782130224622</v>
      </c>
      <c r="AA50" s="748">
        <f t="shared" si="105"/>
        <v>46.5564260449244</v>
      </c>
      <c r="AB50" s="749">
        <f t="shared" si="1"/>
        <v>50</v>
      </c>
      <c r="AC50" s="749">
        <v>2</v>
      </c>
      <c r="AD50" s="747">
        <f>VLOOKUP(AB50,'Ціни контур мережний'!$Z$64:$AB$77,3,0)</f>
        <v>80.03214361111678</v>
      </c>
      <c r="AE50" s="748">
        <f t="shared" si="106"/>
        <v>160.06428722223356</v>
      </c>
      <c r="AF50" s="746">
        <f t="shared" si="2"/>
        <v>50</v>
      </c>
      <c r="AG50" s="746">
        <v>0</v>
      </c>
      <c r="AH50" s="747">
        <f>VLOOKUP(AF50,'Ціни контур мережний'!$Z$5:$AB$17,3,0)</f>
        <v>26.284999999999997</v>
      </c>
      <c r="AI50" s="748">
        <f t="shared" si="107"/>
        <v>0</v>
      </c>
      <c r="AJ50" s="746">
        <f t="shared" si="3"/>
        <v>40</v>
      </c>
      <c r="AK50" s="746">
        <v>1</v>
      </c>
      <c r="AL50" s="747">
        <f>VLOOKUP(AJ50,'Ціни контур мережний'!$Z$43:$AB$55,3,0)</f>
        <v>18.42400964308333</v>
      </c>
      <c r="AM50" s="748">
        <f t="shared" si="108"/>
        <v>18.42400964308333</v>
      </c>
      <c r="AN50" s="745">
        <f t="shared" si="4"/>
        <v>32</v>
      </c>
      <c r="AO50" s="749">
        <v>4</v>
      </c>
      <c r="AP50" s="747">
        <f>VLOOKUP(AN50,'Ціни контур мережний'!$Z$43:$AB$55,3,0)</f>
        <v>16.107218011318363</v>
      </c>
      <c r="AQ50" s="759">
        <f t="shared" si="109"/>
        <v>64.428872045273451</v>
      </c>
      <c r="AR50" s="751" t="str">
        <f t="shared" si="42"/>
        <v>AMV20</v>
      </c>
      <c r="AS50" s="751">
        <v>1</v>
      </c>
      <c r="AT50" s="747">
        <f>VLOOKUP(AR50,'Ціни контур мережний'!$I$53:$M$57,5,0)</f>
        <v>110.39869654932889</v>
      </c>
      <c r="AU50" s="748">
        <f t="shared" si="110"/>
        <v>110.39869654932889</v>
      </c>
      <c r="AV50" s="752">
        <f t="array" ref="AV50">MIN(IF('Ціни контур мережний'!$Y$83:$Y$92&gt;(R50*1.2),'Ціни контур мережний'!$Y$83:$Y$92))</f>
        <v>10</v>
      </c>
      <c r="AW50" s="746">
        <f>VLOOKUP(AV50,'Ціни контур мережний'!$Y$83:$Z$92,2,0)</f>
        <v>25</v>
      </c>
      <c r="AX50" s="746">
        <v>1</v>
      </c>
      <c r="AY50" s="747">
        <f>VLOOKUP(AV50,'Ціни контур мережний'!$Y$83:$AB$92,4,0)</f>
        <v>117.50505648967251</v>
      </c>
      <c r="AZ50" s="748">
        <f t="shared" si="111"/>
        <v>117.50505648967251</v>
      </c>
      <c r="BA50" s="1099">
        <f t="array" ref="BA50">MIN(IF('[1]Ціни контур мережний'!$Y$104:$Y$114&gt;(R50*1.2),'[1]Ціни контур мережний'!$Y$104:$Y$114))</f>
        <v>8</v>
      </c>
      <c r="BB50" s="1101">
        <f>VLOOKUP(BA50,'[1]Ціни контур мережний'!$Y$104:$Z$114,2,0)</f>
        <v>25</v>
      </c>
      <c r="BC50" s="753">
        <v>1</v>
      </c>
      <c r="BD50" s="754">
        <f>VLOOKUP(BA50,'Ціни контур мережний'!$Y$104:$AB$114,4,0)</f>
        <v>278.09338672441618</v>
      </c>
      <c r="BE50" s="755">
        <f t="shared" si="112"/>
        <v>278.09338672441618</v>
      </c>
      <c r="BF50" s="751" t="s">
        <v>67</v>
      </c>
      <c r="BG50" s="749">
        <v>1</v>
      </c>
      <c r="BH50" s="747">
        <f>VLOOKUP(BF50,'Ціни контур мережний'!$I$53:$M$57,5,0)</f>
        <v>157.67238032974441</v>
      </c>
      <c r="BI50" s="768">
        <f t="shared" si="113"/>
        <v>157.67238032974441</v>
      </c>
      <c r="BJ50" s="894">
        <f t="array" ref="BJ50">MIN(IF('Ціни контур мережний'!$Y$83:$Y$93&gt;(S50*1.2),'Ціни контур мережний'!$Y$83:$Y$93))</f>
        <v>6.3</v>
      </c>
      <c r="BK50" s="895">
        <f>VLOOKUP(BJ50,'Ціни контур мережний'!$Y$83:$Z$93,2,0)</f>
        <v>20</v>
      </c>
      <c r="BL50" s="895">
        <v>1</v>
      </c>
      <c r="BM50" s="896">
        <f>VLOOKUP(BJ50,'Ціни контур мережний'!$Y$83:$AB$93,4,0)</f>
        <v>113.14115267534271</v>
      </c>
      <c r="BN50" s="916">
        <f t="shared" si="114"/>
        <v>113.14115267534271</v>
      </c>
      <c r="BO50" s="896">
        <f t="array" ref="BO50">MIN(IF('Ціни контур мережний'!$Y$104:$Y$114&gt;(S50*1.2),'Ціни контур мережний'!$Y$104:$Y$114))</f>
        <v>6.3</v>
      </c>
      <c r="BP50" s="895">
        <f>VLOOKUP(BO50,'Ціни контур мережний'!$Y$104:$Z$114,2,0)</f>
        <v>20</v>
      </c>
      <c r="BQ50" s="895">
        <v>1</v>
      </c>
      <c r="BR50" s="896">
        <f>VLOOKUP(BO50,'Ціни контур мережний'!$Y$104:$AB$114,4,0)</f>
        <v>259.83406541769665</v>
      </c>
      <c r="BS50" s="897">
        <f t="shared" si="115"/>
        <v>259.83406541769665</v>
      </c>
      <c r="BT50" s="751" t="s">
        <v>115</v>
      </c>
      <c r="BU50" s="751" t="s">
        <v>115</v>
      </c>
      <c r="BV50" s="746" t="s">
        <v>1025</v>
      </c>
      <c r="BW50" s="756">
        <v>0</v>
      </c>
      <c r="BX50" s="747">
        <v>0</v>
      </c>
      <c r="BY50" s="748">
        <f t="shared" si="116"/>
        <v>0</v>
      </c>
      <c r="BZ50" s="745">
        <f>VLOOKUP(CA50,'Ціни контур мережний'!$J$5:$L$12,3,0)</f>
        <v>25</v>
      </c>
      <c r="CA50" s="747">
        <f t="array" ref="CA50">MIN(IF('Ціни контур мережний'!$J$5:$J$12&gt;L50,'Ціни контур мережний'!$J$5:$J$12))</f>
        <v>3.5</v>
      </c>
      <c r="CB50" s="746" t="s">
        <v>130</v>
      </c>
      <c r="CC50" s="749">
        <v>1</v>
      </c>
      <c r="CD50" s="747">
        <f>VLOOKUP(CA50,'Ціни контур мережний'!$J$5:$N$12,5,0)</f>
        <v>341.25599999999997</v>
      </c>
      <c r="CE50" s="748">
        <f t="shared" si="117"/>
        <v>341.25599999999997</v>
      </c>
      <c r="CF50" s="898" t="s">
        <v>1369</v>
      </c>
      <c r="CG50" s="899">
        <v>1</v>
      </c>
      <c r="CH50" s="900">
        <v>433</v>
      </c>
      <c r="CI50" s="901">
        <f t="shared" si="118"/>
        <v>433</v>
      </c>
      <c r="CJ50" s="751">
        <f t="shared" si="5"/>
        <v>65</v>
      </c>
      <c r="CK50" s="746">
        <v>4</v>
      </c>
      <c r="CL50" s="747">
        <f>VLOOKUP(CJ50,'Ціни контур теплопостачання'!$Y$5:$AA$17,3,0)</f>
        <v>30.19184015363556</v>
      </c>
      <c r="CM50" s="748">
        <f t="shared" si="119"/>
        <v>120.76736061454224</v>
      </c>
      <c r="CN50" s="746">
        <f t="shared" si="6"/>
        <v>32</v>
      </c>
      <c r="CO50" s="746">
        <v>6</v>
      </c>
      <c r="CP50" s="747">
        <f>VLOOKUP(CN50,'Ціни контур теплопостачання'!$AO$20:$AQ$29,3,0)</f>
        <v>10.381</v>
      </c>
      <c r="CQ50" s="748">
        <f t="shared" si="120"/>
        <v>62.286000000000001</v>
      </c>
      <c r="CR50" s="746">
        <f t="shared" si="7"/>
        <v>20</v>
      </c>
      <c r="CS50" s="746">
        <v>3</v>
      </c>
      <c r="CT50" s="747">
        <f>VLOOKUP(CR50,'Ціни контур теплопостачання'!$AO$20:$AQ$29,3,0)</f>
        <v>3.577</v>
      </c>
      <c r="CU50" s="748">
        <f t="shared" si="121"/>
        <v>10.731</v>
      </c>
      <c r="CV50" s="746">
        <f t="shared" si="8"/>
        <v>32</v>
      </c>
      <c r="CW50" s="746">
        <f t="shared" si="101"/>
        <v>8</v>
      </c>
      <c r="CX50" s="747">
        <f>VLOOKUP(CV50,'Ціни контур теплопостачання'!$Y$5:$AA$17,3,0)</f>
        <v>10.381</v>
      </c>
      <c r="CY50" s="748">
        <f t="shared" si="122"/>
        <v>83.048000000000002</v>
      </c>
      <c r="CZ50" s="745">
        <v>20</v>
      </c>
      <c r="DA50" s="749">
        <v>2</v>
      </c>
      <c r="DB50" s="747">
        <f>VLOOKUP(CZ50,'Ціни контур теплопостачання'!$Y$5:$AA$17,3,0)</f>
        <v>3.577</v>
      </c>
      <c r="DC50" s="748">
        <f t="shared" si="123"/>
        <v>7.1539999999999999</v>
      </c>
      <c r="DD50" s="745">
        <v>15</v>
      </c>
      <c r="DE50" s="745">
        <v>8</v>
      </c>
      <c r="DF50" s="758">
        <f>VLOOKUP(DD50,'Ціни контур теплопостачання'!$Y$5:$AA$17,3,0)</f>
        <v>2.464</v>
      </c>
      <c r="DG50" s="759">
        <f t="shared" si="124"/>
        <v>19.712</v>
      </c>
      <c r="DH50" s="745">
        <v>15</v>
      </c>
      <c r="DI50" s="745">
        <f t="shared" si="58"/>
        <v>39</v>
      </c>
      <c r="DJ50" s="758">
        <f>VLOOKUP(DH50,'Ціни контур мережний'!$J$71:$M$71,4,0)</f>
        <v>3.3865201135922525</v>
      </c>
      <c r="DK50" s="759">
        <f t="shared" si="125"/>
        <v>132.07428443009783</v>
      </c>
      <c r="DL50" s="751">
        <f t="shared" si="10"/>
        <v>65</v>
      </c>
      <c r="DM50" s="746">
        <v>1</v>
      </c>
      <c r="DN50" s="747">
        <f>VLOOKUP(DL50,'Ціни контур теплопостачання'!$K$5:$M$17,3,0)</f>
        <v>39.731999999999999</v>
      </c>
      <c r="DO50" s="748">
        <f t="shared" si="126"/>
        <v>39.731999999999999</v>
      </c>
      <c r="DP50" s="745">
        <f t="shared" si="11"/>
        <v>32</v>
      </c>
      <c r="DQ50" s="749">
        <v>1</v>
      </c>
      <c r="DR50" s="747">
        <f>VLOOKUP(DP50,'Ціни контур теплопостачання'!$K$5:$M$17,3,0)</f>
        <v>9.48</v>
      </c>
      <c r="DS50" s="748">
        <f t="shared" si="127"/>
        <v>9.48</v>
      </c>
      <c r="DT50" s="745">
        <f t="shared" si="12"/>
        <v>20</v>
      </c>
      <c r="DU50" s="745">
        <v>1</v>
      </c>
      <c r="DV50" s="758">
        <f>VLOOKUP(DT50,'Ціни контур теплопостачання'!$K$5:$M$17,3,0)</f>
        <v>3.48</v>
      </c>
      <c r="DW50" s="759">
        <f t="shared" si="128"/>
        <v>3.48</v>
      </c>
      <c r="DX50" s="745">
        <f t="shared" si="63"/>
        <v>65</v>
      </c>
      <c r="DY50" s="745">
        <v>1</v>
      </c>
      <c r="DZ50" s="758">
        <f>VLOOKUP(DX50,'Ціни контур теплопостачання'!$Y$24:$AA$36,3,0)</f>
        <v>42.080999999999996</v>
      </c>
      <c r="EA50" s="759">
        <f t="shared" si="64"/>
        <v>42.080999999999996</v>
      </c>
      <c r="EB50" s="751">
        <f t="shared" si="13"/>
        <v>65</v>
      </c>
      <c r="EC50" s="746">
        <v>2</v>
      </c>
      <c r="ED50" s="747">
        <f>VLOOKUP(EB50,'Ціни контур теплопостачання'!$Y$24:$AA$36,3,0)</f>
        <v>42.080999999999996</v>
      </c>
      <c r="EE50" s="748">
        <f t="shared" si="129"/>
        <v>84.161999999999992</v>
      </c>
      <c r="EF50" s="745">
        <f t="shared" si="14"/>
        <v>32</v>
      </c>
      <c r="EG50" s="749">
        <v>1</v>
      </c>
      <c r="EH50" s="747">
        <f>VLOOKUP(EF50,'Ціни контур теплопостачання'!$AO$38:$AQ$50,3,0)</f>
        <v>10.773</v>
      </c>
      <c r="EI50" s="748">
        <f t="shared" si="130"/>
        <v>10.773</v>
      </c>
      <c r="EJ50" s="745">
        <f t="shared" si="15"/>
        <v>20</v>
      </c>
      <c r="EK50" s="745">
        <v>1</v>
      </c>
      <c r="EL50" s="758">
        <f>VLOOKUP(EJ50,'Ціни контур теплопостачання'!$AO$38:$AQ$50,3,0)</f>
        <v>4.5359999999999996</v>
      </c>
      <c r="EM50" s="759">
        <f t="shared" si="131"/>
        <v>4.5359999999999996</v>
      </c>
      <c r="EN50" s="745">
        <f t="shared" si="16"/>
        <v>32</v>
      </c>
      <c r="EO50" s="745">
        <f t="shared" si="102"/>
        <v>8</v>
      </c>
      <c r="EP50" s="758">
        <f>VLOOKUP(EN50,'Ціни контур теплопостачання'!$Y$76:$AA$88,3,0)</f>
        <v>13.15</v>
      </c>
      <c r="EQ50" s="759">
        <f t="shared" si="132"/>
        <v>105.2</v>
      </c>
      <c r="ER50" s="745">
        <f t="shared" si="18"/>
        <v>32</v>
      </c>
      <c r="ES50" s="745">
        <v>1</v>
      </c>
      <c r="ET50" s="758">
        <f>VLOOKUP(ER50,'Ціни контур теплопостачання'!$Y$76:$AA$88,3,0)</f>
        <v>13.15</v>
      </c>
      <c r="EU50" s="759">
        <f t="shared" si="133"/>
        <v>13.15</v>
      </c>
      <c r="EV50" s="745">
        <f t="shared" si="19"/>
        <v>20</v>
      </c>
      <c r="EW50" s="745">
        <v>1</v>
      </c>
      <c r="EX50" s="758">
        <f>VLOOKUP(EV50,'Ціни контур теплопостачання'!$Y$76:$AA$88,3,0)</f>
        <v>11.45</v>
      </c>
      <c r="EY50" s="759">
        <f t="shared" si="134"/>
        <v>11.45</v>
      </c>
      <c r="EZ50" s="758">
        <f t="shared" si="95"/>
        <v>25.785996199487812</v>
      </c>
      <c r="FA50" s="955">
        <v>25</v>
      </c>
      <c r="FB50" s="719">
        <v>2</v>
      </c>
      <c r="FC50" s="747">
        <f>VLOOKUP(FA50,'Ціни контур теплопостачання'!$K$74:$M$79,3,0)</f>
        <v>22.22</v>
      </c>
      <c r="FD50" s="761">
        <f t="shared" si="96"/>
        <v>44.44</v>
      </c>
      <c r="FE50" s="762">
        <f t="shared" si="71"/>
        <v>10.716008316008317</v>
      </c>
      <c r="FF50" s="911">
        <v>9</v>
      </c>
      <c r="FG50" s="900">
        <v>8</v>
      </c>
      <c r="FH50" s="830" t="s">
        <v>123</v>
      </c>
      <c r="FI50" s="708">
        <v>2</v>
      </c>
      <c r="FJ50" s="709">
        <f>VLOOKUP(FH50,'Ціни контур теплопостачання'!$C$89:$M$105,11,0)</f>
        <v>387.45599999999996</v>
      </c>
      <c r="FK50" s="764">
        <f t="shared" si="135"/>
        <v>774.91199999999992</v>
      </c>
      <c r="FL50" s="912">
        <f t="shared" si="73"/>
        <v>0.76673427991886423</v>
      </c>
      <c r="FM50" s="911">
        <v>9</v>
      </c>
      <c r="FN50" s="900">
        <v>9</v>
      </c>
      <c r="FO50" s="900" t="s">
        <v>1097</v>
      </c>
      <c r="FP50" s="749">
        <v>1</v>
      </c>
      <c r="FQ50" s="747">
        <f>VLOOKUP(FO50,'Ціни контур теплопостачання'!$C$89:$M$105,11,0)</f>
        <v>241.2</v>
      </c>
      <c r="FR50" s="904">
        <f t="shared" si="136"/>
        <v>241.2</v>
      </c>
      <c r="FS50" s="758">
        <f t="array" ref="FS50">MIN(IF('Ціни контур теплопостачання'!$AN$68:$AN$77&gt;(V50*1.2),'Ціни контур теплопостачання'!$AN$68:$AN$77))</f>
        <v>5.83</v>
      </c>
      <c r="FT50" s="749">
        <f>VLOOKUP(FS50,'Ціни контур теплопостачання'!$AN$68:$AO$77,2,0)</f>
        <v>25</v>
      </c>
      <c r="FU50" s="749">
        <f t="shared" si="103"/>
        <v>4</v>
      </c>
      <c r="FV50" s="747">
        <f>VLOOKUP(FT50,'Ціни контур теплопостачання'!$AO$68:$AQ$77,3,0)</f>
        <v>26.495000000000001</v>
      </c>
      <c r="FW50" s="765">
        <f t="shared" si="137"/>
        <v>105.98</v>
      </c>
      <c r="FX50" s="750">
        <v>15</v>
      </c>
      <c r="FY50" s="746">
        <v>2</v>
      </c>
      <c r="FZ50" s="747">
        <f>VLOOKUP(FX50,'Ціни контур мережний'!$J$73:$M$73,4,0)</f>
        <v>3.4649999999999999</v>
      </c>
      <c r="GA50" s="748">
        <f t="shared" si="138"/>
        <v>6.93</v>
      </c>
      <c r="GB50" s="750">
        <f>VLOOKUP(GC50,'Ціни контур теплопостачання'!$AN$6:$AO$13,2,0)</f>
        <v>25</v>
      </c>
      <c r="GC50" s="751">
        <f t="array" ref="GC50">MIN(IF('Ціни контур теплопостачання'!$AN$6:$AN$13&gt;N50,'Ціни контур теплопостачання'!$AN$6:$AN$13))</f>
        <v>3.5</v>
      </c>
      <c r="GD50" s="751">
        <v>1</v>
      </c>
      <c r="GE50" s="747">
        <f>VLOOKUP(GB50,'Ціни контур теплопостачання'!$AO$6:$AQ$13,3,0)</f>
        <v>76.3506</v>
      </c>
      <c r="GF50" s="748">
        <f t="shared" si="139"/>
        <v>76.3506</v>
      </c>
      <c r="GG50" s="746">
        <f t="shared" si="23"/>
        <v>32</v>
      </c>
      <c r="GH50" s="746">
        <v>1</v>
      </c>
      <c r="GI50" s="747">
        <f>VLOOKUP(GG50,'Ціни контур теплопостачання'!$AO$55:$AQ$63,3,0)</f>
        <v>150.1</v>
      </c>
      <c r="GJ50" s="768">
        <f t="shared" si="140"/>
        <v>150.1</v>
      </c>
      <c r="GK50" s="655" t="str">
        <f t="shared" si="150"/>
        <v>0-150</v>
      </c>
      <c r="GL50" s="720">
        <v>1</v>
      </c>
      <c r="GM50" s="747">
        <f>VLOOKUP(GK50,'Ціни контур мережний'!$I$79:$M$80,5,0)</f>
        <v>15.050156291498967</v>
      </c>
      <c r="GN50" s="748">
        <f t="shared" si="141"/>
        <v>15.050156291498967</v>
      </c>
      <c r="GO50" s="758" t="s">
        <v>109</v>
      </c>
      <c r="GP50" s="749">
        <v>1</v>
      </c>
      <c r="GQ50" s="747">
        <f>VLOOKUP(GO50,'Ціни контур мережний'!$I$79:$M$80,5,0)</f>
        <v>15.050156291498967</v>
      </c>
      <c r="GR50" s="765">
        <f t="shared" si="142"/>
        <v>15.050156291498967</v>
      </c>
      <c r="GS50" s="655" t="s">
        <v>108</v>
      </c>
      <c r="GT50" s="720">
        <v>3</v>
      </c>
      <c r="GU50" s="747">
        <f>VLOOKUP(GS50,'Ціни контур мережний'!$I$67:$M$69,5,0)</f>
        <v>4.4537969640631703</v>
      </c>
      <c r="GV50" s="748">
        <f t="shared" si="143"/>
        <v>13.361390892189512</v>
      </c>
      <c r="GW50" s="655" t="s">
        <v>106</v>
      </c>
      <c r="GX50" s="720">
        <f t="shared" si="151"/>
        <v>15</v>
      </c>
      <c r="GY50" s="747">
        <f>VLOOKUP(GW50,'Ціни контур мережний'!$I$67:$M$69,5,0)</f>
        <v>4.4537969640631703</v>
      </c>
      <c r="GZ50" s="748">
        <f t="shared" si="144"/>
        <v>66.806954460947551</v>
      </c>
      <c r="HA50" s="655" t="s">
        <v>1013</v>
      </c>
      <c r="HB50" s="720">
        <v>4</v>
      </c>
      <c r="HC50" s="747">
        <f>VLOOKUP(HA50,'Ціни контур мережний'!$I$64:$M$64,5,0)</f>
        <v>29.1312</v>
      </c>
      <c r="HD50" s="748">
        <f t="shared" si="145"/>
        <v>116.5248</v>
      </c>
      <c r="HE50" s="766" t="s">
        <v>1015</v>
      </c>
      <c r="HF50" s="749">
        <v>6</v>
      </c>
      <c r="HG50" s="747">
        <f>VLOOKUP(HE50,'Ціни контур мережний'!$I$89:$M$89,5,0)</f>
        <v>79.523165325760516</v>
      </c>
      <c r="HH50" s="765">
        <f t="shared" si="146"/>
        <v>477.1389919545631</v>
      </c>
      <c r="HI50" s="917" t="s">
        <v>1016</v>
      </c>
      <c r="HJ50" s="720">
        <f t="shared" si="152"/>
        <v>7</v>
      </c>
      <c r="HK50" s="747">
        <f>VLOOKUP(HI50,'Ціни контур мережний'!$I$88:$M$88,5,0)</f>
        <v>13.211568975967202</v>
      </c>
      <c r="HL50" s="768">
        <f t="shared" si="147"/>
        <v>92.480982831770419</v>
      </c>
      <c r="HM50" s="917" t="s">
        <v>383</v>
      </c>
      <c r="HN50" s="720">
        <v>1</v>
      </c>
      <c r="HO50" s="747">
        <f>VLOOKUP(HM50,'Ціни контур мережний'!$I$87:$M$87,5,0)</f>
        <v>13.483972460007763</v>
      </c>
      <c r="HP50" s="748">
        <f t="shared" si="148"/>
        <v>13.483972460007763</v>
      </c>
      <c r="HQ50" s="769">
        <f t="shared" si="97"/>
        <v>66</v>
      </c>
      <c r="HR50" s="770">
        <f t="shared" si="87"/>
        <v>5070.0009833688327</v>
      </c>
      <c r="HS50" s="771">
        <v>0</v>
      </c>
      <c r="HT50" s="771">
        <f>'Таблиця цін схема №1'!$JE$44/'Ціни контур мережний'!$G$26</f>
        <v>476.70609707098151</v>
      </c>
      <c r="HU50" s="770">
        <f>'Таблиця цін схема №1'!$JG$8</f>
        <v>661.80181284518619</v>
      </c>
      <c r="HV50" s="770">
        <f>'Таблиця цін схема №1'!$JH$8</f>
        <v>487.81784379022207</v>
      </c>
      <c r="HW50" s="770">
        <f>'Таблиця цін схема №1'!$JI$8</f>
        <v>323.47913729816605</v>
      </c>
      <c r="HX50" s="770">
        <f>'Таблиця цін схема №1'!$JJ$8</f>
        <v>66.611999999999995</v>
      </c>
      <c r="HY50" s="770">
        <f>'Таблиця цін схема №1'!$JK$28</f>
        <v>0</v>
      </c>
      <c r="HZ50" s="772">
        <f>'Таблиця цін схема №1'!$JL$8</f>
        <v>62.86234247089866</v>
      </c>
      <c r="IA50" s="770">
        <f>'Таблиця цін схема №1'!$JM$28</f>
        <v>0</v>
      </c>
      <c r="IB50" s="770">
        <v>0</v>
      </c>
      <c r="IC50" s="913">
        <f t="shared" si="98"/>
        <v>500.44961517910019</v>
      </c>
      <c r="ID50" s="914">
        <f t="shared" si="99"/>
        <v>714.92802168442881</v>
      </c>
      <c r="IE50" s="915">
        <f t="shared" si="100"/>
        <v>122.98538082793675</v>
      </c>
      <c r="IF50" s="776">
        <f>'Таблиця цін схема №1'!$JR$8</f>
        <v>300.63036461094771</v>
      </c>
      <c r="IG50" s="777">
        <f t="shared" si="88"/>
        <v>8788.2735991467016</v>
      </c>
      <c r="II50" s="835"/>
      <c r="IJ50" s="835"/>
      <c r="IK50" s="835"/>
      <c r="IL50" s="835"/>
    </row>
    <row r="51" spans="2:246" s="780" customFormat="1" ht="12.6" customHeight="1">
      <c r="B51" s="740">
        <v>67</v>
      </c>
      <c r="C51" s="1056" t="s">
        <v>928</v>
      </c>
      <c r="D51" s="892">
        <v>0.25355</v>
      </c>
      <c r="E51" s="918">
        <v>0.15623999999999999</v>
      </c>
      <c r="F51" s="742">
        <f t="shared" si="28"/>
        <v>8.5231612078809924</v>
      </c>
      <c r="G51" s="599">
        <v>65</v>
      </c>
      <c r="H51" s="598">
        <f t="shared" si="29"/>
        <v>4.5292961772061453</v>
      </c>
      <c r="I51" s="599">
        <v>40</v>
      </c>
      <c r="J51" s="598">
        <f t="shared" si="30"/>
        <v>10.542619542619542</v>
      </c>
      <c r="K51" s="599">
        <v>65</v>
      </c>
      <c r="L51" s="598">
        <f t="shared" si="31"/>
        <v>3.9938650306748462</v>
      </c>
      <c r="M51" s="599">
        <v>40</v>
      </c>
      <c r="N51" s="598">
        <f t="shared" si="32"/>
        <v>3.1691683569979716</v>
      </c>
      <c r="O51" s="599">
        <v>40</v>
      </c>
      <c r="P51" s="598">
        <f t="shared" si="153"/>
        <v>0.95075050709939146</v>
      </c>
      <c r="Q51" s="599">
        <v>20</v>
      </c>
      <c r="R51" s="598">
        <f t="shared" si="33"/>
        <v>6.4053920818095431</v>
      </c>
      <c r="S51" s="600">
        <f t="shared" si="104"/>
        <v>5.6481780926680045</v>
      </c>
      <c r="T51" s="744">
        <v>4</v>
      </c>
      <c r="U51" s="601">
        <f t="shared" si="35"/>
        <v>2.6356548856548856</v>
      </c>
      <c r="V51" s="601">
        <f t="shared" si="36"/>
        <v>3.727378885028048</v>
      </c>
      <c r="W51" s="850">
        <v>32</v>
      </c>
      <c r="X51" s="751">
        <f t="shared" si="0"/>
        <v>65</v>
      </c>
      <c r="Y51" s="746">
        <v>2</v>
      </c>
      <c r="Z51" s="747">
        <f>VLOOKUP(X51,'Ціни контур мережний'!$Z$24:$AB$36,3,0)</f>
        <v>30.19184015363556</v>
      </c>
      <c r="AA51" s="748">
        <f t="shared" si="105"/>
        <v>60.383680307271121</v>
      </c>
      <c r="AB51" s="749">
        <f t="shared" si="1"/>
        <v>65</v>
      </c>
      <c r="AC51" s="749">
        <v>2</v>
      </c>
      <c r="AD51" s="747">
        <f>VLOOKUP(AB51,'Ціни контур мережний'!$Z$64:$AB$77,3,0)</f>
        <v>105.883234246566</v>
      </c>
      <c r="AE51" s="748">
        <f t="shared" si="106"/>
        <v>211.76646849313201</v>
      </c>
      <c r="AF51" s="746">
        <f t="shared" si="2"/>
        <v>65</v>
      </c>
      <c r="AG51" s="746">
        <v>1</v>
      </c>
      <c r="AH51" s="747">
        <f>VLOOKUP(AF51,'Ціни контур мережний'!$Z$5:$AB$17,3,0)</f>
        <v>39.731999999999999</v>
      </c>
      <c r="AI51" s="748">
        <f t="shared" si="107"/>
        <v>39.731999999999999</v>
      </c>
      <c r="AJ51" s="746">
        <f t="shared" si="3"/>
        <v>40</v>
      </c>
      <c r="AK51" s="746">
        <v>3</v>
      </c>
      <c r="AL51" s="747">
        <f>VLOOKUP(AJ51,'Ціни контур мережний'!$Z$43:$AB$55,3,0)</f>
        <v>18.42400964308333</v>
      </c>
      <c r="AM51" s="748">
        <f t="shared" si="108"/>
        <v>55.272028929249991</v>
      </c>
      <c r="AN51" s="745">
        <f t="shared" si="4"/>
        <v>40</v>
      </c>
      <c r="AO51" s="749">
        <v>4</v>
      </c>
      <c r="AP51" s="747">
        <f>VLOOKUP(AN51,'Ціни контур мережний'!$Z$43:$AB$55,3,0)</f>
        <v>18.42400964308333</v>
      </c>
      <c r="AQ51" s="759">
        <f t="shared" si="109"/>
        <v>73.696038572333322</v>
      </c>
      <c r="AR51" s="751" t="str">
        <f t="shared" si="42"/>
        <v>AMV20</v>
      </c>
      <c r="AS51" s="751">
        <v>1</v>
      </c>
      <c r="AT51" s="747">
        <f>VLOOKUP(AR51,'Ціни контур мережний'!$I$53:$M$57,5,0)</f>
        <v>110.39869654932889</v>
      </c>
      <c r="AU51" s="748">
        <f t="shared" si="110"/>
        <v>110.39869654932889</v>
      </c>
      <c r="AV51" s="752">
        <f t="array" ref="AV51">MIN(IF('Ціни контур мережний'!$Y$83:$Y$92&gt;(R51*1.2),'Ціни контур мережний'!$Y$83:$Y$92))</f>
        <v>10</v>
      </c>
      <c r="AW51" s="746">
        <f>VLOOKUP(AV51,'Ціни контур мережний'!$Y$83:$Z$92,2,0)</f>
        <v>25</v>
      </c>
      <c r="AX51" s="746">
        <v>1</v>
      </c>
      <c r="AY51" s="747">
        <f>VLOOKUP(AV51,'Ціни контур мережний'!$Y$83:$AB$92,4,0)</f>
        <v>117.50505648967251</v>
      </c>
      <c r="AZ51" s="748">
        <f t="shared" si="111"/>
        <v>117.50505648967251</v>
      </c>
      <c r="BA51" s="1099">
        <f t="array" ref="BA51">MIN(IF('[1]Ціни контур мережний'!$Y$104:$Y$114&gt;(R51*1.2),'[1]Ціни контур мережний'!$Y$104:$Y$114))</f>
        <v>8</v>
      </c>
      <c r="BB51" s="1101">
        <f>VLOOKUP(BA51,'[1]Ціни контур мережний'!$Y$104:$Z$114,2,0)</f>
        <v>25</v>
      </c>
      <c r="BC51" s="753">
        <v>1</v>
      </c>
      <c r="BD51" s="754">
        <f>VLOOKUP(BA51,'Ціни контур мережний'!$Y$104:$AB$114,4,0)</f>
        <v>278.09338672441618</v>
      </c>
      <c r="BE51" s="755">
        <f t="shared" si="112"/>
        <v>278.09338672441618</v>
      </c>
      <c r="BF51" s="751" t="s">
        <v>67</v>
      </c>
      <c r="BG51" s="749">
        <v>1</v>
      </c>
      <c r="BH51" s="747">
        <f>VLOOKUP(BF51,'Ціни контур мережний'!$I$53:$M$57,5,0)</f>
        <v>157.67238032974441</v>
      </c>
      <c r="BI51" s="768">
        <f t="shared" si="113"/>
        <v>157.67238032974441</v>
      </c>
      <c r="BJ51" s="894">
        <f t="array" ref="BJ51">MIN(IF('Ціни контур мережний'!$Y$83:$Y$93&gt;(S51*1.2),'Ціни контур мережний'!$Y$83:$Y$93))</f>
        <v>10</v>
      </c>
      <c r="BK51" s="895">
        <f>VLOOKUP(BJ51,'Ціни контур мережний'!$Y$83:$Z$93,2,0)</f>
        <v>25</v>
      </c>
      <c r="BL51" s="895">
        <v>1</v>
      </c>
      <c r="BM51" s="896">
        <f>VLOOKUP(BJ51,'Ціни контур мережний'!$Y$83:$AB$93,4,0)</f>
        <v>117.50505648967251</v>
      </c>
      <c r="BN51" s="916">
        <f t="shared" si="114"/>
        <v>117.50505648967251</v>
      </c>
      <c r="BO51" s="896">
        <f t="array" ref="BO51">MIN(IF('Ціни контур мережний'!$Y$104:$Y$114&gt;(S51*1.2),'Ціни контур мережний'!$Y$104:$Y$114))</f>
        <v>8</v>
      </c>
      <c r="BP51" s="895">
        <f>VLOOKUP(BO51,'Ціни контур мережний'!$Y$104:$Z$114,2,0)</f>
        <v>25</v>
      </c>
      <c r="BQ51" s="895">
        <v>1</v>
      </c>
      <c r="BR51" s="896">
        <f>VLOOKUP(BO51,'Ціни контур мережний'!$Y$104:$AB$114,4,0)</f>
        <v>278.09338672441618</v>
      </c>
      <c r="BS51" s="897">
        <f t="shared" si="115"/>
        <v>278.09338672441618</v>
      </c>
      <c r="BT51" s="751">
        <f>VLOOKUP(BU51,'Ціни контур мережний'!$J$5:$L$12,3,0)</f>
        <v>25</v>
      </c>
      <c r="BU51" s="751">
        <f t="array" ref="BU51">MIN(IF('Ціни контур мережний'!$J$5:$J$12&gt;H51,'Ціни контур мережний'!$J$5:$J$12))</f>
        <v>6</v>
      </c>
      <c r="BV51" s="746" t="s">
        <v>130</v>
      </c>
      <c r="BW51" s="756">
        <v>1</v>
      </c>
      <c r="BX51" s="747">
        <f>VLOOKUP(BU51,'Ціни контур мережний'!$J$5:$N$12,5,0)</f>
        <v>341.25599999999997</v>
      </c>
      <c r="BY51" s="748">
        <f t="shared" si="116"/>
        <v>341.25599999999997</v>
      </c>
      <c r="BZ51" s="745">
        <f>VLOOKUP(CA51,'Ціни контур мережний'!$J$5:$L$12,3,0)</f>
        <v>25</v>
      </c>
      <c r="CA51" s="747">
        <f t="array" ref="CA51">MIN(IF('Ціни контур мережний'!$J$5:$J$12&gt;L51,'Ціни контур мережний'!$J$5:$J$12))</f>
        <v>6</v>
      </c>
      <c r="CB51" s="746" t="s">
        <v>130</v>
      </c>
      <c r="CC51" s="749">
        <v>1</v>
      </c>
      <c r="CD51" s="747">
        <f>VLOOKUP(CA51,'Ціни контур мережний'!$J$5:$N$12,5,0)</f>
        <v>341.25599999999997</v>
      </c>
      <c r="CE51" s="748">
        <f t="shared" si="117"/>
        <v>341.25599999999997</v>
      </c>
      <c r="CF51" s="898" t="s">
        <v>1370</v>
      </c>
      <c r="CG51" s="899">
        <v>1</v>
      </c>
      <c r="CH51" s="900">
        <v>518</v>
      </c>
      <c r="CI51" s="901">
        <f t="shared" si="118"/>
        <v>518</v>
      </c>
      <c r="CJ51" s="751">
        <f t="shared" si="5"/>
        <v>65</v>
      </c>
      <c r="CK51" s="746">
        <v>4</v>
      </c>
      <c r="CL51" s="747">
        <f>VLOOKUP(CJ51,'Ціни контур теплопостачання'!$Y$5:$AA$17,3,0)</f>
        <v>30.19184015363556</v>
      </c>
      <c r="CM51" s="748">
        <f t="shared" si="119"/>
        <v>120.76736061454224</v>
      </c>
      <c r="CN51" s="746">
        <f t="shared" si="6"/>
        <v>40</v>
      </c>
      <c r="CO51" s="746">
        <v>6</v>
      </c>
      <c r="CP51" s="747">
        <f>VLOOKUP(CN51,'Ціни контур теплопостачання'!$AO$20:$AQ$29,3,0)</f>
        <v>37.980000000000004</v>
      </c>
      <c r="CQ51" s="748">
        <f t="shared" si="120"/>
        <v>227.88000000000002</v>
      </c>
      <c r="CR51" s="746">
        <f t="shared" si="7"/>
        <v>20</v>
      </c>
      <c r="CS51" s="746">
        <v>3</v>
      </c>
      <c r="CT51" s="747">
        <f>VLOOKUP(CR51,'Ціни контур теплопостачання'!$AO$20:$AQ$29,3,0)</f>
        <v>3.577</v>
      </c>
      <c r="CU51" s="748">
        <f t="shared" si="121"/>
        <v>10.731</v>
      </c>
      <c r="CV51" s="746">
        <f t="shared" si="8"/>
        <v>32</v>
      </c>
      <c r="CW51" s="746">
        <f t="shared" si="101"/>
        <v>8</v>
      </c>
      <c r="CX51" s="747">
        <f>VLOOKUP(CV51,'Ціни контур теплопостачання'!$Y$5:$AA$17,3,0)</f>
        <v>10.381</v>
      </c>
      <c r="CY51" s="748">
        <f t="shared" si="122"/>
        <v>83.048000000000002</v>
      </c>
      <c r="CZ51" s="745">
        <v>20</v>
      </c>
      <c r="DA51" s="749">
        <v>2</v>
      </c>
      <c r="DB51" s="747">
        <f>VLOOKUP(CZ51,'Ціни контур теплопостачання'!$Y$5:$AA$17,3,0)</f>
        <v>3.577</v>
      </c>
      <c r="DC51" s="748">
        <f t="shared" si="123"/>
        <v>7.1539999999999999</v>
      </c>
      <c r="DD51" s="745">
        <v>15</v>
      </c>
      <c r="DE51" s="745">
        <v>8</v>
      </c>
      <c r="DF51" s="758">
        <f>VLOOKUP(DD51,'Ціни контур теплопостачання'!$Y$5:$AA$17,3,0)</f>
        <v>2.464</v>
      </c>
      <c r="DG51" s="759">
        <f t="shared" si="124"/>
        <v>19.712</v>
      </c>
      <c r="DH51" s="745">
        <v>15</v>
      </c>
      <c r="DI51" s="745">
        <f t="shared" si="58"/>
        <v>39</v>
      </c>
      <c r="DJ51" s="758">
        <f>VLOOKUP(DH51,'Ціни контур мережний'!$J$71:$M$71,4,0)</f>
        <v>3.3865201135922525</v>
      </c>
      <c r="DK51" s="759">
        <f t="shared" si="125"/>
        <v>132.07428443009783</v>
      </c>
      <c r="DL51" s="751">
        <f t="shared" si="10"/>
        <v>65</v>
      </c>
      <c r="DM51" s="746">
        <v>1</v>
      </c>
      <c r="DN51" s="747">
        <f>VLOOKUP(DL51,'Ціни контур теплопостачання'!$K$5:$M$17,3,0)</f>
        <v>39.731999999999999</v>
      </c>
      <c r="DO51" s="748">
        <f t="shared" si="126"/>
        <v>39.731999999999999</v>
      </c>
      <c r="DP51" s="745">
        <f t="shared" si="11"/>
        <v>40</v>
      </c>
      <c r="DQ51" s="749">
        <v>1</v>
      </c>
      <c r="DR51" s="747">
        <f>VLOOKUP(DP51,'Ціни контур теплопостачання'!$K$5:$M$17,3,0)</f>
        <v>23.225999999999999</v>
      </c>
      <c r="DS51" s="748">
        <f t="shared" si="127"/>
        <v>23.225999999999999</v>
      </c>
      <c r="DT51" s="745">
        <f t="shared" si="12"/>
        <v>20</v>
      </c>
      <c r="DU51" s="745">
        <v>1</v>
      </c>
      <c r="DV51" s="758">
        <f>VLOOKUP(DT51,'Ціни контур теплопостачання'!$K$5:$M$17,3,0)</f>
        <v>3.48</v>
      </c>
      <c r="DW51" s="759">
        <f t="shared" si="128"/>
        <v>3.48</v>
      </c>
      <c r="DX51" s="745">
        <f t="shared" si="63"/>
        <v>65</v>
      </c>
      <c r="DY51" s="745">
        <v>1</v>
      </c>
      <c r="DZ51" s="758">
        <f>VLOOKUP(DX51,'Ціни контур теплопостачання'!$Y$24:$AA$36,3,0)</f>
        <v>42.080999999999996</v>
      </c>
      <c r="EA51" s="759">
        <f t="shared" si="64"/>
        <v>42.080999999999996</v>
      </c>
      <c r="EB51" s="751">
        <f t="shared" si="13"/>
        <v>65</v>
      </c>
      <c r="EC51" s="746">
        <v>2</v>
      </c>
      <c r="ED51" s="747">
        <f>VLOOKUP(EB51,'Ціни контур теплопостачання'!$Y$24:$AA$36,3,0)</f>
        <v>42.080999999999996</v>
      </c>
      <c r="EE51" s="748">
        <f t="shared" si="129"/>
        <v>84.161999999999992</v>
      </c>
      <c r="EF51" s="745">
        <f t="shared" si="14"/>
        <v>40</v>
      </c>
      <c r="EG51" s="749">
        <v>1</v>
      </c>
      <c r="EH51" s="747">
        <f>VLOOKUP(EF51,'Ціни контур теплопостачання'!$AO$38:$AQ$50,3,0)</f>
        <v>20.3645</v>
      </c>
      <c r="EI51" s="748">
        <f t="shared" si="130"/>
        <v>20.3645</v>
      </c>
      <c r="EJ51" s="745">
        <f t="shared" si="15"/>
        <v>20</v>
      </c>
      <c r="EK51" s="745">
        <v>1</v>
      </c>
      <c r="EL51" s="758">
        <f>VLOOKUP(EJ51,'Ціни контур теплопостачання'!$AO$38:$AQ$50,3,0)</f>
        <v>4.5359999999999996</v>
      </c>
      <c r="EM51" s="759">
        <f t="shared" si="131"/>
        <v>4.5359999999999996</v>
      </c>
      <c r="EN51" s="745">
        <f t="shared" si="16"/>
        <v>32</v>
      </c>
      <c r="EO51" s="745">
        <f t="shared" si="102"/>
        <v>8</v>
      </c>
      <c r="EP51" s="758">
        <f>VLOOKUP(EN51,'Ціни контур теплопостачання'!$Y$76:$AA$88,3,0)</f>
        <v>13.15</v>
      </c>
      <c r="EQ51" s="759">
        <f t="shared" si="132"/>
        <v>105.2</v>
      </c>
      <c r="ER51" s="745">
        <f t="shared" si="18"/>
        <v>40</v>
      </c>
      <c r="ES51" s="745">
        <v>1</v>
      </c>
      <c r="ET51" s="758">
        <f>VLOOKUP(ER51,'Ціни контур теплопостачання'!$Y$76:$AA$88,3,0)</f>
        <v>16.809999999999999</v>
      </c>
      <c r="EU51" s="759">
        <f t="shared" si="133"/>
        <v>16.809999999999999</v>
      </c>
      <c r="EV51" s="745">
        <f t="shared" si="19"/>
        <v>20</v>
      </c>
      <c r="EW51" s="745">
        <v>1</v>
      </c>
      <c r="EX51" s="758">
        <f>VLOOKUP(EV51,'Ціни контур теплопостачання'!$Y$76:$AA$88,3,0)</f>
        <v>11.45</v>
      </c>
      <c r="EY51" s="759">
        <f t="shared" si="134"/>
        <v>11.45</v>
      </c>
      <c r="EZ51" s="758">
        <f t="shared" si="95"/>
        <v>25.576532212166683</v>
      </c>
      <c r="FA51" s="955">
        <v>25</v>
      </c>
      <c r="FB51" s="719">
        <v>2</v>
      </c>
      <c r="FC51" s="747">
        <f>VLOOKUP(FA51,'Ціни контур теплопостачання'!$K$74:$M$79,3,0)</f>
        <v>22.22</v>
      </c>
      <c r="FD51" s="761">
        <f t="shared" si="96"/>
        <v>44.44</v>
      </c>
      <c r="FE51" s="762">
        <f t="shared" si="71"/>
        <v>10.542619542619542</v>
      </c>
      <c r="FF51" s="902">
        <v>9</v>
      </c>
      <c r="FG51" s="900">
        <v>8</v>
      </c>
      <c r="FH51" s="830" t="s">
        <v>123</v>
      </c>
      <c r="FI51" s="708">
        <v>2</v>
      </c>
      <c r="FJ51" s="709">
        <f>VLOOKUP(FH51,'Ціни контур теплопостачання'!$C$89:$M$105,11,0)</f>
        <v>387.45599999999996</v>
      </c>
      <c r="FK51" s="764">
        <f t="shared" si="135"/>
        <v>774.91199999999992</v>
      </c>
      <c r="FL51" s="912">
        <f t="shared" si="73"/>
        <v>0.95075050709939146</v>
      </c>
      <c r="FM51" s="902">
        <v>9</v>
      </c>
      <c r="FN51" s="900">
        <v>9</v>
      </c>
      <c r="FO51" s="900" t="s">
        <v>1097</v>
      </c>
      <c r="FP51" s="749">
        <v>1</v>
      </c>
      <c r="FQ51" s="747">
        <f>VLOOKUP(FO51,'Ціни контур теплопостачання'!$C$89:$M$105,11,0)</f>
        <v>241.2</v>
      </c>
      <c r="FR51" s="904">
        <f t="shared" si="136"/>
        <v>241.2</v>
      </c>
      <c r="FS51" s="758">
        <f t="array" ref="FS51">MIN(IF('Ціни контур теплопостачання'!$AN$68:$AN$77&gt;(V51*1.2),'Ціни контур теплопостачання'!$AN$68:$AN$77))</f>
        <v>5.83</v>
      </c>
      <c r="FT51" s="749">
        <f>VLOOKUP(FS51,'Ціни контур теплопостачання'!$AN$68:$AO$77,2,0)</f>
        <v>25</v>
      </c>
      <c r="FU51" s="749">
        <f t="shared" si="103"/>
        <v>4</v>
      </c>
      <c r="FV51" s="747">
        <f>VLOOKUP(FT51,'Ціни контур теплопостачання'!$AO$68:$AQ$77,3,0)</f>
        <v>26.495000000000001</v>
      </c>
      <c r="FW51" s="765">
        <f t="shared" si="137"/>
        <v>105.98</v>
      </c>
      <c r="FX51" s="750">
        <v>15</v>
      </c>
      <c r="FY51" s="746">
        <v>2</v>
      </c>
      <c r="FZ51" s="747">
        <f>VLOOKUP(FX51,'Ціни контур мережний'!$J$73:$M$73,4,0)</f>
        <v>3.4649999999999999</v>
      </c>
      <c r="GA51" s="748">
        <f t="shared" si="138"/>
        <v>6.93</v>
      </c>
      <c r="GB51" s="750">
        <f>VLOOKUP(GC51,'Ціни контур теплопостачання'!$AN$6:$AO$13,2,0)</f>
        <v>25</v>
      </c>
      <c r="GC51" s="751">
        <f t="array" ref="GC51">MIN(IF('Ціни контур теплопостачання'!$AN$6:$AN$13&gt;N51,'Ціни контур теплопостачання'!$AN$6:$AN$13))</f>
        <v>3.5</v>
      </c>
      <c r="GD51" s="751">
        <v>1</v>
      </c>
      <c r="GE51" s="747">
        <f>VLOOKUP(GB51,'Ціни контур теплопостачання'!$AO$6:$AQ$13,3,0)</f>
        <v>76.3506</v>
      </c>
      <c r="GF51" s="748">
        <f t="shared" si="139"/>
        <v>76.3506</v>
      </c>
      <c r="GG51" s="746">
        <f t="shared" si="23"/>
        <v>40</v>
      </c>
      <c r="GH51" s="746">
        <v>1</v>
      </c>
      <c r="GI51" s="747">
        <f>VLOOKUP(GG51,'Ціни контур теплопостачання'!$AO$55:$AQ$63,3,0)</f>
        <v>193.55</v>
      </c>
      <c r="GJ51" s="768">
        <f t="shared" si="140"/>
        <v>193.55</v>
      </c>
      <c r="GK51" s="655" t="str">
        <f t="shared" si="150"/>
        <v>0-150</v>
      </c>
      <c r="GL51" s="720">
        <v>1</v>
      </c>
      <c r="GM51" s="747">
        <f>VLOOKUP(GK51,'Ціни контур мережний'!$I$79:$M$80,5,0)</f>
        <v>15.050156291498967</v>
      </c>
      <c r="GN51" s="748">
        <f t="shared" si="141"/>
        <v>15.050156291498967</v>
      </c>
      <c r="GO51" s="758" t="s">
        <v>109</v>
      </c>
      <c r="GP51" s="749">
        <v>5</v>
      </c>
      <c r="GQ51" s="747">
        <f>VLOOKUP(GO51,'Ціни контур мережний'!$I$79:$M$80,5,0)</f>
        <v>15.050156291498967</v>
      </c>
      <c r="GR51" s="765">
        <f t="shared" si="142"/>
        <v>75.250781457494838</v>
      </c>
      <c r="GS51" s="655" t="s">
        <v>108</v>
      </c>
      <c r="GT51" s="720">
        <v>5</v>
      </c>
      <c r="GU51" s="747">
        <f>VLOOKUP(GS51,'Ціни контур мережний'!$I$67:$M$69,5,0)</f>
        <v>4.4537969640631703</v>
      </c>
      <c r="GV51" s="748">
        <f t="shared" si="143"/>
        <v>22.26898482031585</v>
      </c>
      <c r="GW51" s="655" t="s">
        <v>106</v>
      </c>
      <c r="GX51" s="720">
        <f t="shared" si="151"/>
        <v>15</v>
      </c>
      <c r="GY51" s="747">
        <f>VLOOKUP(GW51,'Ціни контур мережний'!$I$67:$M$69,5,0)</f>
        <v>4.4537969640631703</v>
      </c>
      <c r="GZ51" s="748">
        <f t="shared" si="144"/>
        <v>66.806954460947551</v>
      </c>
      <c r="HA51" s="655" t="s">
        <v>1013</v>
      </c>
      <c r="HB51" s="720">
        <v>4</v>
      </c>
      <c r="HC51" s="747">
        <f>VLOOKUP(HA51,'Ціни контур мережний'!$I$64:$M$64,5,0)</f>
        <v>29.1312</v>
      </c>
      <c r="HD51" s="748">
        <f t="shared" si="145"/>
        <v>116.5248</v>
      </c>
      <c r="HE51" s="766" t="s">
        <v>1015</v>
      </c>
      <c r="HF51" s="749">
        <v>6</v>
      </c>
      <c r="HG51" s="747">
        <f>VLOOKUP(HE51,'Ціни контур мережний'!$I$89:$M$89,5,0)</f>
        <v>79.523165325760516</v>
      </c>
      <c r="HH51" s="765">
        <f t="shared" si="146"/>
        <v>477.1389919545631</v>
      </c>
      <c r="HI51" s="778" t="s">
        <v>1016</v>
      </c>
      <c r="HJ51" s="720">
        <f t="shared" si="152"/>
        <v>7</v>
      </c>
      <c r="HK51" s="747">
        <f>VLOOKUP(HI51,'Ціни контур мережний'!$I$88:$M$88,5,0)</f>
        <v>13.211568975967202</v>
      </c>
      <c r="HL51" s="768">
        <f t="shared" si="147"/>
        <v>92.480982831770419</v>
      </c>
      <c r="HM51" s="779" t="s">
        <v>383</v>
      </c>
      <c r="HN51" s="720">
        <v>1</v>
      </c>
      <c r="HO51" s="747">
        <f>VLOOKUP(HM51,'Ціни контур мережний'!$I$87:$M$87,5,0)</f>
        <v>13.483972460007763</v>
      </c>
      <c r="HP51" s="748">
        <f t="shared" si="148"/>
        <v>13.483972460007763</v>
      </c>
      <c r="HQ51" s="769">
        <f t="shared" si="97"/>
        <v>67</v>
      </c>
      <c r="HR51" s="770">
        <f t="shared" si="87"/>
        <v>5975.4065489304758</v>
      </c>
      <c r="HS51" s="771">
        <v>0</v>
      </c>
      <c r="HT51" s="771">
        <f>'Таблиця цін схема №1'!$JE$44/'Ціни контур мережний'!$G$26</f>
        <v>476.70609707098151</v>
      </c>
      <c r="HU51" s="770">
        <f>'Таблиця цін схема №1'!$JG$8</f>
        <v>661.80181284518619</v>
      </c>
      <c r="HV51" s="770">
        <f>'Таблиця цін схема №1'!$JH$8</f>
        <v>487.81784379022207</v>
      </c>
      <c r="HW51" s="770">
        <f>'Таблиця цін схема №1'!$JI$8</f>
        <v>323.47913729816605</v>
      </c>
      <c r="HX51" s="770">
        <f>'Таблиця цін схема №1'!$JJ$8</f>
        <v>66.611999999999995</v>
      </c>
      <c r="HY51" s="770">
        <f>'Таблиця цін схема №1'!$JK$28</f>
        <v>0</v>
      </c>
      <c r="HZ51" s="772">
        <f>'Таблиця цін схема №1'!$JL$8</f>
        <v>62.86234247089866</v>
      </c>
      <c r="IA51" s="770">
        <f>'Таблиця цін схема №1'!$JM$28</f>
        <v>0</v>
      </c>
      <c r="IB51" s="770">
        <v>0</v>
      </c>
      <c r="IC51" s="773">
        <f t="shared" si="98"/>
        <v>563.82800476841521</v>
      </c>
      <c r="ID51" s="774">
        <f t="shared" si="99"/>
        <v>805.46857824059316</v>
      </c>
      <c r="IE51" s="775">
        <f t="shared" si="100"/>
        <v>138.56060587254797</v>
      </c>
      <c r="IF51" s="776">
        <f>'Таблиця цін схема №1'!$JR$8</f>
        <v>300.63036461094771</v>
      </c>
      <c r="IG51" s="777">
        <f t="shared" si="88"/>
        <v>9863.1733358984366</v>
      </c>
      <c r="II51" s="826"/>
      <c r="IJ51" s="826"/>
      <c r="IK51" s="826"/>
      <c r="IL51" s="826"/>
    </row>
    <row r="52" spans="2:246" s="780" customFormat="1" ht="12.6" customHeight="1">
      <c r="B52" s="905">
        <v>68</v>
      </c>
      <c r="C52" s="1056" t="s">
        <v>929</v>
      </c>
      <c r="D52" s="906">
        <v>0.23666999999999999</v>
      </c>
      <c r="E52" s="907">
        <v>0.11088000000000001</v>
      </c>
      <c r="F52" s="908">
        <f t="shared" si="28"/>
        <v>7.0621157424759504</v>
      </c>
      <c r="G52" s="599">
        <v>50</v>
      </c>
      <c r="H52" s="598">
        <f t="shared" si="29"/>
        <v>4.227759914255091</v>
      </c>
      <c r="I52" s="599">
        <v>40</v>
      </c>
      <c r="J52" s="598">
        <f t="shared" si="30"/>
        <v>9.84074844074844</v>
      </c>
      <c r="K52" s="599">
        <v>65</v>
      </c>
      <c r="L52" s="598">
        <f t="shared" si="31"/>
        <v>2.8343558282208594</v>
      </c>
      <c r="M52" s="599">
        <v>32</v>
      </c>
      <c r="N52" s="598">
        <f t="shared" si="32"/>
        <v>2.2490872210953352</v>
      </c>
      <c r="O52" s="599">
        <v>32</v>
      </c>
      <c r="P52" s="598">
        <f t="shared" si="153"/>
        <v>0.6747261663286005</v>
      </c>
      <c r="Q52" s="599">
        <v>20</v>
      </c>
      <c r="R52" s="598">
        <f t="shared" si="33"/>
        <v>5.9789554091968631</v>
      </c>
      <c r="S52" s="600">
        <f t="shared" si="104"/>
        <v>4.0083844528611658</v>
      </c>
      <c r="T52" s="910">
        <v>4</v>
      </c>
      <c r="U52" s="601">
        <f t="shared" si="35"/>
        <v>2.46018711018711</v>
      </c>
      <c r="V52" s="601">
        <f t="shared" si="36"/>
        <v>3.4792299772020829</v>
      </c>
      <c r="W52" s="850">
        <v>32</v>
      </c>
      <c r="X52" s="751">
        <f t="shared" si="0"/>
        <v>50</v>
      </c>
      <c r="Y52" s="746">
        <v>2</v>
      </c>
      <c r="Z52" s="747">
        <f>VLOOKUP(X52,'Ціни контур мережний'!$Z$24:$AB$36,3,0)</f>
        <v>23.2782130224622</v>
      </c>
      <c r="AA52" s="748">
        <f t="shared" si="105"/>
        <v>46.5564260449244</v>
      </c>
      <c r="AB52" s="749">
        <f t="shared" si="1"/>
        <v>50</v>
      </c>
      <c r="AC52" s="749">
        <v>2</v>
      </c>
      <c r="AD52" s="747">
        <f>VLOOKUP(AB52,'Ціни контур мережний'!$Z$64:$AB$77,3,0)</f>
        <v>80.03214361111678</v>
      </c>
      <c r="AE52" s="748">
        <f t="shared" si="106"/>
        <v>160.06428722223356</v>
      </c>
      <c r="AF52" s="746">
        <f t="shared" si="2"/>
        <v>50</v>
      </c>
      <c r="AG52" s="746">
        <v>1</v>
      </c>
      <c r="AH52" s="747">
        <f>VLOOKUP(AF52,'Ціни контур мережний'!$Z$5:$AB$17,3,0)</f>
        <v>26.284999999999997</v>
      </c>
      <c r="AI52" s="748">
        <f t="shared" si="107"/>
        <v>26.284999999999997</v>
      </c>
      <c r="AJ52" s="746">
        <f t="shared" si="3"/>
        <v>40</v>
      </c>
      <c r="AK52" s="746">
        <v>3</v>
      </c>
      <c r="AL52" s="747">
        <f>VLOOKUP(AJ52,'Ціни контур мережний'!$Z$43:$AB$55,3,0)</f>
        <v>18.42400964308333</v>
      </c>
      <c r="AM52" s="748">
        <f t="shared" si="108"/>
        <v>55.272028929249991</v>
      </c>
      <c r="AN52" s="745">
        <f t="shared" si="4"/>
        <v>32</v>
      </c>
      <c r="AO52" s="749">
        <v>4</v>
      </c>
      <c r="AP52" s="747">
        <f>VLOOKUP(AN52,'Ціни контур мережний'!$Z$43:$AB$55,3,0)</f>
        <v>16.107218011318363</v>
      </c>
      <c r="AQ52" s="759">
        <f t="shared" si="109"/>
        <v>64.428872045273451</v>
      </c>
      <c r="AR52" s="751" t="str">
        <f t="shared" si="42"/>
        <v>AMV20</v>
      </c>
      <c r="AS52" s="751">
        <v>1</v>
      </c>
      <c r="AT52" s="747">
        <f>VLOOKUP(AR52,'Ціни контур мережний'!$I$53:$M$57,5,0)</f>
        <v>110.39869654932889</v>
      </c>
      <c r="AU52" s="748">
        <f t="shared" si="110"/>
        <v>110.39869654932889</v>
      </c>
      <c r="AV52" s="752">
        <f t="array" ref="AV52">MIN(IF('Ціни контур мережний'!$Y$83:$Y$92&gt;(R52*1.2),'Ціни контур мережний'!$Y$83:$Y$92))</f>
        <v>10</v>
      </c>
      <c r="AW52" s="746">
        <f>VLOOKUP(AV52,'Ціни контур мережний'!$Y$83:$Z$92,2,0)</f>
        <v>25</v>
      </c>
      <c r="AX52" s="746">
        <v>1</v>
      </c>
      <c r="AY52" s="747">
        <f>VLOOKUP(AV52,'Ціни контур мережний'!$Y$83:$AB$92,4,0)</f>
        <v>117.50505648967251</v>
      </c>
      <c r="AZ52" s="748">
        <f t="shared" si="111"/>
        <v>117.50505648967251</v>
      </c>
      <c r="BA52" s="1099">
        <f t="array" ref="BA52">MIN(IF('[1]Ціни контур мережний'!$Y$104:$Y$114&gt;(R52*1.2),'[1]Ціни контур мережний'!$Y$104:$Y$114))</f>
        <v>8</v>
      </c>
      <c r="BB52" s="1101">
        <f>VLOOKUP(BA52,'[1]Ціни контур мережний'!$Y$104:$Z$114,2,0)</f>
        <v>25</v>
      </c>
      <c r="BC52" s="753">
        <v>1</v>
      </c>
      <c r="BD52" s="754">
        <f>VLOOKUP(BA52,'Ціни контур мережний'!$Y$104:$AB$114,4,0)</f>
        <v>278.09338672441618</v>
      </c>
      <c r="BE52" s="755">
        <f t="shared" si="112"/>
        <v>278.09338672441618</v>
      </c>
      <c r="BF52" s="751" t="s">
        <v>67</v>
      </c>
      <c r="BG52" s="749">
        <v>1</v>
      </c>
      <c r="BH52" s="747">
        <f>VLOOKUP(BF52,'Ціни контур мережний'!$I$53:$M$57,5,0)</f>
        <v>157.67238032974441</v>
      </c>
      <c r="BI52" s="768">
        <f t="shared" si="113"/>
        <v>157.67238032974441</v>
      </c>
      <c r="BJ52" s="894">
        <f t="array" ref="BJ52">MIN(IF('Ціни контур мережний'!$Y$83:$Y$93&gt;(S52*1.2),'Ціни контур мережний'!$Y$83:$Y$93))</f>
        <v>6.3</v>
      </c>
      <c r="BK52" s="895">
        <f>VLOOKUP(BJ52,'Ціни контур мережний'!$Y$83:$Z$93,2,0)</f>
        <v>20</v>
      </c>
      <c r="BL52" s="895">
        <v>1</v>
      </c>
      <c r="BM52" s="896">
        <f>VLOOKUP(BJ52,'Ціни контур мережний'!$Y$83:$AB$93,4,0)</f>
        <v>113.14115267534271</v>
      </c>
      <c r="BN52" s="916">
        <f t="shared" si="114"/>
        <v>113.14115267534271</v>
      </c>
      <c r="BO52" s="896">
        <f t="array" ref="BO52">MIN(IF('Ціни контур мережний'!$Y$104:$Y$114&gt;(S52*1.2),'Ціни контур мережний'!$Y$104:$Y$114))</f>
        <v>6.3</v>
      </c>
      <c r="BP52" s="895">
        <f>VLOOKUP(BO52,'Ціни контур мережний'!$Y$104:$Z$114,2,0)</f>
        <v>20</v>
      </c>
      <c r="BQ52" s="895">
        <v>1</v>
      </c>
      <c r="BR52" s="896">
        <f>VLOOKUP(BO52,'Ціни контур мережний'!$Y$104:$AB$114,4,0)</f>
        <v>259.83406541769665</v>
      </c>
      <c r="BS52" s="897">
        <f t="shared" si="115"/>
        <v>259.83406541769665</v>
      </c>
      <c r="BT52" s="751" t="s">
        <v>115</v>
      </c>
      <c r="BU52" s="751" t="s">
        <v>115</v>
      </c>
      <c r="BV52" s="746" t="s">
        <v>1025</v>
      </c>
      <c r="BW52" s="756">
        <v>0</v>
      </c>
      <c r="BX52" s="747">
        <v>0</v>
      </c>
      <c r="BY52" s="748">
        <f t="shared" si="116"/>
        <v>0</v>
      </c>
      <c r="BZ52" s="745">
        <f>VLOOKUP(CA52,'Ціни контур мережний'!$J$5:$L$12,3,0)</f>
        <v>25</v>
      </c>
      <c r="CA52" s="747">
        <f t="array" ref="CA52">MIN(IF('Ціни контур мережний'!$J$5:$J$12&gt;L52,'Ціни контур мережний'!$J$5:$J$12))</f>
        <v>3.5</v>
      </c>
      <c r="CB52" s="746" t="s">
        <v>130</v>
      </c>
      <c r="CC52" s="749">
        <v>1</v>
      </c>
      <c r="CD52" s="747">
        <f>VLOOKUP(CA52,'Ціни контур мережний'!$J$5:$N$12,5,0)</f>
        <v>341.25599999999997</v>
      </c>
      <c r="CE52" s="748">
        <f t="shared" si="117"/>
        <v>341.25599999999997</v>
      </c>
      <c r="CF52" s="898" t="s">
        <v>1371</v>
      </c>
      <c r="CG52" s="899">
        <v>1</v>
      </c>
      <c r="CH52" s="900">
        <v>401</v>
      </c>
      <c r="CI52" s="901">
        <f t="shared" si="118"/>
        <v>401</v>
      </c>
      <c r="CJ52" s="751">
        <f t="shared" si="5"/>
        <v>65</v>
      </c>
      <c r="CK52" s="746">
        <v>4</v>
      </c>
      <c r="CL52" s="747">
        <f>VLOOKUP(CJ52,'Ціни контур теплопостачання'!$Y$5:$AA$17,3,0)</f>
        <v>30.19184015363556</v>
      </c>
      <c r="CM52" s="748">
        <f t="shared" si="119"/>
        <v>120.76736061454224</v>
      </c>
      <c r="CN52" s="746">
        <f t="shared" si="6"/>
        <v>32</v>
      </c>
      <c r="CO52" s="746">
        <v>6</v>
      </c>
      <c r="CP52" s="747">
        <f>VLOOKUP(CN52,'Ціни контур теплопостачання'!$AO$20:$AQ$29,3,0)</f>
        <v>10.381</v>
      </c>
      <c r="CQ52" s="748">
        <f t="shared" si="120"/>
        <v>62.286000000000001</v>
      </c>
      <c r="CR52" s="746">
        <f t="shared" si="7"/>
        <v>20</v>
      </c>
      <c r="CS52" s="746">
        <v>3</v>
      </c>
      <c r="CT52" s="747">
        <f>VLOOKUP(CR52,'Ціни контур теплопостачання'!$AO$20:$AQ$29,3,0)</f>
        <v>3.577</v>
      </c>
      <c r="CU52" s="748">
        <f t="shared" si="121"/>
        <v>10.731</v>
      </c>
      <c r="CV52" s="746">
        <f t="shared" si="8"/>
        <v>32</v>
      </c>
      <c r="CW52" s="746">
        <f t="shared" si="101"/>
        <v>8</v>
      </c>
      <c r="CX52" s="747">
        <f>VLOOKUP(CV52,'Ціни контур теплопостачання'!$Y$5:$AA$17,3,0)</f>
        <v>10.381</v>
      </c>
      <c r="CY52" s="748">
        <f t="shared" si="122"/>
        <v>83.048000000000002</v>
      </c>
      <c r="CZ52" s="745">
        <v>20</v>
      </c>
      <c r="DA52" s="749">
        <v>2</v>
      </c>
      <c r="DB52" s="747">
        <f>VLOOKUP(CZ52,'Ціни контур теплопостачання'!$Y$5:$AA$17,3,0)</f>
        <v>3.577</v>
      </c>
      <c r="DC52" s="748">
        <f t="shared" si="123"/>
        <v>7.1539999999999999</v>
      </c>
      <c r="DD52" s="745">
        <v>15</v>
      </c>
      <c r="DE52" s="745">
        <v>8</v>
      </c>
      <c r="DF52" s="758">
        <f>VLOOKUP(DD52,'Ціни контур теплопостачання'!$Y$5:$AA$17,3,0)</f>
        <v>2.464</v>
      </c>
      <c r="DG52" s="759">
        <f t="shared" si="124"/>
        <v>19.712</v>
      </c>
      <c r="DH52" s="745">
        <v>15</v>
      </c>
      <c r="DI52" s="745">
        <f t="shared" si="58"/>
        <v>39</v>
      </c>
      <c r="DJ52" s="758">
        <f>VLOOKUP(DH52,'Ціни контур мережний'!$J$71:$M$71,4,0)</f>
        <v>3.3865201135922525</v>
      </c>
      <c r="DK52" s="759">
        <f t="shared" si="125"/>
        <v>132.07428443009783</v>
      </c>
      <c r="DL52" s="751">
        <f t="shared" si="10"/>
        <v>65</v>
      </c>
      <c r="DM52" s="746">
        <v>1</v>
      </c>
      <c r="DN52" s="747">
        <f>VLOOKUP(DL52,'Ціни контур теплопостачання'!$K$5:$M$17,3,0)</f>
        <v>39.731999999999999</v>
      </c>
      <c r="DO52" s="748">
        <f t="shared" si="126"/>
        <v>39.731999999999999</v>
      </c>
      <c r="DP52" s="745">
        <f t="shared" si="11"/>
        <v>32</v>
      </c>
      <c r="DQ52" s="749">
        <v>1</v>
      </c>
      <c r="DR52" s="747">
        <f>VLOOKUP(DP52,'Ціни контур теплопостачання'!$K$5:$M$17,3,0)</f>
        <v>9.48</v>
      </c>
      <c r="DS52" s="748">
        <f t="shared" si="127"/>
        <v>9.48</v>
      </c>
      <c r="DT52" s="745">
        <f t="shared" si="12"/>
        <v>20</v>
      </c>
      <c r="DU52" s="745">
        <v>1</v>
      </c>
      <c r="DV52" s="758">
        <f>VLOOKUP(DT52,'Ціни контур теплопостачання'!$K$5:$M$17,3,0)</f>
        <v>3.48</v>
      </c>
      <c r="DW52" s="759">
        <f t="shared" si="128"/>
        <v>3.48</v>
      </c>
      <c r="DX52" s="745">
        <f t="shared" si="63"/>
        <v>65</v>
      </c>
      <c r="DY52" s="745">
        <v>1</v>
      </c>
      <c r="DZ52" s="758">
        <f>VLOOKUP(DX52,'Ціни контур теплопостачання'!$Y$24:$AA$36,3,0)</f>
        <v>42.080999999999996</v>
      </c>
      <c r="EA52" s="759">
        <f t="shared" si="64"/>
        <v>42.080999999999996</v>
      </c>
      <c r="EB52" s="751">
        <f t="shared" si="13"/>
        <v>65</v>
      </c>
      <c r="EC52" s="746">
        <v>2</v>
      </c>
      <c r="ED52" s="747">
        <f>VLOOKUP(EB52,'Ціни контур теплопостачання'!$Y$24:$AA$36,3,0)</f>
        <v>42.080999999999996</v>
      </c>
      <c r="EE52" s="748">
        <f t="shared" si="129"/>
        <v>84.161999999999992</v>
      </c>
      <c r="EF52" s="745">
        <f t="shared" si="14"/>
        <v>32</v>
      </c>
      <c r="EG52" s="749">
        <v>1</v>
      </c>
      <c r="EH52" s="747">
        <f>VLOOKUP(EF52,'Ціни контур теплопостачання'!$AO$38:$AQ$50,3,0)</f>
        <v>10.773</v>
      </c>
      <c r="EI52" s="748">
        <f t="shared" si="130"/>
        <v>10.773</v>
      </c>
      <c r="EJ52" s="745">
        <f t="shared" si="15"/>
        <v>20</v>
      </c>
      <c r="EK52" s="745">
        <v>1</v>
      </c>
      <c r="EL52" s="758">
        <f>VLOOKUP(EJ52,'Ціни контур теплопостачання'!$AO$38:$AQ$50,3,0)</f>
        <v>4.5359999999999996</v>
      </c>
      <c r="EM52" s="759">
        <f t="shared" si="131"/>
        <v>4.5359999999999996</v>
      </c>
      <c r="EN52" s="745">
        <f t="shared" si="16"/>
        <v>32</v>
      </c>
      <c r="EO52" s="745">
        <f t="shared" si="102"/>
        <v>8</v>
      </c>
      <c r="EP52" s="758">
        <f>VLOOKUP(EN52,'Ціни контур теплопостачання'!$Y$76:$AA$88,3,0)</f>
        <v>13.15</v>
      </c>
      <c r="EQ52" s="759">
        <f t="shared" si="132"/>
        <v>105.2</v>
      </c>
      <c r="ER52" s="745">
        <f t="shared" si="18"/>
        <v>32</v>
      </c>
      <c r="ES52" s="745">
        <v>1</v>
      </c>
      <c r="ET52" s="758">
        <f>VLOOKUP(ER52,'Ціни контур теплопостачання'!$Y$76:$AA$88,3,0)</f>
        <v>13.15</v>
      </c>
      <c r="EU52" s="759">
        <f t="shared" si="133"/>
        <v>13.15</v>
      </c>
      <c r="EV52" s="745">
        <f t="shared" si="19"/>
        <v>20</v>
      </c>
      <c r="EW52" s="745">
        <v>1</v>
      </c>
      <c r="EX52" s="758">
        <f>VLOOKUP(EV52,'Ціни контур теплопостачання'!$Y$76:$AA$88,3,0)</f>
        <v>11.45</v>
      </c>
      <c r="EY52" s="759">
        <f t="shared" si="134"/>
        <v>11.45</v>
      </c>
      <c r="EZ52" s="758">
        <f t="shared" si="95"/>
        <v>24.710495745735251</v>
      </c>
      <c r="FA52" s="955">
        <v>25</v>
      </c>
      <c r="FB52" s="719">
        <v>2</v>
      </c>
      <c r="FC52" s="747">
        <f>VLOOKUP(FA52,'Ціни контур теплопостачання'!$K$74:$M$79,3,0)</f>
        <v>22.22</v>
      </c>
      <c r="FD52" s="761">
        <f t="shared" si="96"/>
        <v>44.44</v>
      </c>
      <c r="FE52" s="762">
        <f t="shared" si="71"/>
        <v>9.84074844074844</v>
      </c>
      <c r="FF52" s="911">
        <v>9</v>
      </c>
      <c r="FG52" s="900">
        <v>8</v>
      </c>
      <c r="FH52" s="830" t="s">
        <v>123</v>
      </c>
      <c r="FI52" s="708">
        <v>2</v>
      </c>
      <c r="FJ52" s="709">
        <f>VLOOKUP(FH52,'Ціни контур теплопостачання'!$C$89:$M$105,11,0)</f>
        <v>387.45599999999996</v>
      </c>
      <c r="FK52" s="764">
        <f t="shared" si="135"/>
        <v>774.91199999999992</v>
      </c>
      <c r="FL52" s="912">
        <f t="shared" si="73"/>
        <v>0.6747261663286005</v>
      </c>
      <c r="FM52" s="911">
        <v>9</v>
      </c>
      <c r="FN52" s="900">
        <v>9</v>
      </c>
      <c r="FO52" s="900" t="s">
        <v>1097</v>
      </c>
      <c r="FP52" s="749">
        <v>1</v>
      </c>
      <c r="FQ52" s="747">
        <f>VLOOKUP(FO52,'Ціни контур теплопостачання'!$C$89:$M$105,11,0)</f>
        <v>241.2</v>
      </c>
      <c r="FR52" s="904">
        <f t="shared" si="136"/>
        <v>241.2</v>
      </c>
      <c r="FS52" s="758">
        <f t="array" ref="FS52">MIN(IF('Ціни контур теплопостачання'!$AN$68:$AN$77&gt;(V52*1.2),'Ціни контур теплопостачання'!$AN$68:$AN$77))</f>
        <v>5.83</v>
      </c>
      <c r="FT52" s="749">
        <f>VLOOKUP(FS52,'Ціни контур теплопостачання'!$AN$68:$AO$77,2,0)</f>
        <v>25</v>
      </c>
      <c r="FU52" s="749">
        <f t="shared" si="103"/>
        <v>4</v>
      </c>
      <c r="FV52" s="747">
        <f>VLOOKUP(FT52,'Ціни контур теплопостачання'!$AO$68:$AQ$77,3,0)</f>
        <v>26.495000000000001</v>
      </c>
      <c r="FW52" s="765">
        <f t="shared" si="137"/>
        <v>105.98</v>
      </c>
      <c r="FX52" s="750">
        <v>15</v>
      </c>
      <c r="FY52" s="746">
        <v>2</v>
      </c>
      <c r="FZ52" s="747">
        <f>VLOOKUP(FX52,'Ціни контур мережний'!$J$73:$M$73,4,0)</f>
        <v>3.4649999999999999</v>
      </c>
      <c r="GA52" s="748">
        <f t="shared" si="138"/>
        <v>6.93</v>
      </c>
      <c r="GB52" s="750">
        <f>VLOOKUP(GC52,'Ціни контур теплопостачання'!$AN$6:$AO$13,2,0)</f>
        <v>20</v>
      </c>
      <c r="GC52" s="751">
        <f t="array" ref="GC52">MIN(IF('Ціни контур теплопостачання'!$AN$6:$AN$13&gt;N52,'Ціни контур теплопостачання'!$AN$6:$AN$13))</f>
        <v>2.5</v>
      </c>
      <c r="GD52" s="751">
        <v>1</v>
      </c>
      <c r="GE52" s="747">
        <f>VLOOKUP(GB52,'Ціни контур теплопостачання'!$AO$6:$AQ$13,3,0)</f>
        <v>23.753519999999998</v>
      </c>
      <c r="GF52" s="748">
        <f t="shared" si="139"/>
        <v>23.753519999999998</v>
      </c>
      <c r="GG52" s="746">
        <f t="shared" si="23"/>
        <v>32</v>
      </c>
      <c r="GH52" s="746">
        <v>1</v>
      </c>
      <c r="GI52" s="747">
        <f>VLOOKUP(GG52,'Ціни контур теплопостачання'!$AO$55:$AQ$63,3,0)</f>
        <v>150.1</v>
      </c>
      <c r="GJ52" s="768">
        <f t="shared" si="140"/>
        <v>150.1</v>
      </c>
      <c r="GK52" s="655" t="str">
        <f t="shared" si="150"/>
        <v>0-150</v>
      </c>
      <c r="GL52" s="720">
        <v>1</v>
      </c>
      <c r="GM52" s="747">
        <f>VLOOKUP(GK52,'Ціни контур мережний'!$I$79:$M$80,5,0)</f>
        <v>15.050156291498967</v>
      </c>
      <c r="GN52" s="748">
        <f t="shared" si="141"/>
        <v>15.050156291498967</v>
      </c>
      <c r="GO52" s="758" t="s">
        <v>109</v>
      </c>
      <c r="GP52" s="749">
        <v>5</v>
      </c>
      <c r="GQ52" s="747">
        <f>VLOOKUP(GO52,'Ціни контур мережний'!$I$79:$M$80,5,0)</f>
        <v>15.050156291498967</v>
      </c>
      <c r="GR52" s="765">
        <f t="shared" si="142"/>
        <v>75.250781457494838</v>
      </c>
      <c r="GS52" s="655" t="s">
        <v>108</v>
      </c>
      <c r="GT52" s="720">
        <v>5</v>
      </c>
      <c r="GU52" s="747">
        <f>VLOOKUP(GS52,'Ціни контур мережний'!$I$67:$M$69,5,0)</f>
        <v>4.4537969640631703</v>
      </c>
      <c r="GV52" s="748">
        <f t="shared" si="143"/>
        <v>22.26898482031585</v>
      </c>
      <c r="GW52" s="655" t="s">
        <v>106</v>
      </c>
      <c r="GX52" s="720">
        <f t="shared" si="151"/>
        <v>15</v>
      </c>
      <c r="GY52" s="747">
        <f>VLOOKUP(GW52,'Ціни контур мережний'!$I$67:$M$69,5,0)</f>
        <v>4.4537969640631703</v>
      </c>
      <c r="GZ52" s="748">
        <f t="shared" si="144"/>
        <v>66.806954460947551</v>
      </c>
      <c r="HA52" s="655" t="s">
        <v>1013</v>
      </c>
      <c r="HB52" s="720">
        <v>4</v>
      </c>
      <c r="HC52" s="747">
        <f>VLOOKUP(HA52,'Ціни контур мережний'!$I$64:$M$64,5,0)</f>
        <v>29.1312</v>
      </c>
      <c r="HD52" s="748">
        <f t="shared" si="145"/>
        <v>116.5248</v>
      </c>
      <c r="HE52" s="766" t="s">
        <v>1015</v>
      </c>
      <c r="HF52" s="749">
        <v>6</v>
      </c>
      <c r="HG52" s="747">
        <f>VLOOKUP(HE52,'Ціни контур мережний'!$I$89:$M$89,5,0)</f>
        <v>79.523165325760516</v>
      </c>
      <c r="HH52" s="765">
        <f t="shared" si="146"/>
        <v>477.1389919545631</v>
      </c>
      <c r="HI52" s="917" t="s">
        <v>1016</v>
      </c>
      <c r="HJ52" s="720">
        <f t="shared" si="152"/>
        <v>7</v>
      </c>
      <c r="HK52" s="747">
        <f>VLOOKUP(HI52,'Ціни контур мережний'!$I$88:$M$88,5,0)</f>
        <v>13.211568975967202</v>
      </c>
      <c r="HL52" s="768">
        <f t="shared" si="147"/>
        <v>92.480982831770419</v>
      </c>
      <c r="HM52" s="917" t="s">
        <v>383</v>
      </c>
      <c r="HN52" s="720">
        <v>1</v>
      </c>
      <c r="HO52" s="747">
        <f>VLOOKUP(HM52,'Ціни контур мережний'!$I$87:$M$87,5,0)</f>
        <v>13.483972460007763</v>
      </c>
      <c r="HP52" s="748">
        <f t="shared" si="148"/>
        <v>13.483972460007763</v>
      </c>
      <c r="HQ52" s="769">
        <f t="shared" si="97"/>
        <v>68</v>
      </c>
      <c r="HR52" s="770">
        <f t="shared" si="87"/>
        <v>5117.6451417491216</v>
      </c>
      <c r="HS52" s="771">
        <v>0</v>
      </c>
      <c r="HT52" s="771">
        <f>'Таблиця цін схема №1'!$JE$44/'Ціни контур мережний'!$G$26</f>
        <v>476.70609707098151</v>
      </c>
      <c r="HU52" s="770">
        <f>'Таблиця цін схема №1'!$JG$8</f>
        <v>661.80181284518619</v>
      </c>
      <c r="HV52" s="770">
        <f>'Таблиця цін схема №1'!$JH$8</f>
        <v>487.81784379022207</v>
      </c>
      <c r="HW52" s="770">
        <f>'Таблиця цін схема №1'!$JI$8</f>
        <v>323.47913729816605</v>
      </c>
      <c r="HX52" s="770">
        <f>'Таблиця цін схема №1'!$JJ$8</f>
        <v>66.611999999999995</v>
      </c>
      <c r="HY52" s="770">
        <f>'Таблиця цін схема №1'!$JK$28</f>
        <v>0</v>
      </c>
      <c r="HZ52" s="772">
        <f>'Таблиця цін схема №1'!$JL$8</f>
        <v>62.86234247089866</v>
      </c>
      <c r="IA52" s="770">
        <f>'Таблиця цін схема №1'!$JM$28</f>
        <v>0</v>
      </c>
      <c r="IB52" s="770">
        <v>0</v>
      </c>
      <c r="IC52" s="913">
        <f t="shared" si="98"/>
        <v>503.78470626572039</v>
      </c>
      <c r="ID52" s="914">
        <f t="shared" si="99"/>
        <v>719.69243752245768</v>
      </c>
      <c r="IE52" s="915">
        <f t="shared" si="100"/>
        <v>123.80497871540319</v>
      </c>
      <c r="IF52" s="776">
        <f>'Таблиця цін схема №1'!$JR$8</f>
        <v>300.63036461094771</v>
      </c>
      <c r="IG52" s="777">
        <f t="shared" si="88"/>
        <v>8844.8368623391052</v>
      </c>
      <c r="II52" s="835"/>
      <c r="IJ52" s="835"/>
      <c r="IK52" s="835"/>
      <c r="IL52" s="835"/>
    </row>
    <row r="53" spans="2:246" s="780" customFormat="1" ht="12.6" customHeight="1">
      <c r="B53" s="905">
        <v>69</v>
      </c>
      <c r="C53" s="1056" t="s">
        <v>930</v>
      </c>
      <c r="D53" s="906">
        <v>0.50668999999999997</v>
      </c>
      <c r="E53" s="907">
        <v>0.26207999999999998</v>
      </c>
      <c r="F53" s="908">
        <f t="shared" si="28"/>
        <v>15.750654813178238</v>
      </c>
      <c r="G53" s="599">
        <v>80</v>
      </c>
      <c r="H53" s="598">
        <f t="shared" si="29"/>
        <v>9.0512683101107534</v>
      </c>
      <c r="I53" s="599">
        <v>65</v>
      </c>
      <c r="J53" s="598">
        <f t="shared" si="30"/>
        <v>21.068191268191267</v>
      </c>
      <c r="K53" s="599">
        <v>100</v>
      </c>
      <c r="L53" s="598">
        <f t="shared" si="31"/>
        <v>6.6993865030674851</v>
      </c>
      <c r="M53" s="599">
        <v>50</v>
      </c>
      <c r="N53" s="598">
        <f t="shared" si="32"/>
        <v>5.3160243407707908</v>
      </c>
      <c r="O53" s="599">
        <v>50</v>
      </c>
      <c r="P53" s="598">
        <f t="shared" si="153"/>
        <v>1.5948073022312372</v>
      </c>
      <c r="Q53" s="599">
        <v>32</v>
      </c>
      <c r="R53" s="598">
        <f t="shared" si="33"/>
        <v>12.800426400836432</v>
      </c>
      <c r="S53" s="600">
        <f t="shared" si="104"/>
        <v>9.4743632522172998</v>
      </c>
      <c r="T53" s="910">
        <v>4</v>
      </c>
      <c r="U53" s="601">
        <f t="shared" si="35"/>
        <v>5.2670478170478168</v>
      </c>
      <c r="V53" s="601">
        <f t="shared" si="36"/>
        <v>7.4487304565366266</v>
      </c>
      <c r="W53" s="850">
        <v>50</v>
      </c>
      <c r="X53" s="751">
        <f t="shared" si="0"/>
        <v>80</v>
      </c>
      <c r="Y53" s="746">
        <v>2</v>
      </c>
      <c r="Z53" s="747">
        <f>VLOOKUP(X53,'Ціни контур мережний'!$Z$24:$AB$36,3,0)</f>
        <v>37.693832104112609</v>
      </c>
      <c r="AA53" s="748">
        <f t="shared" si="105"/>
        <v>75.387664208225218</v>
      </c>
      <c r="AB53" s="749">
        <f t="shared" si="1"/>
        <v>80</v>
      </c>
      <c r="AC53" s="749">
        <v>2</v>
      </c>
      <c r="AD53" s="747">
        <f>VLOOKUP(AB53,'Ціни контур мережний'!$Z$64:$AB$77,3,0)</f>
        <v>111.00441974652855</v>
      </c>
      <c r="AE53" s="748">
        <f t="shared" si="106"/>
        <v>222.00883949305711</v>
      </c>
      <c r="AF53" s="746">
        <f t="shared" si="2"/>
        <v>80</v>
      </c>
      <c r="AG53" s="746">
        <v>1</v>
      </c>
      <c r="AH53" s="747">
        <f>VLOOKUP(AF53,'Ціни контур мережний'!$Z$5:$AB$17,3,0)</f>
        <v>50.12</v>
      </c>
      <c r="AI53" s="748">
        <f t="shared" si="107"/>
        <v>50.12</v>
      </c>
      <c r="AJ53" s="746">
        <f t="shared" si="3"/>
        <v>65</v>
      </c>
      <c r="AK53" s="746">
        <v>3</v>
      </c>
      <c r="AL53" s="747">
        <f>VLOOKUP(AJ53,'Ціни контур мережний'!$Z$43:$AB$55,3,0)</f>
        <v>30.19184015363556</v>
      </c>
      <c r="AM53" s="748">
        <f t="shared" si="108"/>
        <v>90.575520460906688</v>
      </c>
      <c r="AN53" s="745">
        <f t="shared" si="4"/>
        <v>50</v>
      </c>
      <c r="AO53" s="749">
        <v>4</v>
      </c>
      <c r="AP53" s="747">
        <f>VLOOKUP(AN53,'Ціни контур мережний'!$Z$43:$AB$55,3,0)</f>
        <v>23.2782130224622</v>
      </c>
      <c r="AQ53" s="759">
        <f t="shared" si="109"/>
        <v>93.112852089848801</v>
      </c>
      <c r="AR53" s="751" t="str">
        <f t="shared" si="42"/>
        <v>AMV20</v>
      </c>
      <c r="AS53" s="751">
        <v>1</v>
      </c>
      <c r="AT53" s="747">
        <f>VLOOKUP(AR53,'Ціни контур мережний'!$I$53:$M$57,5,0)</f>
        <v>110.39869654932889</v>
      </c>
      <c r="AU53" s="748">
        <f t="shared" si="110"/>
        <v>110.39869654932889</v>
      </c>
      <c r="AV53" s="752">
        <f t="array" ref="AV53">MIN(IF('Ціни контур мережний'!$Y$83:$Y$92&gt;(R53*1.2),'Ціни контур мережний'!$Y$83:$Y$92))</f>
        <v>16</v>
      </c>
      <c r="AW53" s="746">
        <f>VLOOKUP(AV53,'Ціни контур мережний'!$Y$83:$Z$92,2,0)</f>
        <v>32</v>
      </c>
      <c r="AX53" s="746">
        <v>1</v>
      </c>
      <c r="AY53" s="747">
        <f>VLOOKUP(AV53,'Ціни контур мережний'!$Y$83:$AB$92,4,0)</f>
        <v>130.5392363168325</v>
      </c>
      <c r="AZ53" s="748">
        <f t="shared" si="111"/>
        <v>130.5392363168325</v>
      </c>
      <c r="BA53" s="1099">
        <v>20</v>
      </c>
      <c r="BB53" s="1101">
        <f>VLOOKUP(BA53,'[1]Ціни контур мережний'!$Y$104:$Z$114,2,0)</f>
        <v>50</v>
      </c>
      <c r="BC53" s="753">
        <v>1</v>
      </c>
      <c r="BD53" s="754">
        <f>VLOOKUP(BA53,'Ціни контур мережний'!$Y$104:$AB$114,4,0)</f>
        <v>448.22326189551967</v>
      </c>
      <c r="BE53" s="755">
        <f t="shared" si="112"/>
        <v>448.22326189551967</v>
      </c>
      <c r="BF53" s="751" t="s">
        <v>67</v>
      </c>
      <c r="BG53" s="749">
        <v>1</v>
      </c>
      <c r="BH53" s="747">
        <f>VLOOKUP(BF53,'Ціни контур мережний'!$I$53:$M$57,5,0)</f>
        <v>157.67238032974441</v>
      </c>
      <c r="BI53" s="768">
        <f t="shared" si="113"/>
        <v>157.67238032974441</v>
      </c>
      <c r="BJ53" s="894">
        <f t="array" ref="BJ53">MIN(IF('Ціни контур мережний'!$Y$83:$Y$93&gt;(S53*1.2),'Ціни контур мережний'!$Y$83:$Y$93))</f>
        <v>16</v>
      </c>
      <c r="BK53" s="895">
        <f>VLOOKUP(BJ53,'Ціни контур мережний'!$Y$83:$Z$93,2,0)</f>
        <v>32</v>
      </c>
      <c r="BL53" s="895">
        <v>1</v>
      </c>
      <c r="BM53" s="896">
        <f>VLOOKUP(BJ53,'Ціни контур мережний'!$Y$83:$AB$93,4,0)</f>
        <v>130.5392363168325</v>
      </c>
      <c r="BN53" s="916">
        <f t="shared" si="114"/>
        <v>130.5392363168325</v>
      </c>
      <c r="BO53" s="896">
        <f t="array" ref="BO53">MIN(IF('Ціни контур мережний'!$Y$104:$Y$114&gt;(S53*1.2),'Ціни контур мережний'!$Y$104:$Y$114))</f>
        <v>12.5</v>
      </c>
      <c r="BP53" s="895">
        <f>VLOOKUP(BO53,'Ціни контур мережний'!$Y$104:$Z$114,2,0)</f>
        <v>32</v>
      </c>
      <c r="BQ53" s="895">
        <v>1</v>
      </c>
      <c r="BR53" s="896">
        <f>VLOOKUP(BO53,'Ціни контур мережний'!$Y$104:$AB$114,4,0)</f>
        <v>435.76049604674444</v>
      </c>
      <c r="BS53" s="897">
        <f t="shared" si="115"/>
        <v>435.76049604674444</v>
      </c>
      <c r="BT53" s="751" t="s">
        <v>115</v>
      </c>
      <c r="BU53" s="751" t="s">
        <v>115</v>
      </c>
      <c r="BV53" s="746" t="s">
        <v>1025</v>
      </c>
      <c r="BW53" s="756">
        <v>0</v>
      </c>
      <c r="BX53" s="747">
        <v>0</v>
      </c>
      <c r="BY53" s="748">
        <f t="shared" si="116"/>
        <v>0</v>
      </c>
      <c r="BZ53" s="745">
        <f>VLOOKUP(CA53,'Ціни контур мережний'!$J$5:$L$12,3,0)</f>
        <v>40</v>
      </c>
      <c r="CA53" s="747">
        <f t="array" ref="CA53">MIN(IF('Ціни контур мережний'!$J$5:$J$12&gt;L53,'Ціни контур мережний'!$J$5:$J$12))</f>
        <v>10</v>
      </c>
      <c r="CB53" s="746" t="s">
        <v>130</v>
      </c>
      <c r="CC53" s="749">
        <v>1</v>
      </c>
      <c r="CD53" s="747">
        <f>VLOOKUP(CA53,'Ціни контур мережний'!$J$5:$N$12,5,0)</f>
        <v>375.23999999999995</v>
      </c>
      <c r="CE53" s="748">
        <f t="shared" si="117"/>
        <v>375.23999999999995</v>
      </c>
      <c r="CF53" s="898" t="s">
        <v>1372</v>
      </c>
      <c r="CG53" s="899">
        <v>1</v>
      </c>
      <c r="CH53" s="900">
        <v>613</v>
      </c>
      <c r="CI53" s="901">
        <f t="shared" si="118"/>
        <v>613</v>
      </c>
      <c r="CJ53" s="751">
        <f t="shared" si="5"/>
        <v>100</v>
      </c>
      <c r="CK53" s="746">
        <v>4</v>
      </c>
      <c r="CL53" s="747">
        <f>VLOOKUP(CJ53,'Ціни контур теплопостачання'!$Y$5:$AA$17,3,0)</f>
        <v>61.045620773489688</v>
      </c>
      <c r="CM53" s="748">
        <f t="shared" si="119"/>
        <v>244.18248309395875</v>
      </c>
      <c r="CN53" s="746">
        <f t="shared" si="6"/>
        <v>50</v>
      </c>
      <c r="CO53" s="746">
        <v>6</v>
      </c>
      <c r="CP53" s="747">
        <f>VLOOKUP(CN53,'Ціни контур теплопостачання'!$AO$20:$AQ$29,3,0)</f>
        <v>37.588411955788914</v>
      </c>
      <c r="CQ53" s="748">
        <f t="shared" si="120"/>
        <v>225.53047173473348</v>
      </c>
      <c r="CR53" s="746">
        <f t="shared" si="7"/>
        <v>32</v>
      </c>
      <c r="CS53" s="746">
        <v>3</v>
      </c>
      <c r="CT53" s="747">
        <f>VLOOKUP(CR53,'Ціни контур теплопостачання'!$AO$20:$AQ$29,3,0)</f>
        <v>10.381</v>
      </c>
      <c r="CU53" s="748">
        <f t="shared" si="121"/>
        <v>31.143000000000001</v>
      </c>
      <c r="CV53" s="746">
        <f t="shared" si="8"/>
        <v>50</v>
      </c>
      <c r="CW53" s="746">
        <f t="shared" si="101"/>
        <v>8</v>
      </c>
      <c r="CX53" s="747">
        <f>VLOOKUP(CV53,'Ціни контур теплопостачання'!$Y$5:$AA$17,3,0)</f>
        <v>23.2782130224622</v>
      </c>
      <c r="CY53" s="748">
        <f t="shared" si="122"/>
        <v>186.2257041796976</v>
      </c>
      <c r="CZ53" s="745">
        <v>20</v>
      </c>
      <c r="DA53" s="749">
        <v>2</v>
      </c>
      <c r="DB53" s="747">
        <f>VLOOKUP(CZ53,'Ціни контур теплопостачання'!$Y$5:$AA$17,3,0)</f>
        <v>3.577</v>
      </c>
      <c r="DC53" s="748">
        <f t="shared" si="123"/>
        <v>7.1539999999999999</v>
      </c>
      <c r="DD53" s="745">
        <v>15</v>
      </c>
      <c r="DE53" s="745">
        <v>8</v>
      </c>
      <c r="DF53" s="758">
        <f>VLOOKUP(DD53,'Ціни контур теплопостачання'!$Y$5:$AA$17,3,0)</f>
        <v>2.464</v>
      </c>
      <c r="DG53" s="759">
        <f t="shared" si="124"/>
        <v>19.712</v>
      </c>
      <c r="DH53" s="745">
        <v>15</v>
      </c>
      <c r="DI53" s="745">
        <f t="shared" si="58"/>
        <v>39</v>
      </c>
      <c r="DJ53" s="758">
        <f>VLOOKUP(DH53,'Ціни контур мережний'!$J$71:$M$71,4,0)</f>
        <v>3.3865201135922525</v>
      </c>
      <c r="DK53" s="759">
        <f t="shared" si="125"/>
        <v>132.07428443009783</v>
      </c>
      <c r="DL53" s="751">
        <f t="shared" si="10"/>
        <v>100</v>
      </c>
      <c r="DM53" s="746">
        <v>1</v>
      </c>
      <c r="DN53" s="747">
        <f>VLOOKUP(DL53,'Ціни контур теплопостачання'!$K$5:$M$17,3,0)</f>
        <v>70.903000000000006</v>
      </c>
      <c r="DO53" s="748">
        <f t="shared" si="126"/>
        <v>70.903000000000006</v>
      </c>
      <c r="DP53" s="745">
        <f t="shared" si="11"/>
        <v>50</v>
      </c>
      <c r="DQ53" s="749">
        <v>1</v>
      </c>
      <c r="DR53" s="747">
        <f>VLOOKUP(DP53,'Ціни контур теплопостачання'!$K$5:$M$17,3,0)</f>
        <v>26.284999999999997</v>
      </c>
      <c r="DS53" s="748">
        <f t="shared" si="127"/>
        <v>26.284999999999997</v>
      </c>
      <c r="DT53" s="745">
        <f t="shared" si="12"/>
        <v>32</v>
      </c>
      <c r="DU53" s="745">
        <v>1</v>
      </c>
      <c r="DV53" s="758">
        <f>VLOOKUP(DT53,'Ціни контур теплопостачання'!$K$5:$M$17,3,0)</f>
        <v>9.48</v>
      </c>
      <c r="DW53" s="759">
        <f t="shared" si="128"/>
        <v>9.48</v>
      </c>
      <c r="DX53" s="745">
        <f t="shared" si="63"/>
        <v>100</v>
      </c>
      <c r="DY53" s="745">
        <v>1</v>
      </c>
      <c r="DZ53" s="758">
        <f>VLOOKUP(DX53,'Ціни контур теплопостачання'!$Y$24:$AA$36,3,0)</f>
        <v>87.795500000000004</v>
      </c>
      <c r="EA53" s="759">
        <f t="shared" si="64"/>
        <v>87.795500000000004</v>
      </c>
      <c r="EB53" s="751">
        <f t="shared" si="13"/>
        <v>100</v>
      </c>
      <c r="EC53" s="746">
        <v>2</v>
      </c>
      <c r="ED53" s="747">
        <f>VLOOKUP(EB53,'Ціни контур теплопостачання'!$Y$24:$AA$36,3,0)</f>
        <v>87.795500000000004</v>
      </c>
      <c r="EE53" s="748">
        <f t="shared" si="129"/>
        <v>175.59100000000001</v>
      </c>
      <c r="EF53" s="745">
        <f t="shared" si="14"/>
        <v>50</v>
      </c>
      <c r="EG53" s="749">
        <v>1</v>
      </c>
      <c r="EH53" s="747">
        <f>VLOOKUP(EF53,'Ціни контур теплопостачання'!$AO$38:$AQ$50,3,0)</f>
        <v>28.560999999999996</v>
      </c>
      <c r="EI53" s="748">
        <f t="shared" si="130"/>
        <v>28.560999999999996</v>
      </c>
      <c r="EJ53" s="745">
        <f t="shared" si="15"/>
        <v>32</v>
      </c>
      <c r="EK53" s="745">
        <v>1</v>
      </c>
      <c r="EL53" s="758">
        <f>VLOOKUP(EJ53,'Ціни контур теплопостачання'!$AO$38:$AQ$50,3,0)</f>
        <v>10.773</v>
      </c>
      <c r="EM53" s="759">
        <f t="shared" si="131"/>
        <v>10.773</v>
      </c>
      <c r="EN53" s="745">
        <f t="shared" si="16"/>
        <v>50</v>
      </c>
      <c r="EO53" s="745">
        <f t="shared" si="102"/>
        <v>8</v>
      </c>
      <c r="EP53" s="758">
        <f>VLOOKUP(EN53,'Ціни контур теплопостачання'!$Y$76:$AA$88,3,0)</f>
        <v>20.6</v>
      </c>
      <c r="EQ53" s="759">
        <f t="shared" si="132"/>
        <v>164.8</v>
      </c>
      <c r="ER53" s="745">
        <f t="shared" si="18"/>
        <v>50</v>
      </c>
      <c r="ES53" s="745">
        <v>1</v>
      </c>
      <c r="ET53" s="758">
        <f>VLOOKUP(ER53,'Ціни контур теплопостачання'!$Y$76:$AA$88,3,0)</f>
        <v>20.6</v>
      </c>
      <c r="EU53" s="759">
        <f t="shared" si="133"/>
        <v>20.6</v>
      </c>
      <c r="EV53" s="745">
        <f t="shared" si="19"/>
        <v>32</v>
      </c>
      <c r="EW53" s="745">
        <v>1</v>
      </c>
      <c r="EX53" s="758">
        <f>VLOOKUP(EV53,'Ціни контур теплопостачання'!$Y$76:$AA$88,3,0)</f>
        <v>13.15</v>
      </c>
      <c r="EY53" s="759">
        <f t="shared" si="134"/>
        <v>13.15</v>
      </c>
      <c r="EZ53" s="758">
        <f t="shared" si="95"/>
        <v>36.156053435075009</v>
      </c>
      <c r="FA53" s="955">
        <v>40</v>
      </c>
      <c r="FB53" s="719">
        <v>2</v>
      </c>
      <c r="FC53" s="747">
        <f>VLOOKUP(FA53,'Ціни контур теплопостачання'!$K$74:$M$79,3,0)</f>
        <v>43.19</v>
      </c>
      <c r="FD53" s="761">
        <f t="shared" si="96"/>
        <v>86.38</v>
      </c>
      <c r="FE53" s="762">
        <f t="shared" si="71"/>
        <v>21.068191268191267</v>
      </c>
      <c r="FF53" s="911">
        <v>9</v>
      </c>
      <c r="FG53" s="900">
        <v>8</v>
      </c>
      <c r="FH53" s="830" t="s">
        <v>1090</v>
      </c>
      <c r="FI53" s="708">
        <v>2</v>
      </c>
      <c r="FJ53" s="709">
        <f>VLOOKUP(FH53,'Ціни контур теплопостачання'!$C$89:$M$105,11,0)</f>
        <v>648.69600000000003</v>
      </c>
      <c r="FK53" s="764">
        <f t="shared" si="135"/>
        <v>1297.3920000000001</v>
      </c>
      <c r="FL53" s="912">
        <f t="shared" si="73"/>
        <v>1.5948073022312372</v>
      </c>
      <c r="FM53" s="911">
        <v>9</v>
      </c>
      <c r="FN53" s="900">
        <v>9</v>
      </c>
      <c r="FO53" s="900" t="s">
        <v>1097</v>
      </c>
      <c r="FP53" s="749">
        <v>1</v>
      </c>
      <c r="FQ53" s="747">
        <f>VLOOKUP(FO53,'Ціни контур теплопостачання'!$C$89:$M$105,11,0)</f>
        <v>241.2</v>
      </c>
      <c r="FR53" s="904">
        <f t="shared" si="136"/>
        <v>241.2</v>
      </c>
      <c r="FS53" s="758">
        <f t="array" ref="FS53">MIN(IF('Ціни контур теплопостачання'!$AN$68:$AN$77&gt;(V53*1.2),'Ціни контур теплопостачання'!$AN$68:$AN$77))</f>
        <v>11.13</v>
      </c>
      <c r="FT53" s="749">
        <f>VLOOKUP(FS53,'Ціни контур теплопостачання'!$AN$68:$AO$77,2,0)</f>
        <v>32</v>
      </c>
      <c r="FU53" s="749">
        <f t="shared" si="103"/>
        <v>4</v>
      </c>
      <c r="FV53" s="747">
        <f>VLOOKUP(FT53,'Ціни контур теплопостачання'!$AO$68:$AQ$77,3,0)</f>
        <v>37.183999999999997</v>
      </c>
      <c r="FW53" s="765">
        <f t="shared" si="137"/>
        <v>148.73599999999999</v>
      </c>
      <c r="FX53" s="750">
        <v>15</v>
      </c>
      <c r="FY53" s="746">
        <v>2</v>
      </c>
      <c r="FZ53" s="747">
        <f>VLOOKUP(FX53,'Ціни контур мережний'!$J$73:$M$73,4,0)</f>
        <v>3.4649999999999999</v>
      </c>
      <c r="GA53" s="748">
        <f t="shared" si="138"/>
        <v>6.93</v>
      </c>
      <c r="GB53" s="750">
        <f>VLOOKUP(GC53,'Ціни контур теплопостачання'!$AN$6:$AO$13,2,0)</f>
        <v>32</v>
      </c>
      <c r="GC53" s="751">
        <f t="array" ref="GC53">MIN(IF('Ціни контур теплопостачання'!$AN$6:$AN$13&gt;N53,'Ціни контур теплопостачання'!$AN$6:$AN$13))</f>
        <v>6</v>
      </c>
      <c r="GD53" s="751">
        <v>1</v>
      </c>
      <c r="GE53" s="747">
        <f>VLOOKUP(GB53,'Ціни контур теплопостачання'!$AO$6:$AQ$13,3,0)</f>
        <v>85.682340000000011</v>
      </c>
      <c r="GF53" s="748">
        <f t="shared" si="139"/>
        <v>85.682340000000011</v>
      </c>
      <c r="GG53" s="746">
        <f t="shared" si="23"/>
        <v>50</v>
      </c>
      <c r="GH53" s="746">
        <v>1</v>
      </c>
      <c r="GI53" s="747">
        <f>VLOOKUP(GG53,'Ціни контур теплопостачання'!$AO$55:$AQ$63,3,0)</f>
        <v>355.5</v>
      </c>
      <c r="GJ53" s="768">
        <f t="shared" si="140"/>
        <v>355.5</v>
      </c>
      <c r="GK53" s="655" t="str">
        <f t="shared" si="150"/>
        <v>0-150</v>
      </c>
      <c r="GL53" s="720">
        <v>1</v>
      </c>
      <c r="GM53" s="747">
        <f>VLOOKUP(GK53,'Ціни контур мережний'!$I$79:$M$80,5,0)</f>
        <v>15.050156291498967</v>
      </c>
      <c r="GN53" s="748">
        <f t="shared" si="141"/>
        <v>15.050156291498967</v>
      </c>
      <c r="GO53" s="758" t="s">
        <v>109</v>
      </c>
      <c r="GP53" s="749">
        <v>5</v>
      </c>
      <c r="GQ53" s="747">
        <f>VLOOKUP(GO53,'Ціни контур мережний'!$I$79:$M$80,5,0)</f>
        <v>15.050156291498967</v>
      </c>
      <c r="GR53" s="765">
        <f t="shared" si="142"/>
        <v>75.250781457494838</v>
      </c>
      <c r="GS53" s="655" t="s">
        <v>108</v>
      </c>
      <c r="GT53" s="720">
        <v>5</v>
      </c>
      <c r="GU53" s="747">
        <f>VLOOKUP(GS53,'Ціни контур мережний'!$I$67:$M$69,5,0)</f>
        <v>4.4537969640631703</v>
      </c>
      <c r="GV53" s="748">
        <f t="shared" si="143"/>
        <v>22.26898482031585</v>
      </c>
      <c r="GW53" s="655" t="s">
        <v>106</v>
      </c>
      <c r="GX53" s="720">
        <f t="shared" si="151"/>
        <v>15</v>
      </c>
      <c r="GY53" s="747">
        <f>VLOOKUP(GW53,'Ціни контур мережний'!$I$67:$M$69,5,0)</f>
        <v>4.4537969640631703</v>
      </c>
      <c r="GZ53" s="748">
        <f t="shared" si="144"/>
        <v>66.806954460947551</v>
      </c>
      <c r="HA53" s="655" t="s">
        <v>1013</v>
      </c>
      <c r="HB53" s="720">
        <v>4</v>
      </c>
      <c r="HC53" s="747">
        <f>VLOOKUP(HA53,'Ціни контур мережний'!$I$64:$M$64,5,0)</f>
        <v>29.1312</v>
      </c>
      <c r="HD53" s="748">
        <f t="shared" si="145"/>
        <v>116.5248</v>
      </c>
      <c r="HE53" s="766" t="s">
        <v>1015</v>
      </c>
      <c r="HF53" s="749">
        <v>6</v>
      </c>
      <c r="HG53" s="747">
        <f>VLOOKUP(HE53,'Ціни контур мережний'!$I$89:$M$89,5,0)</f>
        <v>79.523165325760516</v>
      </c>
      <c r="HH53" s="765">
        <f t="shared" si="146"/>
        <v>477.1389919545631</v>
      </c>
      <c r="HI53" s="778" t="s">
        <v>1016</v>
      </c>
      <c r="HJ53" s="720">
        <f t="shared" si="152"/>
        <v>7</v>
      </c>
      <c r="HK53" s="747">
        <f>VLOOKUP(HI53,'Ціни контур мережний'!$I$88:$M$88,5,0)</f>
        <v>13.211568975967202</v>
      </c>
      <c r="HL53" s="768">
        <f t="shared" si="147"/>
        <v>92.480982831770419</v>
      </c>
      <c r="HM53" s="757" t="s">
        <v>383</v>
      </c>
      <c r="HN53" s="720">
        <v>1</v>
      </c>
      <c r="HO53" s="747">
        <f>VLOOKUP(HM53,'Ціни контур мережний'!$I$87:$M$87,5,0)</f>
        <v>13.483972460007763</v>
      </c>
      <c r="HP53" s="748">
        <f t="shared" si="148"/>
        <v>13.483972460007763</v>
      </c>
      <c r="HQ53" s="769">
        <f t="shared" si="97"/>
        <v>69</v>
      </c>
      <c r="HR53" s="770">
        <f t="shared" si="87"/>
        <v>7487.364591422127</v>
      </c>
      <c r="HS53" s="771">
        <v>0</v>
      </c>
      <c r="HT53" s="771">
        <f>'Таблиця цін схема №1'!$JE$45/'Ціни контур мережний'!$G$26</f>
        <v>578.85740358619182</v>
      </c>
      <c r="HU53" s="770">
        <f>'Таблиця цін схема №1'!$JG$8</f>
        <v>661.80181284518619</v>
      </c>
      <c r="HV53" s="770">
        <f>'Таблиця цін схема №1'!$JH$8</f>
        <v>487.81784379022207</v>
      </c>
      <c r="HW53" s="770">
        <f>'Таблиця цін схема №1'!$JI$8</f>
        <v>323.47913729816605</v>
      </c>
      <c r="HX53" s="770">
        <f>'Таблиця цін схема №1'!$JJ$8</f>
        <v>66.611999999999995</v>
      </c>
      <c r="HY53" s="770">
        <f>'Таблиця цін схема №1'!$JK$28</f>
        <v>0</v>
      </c>
      <c r="HZ53" s="772">
        <f>'Таблиця цін схема №1'!$JL$8</f>
        <v>62.86234247089866</v>
      </c>
      <c r="IA53" s="770">
        <f>'Таблиця цін схема №1'!$JM$28</f>
        <v>0</v>
      </c>
      <c r="IB53" s="770">
        <v>0</v>
      </c>
      <c r="IC53" s="913">
        <f t="shared" si="98"/>
        <v>676.81565919889545</v>
      </c>
      <c r="ID53" s="914">
        <f t="shared" si="99"/>
        <v>966.87951314127918</v>
      </c>
      <c r="IE53" s="915">
        <f t="shared" si="100"/>
        <v>166.32729663923965</v>
      </c>
      <c r="IF53" s="776">
        <f>'Таблиця цін схема №1'!$JR$8</f>
        <v>300.63036461094771</v>
      </c>
      <c r="IG53" s="777">
        <f t="shared" si="88"/>
        <v>11779.447965003154</v>
      </c>
      <c r="II53" s="835"/>
      <c r="IJ53" s="835"/>
      <c r="IK53" s="835"/>
      <c r="IL53" s="835"/>
    </row>
    <row r="54" spans="2:246" s="780" customFormat="1" ht="12.6" customHeight="1">
      <c r="B54" s="740">
        <v>70</v>
      </c>
      <c r="C54" s="1056" t="s">
        <v>931</v>
      </c>
      <c r="D54" s="892">
        <v>0.26951999999999998</v>
      </c>
      <c r="E54" s="918">
        <v>0.13247999999999999</v>
      </c>
      <c r="F54" s="742">
        <f t="shared" si="28"/>
        <v>8.2010797019969885</v>
      </c>
      <c r="G54" s="599">
        <v>65</v>
      </c>
      <c r="H54" s="598">
        <f t="shared" si="29"/>
        <v>4.8145766345123251</v>
      </c>
      <c r="I54" s="599">
        <v>40</v>
      </c>
      <c r="J54" s="598">
        <f t="shared" si="30"/>
        <v>11.206652806652805</v>
      </c>
      <c r="K54" s="599">
        <v>65</v>
      </c>
      <c r="L54" s="598">
        <f t="shared" si="31"/>
        <v>3.3865030674846626</v>
      </c>
      <c r="M54" s="599">
        <v>40</v>
      </c>
      <c r="N54" s="598">
        <f t="shared" si="32"/>
        <v>2.6872210953346856</v>
      </c>
      <c r="O54" s="599">
        <v>32</v>
      </c>
      <c r="P54" s="598">
        <f t="shared" si="153"/>
        <v>0.8061663286004056</v>
      </c>
      <c r="Q54" s="599">
        <v>20</v>
      </c>
      <c r="R54" s="598">
        <f t="shared" si="33"/>
        <v>6.8088395736119418</v>
      </c>
      <c r="S54" s="600">
        <f t="shared" si="104"/>
        <v>4.7892385670548983</v>
      </c>
      <c r="T54" s="744">
        <v>4</v>
      </c>
      <c r="U54" s="601">
        <f t="shared" si="35"/>
        <v>2.8016632016632013</v>
      </c>
      <c r="V54" s="601">
        <f t="shared" si="36"/>
        <v>3.9621500969937267</v>
      </c>
      <c r="W54" s="850">
        <v>32</v>
      </c>
      <c r="X54" s="751">
        <f t="shared" si="0"/>
        <v>65</v>
      </c>
      <c r="Y54" s="746">
        <v>2</v>
      </c>
      <c r="Z54" s="747">
        <f>VLOOKUP(X54,'Ціни контур мережний'!$Z$24:$AB$36,3,0)</f>
        <v>30.19184015363556</v>
      </c>
      <c r="AA54" s="748">
        <f t="shared" si="105"/>
        <v>60.383680307271121</v>
      </c>
      <c r="AB54" s="749">
        <f t="shared" si="1"/>
        <v>65</v>
      </c>
      <c r="AC54" s="749">
        <v>2</v>
      </c>
      <c r="AD54" s="747">
        <f>VLOOKUP(AB54,'Ціни контур мережний'!$Z$64:$AB$77,3,0)</f>
        <v>105.883234246566</v>
      </c>
      <c r="AE54" s="748">
        <f t="shared" si="106"/>
        <v>211.76646849313201</v>
      </c>
      <c r="AF54" s="746">
        <f t="shared" si="2"/>
        <v>65</v>
      </c>
      <c r="AG54" s="746">
        <v>1</v>
      </c>
      <c r="AH54" s="747">
        <f>VLOOKUP(AF54,'Ціни контур мережний'!$Z$5:$AB$17,3,0)</f>
        <v>39.731999999999999</v>
      </c>
      <c r="AI54" s="748">
        <f t="shared" si="107"/>
        <v>39.731999999999999</v>
      </c>
      <c r="AJ54" s="746">
        <f t="shared" si="3"/>
        <v>40</v>
      </c>
      <c r="AK54" s="746">
        <v>3</v>
      </c>
      <c r="AL54" s="747">
        <f>VLOOKUP(AJ54,'Ціни контур мережний'!$Z$43:$AB$55,3,0)</f>
        <v>18.42400964308333</v>
      </c>
      <c r="AM54" s="748">
        <f t="shared" si="108"/>
        <v>55.272028929249991</v>
      </c>
      <c r="AN54" s="745">
        <f t="shared" si="4"/>
        <v>40</v>
      </c>
      <c r="AO54" s="749">
        <v>4</v>
      </c>
      <c r="AP54" s="747">
        <f>VLOOKUP(AN54,'Ціни контур мережний'!$Z$43:$AB$55,3,0)</f>
        <v>18.42400964308333</v>
      </c>
      <c r="AQ54" s="759">
        <f t="shared" si="109"/>
        <v>73.696038572333322</v>
      </c>
      <c r="AR54" s="751" t="str">
        <f t="shared" si="42"/>
        <v>AMV20</v>
      </c>
      <c r="AS54" s="751">
        <v>1</v>
      </c>
      <c r="AT54" s="747">
        <f>VLOOKUP(AR54,'Ціни контур мережний'!$I$53:$M$57,5,0)</f>
        <v>110.39869654932889</v>
      </c>
      <c r="AU54" s="748">
        <f t="shared" si="110"/>
        <v>110.39869654932889</v>
      </c>
      <c r="AV54" s="752">
        <f t="array" ref="AV54">MIN(IF('Ціни контур мережний'!$Y$83:$Y$92&gt;(R54*1.2),'Ціни контур мережний'!$Y$83:$Y$92))</f>
        <v>10</v>
      </c>
      <c r="AW54" s="746">
        <f>VLOOKUP(AV54,'Ціни контур мережний'!$Y$83:$Z$92,2,0)</f>
        <v>25</v>
      </c>
      <c r="AX54" s="746">
        <v>1</v>
      </c>
      <c r="AY54" s="747">
        <f>VLOOKUP(AV54,'Ціни контур мережний'!$Y$83:$AB$92,4,0)</f>
        <v>117.50505648967251</v>
      </c>
      <c r="AZ54" s="748">
        <f t="shared" si="111"/>
        <v>117.50505648967251</v>
      </c>
      <c r="BA54" s="1099">
        <f t="array" ref="BA54">MIN(IF('[1]Ціни контур мережний'!$Y$104:$Y$114&gt;(R54*1.2),'[1]Ціни контур мережний'!$Y$104:$Y$114))</f>
        <v>12.5</v>
      </c>
      <c r="BB54" s="1101">
        <f>VLOOKUP(BA54,'[1]Ціни контур мережний'!$Y$104:$Z$114,2,0)</f>
        <v>32</v>
      </c>
      <c r="BC54" s="753">
        <v>1</v>
      </c>
      <c r="BD54" s="754">
        <f>VLOOKUP(BA54,'Ціни контур мережний'!$Y$104:$AB$114,4,0)</f>
        <v>435.76049604674444</v>
      </c>
      <c r="BE54" s="755">
        <f t="shared" si="112"/>
        <v>435.76049604674444</v>
      </c>
      <c r="BF54" s="751" t="s">
        <v>67</v>
      </c>
      <c r="BG54" s="749">
        <v>1</v>
      </c>
      <c r="BH54" s="747">
        <f>VLOOKUP(BF54,'Ціни контур мережний'!$I$53:$M$57,5,0)</f>
        <v>157.67238032974441</v>
      </c>
      <c r="BI54" s="768">
        <f t="shared" si="113"/>
        <v>157.67238032974441</v>
      </c>
      <c r="BJ54" s="894">
        <f t="array" ref="BJ54">MIN(IF('Ціни контур мережний'!$Y$83:$Y$93&gt;(S54*1.2),'Ціни контур мережний'!$Y$83:$Y$93))</f>
        <v>6.3</v>
      </c>
      <c r="BK54" s="895">
        <f>VLOOKUP(BJ54,'Ціни контур мережний'!$Y$83:$Z$93,2,0)</f>
        <v>20</v>
      </c>
      <c r="BL54" s="895">
        <v>1</v>
      </c>
      <c r="BM54" s="896">
        <f>VLOOKUP(BJ54,'Ціни контур мережний'!$Y$83:$AB$93,4,0)</f>
        <v>113.14115267534271</v>
      </c>
      <c r="BN54" s="916">
        <f t="shared" si="114"/>
        <v>113.14115267534271</v>
      </c>
      <c r="BO54" s="896">
        <f t="array" ref="BO54">MIN(IF('Ціни контур мережний'!$Y$104:$Y$114&gt;(S54*1.2),'Ціни контур мережний'!$Y$104:$Y$114))</f>
        <v>6.3</v>
      </c>
      <c r="BP54" s="895">
        <f>VLOOKUP(BO54,'Ціни контур мережний'!$Y$104:$Z$114,2,0)</f>
        <v>20</v>
      </c>
      <c r="BQ54" s="895">
        <v>1</v>
      </c>
      <c r="BR54" s="896">
        <f>VLOOKUP(BO54,'Ціни контур мережний'!$Y$104:$AB$114,4,0)</f>
        <v>259.83406541769665</v>
      </c>
      <c r="BS54" s="897">
        <f t="shared" si="115"/>
        <v>259.83406541769665</v>
      </c>
      <c r="BT54" s="751">
        <f>VLOOKUP(BU54,'Ціни контур мережний'!$J$5:$L$12,3,0)</f>
        <v>25</v>
      </c>
      <c r="BU54" s="751">
        <f t="array" ref="BU54">MIN(IF('Ціни контур мережний'!$J$5:$J$12&gt;H54,'Ціни контур мережний'!$J$5:$J$12))</f>
        <v>6</v>
      </c>
      <c r="BV54" s="746" t="s">
        <v>130</v>
      </c>
      <c r="BW54" s="756">
        <v>1</v>
      </c>
      <c r="BX54" s="747">
        <f>VLOOKUP(BU54,'Ціни контур мережний'!$J$5:$N$12,5,0)</f>
        <v>341.25599999999997</v>
      </c>
      <c r="BY54" s="748">
        <f t="shared" si="116"/>
        <v>341.25599999999997</v>
      </c>
      <c r="BZ54" s="745">
        <f>VLOOKUP(CA54,'Ціни контур мережний'!$J$5:$L$12,3,0)</f>
        <v>25</v>
      </c>
      <c r="CA54" s="747">
        <f t="array" ref="CA54">MIN(IF('Ціни контур мережний'!$J$5:$J$12&gt;L54,'Ціни контур мережний'!$J$5:$J$12))</f>
        <v>3.5</v>
      </c>
      <c r="CB54" s="746" t="s">
        <v>130</v>
      </c>
      <c r="CC54" s="749">
        <v>1</v>
      </c>
      <c r="CD54" s="747">
        <f>VLOOKUP(CA54,'Ціни контур мережний'!$J$5:$N$12,5,0)</f>
        <v>341.25599999999997</v>
      </c>
      <c r="CE54" s="748">
        <f t="shared" si="117"/>
        <v>341.25599999999997</v>
      </c>
      <c r="CF54" s="898" t="s">
        <v>1373</v>
      </c>
      <c r="CG54" s="899">
        <v>1</v>
      </c>
      <c r="CH54" s="900">
        <v>449</v>
      </c>
      <c r="CI54" s="901">
        <f t="shared" si="118"/>
        <v>449</v>
      </c>
      <c r="CJ54" s="751">
        <f t="shared" si="5"/>
        <v>65</v>
      </c>
      <c r="CK54" s="746">
        <v>4</v>
      </c>
      <c r="CL54" s="747">
        <f>VLOOKUP(CJ54,'Ціни контур теплопостачання'!$Y$5:$AA$17,3,0)</f>
        <v>30.19184015363556</v>
      </c>
      <c r="CM54" s="748">
        <f t="shared" si="119"/>
        <v>120.76736061454224</v>
      </c>
      <c r="CN54" s="746">
        <f t="shared" si="6"/>
        <v>32</v>
      </c>
      <c r="CO54" s="746">
        <v>6</v>
      </c>
      <c r="CP54" s="747">
        <f>VLOOKUP(CN54,'Ціни контур теплопостачання'!$AO$20:$AQ$29,3,0)</f>
        <v>10.381</v>
      </c>
      <c r="CQ54" s="748">
        <f t="shared" si="120"/>
        <v>62.286000000000001</v>
      </c>
      <c r="CR54" s="746">
        <f t="shared" si="7"/>
        <v>20</v>
      </c>
      <c r="CS54" s="746">
        <v>3</v>
      </c>
      <c r="CT54" s="747">
        <f>VLOOKUP(CR54,'Ціни контур теплопостачання'!$AO$20:$AQ$29,3,0)</f>
        <v>3.577</v>
      </c>
      <c r="CU54" s="748">
        <f t="shared" si="121"/>
        <v>10.731</v>
      </c>
      <c r="CV54" s="746">
        <f t="shared" si="8"/>
        <v>32</v>
      </c>
      <c r="CW54" s="746">
        <f t="shared" si="101"/>
        <v>8</v>
      </c>
      <c r="CX54" s="747">
        <f>VLOOKUP(CV54,'Ціни контур теплопостачання'!$Y$5:$AA$17,3,0)</f>
        <v>10.381</v>
      </c>
      <c r="CY54" s="748">
        <f t="shared" si="122"/>
        <v>83.048000000000002</v>
      </c>
      <c r="CZ54" s="745">
        <v>20</v>
      </c>
      <c r="DA54" s="749">
        <v>2</v>
      </c>
      <c r="DB54" s="747">
        <f>VLOOKUP(CZ54,'Ціни контур теплопостачання'!$Y$5:$AA$17,3,0)</f>
        <v>3.577</v>
      </c>
      <c r="DC54" s="748">
        <f t="shared" si="123"/>
        <v>7.1539999999999999</v>
      </c>
      <c r="DD54" s="745">
        <v>15</v>
      </c>
      <c r="DE54" s="745">
        <v>8</v>
      </c>
      <c r="DF54" s="758">
        <f>VLOOKUP(DD54,'Ціни контур теплопостачання'!$Y$5:$AA$17,3,0)</f>
        <v>2.464</v>
      </c>
      <c r="DG54" s="759">
        <f t="shared" si="124"/>
        <v>19.712</v>
      </c>
      <c r="DH54" s="745">
        <v>15</v>
      </c>
      <c r="DI54" s="745">
        <f t="shared" si="58"/>
        <v>39</v>
      </c>
      <c r="DJ54" s="758">
        <f>VLOOKUP(DH54,'Ціни контур мережний'!$J$71:$M$71,4,0)</f>
        <v>3.3865201135922525</v>
      </c>
      <c r="DK54" s="759">
        <f t="shared" si="125"/>
        <v>132.07428443009783</v>
      </c>
      <c r="DL54" s="751">
        <f t="shared" si="10"/>
        <v>65</v>
      </c>
      <c r="DM54" s="746">
        <v>1</v>
      </c>
      <c r="DN54" s="747">
        <f>VLOOKUP(DL54,'Ціни контур теплопостачання'!$K$5:$M$17,3,0)</f>
        <v>39.731999999999999</v>
      </c>
      <c r="DO54" s="748">
        <f t="shared" si="126"/>
        <v>39.731999999999999</v>
      </c>
      <c r="DP54" s="745">
        <f t="shared" si="11"/>
        <v>32</v>
      </c>
      <c r="DQ54" s="749">
        <v>1</v>
      </c>
      <c r="DR54" s="747">
        <f>VLOOKUP(DP54,'Ціни контур теплопостачання'!$K$5:$M$17,3,0)</f>
        <v>9.48</v>
      </c>
      <c r="DS54" s="748">
        <f t="shared" si="127"/>
        <v>9.48</v>
      </c>
      <c r="DT54" s="745">
        <f t="shared" si="12"/>
        <v>20</v>
      </c>
      <c r="DU54" s="745">
        <v>1</v>
      </c>
      <c r="DV54" s="758">
        <f>VLOOKUP(DT54,'Ціни контур теплопостачання'!$K$5:$M$17,3,0)</f>
        <v>3.48</v>
      </c>
      <c r="DW54" s="759">
        <f t="shared" si="128"/>
        <v>3.48</v>
      </c>
      <c r="DX54" s="745">
        <f t="shared" si="63"/>
        <v>65</v>
      </c>
      <c r="DY54" s="745">
        <v>1</v>
      </c>
      <c r="DZ54" s="758">
        <f>VLOOKUP(DX54,'Ціни контур теплопостачання'!$Y$24:$AA$36,3,0)</f>
        <v>42.080999999999996</v>
      </c>
      <c r="EA54" s="759">
        <f t="shared" si="64"/>
        <v>42.080999999999996</v>
      </c>
      <c r="EB54" s="751">
        <f t="shared" si="13"/>
        <v>65</v>
      </c>
      <c r="EC54" s="746">
        <v>2</v>
      </c>
      <c r="ED54" s="747">
        <f>VLOOKUP(EB54,'Ціни контур теплопостачання'!$Y$24:$AA$36,3,0)</f>
        <v>42.080999999999996</v>
      </c>
      <c r="EE54" s="748">
        <f t="shared" si="129"/>
        <v>84.161999999999992</v>
      </c>
      <c r="EF54" s="745">
        <f t="shared" si="14"/>
        <v>32</v>
      </c>
      <c r="EG54" s="749">
        <v>1</v>
      </c>
      <c r="EH54" s="747">
        <f>VLOOKUP(EF54,'Ціни контур теплопостачання'!$AO$38:$AQ$50,3,0)</f>
        <v>10.773</v>
      </c>
      <c r="EI54" s="748">
        <f t="shared" si="130"/>
        <v>10.773</v>
      </c>
      <c r="EJ54" s="745">
        <f t="shared" si="15"/>
        <v>20</v>
      </c>
      <c r="EK54" s="745">
        <v>1</v>
      </c>
      <c r="EL54" s="758">
        <f>VLOOKUP(EJ54,'Ціни контур теплопостачання'!$AO$38:$AQ$50,3,0)</f>
        <v>4.5359999999999996</v>
      </c>
      <c r="EM54" s="759">
        <f t="shared" si="131"/>
        <v>4.5359999999999996</v>
      </c>
      <c r="EN54" s="745">
        <f t="shared" si="16"/>
        <v>32</v>
      </c>
      <c r="EO54" s="745">
        <f t="shared" si="102"/>
        <v>8</v>
      </c>
      <c r="EP54" s="758">
        <f>VLOOKUP(EN54,'Ціни контур теплопостачання'!$Y$76:$AA$88,3,0)</f>
        <v>13.15</v>
      </c>
      <c r="EQ54" s="759">
        <f t="shared" si="132"/>
        <v>105.2</v>
      </c>
      <c r="ER54" s="745">
        <f t="shared" si="18"/>
        <v>32</v>
      </c>
      <c r="ES54" s="745">
        <v>1</v>
      </c>
      <c r="ET54" s="758">
        <f>VLOOKUP(ER54,'Ціни контур теплопостачання'!$Y$76:$AA$88,3,0)</f>
        <v>13.15</v>
      </c>
      <c r="EU54" s="759">
        <f t="shared" si="133"/>
        <v>13.15</v>
      </c>
      <c r="EV54" s="745">
        <f t="shared" si="19"/>
        <v>20</v>
      </c>
      <c r="EW54" s="745">
        <v>1</v>
      </c>
      <c r="EX54" s="758">
        <f>VLOOKUP(EV54,'Ціни контур теплопостачання'!$Y$76:$AA$88,3,0)</f>
        <v>11.45</v>
      </c>
      <c r="EY54" s="759">
        <f t="shared" si="134"/>
        <v>11.45</v>
      </c>
      <c r="EZ54" s="758">
        <f t="shared" si="95"/>
        <v>26.369709896015159</v>
      </c>
      <c r="FA54" s="955">
        <v>32</v>
      </c>
      <c r="FB54" s="719">
        <v>2</v>
      </c>
      <c r="FC54" s="747">
        <f>VLOOKUP(FA54,'Ціни контур теплопостачання'!$K$74:$M$79,3,0)</f>
        <v>33.68</v>
      </c>
      <c r="FD54" s="761">
        <f t="shared" si="96"/>
        <v>67.36</v>
      </c>
      <c r="FE54" s="762">
        <f t="shared" si="71"/>
        <v>11.206652806652805</v>
      </c>
      <c r="FF54" s="902">
        <v>9</v>
      </c>
      <c r="FG54" s="900">
        <v>8</v>
      </c>
      <c r="FH54" s="830" t="s">
        <v>123</v>
      </c>
      <c r="FI54" s="708">
        <v>2</v>
      </c>
      <c r="FJ54" s="709">
        <f>VLOOKUP(FH54,'Ціни контур теплопостачання'!$C$89:$M$105,11,0)</f>
        <v>387.45599999999996</v>
      </c>
      <c r="FK54" s="764">
        <f t="shared" si="135"/>
        <v>774.91199999999992</v>
      </c>
      <c r="FL54" s="912">
        <f t="shared" si="73"/>
        <v>0.8061663286004056</v>
      </c>
      <c r="FM54" s="902">
        <v>9</v>
      </c>
      <c r="FN54" s="900">
        <v>9</v>
      </c>
      <c r="FO54" s="900" t="s">
        <v>1097</v>
      </c>
      <c r="FP54" s="749">
        <v>1</v>
      </c>
      <c r="FQ54" s="747">
        <f>VLOOKUP(FO54,'Ціни контур теплопостачання'!$C$89:$M$105,11,0)</f>
        <v>241.2</v>
      </c>
      <c r="FR54" s="904">
        <f t="shared" si="136"/>
        <v>241.2</v>
      </c>
      <c r="FS54" s="758">
        <f t="array" ref="FS54">MIN(IF('Ціни контур теплопостачання'!$AN$68:$AN$77&gt;(V54*1.2),'Ціни контур теплопостачання'!$AN$68:$AN$77))</f>
        <v>5.83</v>
      </c>
      <c r="FT54" s="749">
        <f>VLOOKUP(FS54,'Ціни контур теплопостачання'!$AN$68:$AO$77,2,0)</f>
        <v>25</v>
      </c>
      <c r="FU54" s="749">
        <f t="shared" si="103"/>
        <v>4</v>
      </c>
      <c r="FV54" s="747">
        <f>VLOOKUP(FT54,'Ціни контур теплопостачання'!$AO$68:$AQ$77,3,0)</f>
        <v>26.495000000000001</v>
      </c>
      <c r="FW54" s="765">
        <f t="shared" si="137"/>
        <v>105.98</v>
      </c>
      <c r="FX54" s="750">
        <v>15</v>
      </c>
      <c r="FY54" s="746">
        <v>2</v>
      </c>
      <c r="FZ54" s="747">
        <f>VLOOKUP(FX54,'Ціни контур мережний'!$J$73:$M$73,4,0)</f>
        <v>3.4649999999999999</v>
      </c>
      <c r="GA54" s="748">
        <f t="shared" si="138"/>
        <v>6.93</v>
      </c>
      <c r="GB54" s="750">
        <f>VLOOKUP(GC54,'Ціни контур теплопостачання'!$AN$6:$AO$13,2,0)</f>
        <v>25</v>
      </c>
      <c r="GC54" s="751">
        <f t="array" ref="GC54">MIN(IF('Ціни контур теплопостачання'!$AN$6:$AN$13&gt;N54,'Ціни контур теплопостачання'!$AN$6:$AN$13))</f>
        <v>3.5</v>
      </c>
      <c r="GD54" s="751">
        <v>1</v>
      </c>
      <c r="GE54" s="747">
        <f>VLOOKUP(GB54,'Ціни контур теплопостачання'!$AO$6:$AQ$13,3,0)</f>
        <v>76.3506</v>
      </c>
      <c r="GF54" s="748">
        <f t="shared" si="139"/>
        <v>76.3506</v>
      </c>
      <c r="GG54" s="746">
        <f t="shared" si="23"/>
        <v>32</v>
      </c>
      <c r="GH54" s="746">
        <v>1</v>
      </c>
      <c r="GI54" s="747">
        <f>VLOOKUP(GG54,'Ціни контур теплопостачання'!$AO$55:$AQ$63,3,0)</f>
        <v>150.1</v>
      </c>
      <c r="GJ54" s="768">
        <f t="shared" si="140"/>
        <v>150.1</v>
      </c>
      <c r="GK54" s="655" t="str">
        <f t="shared" si="150"/>
        <v>0-150</v>
      </c>
      <c r="GL54" s="720">
        <v>1</v>
      </c>
      <c r="GM54" s="747">
        <f>VLOOKUP(GK54,'Ціни контур мережний'!$I$79:$M$80,5,0)</f>
        <v>15.050156291498967</v>
      </c>
      <c r="GN54" s="748">
        <f t="shared" si="141"/>
        <v>15.050156291498967</v>
      </c>
      <c r="GO54" s="758" t="s">
        <v>109</v>
      </c>
      <c r="GP54" s="749">
        <v>5</v>
      </c>
      <c r="GQ54" s="747">
        <f>VLOOKUP(GO54,'Ціни контур мережний'!$I$79:$M$80,5,0)</f>
        <v>15.050156291498967</v>
      </c>
      <c r="GR54" s="765">
        <f t="shared" si="142"/>
        <v>75.250781457494838</v>
      </c>
      <c r="GS54" s="655" t="s">
        <v>108</v>
      </c>
      <c r="GT54" s="720">
        <v>5</v>
      </c>
      <c r="GU54" s="747">
        <f>VLOOKUP(GS54,'Ціни контур мережний'!$I$67:$M$69,5,0)</f>
        <v>4.4537969640631703</v>
      </c>
      <c r="GV54" s="748">
        <f t="shared" si="143"/>
        <v>22.26898482031585</v>
      </c>
      <c r="GW54" s="655" t="s">
        <v>106</v>
      </c>
      <c r="GX54" s="720">
        <f t="shared" si="151"/>
        <v>15</v>
      </c>
      <c r="GY54" s="747">
        <f>VLOOKUP(GW54,'Ціни контур мережний'!$I$67:$M$69,5,0)</f>
        <v>4.4537969640631703</v>
      </c>
      <c r="GZ54" s="748">
        <f t="shared" si="144"/>
        <v>66.806954460947551</v>
      </c>
      <c r="HA54" s="655" t="s">
        <v>1013</v>
      </c>
      <c r="HB54" s="720">
        <v>4</v>
      </c>
      <c r="HC54" s="747">
        <f>VLOOKUP(HA54,'Ціни контур мережний'!$I$64:$M$64,5,0)</f>
        <v>29.1312</v>
      </c>
      <c r="HD54" s="748">
        <f t="shared" si="145"/>
        <v>116.5248</v>
      </c>
      <c r="HE54" s="766" t="s">
        <v>1015</v>
      </c>
      <c r="HF54" s="749">
        <v>6</v>
      </c>
      <c r="HG54" s="747">
        <f>VLOOKUP(HE54,'Ціни контур мережний'!$I$89:$M$89,5,0)</f>
        <v>79.523165325760516</v>
      </c>
      <c r="HH54" s="765">
        <f t="shared" si="146"/>
        <v>477.1389919545631</v>
      </c>
      <c r="HI54" s="767" t="s">
        <v>1016</v>
      </c>
      <c r="HJ54" s="720">
        <f t="shared" si="152"/>
        <v>7</v>
      </c>
      <c r="HK54" s="747">
        <f>VLOOKUP(HI54,'Ціни контур мережний'!$I$88:$M$88,5,0)</f>
        <v>13.211568975967202</v>
      </c>
      <c r="HL54" s="768">
        <f t="shared" si="147"/>
        <v>92.480982831770419</v>
      </c>
      <c r="HM54" s="767" t="s">
        <v>383</v>
      </c>
      <c r="HN54" s="720">
        <v>1</v>
      </c>
      <c r="HO54" s="747">
        <f>VLOOKUP(HM54,'Ціни контур мережний'!$I$87:$M$87,5,0)</f>
        <v>13.483972460007763</v>
      </c>
      <c r="HP54" s="748">
        <f t="shared" si="148"/>
        <v>13.483972460007763</v>
      </c>
      <c r="HQ54" s="769">
        <f t="shared" si="97"/>
        <v>70</v>
      </c>
      <c r="HR54" s="770">
        <f t="shared" si="87"/>
        <v>5828.3289331317546</v>
      </c>
      <c r="HS54" s="771">
        <v>0</v>
      </c>
      <c r="HT54" s="771">
        <f>'Таблиця цін схема №1'!$JE$44/'Ціни контур мережний'!$G$26</f>
        <v>476.70609707098151</v>
      </c>
      <c r="HU54" s="770">
        <f>'Таблиця цін схема №1'!$JG$8</f>
        <v>661.80181284518619</v>
      </c>
      <c r="HV54" s="770">
        <f>'Таблиця цін схема №1'!$JH$8</f>
        <v>487.81784379022207</v>
      </c>
      <c r="HW54" s="770">
        <f>'Таблиця цін схема №1'!$JI$8</f>
        <v>323.47913729816605</v>
      </c>
      <c r="HX54" s="770">
        <f>'Таблиця цін схема №1'!$JJ$8</f>
        <v>66.611999999999995</v>
      </c>
      <c r="HY54" s="770">
        <f>'Таблиця цін схема №1'!$JK$28</f>
        <v>0</v>
      </c>
      <c r="HZ54" s="772">
        <f>'Таблиця цін схема №1'!$JL$8</f>
        <v>62.86234247089866</v>
      </c>
      <c r="IA54" s="770">
        <f>'Таблиця цін схема №1'!$JM$28</f>
        <v>0</v>
      </c>
      <c r="IB54" s="770">
        <v>0</v>
      </c>
      <c r="IC54" s="773">
        <f t="shared" si="98"/>
        <v>553.53257166250478</v>
      </c>
      <c r="ID54" s="774">
        <f t="shared" si="99"/>
        <v>790.76081666072105</v>
      </c>
      <c r="IE54" s="775">
        <f t="shared" si="100"/>
        <v>136.03050549298132</v>
      </c>
      <c r="IF54" s="776">
        <f>'Таблиця цін схема №1'!$JR$8</f>
        <v>300.63036461094771</v>
      </c>
      <c r="IG54" s="777">
        <f t="shared" si="88"/>
        <v>9688.5624250343644</v>
      </c>
      <c r="II54" s="826"/>
      <c r="IJ54" s="826"/>
      <c r="IK54" s="826"/>
      <c r="IL54" s="826"/>
    </row>
    <row r="55" spans="2:246" s="780" customFormat="1" ht="12.6" customHeight="1">
      <c r="B55" s="905">
        <v>71</v>
      </c>
      <c r="C55" s="1056" t="s">
        <v>932</v>
      </c>
      <c r="D55" s="906">
        <v>0.37786999999999998</v>
      </c>
      <c r="E55" s="907">
        <v>0.18648000000000001</v>
      </c>
      <c r="F55" s="908">
        <f t="shared" si="28"/>
        <v>11.516960483257606</v>
      </c>
      <c r="G55" s="599">
        <v>65</v>
      </c>
      <c r="H55" s="598">
        <f t="shared" si="29"/>
        <v>6.7500893176134333</v>
      </c>
      <c r="I55" s="599">
        <v>50</v>
      </c>
      <c r="J55" s="598">
        <f t="shared" si="30"/>
        <v>15.711850311850311</v>
      </c>
      <c r="K55" s="599">
        <v>80</v>
      </c>
      <c r="L55" s="598">
        <f t="shared" si="31"/>
        <v>4.7668711656441722</v>
      </c>
      <c r="M55" s="599">
        <v>40</v>
      </c>
      <c r="N55" s="598">
        <f t="shared" si="32"/>
        <v>3.7825557809330634</v>
      </c>
      <c r="O55" s="599">
        <v>40</v>
      </c>
      <c r="P55" s="598">
        <f t="shared" si="153"/>
        <v>1.134766734279919</v>
      </c>
      <c r="Q55" s="599">
        <v>20</v>
      </c>
      <c r="R55" s="598">
        <f t="shared" si="33"/>
        <v>9.5460678601986668</v>
      </c>
      <c r="S55" s="600">
        <f t="shared" si="104"/>
        <v>6.7413738525392324</v>
      </c>
      <c r="T55" s="910">
        <v>4</v>
      </c>
      <c r="U55" s="601">
        <f t="shared" si="35"/>
        <v>3.9279625779625778</v>
      </c>
      <c r="V55" s="601">
        <f t="shared" si="36"/>
        <v>5.5549779502486629</v>
      </c>
      <c r="W55" s="850">
        <v>40</v>
      </c>
      <c r="X55" s="751">
        <f t="shared" si="0"/>
        <v>65</v>
      </c>
      <c r="Y55" s="746">
        <v>2</v>
      </c>
      <c r="Z55" s="747">
        <f>VLOOKUP(X55,'Ціни контур мережний'!$Z$24:$AB$36,3,0)</f>
        <v>30.19184015363556</v>
      </c>
      <c r="AA55" s="748">
        <f t="shared" si="105"/>
        <v>60.383680307271121</v>
      </c>
      <c r="AB55" s="749">
        <f t="shared" si="1"/>
        <v>65</v>
      </c>
      <c r="AC55" s="749">
        <v>2</v>
      </c>
      <c r="AD55" s="747">
        <f>VLOOKUP(AB55,'Ціни контур мережний'!$Z$64:$AB$77,3,0)</f>
        <v>105.883234246566</v>
      </c>
      <c r="AE55" s="748">
        <f t="shared" si="106"/>
        <v>211.76646849313201</v>
      </c>
      <c r="AF55" s="746">
        <f t="shared" si="2"/>
        <v>65</v>
      </c>
      <c r="AG55" s="746">
        <v>1</v>
      </c>
      <c r="AH55" s="747">
        <f>VLOOKUP(AF55,'Ціни контур мережний'!$Z$5:$AB$17,3,0)</f>
        <v>39.731999999999999</v>
      </c>
      <c r="AI55" s="748">
        <f t="shared" si="107"/>
        <v>39.731999999999999</v>
      </c>
      <c r="AJ55" s="746">
        <f t="shared" si="3"/>
        <v>50</v>
      </c>
      <c r="AK55" s="746">
        <v>3</v>
      </c>
      <c r="AL55" s="747">
        <f>VLOOKUP(AJ55,'Ціни контур мережний'!$Z$43:$AB$55,3,0)</f>
        <v>23.2782130224622</v>
      </c>
      <c r="AM55" s="748">
        <f t="shared" si="108"/>
        <v>69.834639067386604</v>
      </c>
      <c r="AN55" s="745">
        <f t="shared" si="4"/>
        <v>40</v>
      </c>
      <c r="AO55" s="749">
        <v>4</v>
      </c>
      <c r="AP55" s="747">
        <f>VLOOKUP(AN55,'Ціни контур мережний'!$Z$43:$AB$55,3,0)</f>
        <v>18.42400964308333</v>
      </c>
      <c r="AQ55" s="759">
        <f t="shared" si="109"/>
        <v>73.696038572333322</v>
      </c>
      <c r="AR55" s="751" t="str">
        <f t="shared" si="42"/>
        <v>AMV20</v>
      </c>
      <c r="AS55" s="751">
        <v>1</v>
      </c>
      <c r="AT55" s="747">
        <f>VLOOKUP(AR55,'Ціни контур мережний'!$I$53:$M$57,5,0)</f>
        <v>110.39869654932889</v>
      </c>
      <c r="AU55" s="748">
        <f t="shared" si="110"/>
        <v>110.39869654932889</v>
      </c>
      <c r="AV55" s="752">
        <f t="array" ref="AV55">MIN(IF('Ціни контур мережний'!$Y$83:$Y$92&gt;(R55*1.2),'Ціни контур мережний'!$Y$83:$Y$92))</f>
        <v>16</v>
      </c>
      <c r="AW55" s="746">
        <f>VLOOKUP(AV55,'Ціни контур мережний'!$Y$83:$Z$92,2,0)</f>
        <v>32</v>
      </c>
      <c r="AX55" s="746">
        <v>1</v>
      </c>
      <c r="AY55" s="747">
        <f>VLOOKUP(AV55,'Ціни контур мережний'!$Y$83:$AB$92,4,0)</f>
        <v>130.5392363168325</v>
      </c>
      <c r="AZ55" s="748">
        <f t="shared" si="111"/>
        <v>130.5392363168325</v>
      </c>
      <c r="BA55" s="1099">
        <f t="array" ref="BA55">MIN(IF('[1]Ціни контур мережний'!$Y$104:$Y$114&gt;(R55*1.2),'[1]Ціни контур мережний'!$Y$104:$Y$114))</f>
        <v>12.5</v>
      </c>
      <c r="BB55" s="1101">
        <f>VLOOKUP(BA55,'[1]Ціни контур мережний'!$Y$104:$Z$114,2,0)</f>
        <v>32</v>
      </c>
      <c r="BC55" s="753">
        <v>1</v>
      </c>
      <c r="BD55" s="754">
        <f>VLOOKUP(BA55,'Ціни контур мережний'!$Y$104:$AB$114,4,0)</f>
        <v>435.76049604674444</v>
      </c>
      <c r="BE55" s="755">
        <f t="shared" si="112"/>
        <v>435.76049604674444</v>
      </c>
      <c r="BF55" s="751" t="s">
        <v>67</v>
      </c>
      <c r="BG55" s="749">
        <v>1</v>
      </c>
      <c r="BH55" s="747">
        <f>VLOOKUP(BF55,'Ціни контур мережний'!$I$53:$M$57,5,0)</f>
        <v>157.67238032974441</v>
      </c>
      <c r="BI55" s="768">
        <f t="shared" si="113"/>
        <v>157.67238032974441</v>
      </c>
      <c r="BJ55" s="894">
        <f t="array" ref="BJ55">MIN(IF('Ціни контур мережний'!$Y$83:$Y$93&gt;(S55*1.2),'Ціни контур мережний'!$Y$83:$Y$93))</f>
        <v>10</v>
      </c>
      <c r="BK55" s="895">
        <f>VLOOKUP(BJ55,'Ціни контур мережний'!$Y$83:$Z$93,2,0)</f>
        <v>25</v>
      </c>
      <c r="BL55" s="895">
        <v>1</v>
      </c>
      <c r="BM55" s="896">
        <f>VLOOKUP(BJ55,'Ціни контур мережний'!$Y$83:$AB$93,4,0)</f>
        <v>117.50505648967251</v>
      </c>
      <c r="BN55" s="916">
        <f t="shared" si="114"/>
        <v>117.50505648967251</v>
      </c>
      <c r="BO55" s="896">
        <f t="array" ref="BO55">MIN(IF('Ціни контур мережний'!$Y$104:$Y$114&gt;(S55*1.2),'Ціни контур мережний'!$Y$104:$Y$114))</f>
        <v>12.5</v>
      </c>
      <c r="BP55" s="895">
        <f>VLOOKUP(BO55,'Ціни контур мережний'!$Y$104:$Z$114,2,0)</f>
        <v>32</v>
      </c>
      <c r="BQ55" s="895">
        <v>1</v>
      </c>
      <c r="BR55" s="896">
        <f>VLOOKUP(BO55,'Ціни контур мережний'!$Y$104:$AB$114,4,0)</f>
        <v>435.76049604674444</v>
      </c>
      <c r="BS55" s="897">
        <f t="shared" si="115"/>
        <v>435.76049604674444</v>
      </c>
      <c r="BT55" s="751" t="s">
        <v>115</v>
      </c>
      <c r="BU55" s="751" t="s">
        <v>115</v>
      </c>
      <c r="BV55" s="746" t="s">
        <v>1025</v>
      </c>
      <c r="BW55" s="756">
        <v>0</v>
      </c>
      <c r="BX55" s="747">
        <v>0</v>
      </c>
      <c r="BY55" s="748">
        <f t="shared" si="116"/>
        <v>0</v>
      </c>
      <c r="BZ55" s="745">
        <f>VLOOKUP(CA55,'Ціни контур мережний'!$J$5:$L$12,3,0)</f>
        <v>25</v>
      </c>
      <c r="CA55" s="747">
        <f t="array" ref="CA55">MIN(IF('Ціни контур мережний'!$J$5:$J$12&gt;L55,'Ціни контур мережний'!$J$5:$J$12))</f>
        <v>6</v>
      </c>
      <c r="CB55" s="746" t="s">
        <v>130</v>
      </c>
      <c r="CC55" s="749">
        <v>1</v>
      </c>
      <c r="CD55" s="747">
        <f>VLOOKUP(CA55,'Ціни контур мережний'!$J$5:$N$12,5,0)</f>
        <v>341.25599999999997</v>
      </c>
      <c r="CE55" s="748">
        <f t="shared" si="117"/>
        <v>341.25599999999997</v>
      </c>
      <c r="CF55" s="898" t="s">
        <v>1374</v>
      </c>
      <c r="CG55" s="899">
        <v>1</v>
      </c>
      <c r="CH55" s="900">
        <v>550</v>
      </c>
      <c r="CI55" s="901">
        <f t="shared" si="118"/>
        <v>550</v>
      </c>
      <c r="CJ55" s="751">
        <f t="shared" si="5"/>
        <v>80</v>
      </c>
      <c r="CK55" s="746">
        <v>4</v>
      </c>
      <c r="CL55" s="747">
        <f>VLOOKUP(CJ55,'Ціни контур теплопостачання'!$Y$5:$AA$17,3,0)</f>
        <v>37.693832104112609</v>
      </c>
      <c r="CM55" s="748">
        <f t="shared" si="119"/>
        <v>150.77532841645044</v>
      </c>
      <c r="CN55" s="746">
        <f t="shared" si="6"/>
        <v>40</v>
      </c>
      <c r="CO55" s="746">
        <v>6</v>
      </c>
      <c r="CP55" s="747">
        <f>VLOOKUP(CN55,'Ціни контур теплопостачання'!$AO$20:$AQ$29,3,0)</f>
        <v>37.980000000000004</v>
      </c>
      <c r="CQ55" s="748">
        <f t="shared" si="120"/>
        <v>227.88000000000002</v>
      </c>
      <c r="CR55" s="746">
        <f t="shared" si="7"/>
        <v>20</v>
      </c>
      <c r="CS55" s="746">
        <v>3</v>
      </c>
      <c r="CT55" s="747">
        <f>VLOOKUP(CR55,'Ціни контур теплопостачання'!$AO$20:$AQ$29,3,0)</f>
        <v>3.577</v>
      </c>
      <c r="CU55" s="748">
        <f t="shared" si="121"/>
        <v>10.731</v>
      </c>
      <c r="CV55" s="746">
        <f t="shared" si="8"/>
        <v>40</v>
      </c>
      <c r="CW55" s="746">
        <f t="shared" si="101"/>
        <v>8</v>
      </c>
      <c r="CX55" s="747">
        <f>VLOOKUP(CV55,'Ціни контур теплопостачання'!$Y$5:$AA$17,3,0)</f>
        <v>18.42400964308333</v>
      </c>
      <c r="CY55" s="748">
        <f t="shared" si="122"/>
        <v>147.39207714466664</v>
      </c>
      <c r="CZ55" s="745">
        <v>20</v>
      </c>
      <c r="DA55" s="749">
        <v>2</v>
      </c>
      <c r="DB55" s="747">
        <f>VLOOKUP(CZ55,'Ціни контур теплопостачання'!$Y$5:$AA$17,3,0)</f>
        <v>3.577</v>
      </c>
      <c r="DC55" s="748">
        <f t="shared" si="123"/>
        <v>7.1539999999999999</v>
      </c>
      <c r="DD55" s="745">
        <v>15</v>
      </c>
      <c r="DE55" s="745">
        <v>8</v>
      </c>
      <c r="DF55" s="758">
        <f>VLOOKUP(DD55,'Ціни контур теплопостачання'!$Y$5:$AA$17,3,0)</f>
        <v>2.464</v>
      </c>
      <c r="DG55" s="759">
        <f t="shared" si="124"/>
        <v>19.712</v>
      </c>
      <c r="DH55" s="745">
        <v>15</v>
      </c>
      <c r="DI55" s="745">
        <f t="shared" si="58"/>
        <v>39</v>
      </c>
      <c r="DJ55" s="758">
        <f>VLOOKUP(DH55,'Ціни контур мережний'!$J$71:$M$71,4,0)</f>
        <v>3.3865201135922525</v>
      </c>
      <c r="DK55" s="759">
        <f t="shared" si="125"/>
        <v>132.07428443009783</v>
      </c>
      <c r="DL55" s="751">
        <f t="shared" si="10"/>
        <v>80</v>
      </c>
      <c r="DM55" s="746">
        <v>1</v>
      </c>
      <c r="DN55" s="747">
        <f>VLOOKUP(DL55,'Ціни контур теплопостачання'!$K$5:$M$17,3,0)</f>
        <v>50.12</v>
      </c>
      <c r="DO55" s="748">
        <f t="shared" si="126"/>
        <v>50.12</v>
      </c>
      <c r="DP55" s="745">
        <f t="shared" si="11"/>
        <v>40</v>
      </c>
      <c r="DQ55" s="749">
        <v>1</v>
      </c>
      <c r="DR55" s="747">
        <f>VLOOKUP(DP55,'Ціни контур теплопостачання'!$K$5:$M$17,3,0)</f>
        <v>23.225999999999999</v>
      </c>
      <c r="DS55" s="748">
        <f t="shared" si="127"/>
        <v>23.225999999999999</v>
      </c>
      <c r="DT55" s="745">
        <f t="shared" si="12"/>
        <v>20</v>
      </c>
      <c r="DU55" s="745">
        <v>1</v>
      </c>
      <c r="DV55" s="758">
        <f>VLOOKUP(DT55,'Ціни контур теплопостачання'!$K$5:$M$17,3,0)</f>
        <v>3.48</v>
      </c>
      <c r="DW55" s="759">
        <f t="shared" si="128"/>
        <v>3.48</v>
      </c>
      <c r="DX55" s="745">
        <f t="shared" si="63"/>
        <v>80</v>
      </c>
      <c r="DY55" s="745">
        <v>1</v>
      </c>
      <c r="DZ55" s="758">
        <f>VLOOKUP(DX55,'Ціни контур теплопостачання'!$Y$24:$AA$36,3,0)</f>
        <v>60.079499999999996</v>
      </c>
      <c r="EA55" s="759">
        <f t="shared" si="64"/>
        <v>60.079499999999996</v>
      </c>
      <c r="EB55" s="751">
        <f t="shared" si="13"/>
        <v>80</v>
      </c>
      <c r="EC55" s="746">
        <v>2</v>
      </c>
      <c r="ED55" s="747">
        <f>VLOOKUP(EB55,'Ціни контур теплопостачання'!$Y$24:$AA$36,3,0)</f>
        <v>60.079499999999996</v>
      </c>
      <c r="EE55" s="748">
        <f t="shared" si="129"/>
        <v>120.15899999999999</v>
      </c>
      <c r="EF55" s="745">
        <f t="shared" si="14"/>
        <v>40</v>
      </c>
      <c r="EG55" s="749">
        <v>1</v>
      </c>
      <c r="EH55" s="747">
        <f>VLOOKUP(EF55,'Ціни контур теплопостачання'!$AO$38:$AQ$50,3,0)</f>
        <v>20.3645</v>
      </c>
      <c r="EI55" s="748">
        <f t="shared" si="130"/>
        <v>20.3645</v>
      </c>
      <c r="EJ55" s="745">
        <f t="shared" si="15"/>
        <v>20</v>
      </c>
      <c r="EK55" s="745">
        <v>1</v>
      </c>
      <c r="EL55" s="758">
        <f>VLOOKUP(EJ55,'Ціни контур теплопостачання'!$AO$38:$AQ$50,3,0)</f>
        <v>4.5359999999999996</v>
      </c>
      <c r="EM55" s="759">
        <f t="shared" si="131"/>
        <v>4.5359999999999996</v>
      </c>
      <c r="EN55" s="745">
        <f t="shared" si="16"/>
        <v>40</v>
      </c>
      <c r="EO55" s="745">
        <f t="shared" si="102"/>
        <v>8</v>
      </c>
      <c r="EP55" s="758">
        <f>VLOOKUP(EN55,'Ціни контур теплопостачання'!$Y$76:$AA$88,3,0)</f>
        <v>16.809999999999999</v>
      </c>
      <c r="EQ55" s="759">
        <f t="shared" si="132"/>
        <v>134.47999999999999</v>
      </c>
      <c r="ER55" s="745">
        <f t="shared" si="18"/>
        <v>40</v>
      </c>
      <c r="ES55" s="745">
        <v>1</v>
      </c>
      <c r="ET55" s="758">
        <f>VLOOKUP(ER55,'Ціни контур теплопостачання'!$Y$76:$AA$88,3,0)</f>
        <v>16.809999999999999</v>
      </c>
      <c r="EU55" s="759">
        <f t="shared" si="133"/>
        <v>16.809999999999999</v>
      </c>
      <c r="EV55" s="745">
        <f t="shared" si="19"/>
        <v>20</v>
      </c>
      <c r="EW55" s="745">
        <v>1</v>
      </c>
      <c r="EX55" s="758">
        <f>VLOOKUP(EV55,'Ціни контур теплопостачання'!$Y$76:$AA$88,3,0)</f>
        <v>11.45</v>
      </c>
      <c r="EY55" s="759">
        <f t="shared" si="134"/>
        <v>11.45</v>
      </c>
      <c r="EZ55" s="758">
        <f t="shared" si="95"/>
        <v>31.223462332034863</v>
      </c>
      <c r="FA55" s="955">
        <v>32</v>
      </c>
      <c r="FB55" s="719">
        <v>2</v>
      </c>
      <c r="FC55" s="747">
        <f>VLOOKUP(FA55,'Ціни контур теплопостачання'!$K$74:$M$79,3,0)</f>
        <v>33.68</v>
      </c>
      <c r="FD55" s="761">
        <f t="shared" si="96"/>
        <v>67.36</v>
      </c>
      <c r="FE55" s="762">
        <f t="shared" si="71"/>
        <v>15.711850311850311</v>
      </c>
      <c r="FF55" s="911">
        <v>9</v>
      </c>
      <c r="FG55" s="900">
        <v>8</v>
      </c>
      <c r="FH55" s="830" t="s">
        <v>1090</v>
      </c>
      <c r="FI55" s="708">
        <v>2</v>
      </c>
      <c r="FJ55" s="709">
        <f>VLOOKUP(FH55,'Ціни контур теплопостачання'!$C$89:$M$105,11,0)</f>
        <v>648.69600000000003</v>
      </c>
      <c r="FK55" s="764">
        <f t="shared" si="135"/>
        <v>1297.3920000000001</v>
      </c>
      <c r="FL55" s="912">
        <f t="shared" si="73"/>
        <v>1.134766734279919</v>
      </c>
      <c r="FM55" s="911">
        <v>9</v>
      </c>
      <c r="FN55" s="900">
        <v>9</v>
      </c>
      <c r="FO55" s="900" t="s">
        <v>1097</v>
      </c>
      <c r="FP55" s="749">
        <v>1</v>
      </c>
      <c r="FQ55" s="747">
        <f>VLOOKUP(FO55,'Ціни контур теплопостачання'!$C$89:$M$105,11,0)</f>
        <v>241.2</v>
      </c>
      <c r="FR55" s="904">
        <f t="shared" si="136"/>
        <v>241.2</v>
      </c>
      <c r="FS55" s="758">
        <f t="array" ref="FS55">MIN(IF('Ціни контур теплопостачання'!$AN$68:$AN$77&gt;(V55*1.2),'Ціни контур теплопостачання'!$AN$68:$AN$77))</f>
        <v>11.13</v>
      </c>
      <c r="FT55" s="749">
        <f>VLOOKUP(FS55,'Ціни контур теплопостачання'!$AN$68:$AO$77,2,0)</f>
        <v>32</v>
      </c>
      <c r="FU55" s="749">
        <f t="shared" si="103"/>
        <v>4</v>
      </c>
      <c r="FV55" s="747">
        <f>VLOOKUP(FT55,'Ціни контур теплопостачання'!$AO$68:$AQ$77,3,0)</f>
        <v>37.183999999999997</v>
      </c>
      <c r="FW55" s="765">
        <f t="shared" si="137"/>
        <v>148.73599999999999</v>
      </c>
      <c r="FX55" s="750">
        <v>15</v>
      </c>
      <c r="FY55" s="746">
        <v>2</v>
      </c>
      <c r="FZ55" s="747">
        <f>VLOOKUP(FX55,'Ціни контур мережний'!$J$73:$M$73,4,0)</f>
        <v>3.4649999999999999</v>
      </c>
      <c r="GA55" s="748">
        <f t="shared" si="138"/>
        <v>6.93</v>
      </c>
      <c r="GB55" s="750">
        <f>VLOOKUP(GC55,'Ціни контур теплопостачання'!$AN$6:$AO$13,2,0)</f>
        <v>32</v>
      </c>
      <c r="GC55" s="751">
        <f t="array" ref="GC55">MIN(IF('Ціни контур теплопостачання'!$AN$6:$AN$13&gt;N55,'Ціни контур теплопостачання'!$AN$6:$AN$13))</f>
        <v>6</v>
      </c>
      <c r="GD55" s="751">
        <v>1</v>
      </c>
      <c r="GE55" s="747">
        <f>VLOOKUP(GB55,'Ціни контур теплопостачання'!$AO$6:$AQ$13,3,0)</f>
        <v>85.682340000000011</v>
      </c>
      <c r="GF55" s="748">
        <f t="shared" si="139"/>
        <v>85.682340000000011</v>
      </c>
      <c r="GG55" s="746">
        <f t="shared" si="23"/>
        <v>40</v>
      </c>
      <c r="GH55" s="746">
        <v>1</v>
      </c>
      <c r="GI55" s="747">
        <f>VLOOKUP(GG55,'Ціни контур теплопостачання'!$AO$55:$AQ$63,3,0)</f>
        <v>193.55</v>
      </c>
      <c r="GJ55" s="768">
        <f t="shared" si="140"/>
        <v>193.55</v>
      </c>
      <c r="GK55" s="655" t="str">
        <f t="shared" si="150"/>
        <v>0-150</v>
      </c>
      <c r="GL55" s="720">
        <v>1</v>
      </c>
      <c r="GM55" s="747">
        <f>VLOOKUP(GK55,'Ціни контур мережний'!$I$79:$M$80,5,0)</f>
        <v>15.050156291498967</v>
      </c>
      <c r="GN55" s="748">
        <f t="shared" si="141"/>
        <v>15.050156291498967</v>
      </c>
      <c r="GO55" s="758" t="s">
        <v>109</v>
      </c>
      <c r="GP55" s="749">
        <v>5</v>
      </c>
      <c r="GQ55" s="747">
        <f>VLOOKUP(GO55,'Ціни контур мережний'!$I$79:$M$80,5,0)</f>
        <v>15.050156291498967</v>
      </c>
      <c r="GR55" s="765">
        <f t="shared" si="142"/>
        <v>75.250781457494838</v>
      </c>
      <c r="GS55" s="655" t="s">
        <v>108</v>
      </c>
      <c r="GT55" s="720">
        <v>5</v>
      </c>
      <c r="GU55" s="747">
        <f>VLOOKUP(GS55,'Ціни контур мережний'!$I$67:$M$69,5,0)</f>
        <v>4.4537969640631703</v>
      </c>
      <c r="GV55" s="748">
        <f t="shared" si="143"/>
        <v>22.26898482031585</v>
      </c>
      <c r="GW55" s="655" t="s">
        <v>106</v>
      </c>
      <c r="GX55" s="720">
        <f t="shared" si="151"/>
        <v>15</v>
      </c>
      <c r="GY55" s="747">
        <f>VLOOKUP(GW55,'Ціни контур мережний'!$I$67:$M$69,5,0)</f>
        <v>4.4537969640631703</v>
      </c>
      <c r="GZ55" s="748">
        <f t="shared" si="144"/>
        <v>66.806954460947551</v>
      </c>
      <c r="HA55" s="655" t="s">
        <v>1013</v>
      </c>
      <c r="HB55" s="720">
        <v>4</v>
      </c>
      <c r="HC55" s="747">
        <f>VLOOKUP(HA55,'Ціни контур мережний'!$I$64:$M$64,5,0)</f>
        <v>29.1312</v>
      </c>
      <c r="HD55" s="748">
        <f t="shared" si="145"/>
        <v>116.5248</v>
      </c>
      <c r="HE55" s="766" t="s">
        <v>1015</v>
      </c>
      <c r="HF55" s="749">
        <v>6</v>
      </c>
      <c r="HG55" s="747">
        <f>VLOOKUP(HE55,'Ціни контур мережний'!$I$89:$M$89,5,0)</f>
        <v>79.523165325760516</v>
      </c>
      <c r="HH55" s="765">
        <f t="shared" si="146"/>
        <v>477.1389919545631</v>
      </c>
      <c r="HI55" s="778" t="s">
        <v>1016</v>
      </c>
      <c r="HJ55" s="720">
        <f t="shared" si="152"/>
        <v>7</v>
      </c>
      <c r="HK55" s="747">
        <f>VLOOKUP(HI55,'Ціни контур мережний'!$I$88:$M$88,5,0)</f>
        <v>13.211568975967202</v>
      </c>
      <c r="HL55" s="768">
        <f t="shared" si="147"/>
        <v>92.480982831770419</v>
      </c>
      <c r="HM55" s="757" t="s">
        <v>383</v>
      </c>
      <c r="HN55" s="720">
        <v>1</v>
      </c>
      <c r="HO55" s="747">
        <f>VLOOKUP(HM55,'Ціни контур мережний'!$I$87:$M$87,5,0)</f>
        <v>13.483972460007763</v>
      </c>
      <c r="HP55" s="748">
        <f t="shared" si="148"/>
        <v>13.483972460007763</v>
      </c>
      <c r="HQ55" s="769">
        <f t="shared" si="97"/>
        <v>71</v>
      </c>
      <c r="HR55" s="770">
        <f t="shared" si="87"/>
        <v>6794.5848424870046</v>
      </c>
      <c r="HS55" s="771">
        <v>0</v>
      </c>
      <c r="HT55" s="771">
        <f>'Таблиця цін схема №1'!$JE$44/'Ціни контур мережний'!$G$26</f>
        <v>476.70609707098151</v>
      </c>
      <c r="HU55" s="770">
        <f>'Таблиця цін схема №1'!$JG$8</f>
        <v>661.80181284518619</v>
      </c>
      <c r="HV55" s="770">
        <f>'Таблиця цін схема №1'!$JH$8</f>
        <v>487.81784379022207</v>
      </c>
      <c r="HW55" s="770">
        <f>'Таблиця цін схема №1'!$JI$8</f>
        <v>323.47913729816605</v>
      </c>
      <c r="HX55" s="770">
        <f>'Таблиця цін схема №1'!$JJ$8</f>
        <v>66.611999999999995</v>
      </c>
      <c r="HY55" s="770">
        <f>'Таблиця цін схема №1'!$JK$28</f>
        <v>0</v>
      </c>
      <c r="HZ55" s="772">
        <f>'Таблиця цін схема №1'!$JL$8</f>
        <v>62.86234247089866</v>
      </c>
      <c r="IA55" s="770">
        <f>'Таблиця цін схема №1'!$JM$28</f>
        <v>0</v>
      </c>
      <c r="IB55" s="770">
        <v>0</v>
      </c>
      <c r="IC55" s="913">
        <f t="shared" si="98"/>
        <v>621.17048531737214</v>
      </c>
      <c r="ID55" s="914">
        <f t="shared" si="99"/>
        <v>887.38640759624582</v>
      </c>
      <c r="IE55" s="915">
        <f t="shared" si="100"/>
        <v>152.65250762255346</v>
      </c>
      <c r="IF55" s="776">
        <f>'Таблиця цін схема №1'!$JR$8</f>
        <v>300.63036461094771</v>
      </c>
      <c r="IG55" s="777">
        <f t="shared" si="88"/>
        <v>10835.703841109578</v>
      </c>
      <c r="II55" s="835"/>
      <c r="IJ55" s="835"/>
      <c r="IK55" s="835"/>
      <c r="IL55" s="835"/>
    </row>
    <row r="56" spans="2:246" s="780" customFormat="1" ht="12.6" customHeight="1">
      <c r="B56" s="905">
        <v>72</v>
      </c>
      <c r="C56" s="1056" t="s">
        <v>933</v>
      </c>
      <c r="D56" s="906">
        <v>0.1056</v>
      </c>
      <c r="E56" s="907">
        <v>0.09</v>
      </c>
      <c r="F56" s="908">
        <f t="shared" si="28"/>
        <v>4.1870014926452699</v>
      </c>
      <c r="G56" s="599">
        <v>40</v>
      </c>
      <c r="H56" s="598">
        <f t="shared" si="29"/>
        <v>1.8863879957127543</v>
      </c>
      <c r="I56" s="599">
        <v>25</v>
      </c>
      <c r="J56" s="598">
        <f t="shared" si="30"/>
        <v>4.3908523908523902</v>
      </c>
      <c r="K56" s="599">
        <v>40</v>
      </c>
      <c r="L56" s="598">
        <f t="shared" si="31"/>
        <v>2.3006134969325154</v>
      </c>
      <c r="M56" s="599">
        <v>32</v>
      </c>
      <c r="N56" s="598">
        <f t="shared" si="32"/>
        <v>1.8255578093306288</v>
      </c>
      <c r="O56" s="599">
        <v>25</v>
      </c>
      <c r="P56" s="598">
        <f t="shared" si="153"/>
        <v>0.54766734279918861</v>
      </c>
      <c r="Q56" s="599">
        <v>20</v>
      </c>
      <c r="R56" s="598">
        <f t="shared" si="33"/>
        <v>2.6677554874347766</v>
      </c>
      <c r="S56" s="600">
        <f t="shared" si="104"/>
        <v>3.2535588091405558</v>
      </c>
      <c r="T56" s="910">
        <v>2</v>
      </c>
      <c r="U56" s="601">
        <f t="shared" si="35"/>
        <v>2.1954261954261951</v>
      </c>
      <c r="V56" s="601">
        <f t="shared" si="36"/>
        <v>3.1048015007608898</v>
      </c>
      <c r="W56" s="850">
        <v>32</v>
      </c>
      <c r="X56" s="751">
        <f t="shared" si="0"/>
        <v>40</v>
      </c>
      <c r="Y56" s="746">
        <v>2</v>
      </c>
      <c r="Z56" s="747">
        <f>VLOOKUP(X56,'Ціни контур мережний'!$Z$24:$AB$36,3,0)</f>
        <v>18.42400964308333</v>
      </c>
      <c r="AA56" s="748">
        <f t="shared" si="105"/>
        <v>36.848019286166661</v>
      </c>
      <c r="AB56" s="749">
        <f t="shared" si="1"/>
        <v>40</v>
      </c>
      <c r="AC56" s="749">
        <v>2</v>
      </c>
      <c r="AD56" s="747">
        <f>VLOOKUP(AB56,'Ціни контур мережний'!$Z$64:$AB$77,3,0)</f>
        <v>72.595528496809465</v>
      </c>
      <c r="AE56" s="748">
        <f t="shared" si="106"/>
        <v>145.19105699361893</v>
      </c>
      <c r="AF56" s="746">
        <f t="shared" si="2"/>
        <v>40</v>
      </c>
      <c r="AG56" s="746">
        <v>0</v>
      </c>
      <c r="AH56" s="747">
        <f>VLOOKUP(AF56,'Ціни контур мережний'!$Z$5:$AB$17,3,0)</f>
        <v>23.225999999999999</v>
      </c>
      <c r="AI56" s="748">
        <f t="shared" si="107"/>
        <v>0</v>
      </c>
      <c r="AJ56" s="746">
        <f t="shared" si="3"/>
        <v>25</v>
      </c>
      <c r="AK56" s="746">
        <v>1</v>
      </c>
      <c r="AL56" s="747">
        <f>VLOOKUP(AJ56,'Ціни контур мережний'!$Z$43:$AB$55,3,0)</f>
        <v>14.856886019572187</v>
      </c>
      <c r="AM56" s="748">
        <f t="shared" si="108"/>
        <v>14.856886019572187</v>
      </c>
      <c r="AN56" s="745">
        <f t="shared" si="4"/>
        <v>32</v>
      </c>
      <c r="AO56" s="749">
        <v>4</v>
      </c>
      <c r="AP56" s="747">
        <f>VLOOKUP(AN56,'Ціни контур мережний'!$Z$43:$AB$55,3,0)</f>
        <v>16.107218011318363</v>
      </c>
      <c r="AQ56" s="759">
        <f t="shared" si="109"/>
        <v>64.428872045273451</v>
      </c>
      <c r="AR56" s="751" t="str">
        <f t="shared" si="42"/>
        <v>AMV20</v>
      </c>
      <c r="AS56" s="751">
        <v>1</v>
      </c>
      <c r="AT56" s="747">
        <f>VLOOKUP(AR56,'Ціни контур мережний'!$I$53:$M$57,5,0)</f>
        <v>110.39869654932889</v>
      </c>
      <c r="AU56" s="748">
        <f t="shared" si="110"/>
        <v>110.39869654932889</v>
      </c>
      <c r="AV56" s="752">
        <f t="array" ref="AV56">MIN(IF('Ціни контур мережний'!$Y$83:$Y$92&gt;(R56*1.2),'Ціни контур мережний'!$Y$83:$Y$92))</f>
        <v>4</v>
      </c>
      <c r="AW56" s="746">
        <f>VLOOKUP(AV56,'Ціни контур мережний'!$Y$83:$Z$92,2,0)</f>
        <v>15</v>
      </c>
      <c r="AX56" s="746">
        <v>1</v>
      </c>
      <c r="AY56" s="747">
        <f>VLOOKUP(AV56,'Ціни контур мережний'!$Y$83:$AB$92,4,0)</f>
        <v>104.44472592804462</v>
      </c>
      <c r="AZ56" s="748">
        <f t="shared" si="111"/>
        <v>104.44472592804462</v>
      </c>
      <c r="BA56" s="1099">
        <f t="array" ref="BA56">MIN(IF('[1]Ціни контур мережний'!$Y$104:$Y$114&gt;(R56*1.2),'[1]Ціни контур мережний'!$Y$104:$Y$114))</f>
        <v>4</v>
      </c>
      <c r="BB56" s="1101">
        <f>VLOOKUP(BA56,'[1]Ціни контур мережний'!$Y$104:$Z$114,2,0)</f>
        <v>15</v>
      </c>
      <c r="BC56" s="753">
        <v>1</v>
      </c>
      <c r="BD56" s="754">
        <f>VLOOKUP(BA56,'Ціни контур мережний'!$Y$104:$AB$114,4,0)</f>
        <v>251.13923223078018</v>
      </c>
      <c r="BE56" s="755">
        <f t="shared" si="112"/>
        <v>251.13923223078018</v>
      </c>
      <c r="BF56" s="751" t="s">
        <v>67</v>
      </c>
      <c r="BG56" s="749">
        <v>1</v>
      </c>
      <c r="BH56" s="747">
        <f>VLOOKUP(BF56,'Ціни контур мережний'!$I$53:$M$57,5,0)</f>
        <v>157.67238032974441</v>
      </c>
      <c r="BI56" s="768">
        <f t="shared" si="113"/>
        <v>157.67238032974441</v>
      </c>
      <c r="BJ56" s="894">
        <f t="array" ref="BJ56">MIN(IF('Ціни контур мережний'!$Y$83:$Y$93&gt;(S56*1.2),'Ціни контур мережний'!$Y$83:$Y$93))</f>
        <v>4</v>
      </c>
      <c r="BK56" s="895">
        <f>VLOOKUP(BJ56,'Ціни контур мережний'!$Y$83:$Z$93,2,0)</f>
        <v>15</v>
      </c>
      <c r="BL56" s="895">
        <v>1</v>
      </c>
      <c r="BM56" s="896">
        <f>VLOOKUP(BJ56,'Ціни контур мережний'!$Y$83:$AB$93,4,0)</f>
        <v>104.44472592804462</v>
      </c>
      <c r="BN56" s="916">
        <f t="shared" si="114"/>
        <v>104.44472592804462</v>
      </c>
      <c r="BO56" s="896">
        <f t="array" ref="BO56">MIN(IF('Ціни контур мережний'!$Y$104:$Y$114&gt;(S56*1.2),'Ціни контур мережний'!$Y$104:$Y$114))</f>
        <v>4</v>
      </c>
      <c r="BP56" s="895">
        <f>VLOOKUP(BO56,'Ціни контур мережний'!$Y$104:$Z$114,2,0)</f>
        <v>15</v>
      </c>
      <c r="BQ56" s="895">
        <v>1</v>
      </c>
      <c r="BR56" s="896">
        <f>VLOOKUP(BO56,'Ціни контур мережний'!$Y$104:$AB$114,4,0)</f>
        <v>251.13923223078018</v>
      </c>
      <c r="BS56" s="897">
        <f t="shared" si="115"/>
        <v>251.13923223078018</v>
      </c>
      <c r="BT56" s="751" t="s">
        <v>115</v>
      </c>
      <c r="BU56" s="751" t="s">
        <v>115</v>
      </c>
      <c r="BV56" s="746" t="s">
        <v>1025</v>
      </c>
      <c r="BW56" s="756">
        <v>0</v>
      </c>
      <c r="BX56" s="747">
        <v>0</v>
      </c>
      <c r="BY56" s="748">
        <f t="shared" si="116"/>
        <v>0</v>
      </c>
      <c r="BZ56" s="745">
        <f>VLOOKUP(CA56,'Ціни контур мережний'!$J$5:$L$12,3,0)</f>
        <v>20</v>
      </c>
      <c r="CA56" s="747">
        <f t="array" ref="CA56">MIN(IF('Ціни контур мережний'!$J$5:$J$12&gt;L56,'Ціни контур мережний'!$J$5:$J$12))</f>
        <v>2.5</v>
      </c>
      <c r="CB56" s="746" t="s">
        <v>130</v>
      </c>
      <c r="CC56" s="749">
        <v>1</v>
      </c>
      <c r="CD56" s="747">
        <f>VLOOKUP(CA56,'Ціни контур мережний'!$J$5:$N$12,5,0)</f>
        <v>277.536</v>
      </c>
      <c r="CE56" s="748">
        <f t="shared" si="117"/>
        <v>277.536</v>
      </c>
      <c r="CF56" s="898" t="s">
        <v>1375</v>
      </c>
      <c r="CG56" s="899">
        <v>1</v>
      </c>
      <c r="CH56" s="900">
        <v>370</v>
      </c>
      <c r="CI56" s="901">
        <f t="shared" si="118"/>
        <v>370</v>
      </c>
      <c r="CJ56" s="751">
        <f t="shared" si="5"/>
        <v>40</v>
      </c>
      <c r="CK56" s="746">
        <v>4</v>
      </c>
      <c r="CL56" s="747">
        <f>VLOOKUP(CJ56,'Ціни контур теплопостачання'!$Y$5:$AA$17,3,0)</f>
        <v>18.42400964308333</v>
      </c>
      <c r="CM56" s="748">
        <f t="shared" si="119"/>
        <v>73.696038572333322</v>
      </c>
      <c r="CN56" s="746">
        <f t="shared" si="6"/>
        <v>25</v>
      </c>
      <c r="CO56" s="746">
        <v>6</v>
      </c>
      <c r="CP56" s="747">
        <f>VLOOKUP(CN56,'Ціни контур теплопостачання'!$AO$20:$AQ$29,3,0)</f>
        <v>6.3070000000000004</v>
      </c>
      <c r="CQ56" s="748">
        <f t="shared" si="120"/>
        <v>37.841999999999999</v>
      </c>
      <c r="CR56" s="746">
        <f t="shared" si="7"/>
        <v>20</v>
      </c>
      <c r="CS56" s="746">
        <v>3</v>
      </c>
      <c r="CT56" s="747">
        <f>VLOOKUP(CR56,'Ціни контур теплопостачання'!$AO$20:$AQ$29,3,0)</f>
        <v>3.577</v>
      </c>
      <c r="CU56" s="748">
        <f t="shared" si="121"/>
        <v>10.731</v>
      </c>
      <c r="CV56" s="746">
        <f t="shared" si="8"/>
        <v>32</v>
      </c>
      <c r="CW56" s="746">
        <f t="shared" si="101"/>
        <v>4</v>
      </c>
      <c r="CX56" s="747">
        <f>VLOOKUP(CV56,'Ціни контур теплопостачання'!$Y$5:$AA$17,3,0)</f>
        <v>10.381</v>
      </c>
      <c r="CY56" s="748">
        <f t="shared" si="122"/>
        <v>41.524000000000001</v>
      </c>
      <c r="CZ56" s="745">
        <v>20</v>
      </c>
      <c r="DA56" s="749">
        <v>2</v>
      </c>
      <c r="DB56" s="747">
        <f>VLOOKUP(CZ56,'Ціни контур теплопостачання'!$Y$5:$AA$17,3,0)</f>
        <v>3.577</v>
      </c>
      <c r="DC56" s="748">
        <f t="shared" si="123"/>
        <v>7.1539999999999999</v>
      </c>
      <c r="DD56" s="745">
        <v>15</v>
      </c>
      <c r="DE56" s="745">
        <v>8</v>
      </c>
      <c r="DF56" s="758">
        <f>VLOOKUP(DD56,'Ціни контур теплопостачання'!$Y$5:$AA$17,3,0)</f>
        <v>2.464</v>
      </c>
      <c r="DG56" s="759">
        <f t="shared" si="124"/>
        <v>19.712</v>
      </c>
      <c r="DH56" s="745">
        <v>15</v>
      </c>
      <c r="DI56" s="745">
        <f t="shared" si="58"/>
        <v>37</v>
      </c>
      <c r="DJ56" s="758">
        <f>VLOOKUP(DH56,'Ціни контур мережний'!$J$71:$M$71,4,0)</f>
        <v>3.3865201135922525</v>
      </c>
      <c r="DK56" s="759">
        <f t="shared" si="125"/>
        <v>125.30124420291334</v>
      </c>
      <c r="DL56" s="751">
        <f t="shared" si="10"/>
        <v>40</v>
      </c>
      <c r="DM56" s="746">
        <v>1</v>
      </c>
      <c r="DN56" s="747">
        <f>VLOOKUP(DL56,'Ціни контур теплопостачання'!$K$5:$M$17,3,0)</f>
        <v>23.225999999999999</v>
      </c>
      <c r="DO56" s="748">
        <f t="shared" si="126"/>
        <v>23.225999999999999</v>
      </c>
      <c r="DP56" s="745">
        <f t="shared" si="11"/>
        <v>25</v>
      </c>
      <c r="DQ56" s="749">
        <v>1</v>
      </c>
      <c r="DR56" s="747">
        <f>VLOOKUP(DP56,'Ціни контур теплопостачання'!$K$5:$M$17,3,0)</f>
        <v>4.78</v>
      </c>
      <c r="DS56" s="748">
        <f t="shared" si="127"/>
        <v>4.78</v>
      </c>
      <c r="DT56" s="745">
        <f t="shared" si="12"/>
        <v>20</v>
      </c>
      <c r="DU56" s="745">
        <v>1</v>
      </c>
      <c r="DV56" s="758">
        <f>VLOOKUP(DT56,'Ціни контур теплопостачання'!$K$5:$M$17,3,0)</f>
        <v>3.48</v>
      </c>
      <c r="DW56" s="759">
        <f t="shared" si="128"/>
        <v>3.48</v>
      </c>
      <c r="DX56" s="745">
        <f t="shared" si="63"/>
        <v>40</v>
      </c>
      <c r="DY56" s="745">
        <v>1</v>
      </c>
      <c r="DZ56" s="758">
        <f>VLOOKUP(DX56,'Ціни контур теплопостачання'!$Y$24:$AA$36,3,0)</f>
        <v>20.3645</v>
      </c>
      <c r="EA56" s="759">
        <f t="shared" si="64"/>
        <v>20.3645</v>
      </c>
      <c r="EB56" s="751">
        <f t="shared" si="13"/>
        <v>40</v>
      </c>
      <c r="EC56" s="746">
        <v>2</v>
      </c>
      <c r="ED56" s="747">
        <f>VLOOKUP(EB56,'Ціни контур теплопостачання'!$Y$24:$AA$36,3,0)</f>
        <v>20.3645</v>
      </c>
      <c r="EE56" s="748">
        <f t="shared" si="129"/>
        <v>40.728999999999999</v>
      </c>
      <c r="EF56" s="745">
        <f t="shared" si="14"/>
        <v>25</v>
      </c>
      <c r="EG56" s="749">
        <v>1</v>
      </c>
      <c r="EH56" s="747">
        <f>VLOOKUP(EF56,'Ціни контур теплопостачання'!$AO$38:$AQ$50,3,0)</f>
        <v>6.9659999999999993</v>
      </c>
      <c r="EI56" s="748">
        <f t="shared" si="130"/>
        <v>6.9659999999999993</v>
      </c>
      <c r="EJ56" s="745">
        <f t="shared" si="15"/>
        <v>20</v>
      </c>
      <c r="EK56" s="745">
        <v>1</v>
      </c>
      <c r="EL56" s="758">
        <f>VLOOKUP(EJ56,'Ціни контур теплопостачання'!$AO$38:$AQ$50,3,0)</f>
        <v>4.5359999999999996</v>
      </c>
      <c r="EM56" s="759">
        <f t="shared" si="131"/>
        <v>4.5359999999999996</v>
      </c>
      <c r="EN56" s="745">
        <f t="shared" si="16"/>
        <v>32</v>
      </c>
      <c r="EO56" s="745">
        <f t="shared" si="102"/>
        <v>4</v>
      </c>
      <c r="EP56" s="758">
        <f>VLOOKUP(EN56,'Ціни контур теплопостачання'!$Y$76:$AA$88,3,0)</f>
        <v>13.15</v>
      </c>
      <c r="EQ56" s="759">
        <f t="shared" si="132"/>
        <v>52.6</v>
      </c>
      <c r="ER56" s="745">
        <f t="shared" si="18"/>
        <v>25</v>
      </c>
      <c r="ES56" s="745">
        <v>1</v>
      </c>
      <c r="ET56" s="758">
        <f>VLOOKUP(ER56,'Ціни контур теплопостачання'!$Y$76:$AA$88,3,0)</f>
        <v>11.45</v>
      </c>
      <c r="EU56" s="759">
        <f t="shared" si="133"/>
        <v>11.45</v>
      </c>
      <c r="EV56" s="745">
        <f t="shared" si="19"/>
        <v>20</v>
      </c>
      <c r="EW56" s="745">
        <v>1</v>
      </c>
      <c r="EX56" s="758">
        <f>VLOOKUP(EV56,'Ціни контур теплопостачання'!$Y$76:$AA$88,3,0)</f>
        <v>11.45</v>
      </c>
      <c r="EY56" s="759">
        <f t="shared" si="134"/>
        <v>11.45</v>
      </c>
      <c r="EZ56" s="758">
        <f t="shared" si="95"/>
        <v>16.505998909487424</v>
      </c>
      <c r="FA56" s="955">
        <v>20</v>
      </c>
      <c r="FB56" s="719">
        <v>2</v>
      </c>
      <c r="FC56" s="747">
        <f>VLOOKUP(FA56,'Ціни контур теплопостачання'!$K$74:$M$79,3,0)</f>
        <v>16.440000000000001</v>
      </c>
      <c r="FD56" s="761">
        <f t="shared" si="96"/>
        <v>32.880000000000003</v>
      </c>
      <c r="FE56" s="762">
        <f t="shared" si="71"/>
        <v>4.3908523908523902</v>
      </c>
      <c r="FF56" s="911">
        <v>4</v>
      </c>
      <c r="FG56" s="900">
        <v>5</v>
      </c>
      <c r="FH56" s="830" t="s">
        <v>1093</v>
      </c>
      <c r="FI56" s="708">
        <v>2</v>
      </c>
      <c r="FJ56" s="709">
        <f>VLOOKUP(FH56,'Ціни контур теплопостачання'!$C$89:$M$105,11,0)</f>
        <v>198.83999999999997</v>
      </c>
      <c r="FK56" s="764">
        <f t="shared" si="135"/>
        <v>397.67999999999995</v>
      </c>
      <c r="FL56" s="912">
        <f t="shared" si="73"/>
        <v>0.54766734279918861</v>
      </c>
      <c r="FM56" s="911">
        <v>4</v>
      </c>
      <c r="FN56" s="900">
        <v>6</v>
      </c>
      <c r="FO56" s="900" t="s">
        <v>1096</v>
      </c>
      <c r="FP56" s="749">
        <v>1</v>
      </c>
      <c r="FQ56" s="747">
        <f>VLOOKUP(FO56,'Ціни контур теплопостачання'!$C$89:$M$105,11,0)</f>
        <v>162.96</v>
      </c>
      <c r="FR56" s="904">
        <f t="shared" si="136"/>
        <v>162.96</v>
      </c>
      <c r="FS56" s="758">
        <f t="array" ref="FS56">MIN(IF('Ціни контур теплопостачання'!$AN$68:$AN$77&gt;(V56*1.2),'Ціни контур теплопостачання'!$AN$68:$AN$77))</f>
        <v>5.83</v>
      </c>
      <c r="FT56" s="749">
        <f>VLOOKUP(FS56,'Ціни контур теплопостачання'!$AN$68:$AO$77,2,0)</f>
        <v>25</v>
      </c>
      <c r="FU56" s="749">
        <f t="shared" si="103"/>
        <v>2</v>
      </c>
      <c r="FV56" s="747">
        <f>VLOOKUP(FT56,'Ціни контур теплопостачання'!$AO$68:$AQ$77,3,0)</f>
        <v>26.495000000000001</v>
      </c>
      <c r="FW56" s="765">
        <f t="shared" si="137"/>
        <v>52.99</v>
      </c>
      <c r="FX56" s="750">
        <v>15</v>
      </c>
      <c r="FY56" s="746">
        <v>2</v>
      </c>
      <c r="FZ56" s="747">
        <f>VLOOKUP(FX56,'Ціни контур мережний'!$J$73:$M$73,4,0)</f>
        <v>3.4649999999999999</v>
      </c>
      <c r="GA56" s="748">
        <f t="shared" si="138"/>
        <v>6.93</v>
      </c>
      <c r="GB56" s="750">
        <f>VLOOKUP(GC56,'Ціни контур теплопостачання'!$AN$6:$AO$13,2,0)</f>
        <v>20</v>
      </c>
      <c r="GC56" s="751">
        <f t="array" ref="GC56">MIN(IF('Ціни контур теплопостачання'!$AN$6:$AN$13&gt;N56,'Ціни контур теплопостачання'!$AN$6:$AN$13))</f>
        <v>2.5</v>
      </c>
      <c r="GD56" s="751">
        <v>1</v>
      </c>
      <c r="GE56" s="747">
        <f>VLOOKUP(GB56,'Ціни контур теплопостачання'!$AO$6:$AQ$13,3,0)</f>
        <v>23.753519999999998</v>
      </c>
      <c r="GF56" s="748">
        <f t="shared" si="139"/>
        <v>23.753519999999998</v>
      </c>
      <c r="GG56" s="746">
        <f t="shared" si="23"/>
        <v>25</v>
      </c>
      <c r="GH56" s="746">
        <v>1</v>
      </c>
      <c r="GI56" s="747">
        <f>VLOOKUP(GG56,'Ціни контур теплопостачання'!$AO$55:$AQ$63,3,0)</f>
        <v>122.45</v>
      </c>
      <c r="GJ56" s="768">
        <f t="shared" si="140"/>
        <v>122.45</v>
      </c>
      <c r="GK56" s="655" t="str">
        <f t="shared" si="150"/>
        <v>0-150</v>
      </c>
      <c r="GL56" s="720">
        <v>1</v>
      </c>
      <c r="GM56" s="747">
        <f>VLOOKUP(GK56,'Ціни контур мережний'!$I$79:$M$80,5,0)</f>
        <v>15.050156291498967</v>
      </c>
      <c r="GN56" s="748">
        <f t="shared" si="141"/>
        <v>15.050156291498967</v>
      </c>
      <c r="GO56" s="758" t="s">
        <v>109</v>
      </c>
      <c r="GP56" s="749">
        <v>1</v>
      </c>
      <c r="GQ56" s="747">
        <f>VLOOKUP(GO56,'Ціни контур мережний'!$I$79:$M$80,5,0)</f>
        <v>15.050156291498967</v>
      </c>
      <c r="GR56" s="765">
        <f t="shared" si="142"/>
        <v>15.050156291498967</v>
      </c>
      <c r="GS56" s="655" t="s">
        <v>108</v>
      </c>
      <c r="GT56" s="720">
        <v>3</v>
      </c>
      <c r="GU56" s="747">
        <f>VLOOKUP(GS56,'Ціни контур мережний'!$I$67:$M$69,5,0)</f>
        <v>4.4537969640631703</v>
      </c>
      <c r="GV56" s="748">
        <f t="shared" si="143"/>
        <v>13.361390892189512</v>
      </c>
      <c r="GW56" s="655" t="s">
        <v>106</v>
      </c>
      <c r="GX56" s="720">
        <f t="shared" si="151"/>
        <v>13</v>
      </c>
      <c r="GY56" s="747">
        <f>VLOOKUP(GW56,'Ціни контур мережний'!$I$67:$M$69,5,0)</f>
        <v>4.4537969640631703</v>
      </c>
      <c r="GZ56" s="748">
        <f t="shared" si="144"/>
        <v>57.899360532821213</v>
      </c>
      <c r="HA56" s="655" t="s">
        <v>1013</v>
      </c>
      <c r="HB56" s="720">
        <v>4</v>
      </c>
      <c r="HC56" s="747">
        <f>VLOOKUP(HA56,'Ціни контур мережний'!$I$64:$M$64,5,0)</f>
        <v>29.1312</v>
      </c>
      <c r="HD56" s="748">
        <f t="shared" si="145"/>
        <v>116.5248</v>
      </c>
      <c r="HE56" s="766" t="s">
        <v>1015</v>
      </c>
      <c r="HF56" s="749">
        <v>6</v>
      </c>
      <c r="HG56" s="747">
        <f>VLOOKUP(HE56,'Ціни контур мережний'!$I$89:$M$89,5,0)</f>
        <v>79.523165325760516</v>
      </c>
      <c r="HH56" s="765">
        <f t="shared" si="146"/>
        <v>477.1389919545631</v>
      </c>
      <c r="HI56" s="917" t="s">
        <v>1016</v>
      </c>
      <c r="HJ56" s="720">
        <f t="shared" si="152"/>
        <v>7</v>
      </c>
      <c r="HK56" s="747">
        <f>VLOOKUP(HI56,'Ціни контур мережний'!$I$88:$M$88,5,0)</f>
        <v>13.211568975967202</v>
      </c>
      <c r="HL56" s="768">
        <f t="shared" si="147"/>
        <v>92.480982831770419</v>
      </c>
      <c r="HM56" s="917" t="s">
        <v>383</v>
      </c>
      <c r="HN56" s="720">
        <v>1</v>
      </c>
      <c r="HO56" s="747">
        <f>VLOOKUP(HM56,'Ціни контур мережний'!$I$87:$M$87,5,0)</f>
        <v>13.483972460007763</v>
      </c>
      <c r="HP56" s="748">
        <f t="shared" si="148"/>
        <v>13.483972460007763</v>
      </c>
      <c r="HQ56" s="769">
        <f t="shared" si="97"/>
        <v>72</v>
      </c>
      <c r="HR56" s="770">
        <f t="shared" si="87"/>
        <v>3984.2749415709495</v>
      </c>
      <c r="HS56" s="771">
        <v>0</v>
      </c>
      <c r="HT56" s="771">
        <f>'Таблиця цін схема №1'!$JE$44/'Ціни контур мережний'!$G$26</f>
        <v>476.70609707098151</v>
      </c>
      <c r="HU56" s="770">
        <f>'Таблиця цін схема №1'!$JG$8</f>
        <v>661.80181284518619</v>
      </c>
      <c r="HV56" s="770">
        <f>'Таблиця цін схема №1'!$JH$8</f>
        <v>487.81784379022207</v>
      </c>
      <c r="HW56" s="770">
        <f>'Таблиця цін схема №1'!$JI$8</f>
        <v>323.47913729816605</v>
      </c>
      <c r="HX56" s="770">
        <f>'Таблиця цін схема №1'!$JJ$8</f>
        <v>66.611999999999995</v>
      </c>
      <c r="HY56" s="770">
        <f>'Таблиця цін схема №1'!$JK$28</f>
        <v>0</v>
      </c>
      <c r="HZ56" s="772">
        <f>'Таблиця цін схема №1'!$JL$8</f>
        <v>62.86234247089866</v>
      </c>
      <c r="IA56" s="770">
        <f>'Таблиця цін схема №1'!$JM$28</f>
        <v>0</v>
      </c>
      <c r="IB56" s="770">
        <v>0</v>
      </c>
      <c r="IC56" s="913">
        <f t="shared" si="98"/>
        <v>424.44879225324837</v>
      </c>
      <c r="ID56" s="914">
        <f t="shared" si="99"/>
        <v>606.35541750464051</v>
      </c>
      <c r="IE56" s="915">
        <f t="shared" si="100"/>
        <v>104.30819561833869</v>
      </c>
      <c r="IF56" s="776">
        <f>'Таблиця цін схема №1'!$JR$8</f>
        <v>300.63036461094771</v>
      </c>
      <c r="IG56" s="777">
        <f t="shared" si="88"/>
        <v>7499.2969450335786</v>
      </c>
      <c r="II56" s="835"/>
      <c r="IJ56" s="835"/>
      <c r="IK56" s="835"/>
      <c r="IL56" s="835"/>
    </row>
    <row r="57" spans="2:246" s="780" customFormat="1" ht="12.6" customHeight="1">
      <c r="B57" s="905">
        <v>73</v>
      </c>
      <c r="C57" s="1056" t="s">
        <v>934</v>
      </c>
      <c r="D57" s="906">
        <v>0.11561</v>
      </c>
      <c r="E57" s="907">
        <v>4.8239999999999998E-2</v>
      </c>
      <c r="F57" s="908">
        <f t="shared" si="28"/>
        <v>3.2983306921621875</v>
      </c>
      <c r="G57" s="599">
        <v>40</v>
      </c>
      <c r="H57" s="598">
        <f t="shared" si="29"/>
        <v>2.0652018578063593</v>
      </c>
      <c r="I57" s="599">
        <v>25</v>
      </c>
      <c r="J57" s="598">
        <f t="shared" si="30"/>
        <v>4.8070686070686071</v>
      </c>
      <c r="K57" s="599">
        <v>40</v>
      </c>
      <c r="L57" s="598">
        <f t="shared" si="31"/>
        <v>1.2331288343558282</v>
      </c>
      <c r="M57" s="599">
        <v>25</v>
      </c>
      <c r="N57" s="598">
        <f t="shared" si="32"/>
        <v>0.97849898580121697</v>
      </c>
      <c r="O57" s="599">
        <v>25</v>
      </c>
      <c r="P57" s="598">
        <f t="shared" si="153"/>
        <v>0.2935496957403651</v>
      </c>
      <c r="Q57" s="599">
        <v>20</v>
      </c>
      <c r="R57" s="598">
        <f t="shared" si="33"/>
        <v>2.9206364763478652</v>
      </c>
      <c r="S57" s="600">
        <f t="shared" si="104"/>
        <v>1.7439075216993378</v>
      </c>
      <c r="T57" s="910">
        <v>2</v>
      </c>
      <c r="U57" s="601">
        <f t="shared" si="35"/>
        <v>2.4035343035343035</v>
      </c>
      <c r="V57" s="601">
        <f t="shared" si="36"/>
        <v>3.3991108096871829</v>
      </c>
      <c r="W57" s="850">
        <v>32</v>
      </c>
      <c r="X57" s="751">
        <f t="shared" si="0"/>
        <v>40</v>
      </c>
      <c r="Y57" s="746">
        <v>2</v>
      </c>
      <c r="Z57" s="747">
        <f>VLOOKUP(X57,'Ціни контур мережний'!$Z$24:$AB$36,3,0)</f>
        <v>18.42400964308333</v>
      </c>
      <c r="AA57" s="748">
        <f t="shared" si="105"/>
        <v>36.848019286166661</v>
      </c>
      <c r="AB57" s="749">
        <f t="shared" si="1"/>
        <v>40</v>
      </c>
      <c r="AC57" s="749">
        <v>2</v>
      </c>
      <c r="AD57" s="747">
        <f>VLOOKUP(AB57,'Ціни контур мережний'!$Z$64:$AB$77,3,0)</f>
        <v>72.595528496809465</v>
      </c>
      <c r="AE57" s="748">
        <f t="shared" si="106"/>
        <v>145.19105699361893</v>
      </c>
      <c r="AF57" s="746">
        <f t="shared" si="2"/>
        <v>40</v>
      </c>
      <c r="AG57" s="746">
        <v>0</v>
      </c>
      <c r="AH57" s="747">
        <f>VLOOKUP(AF57,'Ціни контур мережний'!$Z$5:$AB$17,3,0)</f>
        <v>23.225999999999999</v>
      </c>
      <c r="AI57" s="748">
        <f t="shared" si="107"/>
        <v>0</v>
      </c>
      <c r="AJ57" s="746">
        <f t="shared" si="3"/>
        <v>25</v>
      </c>
      <c r="AK57" s="746">
        <v>1</v>
      </c>
      <c r="AL57" s="747">
        <f>VLOOKUP(AJ57,'Ціни контур мережний'!$Z$43:$AB$55,3,0)</f>
        <v>14.856886019572187</v>
      </c>
      <c r="AM57" s="748">
        <f t="shared" si="108"/>
        <v>14.856886019572187</v>
      </c>
      <c r="AN57" s="745">
        <f t="shared" si="4"/>
        <v>25</v>
      </c>
      <c r="AO57" s="749">
        <v>4</v>
      </c>
      <c r="AP57" s="747">
        <f>VLOOKUP(AN57,'Ціни контур мережний'!$Z$43:$AB$55,3,0)</f>
        <v>14.856886019572187</v>
      </c>
      <c r="AQ57" s="759">
        <f t="shared" si="109"/>
        <v>59.427544078288747</v>
      </c>
      <c r="AR57" s="751" t="str">
        <f t="shared" si="42"/>
        <v>AMV20</v>
      </c>
      <c r="AS57" s="751">
        <v>1</v>
      </c>
      <c r="AT57" s="747">
        <f>VLOOKUP(AR57,'Ціни контур мережний'!$I$53:$M$57,5,0)</f>
        <v>110.39869654932889</v>
      </c>
      <c r="AU57" s="748">
        <f t="shared" si="110"/>
        <v>110.39869654932889</v>
      </c>
      <c r="AV57" s="752">
        <f t="array" ref="AV57">MIN(IF('Ціни контур мережний'!$Y$83:$Y$92&gt;(R57*1.2),'Ціни контур мережний'!$Y$83:$Y$92))</f>
        <v>4</v>
      </c>
      <c r="AW57" s="746">
        <f>VLOOKUP(AV57,'Ціни контур мережний'!$Y$83:$Z$92,2,0)</f>
        <v>15</v>
      </c>
      <c r="AX57" s="746">
        <v>1</v>
      </c>
      <c r="AY57" s="747">
        <f>VLOOKUP(AV57,'Ціни контур мережний'!$Y$83:$AB$92,4,0)</f>
        <v>104.44472592804462</v>
      </c>
      <c r="AZ57" s="748">
        <f t="shared" si="111"/>
        <v>104.44472592804462</v>
      </c>
      <c r="BA57" s="1099">
        <f t="array" ref="BA57">MIN(IF('[1]Ціни контур мережний'!$Y$104:$Y$114&gt;(R57*1.2),'[1]Ціни контур мережний'!$Y$104:$Y$114))</f>
        <v>4</v>
      </c>
      <c r="BB57" s="1101">
        <f>VLOOKUP(BA57,'[1]Ціни контур мережний'!$Y$104:$Z$114,2,0)</f>
        <v>15</v>
      </c>
      <c r="BC57" s="753">
        <v>1</v>
      </c>
      <c r="BD57" s="754">
        <f>VLOOKUP(BA57,'Ціни контур мережний'!$Y$104:$AB$114,4,0)</f>
        <v>251.13923223078018</v>
      </c>
      <c r="BE57" s="755">
        <f t="shared" si="112"/>
        <v>251.13923223078018</v>
      </c>
      <c r="BF57" s="751" t="s">
        <v>67</v>
      </c>
      <c r="BG57" s="749">
        <v>1</v>
      </c>
      <c r="BH57" s="747">
        <f>VLOOKUP(BF57,'Ціни контур мережний'!$I$53:$M$57,5,0)</f>
        <v>157.67238032974441</v>
      </c>
      <c r="BI57" s="768">
        <f t="shared" si="113"/>
        <v>157.67238032974441</v>
      </c>
      <c r="BJ57" s="894">
        <f t="array" ref="BJ57">MIN(IF('Ціни контур мережний'!$Y$83:$Y$93&gt;(S57*1.2),'Ціни контур мережний'!$Y$83:$Y$93))</f>
        <v>2.5</v>
      </c>
      <c r="BK57" s="895">
        <f>VLOOKUP(BJ57,'Ціни контур мережний'!$Y$83:$Z$93,2,0)</f>
        <v>15</v>
      </c>
      <c r="BL57" s="895">
        <v>1</v>
      </c>
      <c r="BM57" s="896">
        <f>VLOOKUP(BJ57,'Ціни контур мережний'!$Y$83:$AB$93,4,0)</f>
        <v>104.44472592804462</v>
      </c>
      <c r="BN57" s="916">
        <f t="shared" si="114"/>
        <v>104.44472592804462</v>
      </c>
      <c r="BO57" s="896">
        <f t="array" ref="BO57">MIN(IF('Ціни контур мережний'!$Y$104:$Y$114&gt;(S57*1.2),'Ціни контур мережний'!$Y$104:$Y$114))</f>
        <v>4</v>
      </c>
      <c r="BP57" s="895">
        <f>VLOOKUP(BO57,'Ціни контур мережний'!$Y$104:$Z$114,2,0)</f>
        <v>15</v>
      </c>
      <c r="BQ57" s="895">
        <v>1</v>
      </c>
      <c r="BR57" s="896">
        <f>VLOOKUP(BO57,'Ціни контур мережний'!$Y$104:$AB$114,4,0)</f>
        <v>251.13923223078018</v>
      </c>
      <c r="BS57" s="897">
        <f t="shared" si="115"/>
        <v>251.13923223078018</v>
      </c>
      <c r="BT57" s="751" t="s">
        <v>115</v>
      </c>
      <c r="BU57" s="751" t="s">
        <v>115</v>
      </c>
      <c r="BV57" s="746" t="s">
        <v>1025</v>
      </c>
      <c r="BW57" s="756">
        <v>0</v>
      </c>
      <c r="BX57" s="747">
        <v>0</v>
      </c>
      <c r="BY57" s="748">
        <f t="shared" si="116"/>
        <v>0</v>
      </c>
      <c r="BZ57" s="745">
        <f>VLOOKUP(CA57,'Ціни контур мережний'!$J$5:$L$12,3,0)</f>
        <v>15</v>
      </c>
      <c r="CA57" s="747">
        <f t="array" ref="CA57">MIN(IF('Ціни контур мережний'!$J$5:$J$12&gt;L57,'Ціни контур мережний'!$J$5:$J$12))</f>
        <v>1.5</v>
      </c>
      <c r="CB57" s="746" t="s">
        <v>130</v>
      </c>
      <c r="CC57" s="749">
        <v>1</v>
      </c>
      <c r="CD57" s="747">
        <f>VLOOKUP(CA57,'Ціни контур мережний'!$J$5:$N$12,5,0)</f>
        <v>246.38399999999999</v>
      </c>
      <c r="CE57" s="748">
        <f t="shared" si="117"/>
        <v>246.38399999999999</v>
      </c>
      <c r="CF57" s="898" t="s">
        <v>1376</v>
      </c>
      <c r="CG57" s="899">
        <v>1</v>
      </c>
      <c r="CH57" s="900">
        <v>290</v>
      </c>
      <c r="CI57" s="901">
        <f t="shared" si="118"/>
        <v>290</v>
      </c>
      <c r="CJ57" s="751">
        <f t="shared" si="5"/>
        <v>40</v>
      </c>
      <c r="CK57" s="746">
        <v>4</v>
      </c>
      <c r="CL57" s="747">
        <f>VLOOKUP(CJ57,'Ціни контур теплопостачання'!$Y$5:$AA$17,3,0)</f>
        <v>18.42400964308333</v>
      </c>
      <c r="CM57" s="748">
        <f t="shared" si="119"/>
        <v>73.696038572333322</v>
      </c>
      <c r="CN57" s="746">
        <f t="shared" si="6"/>
        <v>25</v>
      </c>
      <c r="CO57" s="746">
        <v>6</v>
      </c>
      <c r="CP57" s="747">
        <f>VLOOKUP(CN57,'Ціни контур теплопостачання'!$AO$20:$AQ$29,3,0)</f>
        <v>6.3070000000000004</v>
      </c>
      <c r="CQ57" s="748">
        <f t="shared" si="120"/>
        <v>37.841999999999999</v>
      </c>
      <c r="CR57" s="746">
        <f t="shared" si="7"/>
        <v>20</v>
      </c>
      <c r="CS57" s="746">
        <v>3</v>
      </c>
      <c r="CT57" s="747">
        <f>VLOOKUP(CR57,'Ціни контур теплопостачання'!$AO$20:$AQ$29,3,0)</f>
        <v>3.577</v>
      </c>
      <c r="CU57" s="748">
        <f t="shared" si="121"/>
        <v>10.731</v>
      </c>
      <c r="CV57" s="746">
        <f t="shared" si="8"/>
        <v>32</v>
      </c>
      <c r="CW57" s="746">
        <f t="shared" si="101"/>
        <v>4</v>
      </c>
      <c r="CX57" s="747">
        <f>VLOOKUP(CV57,'Ціни контур теплопостачання'!$Y$5:$AA$17,3,0)</f>
        <v>10.381</v>
      </c>
      <c r="CY57" s="748">
        <f t="shared" si="122"/>
        <v>41.524000000000001</v>
      </c>
      <c r="CZ57" s="745">
        <v>20</v>
      </c>
      <c r="DA57" s="749">
        <v>2</v>
      </c>
      <c r="DB57" s="747">
        <f>VLOOKUP(CZ57,'Ціни контур теплопостачання'!$Y$5:$AA$17,3,0)</f>
        <v>3.577</v>
      </c>
      <c r="DC57" s="748">
        <f t="shared" si="123"/>
        <v>7.1539999999999999</v>
      </c>
      <c r="DD57" s="745">
        <v>15</v>
      </c>
      <c r="DE57" s="745">
        <v>8</v>
      </c>
      <c r="DF57" s="758">
        <f>VLOOKUP(DD57,'Ціни контур теплопостачання'!$Y$5:$AA$17,3,0)</f>
        <v>2.464</v>
      </c>
      <c r="DG57" s="759">
        <f t="shared" si="124"/>
        <v>19.712</v>
      </c>
      <c r="DH57" s="745">
        <v>15</v>
      </c>
      <c r="DI57" s="745">
        <f t="shared" si="58"/>
        <v>37</v>
      </c>
      <c r="DJ57" s="758">
        <f>VLOOKUP(DH57,'Ціни контур мережний'!$J$71:$M$71,4,0)</f>
        <v>3.3865201135922525</v>
      </c>
      <c r="DK57" s="759">
        <f t="shared" si="125"/>
        <v>125.30124420291334</v>
      </c>
      <c r="DL57" s="751">
        <f t="shared" si="10"/>
        <v>40</v>
      </c>
      <c r="DM57" s="746">
        <v>1</v>
      </c>
      <c r="DN57" s="747">
        <f>VLOOKUP(DL57,'Ціни контур теплопостачання'!$K$5:$M$17,3,0)</f>
        <v>23.225999999999999</v>
      </c>
      <c r="DO57" s="748">
        <f t="shared" si="126"/>
        <v>23.225999999999999</v>
      </c>
      <c r="DP57" s="745">
        <f t="shared" si="11"/>
        <v>25</v>
      </c>
      <c r="DQ57" s="749">
        <v>1</v>
      </c>
      <c r="DR57" s="747">
        <f>VLOOKUP(DP57,'Ціни контур теплопостачання'!$K$5:$M$17,3,0)</f>
        <v>4.78</v>
      </c>
      <c r="DS57" s="748">
        <f t="shared" si="127"/>
        <v>4.78</v>
      </c>
      <c r="DT57" s="745">
        <f t="shared" si="12"/>
        <v>20</v>
      </c>
      <c r="DU57" s="745">
        <v>1</v>
      </c>
      <c r="DV57" s="758">
        <f>VLOOKUP(DT57,'Ціни контур теплопостачання'!$K$5:$M$17,3,0)</f>
        <v>3.48</v>
      </c>
      <c r="DW57" s="759">
        <f t="shared" si="128"/>
        <v>3.48</v>
      </c>
      <c r="DX57" s="745">
        <f t="shared" si="63"/>
        <v>40</v>
      </c>
      <c r="DY57" s="745">
        <v>1</v>
      </c>
      <c r="DZ57" s="758">
        <f>VLOOKUP(DX57,'Ціни контур теплопостачання'!$Y$24:$AA$36,3,0)</f>
        <v>20.3645</v>
      </c>
      <c r="EA57" s="759">
        <f t="shared" si="64"/>
        <v>20.3645</v>
      </c>
      <c r="EB57" s="751">
        <f t="shared" si="13"/>
        <v>40</v>
      </c>
      <c r="EC57" s="746">
        <v>2</v>
      </c>
      <c r="ED57" s="747">
        <f>VLOOKUP(EB57,'Ціни контур теплопостачання'!$Y$24:$AA$36,3,0)</f>
        <v>20.3645</v>
      </c>
      <c r="EE57" s="748">
        <f t="shared" si="129"/>
        <v>40.728999999999999</v>
      </c>
      <c r="EF57" s="745">
        <f t="shared" si="14"/>
        <v>25</v>
      </c>
      <c r="EG57" s="749">
        <v>1</v>
      </c>
      <c r="EH57" s="747">
        <f>VLOOKUP(EF57,'Ціни контур теплопостачання'!$AO$38:$AQ$50,3,0)</f>
        <v>6.9659999999999993</v>
      </c>
      <c r="EI57" s="748">
        <f t="shared" si="130"/>
        <v>6.9659999999999993</v>
      </c>
      <c r="EJ57" s="745">
        <f t="shared" si="15"/>
        <v>20</v>
      </c>
      <c r="EK57" s="745">
        <v>1</v>
      </c>
      <c r="EL57" s="758">
        <f>VLOOKUP(EJ57,'Ціни контур теплопостачання'!$AO$38:$AQ$50,3,0)</f>
        <v>4.5359999999999996</v>
      </c>
      <c r="EM57" s="759">
        <f t="shared" si="131"/>
        <v>4.5359999999999996</v>
      </c>
      <c r="EN57" s="745">
        <f t="shared" si="16"/>
        <v>32</v>
      </c>
      <c r="EO57" s="745">
        <f t="shared" si="102"/>
        <v>4</v>
      </c>
      <c r="EP57" s="758">
        <f>VLOOKUP(EN57,'Ціни контур теплопостачання'!$Y$76:$AA$88,3,0)</f>
        <v>13.15</v>
      </c>
      <c r="EQ57" s="759">
        <f t="shared" si="132"/>
        <v>52.6</v>
      </c>
      <c r="ER57" s="745">
        <f t="shared" si="18"/>
        <v>25</v>
      </c>
      <c r="ES57" s="745">
        <v>1</v>
      </c>
      <c r="ET57" s="758">
        <f>VLOOKUP(ER57,'Ціни контур теплопостачання'!$Y$76:$AA$88,3,0)</f>
        <v>11.45</v>
      </c>
      <c r="EU57" s="759">
        <f t="shared" si="133"/>
        <v>11.45</v>
      </c>
      <c r="EV57" s="745">
        <f t="shared" si="19"/>
        <v>20</v>
      </c>
      <c r="EW57" s="745">
        <v>1</v>
      </c>
      <c r="EX57" s="758">
        <f>VLOOKUP(EV57,'Ціни контур теплопостачання'!$Y$76:$AA$88,3,0)</f>
        <v>11.45</v>
      </c>
      <c r="EY57" s="759">
        <f t="shared" si="134"/>
        <v>11.45</v>
      </c>
      <c r="EZ57" s="758">
        <f t="shared" si="95"/>
        <v>17.270605084941295</v>
      </c>
      <c r="FA57" s="955">
        <v>20</v>
      </c>
      <c r="FB57" s="719">
        <v>2</v>
      </c>
      <c r="FC57" s="747">
        <f>VLOOKUP(FA57,'Ціни контур теплопостачання'!$K$74:$M$79,3,0)</f>
        <v>16.440000000000001</v>
      </c>
      <c r="FD57" s="761">
        <f t="shared" si="96"/>
        <v>32.880000000000003</v>
      </c>
      <c r="FE57" s="762">
        <f t="shared" si="71"/>
        <v>4.8070686070686071</v>
      </c>
      <c r="FF57" s="911">
        <v>5</v>
      </c>
      <c r="FG57" s="900">
        <v>5</v>
      </c>
      <c r="FH57" s="830" t="s">
        <v>1093</v>
      </c>
      <c r="FI57" s="708">
        <v>2</v>
      </c>
      <c r="FJ57" s="709">
        <f>VLOOKUP(FH57,'Ціни контур теплопостачання'!$C$89:$M$105,11,0)</f>
        <v>198.83999999999997</v>
      </c>
      <c r="FK57" s="764">
        <f t="shared" si="135"/>
        <v>397.67999999999995</v>
      </c>
      <c r="FL57" s="912">
        <f t="shared" si="73"/>
        <v>0.2935496957403651</v>
      </c>
      <c r="FM57" s="911">
        <v>5</v>
      </c>
      <c r="FN57" s="900">
        <v>6</v>
      </c>
      <c r="FO57" s="900" t="s">
        <v>1096</v>
      </c>
      <c r="FP57" s="749">
        <v>1</v>
      </c>
      <c r="FQ57" s="747">
        <f>VLOOKUP(FO57,'Ціни контур теплопостачання'!$C$89:$M$105,11,0)</f>
        <v>162.96</v>
      </c>
      <c r="FR57" s="904">
        <f t="shared" si="136"/>
        <v>162.96</v>
      </c>
      <c r="FS57" s="758">
        <f t="array" ref="FS57">MIN(IF('Ціни контур теплопостачання'!$AN$68:$AN$77&gt;(V57*1.2),'Ціни контур теплопостачання'!$AN$68:$AN$77))</f>
        <v>5.83</v>
      </c>
      <c r="FT57" s="749">
        <f>VLOOKUP(FS57,'Ціни контур теплопостачання'!$AN$68:$AO$77,2,0)</f>
        <v>25</v>
      </c>
      <c r="FU57" s="749">
        <f t="shared" si="103"/>
        <v>2</v>
      </c>
      <c r="FV57" s="747">
        <f>VLOOKUP(FT57,'Ціни контур теплопостачання'!$AO$68:$AQ$77,3,0)</f>
        <v>26.495000000000001</v>
      </c>
      <c r="FW57" s="765">
        <f t="shared" si="137"/>
        <v>52.99</v>
      </c>
      <c r="FX57" s="750">
        <v>15</v>
      </c>
      <c r="FY57" s="746">
        <v>2</v>
      </c>
      <c r="FZ57" s="747">
        <f>VLOOKUP(FX57,'Ціни контур мережний'!$J$73:$M$73,4,0)</f>
        <v>3.4649999999999999</v>
      </c>
      <c r="GA57" s="748">
        <f t="shared" si="138"/>
        <v>6.93</v>
      </c>
      <c r="GB57" s="750">
        <f>VLOOKUP(GC57,'Ціни контур теплопостачання'!$AN$6:$AO$13,2,0)</f>
        <v>15</v>
      </c>
      <c r="GC57" s="751">
        <f t="array" ref="GC57">MIN(IF('Ціни контур теплопостачання'!$AN$6:$AN$13&gt;N57,'Ціни контур теплопостачання'!$AN$6:$AN$13))</f>
        <v>1.5</v>
      </c>
      <c r="GD57" s="751">
        <v>1</v>
      </c>
      <c r="GE57" s="747">
        <f>VLOOKUP(GB57,'Ціни контур теплопостачання'!$AO$6:$AQ$13,3,0)</f>
        <v>19.51182</v>
      </c>
      <c r="GF57" s="748">
        <f t="shared" si="139"/>
        <v>19.51182</v>
      </c>
      <c r="GG57" s="746">
        <f t="shared" si="23"/>
        <v>25</v>
      </c>
      <c r="GH57" s="746">
        <v>1</v>
      </c>
      <c r="GI57" s="747">
        <f>VLOOKUP(GG57,'Ціни контур теплопостачання'!$AO$55:$AQ$63,3,0)</f>
        <v>122.45</v>
      </c>
      <c r="GJ57" s="768">
        <f t="shared" si="140"/>
        <v>122.45</v>
      </c>
      <c r="GK57" s="655" t="str">
        <f t="shared" si="150"/>
        <v>0-150</v>
      </c>
      <c r="GL57" s="720">
        <v>1</v>
      </c>
      <c r="GM57" s="747">
        <f>VLOOKUP(GK57,'Ціни контур мережний'!$I$79:$M$80,5,0)</f>
        <v>15.050156291498967</v>
      </c>
      <c r="GN57" s="748">
        <f t="shared" si="141"/>
        <v>15.050156291498967</v>
      </c>
      <c r="GO57" s="758" t="s">
        <v>109</v>
      </c>
      <c r="GP57" s="749">
        <v>1</v>
      </c>
      <c r="GQ57" s="747">
        <f>VLOOKUP(GO57,'Ціни контур мережний'!$I$79:$M$80,5,0)</f>
        <v>15.050156291498967</v>
      </c>
      <c r="GR57" s="765">
        <f t="shared" si="142"/>
        <v>15.050156291498967</v>
      </c>
      <c r="GS57" s="655" t="s">
        <v>108</v>
      </c>
      <c r="GT57" s="720">
        <v>3</v>
      </c>
      <c r="GU57" s="747">
        <f>VLOOKUP(GS57,'Ціни контур мережний'!$I$67:$M$69,5,0)</f>
        <v>4.4537969640631703</v>
      </c>
      <c r="GV57" s="748">
        <f t="shared" si="143"/>
        <v>13.361390892189512</v>
      </c>
      <c r="GW57" s="655" t="s">
        <v>106</v>
      </c>
      <c r="GX57" s="720">
        <f t="shared" si="151"/>
        <v>13</v>
      </c>
      <c r="GY57" s="747">
        <f>VLOOKUP(GW57,'Ціни контур мережний'!$I$67:$M$69,5,0)</f>
        <v>4.4537969640631703</v>
      </c>
      <c r="GZ57" s="748">
        <f t="shared" si="144"/>
        <v>57.899360532821213</v>
      </c>
      <c r="HA57" s="655" t="s">
        <v>1013</v>
      </c>
      <c r="HB57" s="720">
        <v>4</v>
      </c>
      <c r="HC57" s="747">
        <f>VLOOKUP(HA57,'Ціни контур мережний'!$I$64:$M$64,5,0)</f>
        <v>29.1312</v>
      </c>
      <c r="HD57" s="748">
        <f t="shared" si="145"/>
        <v>116.5248</v>
      </c>
      <c r="HE57" s="766" t="s">
        <v>1015</v>
      </c>
      <c r="HF57" s="749">
        <v>6</v>
      </c>
      <c r="HG57" s="747">
        <f>VLOOKUP(HE57,'Ціни контур мережний'!$I$89:$M$89,5,0)</f>
        <v>79.523165325760516</v>
      </c>
      <c r="HH57" s="765">
        <f t="shared" si="146"/>
        <v>477.1389919545631</v>
      </c>
      <c r="HI57" s="778" t="s">
        <v>1016</v>
      </c>
      <c r="HJ57" s="720">
        <f t="shared" si="152"/>
        <v>7</v>
      </c>
      <c r="HK57" s="747">
        <f>VLOOKUP(HI57,'Ціни контур мережний'!$I$88:$M$88,5,0)</f>
        <v>13.211568975967202</v>
      </c>
      <c r="HL57" s="768">
        <f t="shared" si="147"/>
        <v>92.480982831770419</v>
      </c>
      <c r="HM57" s="757" t="s">
        <v>383</v>
      </c>
      <c r="HN57" s="720">
        <v>1</v>
      </c>
      <c r="HO57" s="747">
        <f>VLOOKUP(HM57,'Ціни контур мережний'!$I$87:$M$87,5,0)</f>
        <v>13.483972460007763</v>
      </c>
      <c r="HP57" s="748">
        <f t="shared" si="148"/>
        <v>13.483972460007763</v>
      </c>
      <c r="HQ57" s="769">
        <f t="shared" si="97"/>
        <v>73</v>
      </c>
      <c r="HR57" s="770">
        <f t="shared" si="87"/>
        <v>3863.8799136039647</v>
      </c>
      <c r="HS57" s="771">
        <v>0</v>
      </c>
      <c r="HT57" s="771">
        <f>'Таблиця цін схема №1'!$JE$43/'Ціни контур мережний'!$G$26</f>
        <v>340.50435505070107</v>
      </c>
      <c r="HU57" s="770">
        <f>'Таблиця цін схема №1'!$JG$8</f>
        <v>661.80181284518619</v>
      </c>
      <c r="HV57" s="770">
        <f>'Таблиця цін схема №1'!$JH$8</f>
        <v>487.81784379022207</v>
      </c>
      <c r="HW57" s="770">
        <f>'Таблиця цін схема №1'!$JI$8</f>
        <v>323.47913729816605</v>
      </c>
      <c r="HX57" s="770">
        <f>'Таблиця цін схема №1'!$JJ$8</f>
        <v>66.611999999999995</v>
      </c>
      <c r="HY57" s="770">
        <f>'Таблиця цін схема №1'!$JK$28</f>
        <v>0</v>
      </c>
      <c r="HZ57" s="772">
        <f>'Таблиця цін схема №1'!$JL$8</f>
        <v>62.86234247089866</v>
      </c>
      <c r="IA57" s="770">
        <f>'Таблиця цін схема №1'!$JM$28</f>
        <v>0</v>
      </c>
      <c r="IB57" s="770">
        <v>0</v>
      </c>
      <c r="IC57" s="913">
        <f t="shared" si="98"/>
        <v>406.48701835413976</v>
      </c>
      <c r="ID57" s="914">
        <f t="shared" si="99"/>
        <v>580.69574050591393</v>
      </c>
      <c r="IE57" s="915">
        <f t="shared" si="100"/>
        <v>99.894093706127933</v>
      </c>
      <c r="IF57" s="776">
        <f>'Таблиця цін схема №1'!$JR$8</f>
        <v>300.63036461094771</v>
      </c>
      <c r="IG57" s="777">
        <f t="shared" si="88"/>
        <v>7194.6646222362688</v>
      </c>
      <c r="II57" s="835"/>
      <c r="IJ57" s="835"/>
      <c r="IK57" s="835"/>
      <c r="IL57" s="835"/>
    </row>
    <row r="58" spans="2:246" s="780" customFormat="1" ht="12.6" customHeight="1">
      <c r="B58" s="905">
        <v>74</v>
      </c>
      <c r="C58" s="1056" t="s">
        <v>935</v>
      </c>
      <c r="D58" s="906">
        <v>0.16652</v>
      </c>
      <c r="E58" s="907">
        <v>5.8319999999999997E-2</v>
      </c>
      <c r="F58" s="908">
        <f t="shared" si="28"/>
        <v>4.4654313437971931</v>
      </c>
      <c r="G58" s="599">
        <v>40</v>
      </c>
      <c r="H58" s="598">
        <f t="shared" si="29"/>
        <v>2.9746337977849233</v>
      </c>
      <c r="I58" s="599">
        <v>25</v>
      </c>
      <c r="J58" s="598">
        <f t="shared" si="30"/>
        <v>6.9239085239085245</v>
      </c>
      <c r="K58" s="599">
        <v>50</v>
      </c>
      <c r="L58" s="598">
        <f t="shared" si="31"/>
        <v>1.49079754601227</v>
      </c>
      <c r="M58" s="599">
        <v>25</v>
      </c>
      <c r="N58" s="598">
        <f t="shared" si="32"/>
        <v>1.1829614604462475</v>
      </c>
      <c r="O58" s="599">
        <v>25</v>
      </c>
      <c r="P58" s="598">
        <f t="shared" si="153"/>
        <v>0.35488843813387422</v>
      </c>
      <c r="Q58" s="599">
        <v>20</v>
      </c>
      <c r="R58" s="598">
        <f t="shared" si="33"/>
        <v>4.2067674599208251</v>
      </c>
      <c r="S58" s="600">
        <f t="shared" si="104"/>
        <v>2.1083061083230801</v>
      </c>
      <c r="T58" s="910">
        <v>3</v>
      </c>
      <c r="U58" s="601">
        <f t="shared" si="35"/>
        <v>2.3079695079695082</v>
      </c>
      <c r="V58" s="601">
        <f t="shared" si="36"/>
        <v>3.2639617797140374</v>
      </c>
      <c r="W58" s="850">
        <v>32</v>
      </c>
      <c r="X58" s="751">
        <f t="shared" si="0"/>
        <v>40</v>
      </c>
      <c r="Y58" s="746">
        <v>2</v>
      </c>
      <c r="Z58" s="747">
        <f>VLOOKUP(X58,'Ціни контур мережний'!$Z$24:$AB$36,3,0)</f>
        <v>18.42400964308333</v>
      </c>
      <c r="AA58" s="748">
        <f t="shared" si="105"/>
        <v>36.848019286166661</v>
      </c>
      <c r="AB58" s="749">
        <f t="shared" si="1"/>
        <v>40</v>
      </c>
      <c r="AC58" s="749">
        <v>2</v>
      </c>
      <c r="AD58" s="747">
        <f>VLOOKUP(AB58,'Ціни контур мережний'!$Z$64:$AB$77,3,0)</f>
        <v>72.595528496809465</v>
      </c>
      <c r="AE58" s="748">
        <f t="shared" si="106"/>
        <v>145.19105699361893</v>
      </c>
      <c r="AF58" s="746">
        <f t="shared" si="2"/>
        <v>40</v>
      </c>
      <c r="AG58" s="746">
        <v>0</v>
      </c>
      <c r="AH58" s="747">
        <f>VLOOKUP(AF58,'Ціни контур мережний'!$Z$5:$AB$17,3,0)</f>
        <v>23.225999999999999</v>
      </c>
      <c r="AI58" s="748">
        <f t="shared" si="107"/>
        <v>0</v>
      </c>
      <c r="AJ58" s="746">
        <f t="shared" si="3"/>
        <v>25</v>
      </c>
      <c r="AK58" s="746">
        <v>1</v>
      </c>
      <c r="AL58" s="747">
        <f>VLOOKUP(AJ58,'Ціни контур мережний'!$Z$43:$AB$55,3,0)</f>
        <v>14.856886019572187</v>
      </c>
      <c r="AM58" s="748">
        <f t="shared" si="108"/>
        <v>14.856886019572187</v>
      </c>
      <c r="AN58" s="745">
        <f t="shared" si="4"/>
        <v>25</v>
      </c>
      <c r="AO58" s="749">
        <v>4</v>
      </c>
      <c r="AP58" s="747">
        <f>VLOOKUP(AN58,'Ціни контур мережний'!$Z$43:$AB$55,3,0)</f>
        <v>14.856886019572187</v>
      </c>
      <c r="AQ58" s="759">
        <f t="shared" si="109"/>
        <v>59.427544078288747</v>
      </c>
      <c r="AR58" s="751" t="str">
        <f t="shared" si="42"/>
        <v>AMV20</v>
      </c>
      <c r="AS58" s="751">
        <v>1</v>
      </c>
      <c r="AT58" s="747">
        <f>VLOOKUP(AR58,'Ціни контур мережний'!$I$53:$M$57,5,0)</f>
        <v>110.39869654932889</v>
      </c>
      <c r="AU58" s="748">
        <f t="shared" si="110"/>
        <v>110.39869654932889</v>
      </c>
      <c r="AV58" s="752">
        <f t="array" ref="AV58">MIN(IF('Ціни контур мережний'!$Y$83:$Y$92&gt;(R58*1.2),'Ціни контур мережний'!$Y$83:$Y$92))</f>
        <v>6.3</v>
      </c>
      <c r="AW58" s="746">
        <f>VLOOKUP(AV58,'Ціни контур мережний'!$Y$83:$Z$92,2,0)</f>
        <v>20</v>
      </c>
      <c r="AX58" s="746">
        <v>1</v>
      </c>
      <c r="AY58" s="747">
        <f>VLOOKUP(AV58,'Ціни контур мережний'!$Y$83:$AB$92,4,0)</f>
        <v>113.14115267534271</v>
      </c>
      <c r="AZ58" s="748">
        <f t="shared" si="111"/>
        <v>113.14115267534271</v>
      </c>
      <c r="BA58" s="1099">
        <f t="array" ref="BA58">MIN(IF('[1]Ціни контур мережний'!$Y$104:$Y$114&gt;(R58*1.2),'[1]Ціни контур мережний'!$Y$104:$Y$114))</f>
        <v>6.3</v>
      </c>
      <c r="BB58" s="1101">
        <f>VLOOKUP(BA58,'[1]Ціни контур мережний'!$Y$104:$Z$114,2,0)</f>
        <v>20</v>
      </c>
      <c r="BC58" s="753">
        <v>1</v>
      </c>
      <c r="BD58" s="754">
        <f>VLOOKUP(BA58,'Ціни контур мережний'!$Y$104:$AB$114,4,0)</f>
        <v>259.83406541769665</v>
      </c>
      <c r="BE58" s="755">
        <f t="shared" si="112"/>
        <v>259.83406541769665</v>
      </c>
      <c r="BF58" s="751" t="s">
        <v>67</v>
      </c>
      <c r="BG58" s="749">
        <v>1</v>
      </c>
      <c r="BH58" s="747">
        <f>VLOOKUP(BF58,'Ціни контур мережний'!$I$53:$M$57,5,0)</f>
        <v>157.67238032974441</v>
      </c>
      <c r="BI58" s="768">
        <f t="shared" si="113"/>
        <v>157.67238032974441</v>
      </c>
      <c r="BJ58" s="894">
        <f t="array" ref="BJ58">MIN(IF('Ціни контур мережний'!$Y$83:$Y$93&gt;(S58*1.2),'Ціни контур мережний'!$Y$83:$Y$93))</f>
        <v>4</v>
      </c>
      <c r="BK58" s="895">
        <f>VLOOKUP(BJ58,'Ціни контур мережний'!$Y$83:$Z$93,2,0)</f>
        <v>15</v>
      </c>
      <c r="BL58" s="895">
        <v>1</v>
      </c>
      <c r="BM58" s="896">
        <f>VLOOKUP(BJ58,'Ціни контур мережний'!$Y$83:$AB$93,4,0)</f>
        <v>104.44472592804462</v>
      </c>
      <c r="BN58" s="916">
        <f t="shared" si="114"/>
        <v>104.44472592804462</v>
      </c>
      <c r="BO58" s="896">
        <f t="array" ref="BO58">MIN(IF('Ціни контур мережний'!$Y$104:$Y$114&gt;(S58*1.2),'Ціни контур мережний'!$Y$104:$Y$114))</f>
        <v>4</v>
      </c>
      <c r="BP58" s="895">
        <f>VLOOKUP(BO58,'Ціни контур мережний'!$Y$104:$Z$114,2,0)</f>
        <v>15</v>
      </c>
      <c r="BQ58" s="895">
        <v>1</v>
      </c>
      <c r="BR58" s="896">
        <f>VLOOKUP(BO58,'Ціни контур мережний'!$Y$104:$AB$114,4,0)</f>
        <v>251.13923223078018</v>
      </c>
      <c r="BS58" s="897">
        <f t="shared" si="115"/>
        <v>251.13923223078018</v>
      </c>
      <c r="BT58" s="751" t="s">
        <v>115</v>
      </c>
      <c r="BU58" s="751" t="s">
        <v>115</v>
      </c>
      <c r="BV58" s="746" t="s">
        <v>1025</v>
      </c>
      <c r="BW58" s="756">
        <v>0</v>
      </c>
      <c r="BX58" s="747">
        <v>0</v>
      </c>
      <c r="BY58" s="748">
        <f t="shared" si="116"/>
        <v>0</v>
      </c>
      <c r="BZ58" s="745">
        <f>VLOOKUP(CA58,'Ціни контур мережний'!$J$5:$L$12,3,0)</f>
        <v>15</v>
      </c>
      <c r="CA58" s="747">
        <f t="array" ref="CA58">MIN(IF('Ціни контур мережний'!$J$5:$J$12&gt;L58,'Ціни контур мережний'!$J$5:$J$12))</f>
        <v>1.5</v>
      </c>
      <c r="CB58" s="746" t="s">
        <v>130</v>
      </c>
      <c r="CC58" s="749">
        <v>1</v>
      </c>
      <c r="CD58" s="747">
        <f>VLOOKUP(CA58,'Ціни контур мережний'!$J$5:$N$12,5,0)</f>
        <v>246.38399999999999</v>
      </c>
      <c r="CE58" s="748">
        <f t="shared" si="117"/>
        <v>246.38399999999999</v>
      </c>
      <c r="CF58" s="898" t="s">
        <v>1377</v>
      </c>
      <c r="CG58" s="899">
        <v>1</v>
      </c>
      <c r="CH58" s="900">
        <v>306</v>
      </c>
      <c r="CI58" s="901">
        <f t="shared" si="118"/>
        <v>306</v>
      </c>
      <c r="CJ58" s="751">
        <f t="shared" si="5"/>
        <v>50</v>
      </c>
      <c r="CK58" s="746">
        <v>4</v>
      </c>
      <c r="CL58" s="747">
        <f>VLOOKUP(CJ58,'Ціни контур теплопостачання'!$Y$5:$AA$17,3,0)</f>
        <v>23.2782130224622</v>
      </c>
      <c r="CM58" s="748">
        <f t="shared" si="119"/>
        <v>93.112852089848801</v>
      </c>
      <c r="CN58" s="746">
        <f t="shared" si="6"/>
        <v>25</v>
      </c>
      <c r="CO58" s="746">
        <v>6</v>
      </c>
      <c r="CP58" s="747">
        <f>VLOOKUP(CN58,'Ціни контур теплопостачання'!$AO$20:$AQ$29,3,0)</f>
        <v>6.3070000000000004</v>
      </c>
      <c r="CQ58" s="748">
        <f t="shared" si="120"/>
        <v>37.841999999999999</v>
      </c>
      <c r="CR58" s="746">
        <f t="shared" si="7"/>
        <v>20</v>
      </c>
      <c r="CS58" s="746">
        <v>3</v>
      </c>
      <c r="CT58" s="747">
        <f>VLOOKUP(CR58,'Ціни контур теплопостачання'!$AO$20:$AQ$29,3,0)</f>
        <v>3.577</v>
      </c>
      <c r="CU58" s="748">
        <f t="shared" si="121"/>
        <v>10.731</v>
      </c>
      <c r="CV58" s="746">
        <f t="shared" si="8"/>
        <v>32</v>
      </c>
      <c r="CW58" s="746">
        <f t="shared" si="101"/>
        <v>6</v>
      </c>
      <c r="CX58" s="747">
        <f>VLOOKUP(CV58,'Ціни контур теплопостачання'!$Y$5:$AA$17,3,0)</f>
        <v>10.381</v>
      </c>
      <c r="CY58" s="748">
        <f t="shared" si="122"/>
        <v>62.286000000000001</v>
      </c>
      <c r="CZ58" s="745">
        <v>20</v>
      </c>
      <c r="DA58" s="749">
        <v>2</v>
      </c>
      <c r="DB58" s="747">
        <f>VLOOKUP(CZ58,'Ціни контур теплопостачання'!$Y$5:$AA$17,3,0)</f>
        <v>3.577</v>
      </c>
      <c r="DC58" s="748">
        <f t="shared" si="123"/>
        <v>7.1539999999999999</v>
      </c>
      <c r="DD58" s="745">
        <v>15</v>
      </c>
      <c r="DE58" s="745">
        <v>8</v>
      </c>
      <c r="DF58" s="758">
        <f>VLOOKUP(DD58,'Ціни контур теплопостачання'!$Y$5:$AA$17,3,0)</f>
        <v>2.464</v>
      </c>
      <c r="DG58" s="759">
        <f t="shared" si="124"/>
        <v>19.712</v>
      </c>
      <c r="DH58" s="745">
        <v>15</v>
      </c>
      <c r="DI58" s="745">
        <f t="shared" si="58"/>
        <v>38</v>
      </c>
      <c r="DJ58" s="758">
        <f>VLOOKUP(DH58,'Ціни контур мережний'!$J$71:$M$71,4,0)</f>
        <v>3.3865201135922525</v>
      </c>
      <c r="DK58" s="759">
        <f t="shared" si="125"/>
        <v>128.68776431650559</v>
      </c>
      <c r="DL58" s="751">
        <f t="shared" si="10"/>
        <v>50</v>
      </c>
      <c r="DM58" s="746">
        <v>1</v>
      </c>
      <c r="DN58" s="747">
        <f>VLOOKUP(DL58,'Ціни контур теплопостачання'!$K$5:$M$17,3,0)</f>
        <v>26.284999999999997</v>
      </c>
      <c r="DO58" s="748">
        <f t="shared" si="126"/>
        <v>26.284999999999997</v>
      </c>
      <c r="DP58" s="745">
        <f t="shared" si="11"/>
        <v>25</v>
      </c>
      <c r="DQ58" s="749">
        <v>1</v>
      </c>
      <c r="DR58" s="747">
        <f>VLOOKUP(DP58,'Ціни контур теплопостачання'!$K$5:$M$17,3,0)</f>
        <v>4.78</v>
      </c>
      <c r="DS58" s="748">
        <f t="shared" si="127"/>
        <v>4.78</v>
      </c>
      <c r="DT58" s="745">
        <f t="shared" si="12"/>
        <v>20</v>
      </c>
      <c r="DU58" s="745">
        <v>1</v>
      </c>
      <c r="DV58" s="758">
        <f>VLOOKUP(DT58,'Ціни контур теплопостачання'!$K$5:$M$17,3,0)</f>
        <v>3.48</v>
      </c>
      <c r="DW58" s="759">
        <f t="shared" si="128"/>
        <v>3.48</v>
      </c>
      <c r="DX58" s="745">
        <f t="shared" si="63"/>
        <v>50</v>
      </c>
      <c r="DY58" s="745">
        <v>1</v>
      </c>
      <c r="DZ58" s="758">
        <f>VLOOKUP(DX58,'Ціни контур теплопостачання'!$Y$24:$AA$36,3,0)</f>
        <v>28.560999999999996</v>
      </c>
      <c r="EA58" s="759">
        <f t="shared" si="64"/>
        <v>28.560999999999996</v>
      </c>
      <c r="EB58" s="751">
        <f t="shared" si="13"/>
        <v>50</v>
      </c>
      <c r="EC58" s="746">
        <v>2</v>
      </c>
      <c r="ED58" s="747">
        <f>VLOOKUP(EB58,'Ціни контур теплопостачання'!$Y$24:$AA$36,3,0)</f>
        <v>28.560999999999996</v>
      </c>
      <c r="EE58" s="748">
        <f t="shared" si="129"/>
        <v>57.121999999999993</v>
      </c>
      <c r="EF58" s="745">
        <f t="shared" si="14"/>
        <v>25</v>
      </c>
      <c r="EG58" s="749">
        <v>1</v>
      </c>
      <c r="EH58" s="747">
        <f>VLOOKUP(EF58,'Ціни контур теплопостачання'!$AO$38:$AQ$50,3,0)</f>
        <v>6.9659999999999993</v>
      </c>
      <c r="EI58" s="748">
        <f t="shared" si="130"/>
        <v>6.9659999999999993</v>
      </c>
      <c r="EJ58" s="745">
        <f t="shared" si="15"/>
        <v>20</v>
      </c>
      <c r="EK58" s="745">
        <v>1</v>
      </c>
      <c r="EL58" s="758">
        <f>VLOOKUP(EJ58,'Ціни контур теплопостачання'!$AO$38:$AQ$50,3,0)</f>
        <v>4.5359999999999996</v>
      </c>
      <c r="EM58" s="759">
        <f t="shared" si="131"/>
        <v>4.5359999999999996</v>
      </c>
      <c r="EN58" s="745">
        <f t="shared" si="16"/>
        <v>32</v>
      </c>
      <c r="EO58" s="745">
        <f t="shared" si="102"/>
        <v>6</v>
      </c>
      <c r="EP58" s="758">
        <f>VLOOKUP(EN58,'Ціни контур теплопостачання'!$Y$76:$AA$88,3,0)</f>
        <v>13.15</v>
      </c>
      <c r="EQ58" s="759">
        <f t="shared" si="132"/>
        <v>78.900000000000006</v>
      </c>
      <c r="ER58" s="745">
        <f t="shared" si="18"/>
        <v>25</v>
      </c>
      <c r="ES58" s="745">
        <v>1</v>
      </c>
      <c r="ET58" s="758">
        <f>VLOOKUP(ER58,'Ціни контур теплопостачання'!$Y$76:$AA$88,3,0)</f>
        <v>11.45</v>
      </c>
      <c r="EU58" s="759">
        <f t="shared" si="133"/>
        <v>11.45</v>
      </c>
      <c r="EV58" s="745">
        <f t="shared" si="19"/>
        <v>20</v>
      </c>
      <c r="EW58" s="745">
        <v>1</v>
      </c>
      <c r="EX58" s="758">
        <f>VLOOKUP(EV58,'Ціни контур теплопостачання'!$Y$76:$AA$88,3,0)</f>
        <v>11.45</v>
      </c>
      <c r="EY58" s="759">
        <f t="shared" si="134"/>
        <v>11.45</v>
      </c>
      <c r="EZ58" s="758">
        <f t="shared" si="95"/>
        <v>20.727315310961039</v>
      </c>
      <c r="FA58" s="955">
        <v>20</v>
      </c>
      <c r="FB58" s="719">
        <v>2</v>
      </c>
      <c r="FC58" s="747">
        <f>VLOOKUP(FA58,'Ціни контур теплопостачання'!$K$74:$M$79,3,0)</f>
        <v>16.440000000000001</v>
      </c>
      <c r="FD58" s="761">
        <f t="shared" si="96"/>
        <v>32.880000000000003</v>
      </c>
      <c r="FE58" s="762">
        <f t="shared" si="71"/>
        <v>6.9239085239085245</v>
      </c>
      <c r="FF58" s="911">
        <v>5</v>
      </c>
      <c r="FG58" s="900">
        <v>5</v>
      </c>
      <c r="FH58" s="830" t="s">
        <v>120</v>
      </c>
      <c r="FI58" s="708">
        <v>2</v>
      </c>
      <c r="FJ58" s="709">
        <f>VLOOKUP(FH58,'Ціни контур теплопостачання'!$C$89:$M$105,11,0)</f>
        <v>198.83999999999997</v>
      </c>
      <c r="FK58" s="764">
        <f t="shared" si="135"/>
        <v>397.67999999999995</v>
      </c>
      <c r="FL58" s="912">
        <f t="shared" si="73"/>
        <v>0.35488843813387422</v>
      </c>
      <c r="FM58" s="911">
        <v>5</v>
      </c>
      <c r="FN58" s="900">
        <v>6</v>
      </c>
      <c r="FO58" s="900" t="s">
        <v>1096</v>
      </c>
      <c r="FP58" s="749">
        <v>1</v>
      </c>
      <c r="FQ58" s="747">
        <f>VLOOKUP(FO58,'Ціни контур теплопостачання'!$C$89:$M$105,11,0)</f>
        <v>162.96</v>
      </c>
      <c r="FR58" s="904">
        <f t="shared" si="136"/>
        <v>162.96</v>
      </c>
      <c r="FS58" s="758">
        <f t="array" ref="FS58">MIN(IF('Ціни контур теплопостачання'!$AN$68:$AN$77&gt;(V58*1.2),'Ціни контур теплопостачання'!$AN$68:$AN$77))</f>
        <v>5.83</v>
      </c>
      <c r="FT58" s="749">
        <f>VLOOKUP(FS58,'Ціни контур теплопостачання'!$AN$68:$AO$77,2,0)</f>
        <v>25</v>
      </c>
      <c r="FU58" s="749">
        <f t="shared" si="103"/>
        <v>3</v>
      </c>
      <c r="FV58" s="747">
        <f>VLOOKUP(FT58,'Ціни контур теплопостачання'!$AO$68:$AQ$77,3,0)</f>
        <v>26.495000000000001</v>
      </c>
      <c r="FW58" s="765">
        <f t="shared" si="137"/>
        <v>79.484999999999999</v>
      </c>
      <c r="FX58" s="750">
        <v>15</v>
      </c>
      <c r="FY58" s="746">
        <v>2</v>
      </c>
      <c r="FZ58" s="747">
        <f>VLOOKUP(FX58,'Ціни контур мережний'!$J$73:$M$73,4,0)</f>
        <v>3.4649999999999999</v>
      </c>
      <c r="GA58" s="748">
        <f t="shared" si="138"/>
        <v>6.93</v>
      </c>
      <c r="GB58" s="750">
        <f>VLOOKUP(GC58,'Ціни контур теплопостачання'!$AN$6:$AO$13,2,0)</f>
        <v>15</v>
      </c>
      <c r="GC58" s="751">
        <f t="array" ref="GC58">MIN(IF('Ціни контур теплопостачання'!$AN$6:$AN$13&gt;N58,'Ціни контур теплопостачання'!$AN$6:$AN$13))</f>
        <v>1.5</v>
      </c>
      <c r="GD58" s="751">
        <v>1</v>
      </c>
      <c r="GE58" s="747">
        <f>VLOOKUP(GB58,'Ціни контур теплопостачання'!$AO$6:$AQ$13,3,0)</f>
        <v>19.51182</v>
      </c>
      <c r="GF58" s="748">
        <f t="shared" si="139"/>
        <v>19.51182</v>
      </c>
      <c r="GG58" s="746">
        <f t="shared" si="23"/>
        <v>25</v>
      </c>
      <c r="GH58" s="746">
        <v>1</v>
      </c>
      <c r="GI58" s="747">
        <f>VLOOKUP(GG58,'Ціни контур теплопостачання'!$AO$55:$AQ$63,3,0)</f>
        <v>122.45</v>
      </c>
      <c r="GJ58" s="768">
        <f t="shared" si="140"/>
        <v>122.45</v>
      </c>
      <c r="GK58" s="655" t="str">
        <f t="shared" si="150"/>
        <v>0-150</v>
      </c>
      <c r="GL58" s="720">
        <v>1</v>
      </c>
      <c r="GM58" s="747">
        <f>VLOOKUP(GK58,'Ціни контур мережний'!$I$79:$M$80,5,0)</f>
        <v>15.050156291498967</v>
      </c>
      <c r="GN58" s="748">
        <f t="shared" si="141"/>
        <v>15.050156291498967</v>
      </c>
      <c r="GO58" s="758" t="s">
        <v>109</v>
      </c>
      <c r="GP58" s="749">
        <v>1</v>
      </c>
      <c r="GQ58" s="747">
        <f>VLOOKUP(GO58,'Ціни контур мережний'!$I$79:$M$80,5,0)</f>
        <v>15.050156291498967</v>
      </c>
      <c r="GR58" s="765">
        <f t="shared" si="142"/>
        <v>15.050156291498967</v>
      </c>
      <c r="GS58" s="655" t="s">
        <v>108</v>
      </c>
      <c r="GT58" s="720">
        <v>3</v>
      </c>
      <c r="GU58" s="747">
        <f>VLOOKUP(GS58,'Ціни контур мережний'!$I$67:$M$69,5,0)</f>
        <v>4.4537969640631703</v>
      </c>
      <c r="GV58" s="748">
        <f t="shared" si="143"/>
        <v>13.361390892189512</v>
      </c>
      <c r="GW58" s="655" t="s">
        <v>106</v>
      </c>
      <c r="GX58" s="720">
        <f t="shared" si="151"/>
        <v>14</v>
      </c>
      <c r="GY58" s="747">
        <f>VLOOKUP(GW58,'Ціни контур мережний'!$I$67:$M$69,5,0)</f>
        <v>4.4537969640631703</v>
      </c>
      <c r="GZ58" s="748">
        <f t="shared" si="144"/>
        <v>62.353157496884386</v>
      </c>
      <c r="HA58" s="655" t="s">
        <v>1013</v>
      </c>
      <c r="HB58" s="720">
        <v>4</v>
      </c>
      <c r="HC58" s="747">
        <f>VLOOKUP(HA58,'Ціни контур мережний'!$I$64:$M$64,5,0)</f>
        <v>29.1312</v>
      </c>
      <c r="HD58" s="748">
        <f t="shared" si="145"/>
        <v>116.5248</v>
      </c>
      <c r="HE58" s="766" t="s">
        <v>1015</v>
      </c>
      <c r="HF58" s="749">
        <v>6</v>
      </c>
      <c r="HG58" s="747">
        <f>VLOOKUP(HE58,'Ціни контур мережний'!$I$89:$M$89,5,0)</f>
        <v>79.523165325760516</v>
      </c>
      <c r="HH58" s="765">
        <f t="shared" si="146"/>
        <v>477.1389919545631</v>
      </c>
      <c r="HI58" s="917" t="s">
        <v>1016</v>
      </c>
      <c r="HJ58" s="720">
        <f t="shared" si="152"/>
        <v>7</v>
      </c>
      <c r="HK58" s="747">
        <f>VLOOKUP(HI58,'Ціни контур мережний'!$I$88:$M$88,5,0)</f>
        <v>13.211568975967202</v>
      </c>
      <c r="HL58" s="768">
        <f t="shared" si="147"/>
        <v>92.480982831770419</v>
      </c>
      <c r="HM58" s="917" t="s">
        <v>383</v>
      </c>
      <c r="HN58" s="720">
        <v>1</v>
      </c>
      <c r="HO58" s="747">
        <f>VLOOKUP(HM58,'Ціни контур мережний'!$I$87:$M$87,5,0)</f>
        <v>13.483972460007763</v>
      </c>
      <c r="HP58" s="748">
        <f t="shared" si="148"/>
        <v>13.483972460007763</v>
      </c>
      <c r="HQ58" s="769">
        <f t="shared" si="97"/>
        <v>74</v>
      </c>
      <c r="HR58" s="770">
        <f t="shared" si="87"/>
        <v>4025.7338041333505</v>
      </c>
      <c r="HS58" s="771">
        <v>0</v>
      </c>
      <c r="HT58" s="771">
        <f>'Таблиця цін схема №1'!$JE$43/'Ціни контур мережний'!$G$26</f>
        <v>340.50435505070107</v>
      </c>
      <c r="HU58" s="770">
        <f>'Таблиця цін схема №1'!$JG$8</f>
        <v>661.80181284518619</v>
      </c>
      <c r="HV58" s="770">
        <f>'Таблиця цін схема №1'!$JH$8</f>
        <v>487.81784379022207</v>
      </c>
      <c r="HW58" s="770">
        <f>'Таблиця цін схема №1'!$JI$8</f>
        <v>323.47913729816605</v>
      </c>
      <c r="HX58" s="770">
        <f>'Таблиця цін схема №1'!$JJ$8</f>
        <v>66.611999999999995</v>
      </c>
      <c r="HY58" s="770">
        <f>'Таблиця цін схема №1'!$JK$28</f>
        <v>0</v>
      </c>
      <c r="HZ58" s="772">
        <f>'Таблиця цін схема №1'!$JL$8</f>
        <v>62.86234247089866</v>
      </c>
      <c r="IA58" s="770">
        <f>'Таблиця цін схема №1'!$JM$28</f>
        <v>0</v>
      </c>
      <c r="IB58" s="770">
        <v>0</v>
      </c>
      <c r="IC58" s="913">
        <f t="shared" si="98"/>
        <v>417.81679069119673</v>
      </c>
      <c r="ID58" s="914">
        <f t="shared" si="99"/>
        <v>596.88112955885242</v>
      </c>
      <c r="IE58" s="915">
        <f t="shared" si="100"/>
        <v>102.67838272005429</v>
      </c>
      <c r="IF58" s="776">
        <f>'Таблиця цін схема №1'!$JR$8</f>
        <v>300.63036461094771</v>
      </c>
      <c r="IG58" s="777">
        <f t="shared" si="88"/>
        <v>7386.8179631695748</v>
      </c>
      <c r="II58" s="835"/>
      <c r="IJ58" s="835"/>
      <c r="IK58" s="835"/>
      <c r="IL58" s="835"/>
    </row>
    <row r="59" spans="2:246" s="780" customFormat="1" ht="12.6" customHeight="1">
      <c r="B59" s="905">
        <v>88</v>
      </c>
      <c r="C59" s="1056" t="s">
        <v>936</v>
      </c>
      <c r="D59" s="906">
        <v>0.30549999999999999</v>
      </c>
      <c r="E59" s="907">
        <v>0.32319999999999999</v>
      </c>
      <c r="F59" s="908">
        <f t="shared" si="28"/>
        <v>13.719064871985394</v>
      </c>
      <c r="G59" s="599">
        <v>65</v>
      </c>
      <c r="H59" s="598">
        <f t="shared" si="29"/>
        <v>5.4573061807788488</v>
      </c>
      <c r="I59" s="599">
        <v>40</v>
      </c>
      <c r="J59" s="598">
        <f t="shared" si="30"/>
        <v>12.702702702702702</v>
      </c>
      <c r="K59" s="599">
        <v>65</v>
      </c>
      <c r="L59" s="598">
        <f t="shared" si="31"/>
        <v>8.2617586912065448</v>
      </c>
      <c r="M59" s="599">
        <v>50</v>
      </c>
      <c r="N59" s="598">
        <f t="shared" si="32"/>
        <v>6.5557809330628807</v>
      </c>
      <c r="O59" s="599">
        <v>50</v>
      </c>
      <c r="P59" s="598">
        <f t="shared" si="153"/>
        <v>1.9667342799188641</v>
      </c>
      <c r="Q59" s="599">
        <v>32</v>
      </c>
      <c r="R59" s="598">
        <f t="shared" si="33"/>
        <v>7.7177964148799649</v>
      </c>
      <c r="S59" s="600">
        <f t="shared" si="104"/>
        <v>11.683891190158086</v>
      </c>
      <c r="T59" s="910">
        <v>2</v>
      </c>
      <c r="U59" s="601">
        <f t="shared" si="35"/>
        <v>6.3513513513513509</v>
      </c>
      <c r="V59" s="601">
        <f t="shared" si="36"/>
        <v>8.9821672204777645</v>
      </c>
      <c r="W59" s="850">
        <v>50</v>
      </c>
      <c r="X59" s="751">
        <f t="shared" si="0"/>
        <v>65</v>
      </c>
      <c r="Y59" s="746">
        <v>2</v>
      </c>
      <c r="Z59" s="747">
        <f>VLOOKUP(X59,'Ціни контур мережний'!$Z$24:$AB$36,3,0)</f>
        <v>30.19184015363556</v>
      </c>
      <c r="AA59" s="748">
        <f t="shared" si="105"/>
        <v>60.383680307271121</v>
      </c>
      <c r="AB59" s="749">
        <f t="shared" si="1"/>
        <v>65</v>
      </c>
      <c r="AC59" s="749">
        <v>2</v>
      </c>
      <c r="AD59" s="747">
        <f>VLOOKUP(AB59,'Ціни контур мережний'!$Z$64:$AB$77,3,0)</f>
        <v>105.883234246566</v>
      </c>
      <c r="AE59" s="748">
        <f t="shared" si="106"/>
        <v>211.76646849313201</v>
      </c>
      <c r="AF59" s="746">
        <f t="shared" si="2"/>
        <v>65</v>
      </c>
      <c r="AG59" s="746">
        <v>0</v>
      </c>
      <c r="AH59" s="747">
        <f>VLOOKUP(AF59,'Ціни контур мережний'!$Z$5:$AB$17,3,0)</f>
        <v>39.731999999999999</v>
      </c>
      <c r="AI59" s="748">
        <f t="shared" si="107"/>
        <v>0</v>
      </c>
      <c r="AJ59" s="746">
        <f t="shared" si="3"/>
        <v>40</v>
      </c>
      <c r="AK59" s="746">
        <v>1</v>
      </c>
      <c r="AL59" s="747">
        <f>VLOOKUP(AJ59,'Ціни контур мережний'!$Z$43:$AB$55,3,0)</f>
        <v>18.42400964308333</v>
      </c>
      <c r="AM59" s="748">
        <f t="shared" si="108"/>
        <v>18.42400964308333</v>
      </c>
      <c r="AN59" s="745">
        <f t="shared" si="4"/>
        <v>50</v>
      </c>
      <c r="AO59" s="749">
        <v>4</v>
      </c>
      <c r="AP59" s="747">
        <f>VLOOKUP(AN59,'Ціни контур мережний'!$Z$43:$AB$55,3,0)</f>
        <v>23.2782130224622</v>
      </c>
      <c r="AQ59" s="759">
        <f t="shared" si="109"/>
        <v>93.112852089848801</v>
      </c>
      <c r="AR59" s="751" t="str">
        <f t="shared" si="42"/>
        <v>AMV20</v>
      </c>
      <c r="AS59" s="751">
        <v>1</v>
      </c>
      <c r="AT59" s="747">
        <f>VLOOKUP(AR59,'Ціни контур мережний'!$I$53:$M$57,5,0)</f>
        <v>110.39869654932889</v>
      </c>
      <c r="AU59" s="748">
        <f t="shared" si="110"/>
        <v>110.39869654932889</v>
      </c>
      <c r="AV59" s="752">
        <f t="array" ref="AV59">MIN(IF('Ціни контур мережний'!$Y$83:$Y$92&gt;(R59*1.2),'Ціни контур мережний'!$Y$83:$Y$92))</f>
        <v>10</v>
      </c>
      <c r="AW59" s="746">
        <f>VLOOKUP(AV59,'Ціни контур мережний'!$Y$83:$Z$92,2,0)</f>
        <v>25</v>
      </c>
      <c r="AX59" s="746">
        <v>1</v>
      </c>
      <c r="AY59" s="747">
        <f>VLOOKUP(AV59,'Ціни контур мережний'!$Y$83:$AB$92,4,0)</f>
        <v>117.50505648967251</v>
      </c>
      <c r="AZ59" s="748">
        <f t="shared" si="111"/>
        <v>117.50505648967251</v>
      </c>
      <c r="BA59" s="1099">
        <f t="array" ref="BA59">MIN(IF('[1]Ціни контур мережний'!$Y$104:$Y$114&gt;(R59*1.2),'[1]Ціни контур мережний'!$Y$104:$Y$114))</f>
        <v>12.5</v>
      </c>
      <c r="BB59" s="1101">
        <f>VLOOKUP(BA59,'[1]Ціни контур мережний'!$Y$104:$Z$114,2,0)</f>
        <v>32</v>
      </c>
      <c r="BC59" s="753">
        <v>1</v>
      </c>
      <c r="BD59" s="754">
        <f>VLOOKUP(BA59,'Ціни контур мережний'!$Y$104:$AB$114,4,0)</f>
        <v>435.76049604674444</v>
      </c>
      <c r="BE59" s="755">
        <f t="shared" si="112"/>
        <v>435.76049604674444</v>
      </c>
      <c r="BF59" s="751" t="s">
        <v>67</v>
      </c>
      <c r="BG59" s="749">
        <v>1</v>
      </c>
      <c r="BH59" s="747">
        <f>VLOOKUP(BF59,'Ціни контур мережний'!$I$53:$M$57,5,0)</f>
        <v>157.67238032974441</v>
      </c>
      <c r="BI59" s="768">
        <f t="shared" si="113"/>
        <v>157.67238032974441</v>
      </c>
      <c r="BJ59" s="894">
        <f t="array" ref="BJ59">MIN(IF('Ціни контур мережний'!$Y$83:$Y$93&gt;(S59*1.2),'Ціни контур мережний'!$Y$83:$Y$93))</f>
        <v>16</v>
      </c>
      <c r="BK59" s="895">
        <f>VLOOKUP(BJ59,'Ціни контур мережний'!$Y$83:$Z$93,2,0)</f>
        <v>32</v>
      </c>
      <c r="BL59" s="895">
        <v>1</v>
      </c>
      <c r="BM59" s="896">
        <f>VLOOKUP(BJ59,'Ціни контур мережний'!$Y$83:$AB$93,4,0)</f>
        <v>130.5392363168325</v>
      </c>
      <c r="BN59" s="916">
        <f t="shared" si="114"/>
        <v>130.5392363168325</v>
      </c>
      <c r="BO59" s="896">
        <f t="array" ref="BO59">MIN(IF('Ціни контур мережний'!$Y$104:$Y$114&gt;(S59*1.2),'Ціни контур мережний'!$Y$104:$Y$114))</f>
        <v>20</v>
      </c>
      <c r="BP59" s="895">
        <f>VLOOKUP(BO59,'Ціни контур мережний'!$Y$104:$Z$114,2,0)</f>
        <v>40</v>
      </c>
      <c r="BQ59" s="895">
        <v>1</v>
      </c>
      <c r="BR59" s="896">
        <f>VLOOKUP(BO59,'Ціни контур мережний'!$Y$104:$AB$114,4,0)</f>
        <v>448.22326189551967</v>
      </c>
      <c r="BS59" s="897">
        <f t="shared" si="115"/>
        <v>448.22326189551967</v>
      </c>
      <c r="BT59" s="751" t="s">
        <v>115</v>
      </c>
      <c r="BU59" s="751" t="s">
        <v>115</v>
      </c>
      <c r="BV59" s="746" t="s">
        <v>1025</v>
      </c>
      <c r="BW59" s="756">
        <v>0</v>
      </c>
      <c r="BX59" s="747">
        <v>0</v>
      </c>
      <c r="BY59" s="748">
        <f t="shared" si="116"/>
        <v>0</v>
      </c>
      <c r="BZ59" s="745">
        <f>VLOOKUP(CA59,'Ціни контур мережний'!$J$5:$L$12,3,0)</f>
        <v>40</v>
      </c>
      <c r="CA59" s="747">
        <f t="array" ref="CA59">MIN(IF('Ціни контур мережний'!$J$5:$J$12&gt;L59,'Ціни контур мережний'!$J$5:$J$12))</f>
        <v>10</v>
      </c>
      <c r="CB59" s="746" t="s">
        <v>130</v>
      </c>
      <c r="CC59" s="749">
        <v>1</v>
      </c>
      <c r="CD59" s="747">
        <f>VLOOKUP(CA59,'Ціни контур мережний'!$J$5:$N$12,5,0)</f>
        <v>375.23999999999995</v>
      </c>
      <c r="CE59" s="748">
        <f t="shared" si="117"/>
        <v>375.23999999999995</v>
      </c>
      <c r="CF59" s="898" t="s">
        <v>1378</v>
      </c>
      <c r="CG59" s="899">
        <v>1</v>
      </c>
      <c r="CH59" s="900">
        <v>677</v>
      </c>
      <c r="CI59" s="901">
        <f t="shared" si="118"/>
        <v>677</v>
      </c>
      <c r="CJ59" s="751">
        <f t="shared" si="5"/>
        <v>65</v>
      </c>
      <c r="CK59" s="746">
        <v>4</v>
      </c>
      <c r="CL59" s="747">
        <f>VLOOKUP(CJ59,'Ціни контур теплопостачання'!$Y$5:$AA$17,3,0)</f>
        <v>30.19184015363556</v>
      </c>
      <c r="CM59" s="748">
        <f t="shared" si="119"/>
        <v>120.76736061454224</v>
      </c>
      <c r="CN59" s="746">
        <f t="shared" si="6"/>
        <v>50</v>
      </c>
      <c r="CO59" s="746">
        <v>6</v>
      </c>
      <c r="CP59" s="747">
        <f>VLOOKUP(CN59,'Ціни контур теплопостачання'!$AO$20:$AQ$29,3,0)</f>
        <v>37.588411955788914</v>
      </c>
      <c r="CQ59" s="748">
        <f t="shared" si="120"/>
        <v>225.53047173473348</v>
      </c>
      <c r="CR59" s="746">
        <f t="shared" si="7"/>
        <v>32</v>
      </c>
      <c r="CS59" s="746">
        <v>3</v>
      </c>
      <c r="CT59" s="747">
        <f>VLOOKUP(CR59,'Ціни контур теплопостачання'!$AO$20:$AQ$29,3,0)</f>
        <v>10.381</v>
      </c>
      <c r="CU59" s="748">
        <f t="shared" si="121"/>
        <v>31.143000000000001</v>
      </c>
      <c r="CV59" s="746">
        <f t="shared" si="8"/>
        <v>50</v>
      </c>
      <c r="CW59" s="746">
        <f t="shared" si="101"/>
        <v>4</v>
      </c>
      <c r="CX59" s="747">
        <f>VLOOKUP(CV59,'Ціни контур теплопостачання'!$Y$5:$AA$17,3,0)</f>
        <v>23.2782130224622</v>
      </c>
      <c r="CY59" s="748">
        <f t="shared" si="122"/>
        <v>93.112852089848801</v>
      </c>
      <c r="CZ59" s="745">
        <v>20</v>
      </c>
      <c r="DA59" s="749">
        <v>2</v>
      </c>
      <c r="DB59" s="747">
        <f>VLOOKUP(CZ59,'Ціни контур теплопостачання'!$Y$5:$AA$17,3,0)</f>
        <v>3.577</v>
      </c>
      <c r="DC59" s="748">
        <f t="shared" si="123"/>
        <v>7.1539999999999999</v>
      </c>
      <c r="DD59" s="745">
        <v>15</v>
      </c>
      <c r="DE59" s="745">
        <v>8</v>
      </c>
      <c r="DF59" s="758">
        <f>VLOOKUP(DD59,'Ціни контур теплопостачання'!$Y$5:$AA$17,3,0)</f>
        <v>2.464</v>
      </c>
      <c r="DG59" s="759">
        <f t="shared" si="124"/>
        <v>19.712</v>
      </c>
      <c r="DH59" s="745">
        <v>15</v>
      </c>
      <c r="DI59" s="745">
        <f t="shared" si="58"/>
        <v>37</v>
      </c>
      <c r="DJ59" s="758">
        <f>VLOOKUP(DH59,'Ціни контур мережний'!$J$71:$M$71,4,0)</f>
        <v>3.3865201135922525</v>
      </c>
      <c r="DK59" s="759">
        <f t="shared" si="125"/>
        <v>125.30124420291334</v>
      </c>
      <c r="DL59" s="751">
        <f t="shared" si="10"/>
        <v>65</v>
      </c>
      <c r="DM59" s="746">
        <v>1</v>
      </c>
      <c r="DN59" s="747">
        <f>VLOOKUP(DL59,'Ціни контур теплопостачання'!$K$5:$M$17,3,0)</f>
        <v>39.731999999999999</v>
      </c>
      <c r="DO59" s="748">
        <f t="shared" si="126"/>
        <v>39.731999999999999</v>
      </c>
      <c r="DP59" s="745">
        <f t="shared" si="11"/>
        <v>50</v>
      </c>
      <c r="DQ59" s="749">
        <v>1</v>
      </c>
      <c r="DR59" s="747">
        <f>VLOOKUP(DP59,'Ціни контур теплопостачання'!$K$5:$M$17,3,0)</f>
        <v>26.284999999999997</v>
      </c>
      <c r="DS59" s="748">
        <f t="shared" si="127"/>
        <v>26.284999999999997</v>
      </c>
      <c r="DT59" s="745">
        <f t="shared" si="12"/>
        <v>32</v>
      </c>
      <c r="DU59" s="745">
        <v>1</v>
      </c>
      <c r="DV59" s="758">
        <f>VLOOKUP(DT59,'Ціни контур теплопостачання'!$K$5:$M$17,3,0)</f>
        <v>9.48</v>
      </c>
      <c r="DW59" s="759">
        <f t="shared" si="128"/>
        <v>9.48</v>
      </c>
      <c r="DX59" s="745">
        <f t="shared" si="63"/>
        <v>65</v>
      </c>
      <c r="DY59" s="745">
        <v>1</v>
      </c>
      <c r="DZ59" s="758">
        <f>VLOOKUP(DX59,'Ціни контур теплопостачання'!$Y$24:$AA$36,3,0)</f>
        <v>42.080999999999996</v>
      </c>
      <c r="EA59" s="759">
        <f t="shared" si="64"/>
        <v>42.080999999999996</v>
      </c>
      <c r="EB59" s="751">
        <f t="shared" si="13"/>
        <v>65</v>
      </c>
      <c r="EC59" s="746">
        <v>2</v>
      </c>
      <c r="ED59" s="747">
        <f>VLOOKUP(EB59,'Ціни контур теплопостачання'!$Y$24:$AA$36,3,0)</f>
        <v>42.080999999999996</v>
      </c>
      <c r="EE59" s="748">
        <f t="shared" si="129"/>
        <v>84.161999999999992</v>
      </c>
      <c r="EF59" s="745">
        <f t="shared" si="14"/>
        <v>50</v>
      </c>
      <c r="EG59" s="749">
        <v>1</v>
      </c>
      <c r="EH59" s="747">
        <f>VLOOKUP(EF59,'Ціни контур теплопостачання'!$AO$38:$AQ$50,3,0)</f>
        <v>28.560999999999996</v>
      </c>
      <c r="EI59" s="748">
        <f t="shared" si="130"/>
        <v>28.560999999999996</v>
      </c>
      <c r="EJ59" s="745">
        <f t="shared" si="15"/>
        <v>32</v>
      </c>
      <c r="EK59" s="745">
        <v>1</v>
      </c>
      <c r="EL59" s="758">
        <f>VLOOKUP(EJ59,'Ціни контур теплопостачання'!$AO$38:$AQ$50,3,0)</f>
        <v>10.773</v>
      </c>
      <c r="EM59" s="759">
        <f t="shared" si="131"/>
        <v>10.773</v>
      </c>
      <c r="EN59" s="745">
        <f t="shared" si="16"/>
        <v>50</v>
      </c>
      <c r="EO59" s="745">
        <f t="shared" si="102"/>
        <v>4</v>
      </c>
      <c r="EP59" s="758">
        <f>VLOOKUP(EN59,'Ціни контур теплопостачання'!$Y$76:$AA$88,3,0)</f>
        <v>20.6</v>
      </c>
      <c r="EQ59" s="759">
        <f t="shared" si="132"/>
        <v>82.4</v>
      </c>
      <c r="ER59" s="745">
        <f t="shared" si="18"/>
        <v>50</v>
      </c>
      <c r="ES59" s="745">
        <v>1</v>
      </c>
      <c r="ET59" s="758">
        <f>VLOOKUP(ER59,'Ціни контур теплопостачання'!$Y$76:$AA$88,3,0)</f>
        <v>20.6</v>
      </c>
      <c r="EU59" s="759">
        <f t="shared" si="133"/>
        <v>20.6</v>
      </c>
      <c r="EV59" s="745">
        <f t="shared" si="19"/>
        <v>32</v>
      </c>
      <c r="EW59" s="745">
        <v>1</v>
      </c>
      <c r="EX59" s="758">
        <f>VLOOKUP(EV59,'Ціни контур теплопостачання'!$Y$76:$AA$88,3,0)</f>
        <v>13.15</v>
      </c>
      <c r="EY59" s="759">
        <f t="shared" si="134"/>
        <v>13.15</v>
      </c>
      <c r="EZ59" s="758">
        <f t="shared" si="95"/>
        <v>28.074721726136485</v>
      </c>
      <c r="FA59" s="955">
        <v>32</v>
      </c>
      <c r="FB59" s="719">
        <v>2</v>
      </c>
      <c r="FC59" s="747">
        <f>VLOOKUP(FA59,'Ціни контур теплопостачання'!$K$74:$M$79,3,0)</f>
        <v>33.68</v>
      </c>
      <c r="FD59" s="761">
        <f t="shared" si="96"/>
        <v>67.36</v>
      </c>
      <c r="FE59" s="762">
        <f t="shared" si="71"/>
        <v>12.702702702702702</v>
      </c>
      <c r="FF59" s="911">
        <v>9</v>
      </c>
      <c r="FG59" s="900">
        <v>8</v>
      </c>
      <c r="FH59" s="830" t="s">
        <v>123</v>
      </c>
      <c r="FI59" s="708">
        <v>2</v>
      </c>
      <c r="FJ59" s="709">
        <f>VLOOKUP(FH59,'Ціни контур теплопостачання'!$C$89:$M$105,11,0)</f>
        <v>387.45599999999996</v>
      </c>
      <c r="FK59" s="764">
        <f t="shared" si="135"/>
        <v>774.91199999999992</v>
      </c>
      <c r="FL59" s="912">
        <f t="shared" si="73"/>
        <v>1.9667342799188641</v>
      </c>
      <c r="FM59" s="911">
        <v>9</v>
      </c>
      <c r="FN59" s="900">
        <v>9</v>
      </c>
      <c r="FO59" s="900" t="s">
        <v>1097</v>
      </c>
      <c r="FP59" s="749">
        <v>1</v>
      </c>
      <c r="FQ59" s="747">
        <f>VLOOKUP(FO59,'Ціни контур теплопостачання'!$C$89:$M$105,11,0)</f>
        <v>241.2</v>
      </c>
      <c r="FR59" s="904">
        <f t="shared" si="136"/>
        <v>241.2</v>
      </c>
      <c r="FS59" s="758">
        <f t="array" ref="FS59">MIN(IF('Ціни контур теплопостачання'!$AN$68:$AN$77&gt;(V59*1.2),'Ціни контур теплопостачання'!$AN$68:$AN$77))</f>
        <v>11.13</v>
      </c>
      <c r="FT59" s="749">
        <f>VLOOKUP(FS59,'Ціни контур теплопостачання'!$AN$68:$AO$77,2,0)</f>
        <v>32</v>
      </c>
      <c r="FU59" s="749">
        <f t="shared" si="103"/>
        <v>2</v>
      </c>
      <c r="FV59" s="747">
        <f>VLOOKUP(FT59,'Ціни контур теплопостачання'!$AO$68:$AQ$77,3,0)</f>
        <v>37.183999999999997</v>
      </c>
      <c r="FW59" s="765">
        <f t="shared" si="137"/>
        <v>74.367999999999995</v>
      </c>
      <c r="FX59" s="750">
        <v>15</v>
      </c>
      <c r="FY59" s="746">
        <v>2</v>
      </c>
      <c r="FZ59" s="747">
        <f>VLOOKUP(FX59,'Ціни контур мережний'!$J$73:$M$73,4,0)</f>
        <v>3.4649999999999999</v>
      </c>
      <c r="GA59" s="748">
        <f t="shared" si="138"/>
        <v>6.93</v>
      </c>
      <c r="GB59" s="750">
        <f>VLOOKUP(GC59,'Ціни контур теплопостачання'!$AN$6:$AO$13,2,0)</f>
        <v>40</v>
      </c>
      <c r="GC59" s="751">
        <f t="array" ref="GC59">MIN(IF('Ціни контур теплопостачання'!$AN$6:$AN$13&gt;N59,'Ціни контур теплопостачання'!$AN$6:$AN$13))</f>
        <v>15</v>
      </c>
      <c r="GD59" s="751">
        <v>1</v>
      </c>
      <c r="GE59" s="747">
        <f>VLOOKUP(GB59,'Ціни контур теплопостачання'!$AO$6:$AQ$13,3,0)</f>
        <v>140.82444000000001</v>
      </c>
      <c r="GF59" s="748">
        <f t="shared" si="139"/>
        <v>140.82444000000001</v>
      </c>
      <c r="GG59" s="746">
        <f t="shared" si="23"/>
        <v>50</v>
      </c>
      <c r="GH59" s="746">
        <v>1</v>
      </c>
      <c r="GI59" s="747">
        <f>VLOOKUP(GG59,'Ціни контур теплопостачання'!$AO$55:$AQ$63,3,0)</f>
        <v>355.5</v>
      </c>
      <c r="GJ59" s="768">
        <f t="shared" si="140"/>
        <v>355.5</v>
      </c>
      <c r="GK59" s="655" t="str">
        <f t="shared" si="150"/>
        <v>0-150</v>
      </c>
      <c r="GL59" s="720">
        <v>1</v>
      </c>
      <c r="GM59" s="747">
        <f>VLOOKUP(GK59,'Ціни контур мережний'!$I$79:$M$80,5,0)</f>
        <v>15.050156291498967</v>
      </c>
      <c r="GN59" s="748">
        <f t="shared" si="141"/>
        <v>15.050156291498967</v>
      </c>
      <c r="GO59" s="758" t="s">
        <v>109</v>
      </c>
      <c r="GP59" s="749">
        <v>1</v>
      </c>
      <c r="GQ59" s="747">
        <f>VLOOKUP(GO59,'Ціни контур мережний'!$I$79:$M$80,5,0)</f>
        <v>15.050156291498967</v>
      </c>
      <c r="GR59" s="765">
        <f t="shared" si="142"/>
        <v>15.050156291498967</v>
      </c>
      <c r="GS59" s="655" t="s">
        <v>108</v>
      </c>
      <c r="GT59" s="720">
        <v>3</v>
      </c>
      <c r="GU59" s="747">
        <f>VLOOKUP(GS59,'Ціни контур мережний'!$I$67:$M$69,5,0)</f>
        <v>4.4537969640631703</v>
      </c>
      <c r="GV59" s="748">
        <f t="shared" si="143"/>
        <v>13.361390892189512</v>
      </c>
      <c r="GW59" s="655" t="s">
        <v>106</v>
      </c>
      <c r="GX59" s="720">
        <f t="shared" si="151"/>
        <v>13</v>
      </c>
      <c r="GY59" s="747">
        <f>VLOOKUP(GW59,'Ціни контур мережний'!$I$67:$M$69,5,0)</f>
        <v>4.4537969640631703</v>
      </c>
      <c r="GZ59" s="748">
        <f t="shared" si="144"/>
        <v>57.899360532821213</v>
      </c>
      <c r="HA59" s="655" t="s">
        <v>1013</v>
      </c>
      <c r="HB59" s="720">
        <v>4</v>
      </c>
      <c r="HC59" s="747">
        <f>VLOOKUP(HA59,'Ціни контур мережний'!$I$64:$M$64,5,0)</f>
        <v>29.1312</v>
      </c>
      <c r="HD59" s="748">
        <f t="shared" si="145"/>
        <v>116.5248</v>
      </c>
      <c r="HE59" s="766" t="s">
        <v>1015</v>
      </c>
      <c r="HF59" s="749">
        <v>6</v>
      </c>
      <c r="HG59" s="747">
        <f>VLOOKUP(HE59,'Ціни контур мережний'!$I$89:$M$89,5,0)</f>
        <v>79.523165325760516</v>
      </c>
      <c r="HH59" s="765">
        <f t="shared" si="146"/>
        <v>477.1389919545631</v>
      </c>
      <c r="HI59" s="778" t="s">
        <v>1016</v>
      </c>
      <c r="HJ59" s="720">
        <f t="shared" si="152"/>
        <v>7</v>
      </c>
      <c r="HK59" s="747">
        <f>VLOOKUP(HI59,'Ціни контур мережний'!$I$88:$M$88,5,0)</f>
        <v>13.211568975967202</v>
      </c>
      <c r="HL59" s="768">
        <f t="shared" si="147"/>
        <v>92.480982831770419</v>
      </c>
      <c r="HM59" s="757" t="s">
        <v>383</v>
      </c>
      <c r="HN59" s="720">
        <v>1</v>
      </c>
      <c r="HO59" s="747">
        <f>VLOOKUP(HM59,'Ціни контур мережний'!$I$87:$M$87,5,0)</f>
        <v>13.483972460007763</v>
      </c>
      <c r="HP59" s="748">
        <f t="shared" si="148"/>
        <v>13.483972460007763</v>
      </c>
      <c r="HQ59" s="769">
        <f t="shared" si="97"/>
        <v>88</v>
      </c>
      <c r="HR59" s="770">
        <f t="shared" si="87"/>
        <v>6278.0553180575662</v>
      </c>
      <c r="HS59" s="771">
        <v>0</v>
      </c>
      <c r="HT59" s="771">
        <f>'Таблиця цін схема №1'!$JE$46/'Ціни контур мережний'!$G$26</f>
        <v>681.00871010140213</v>
      </c>
      <c r="HU59" s="770">
        <f>'Таблиця цін схема №1'!$JG$8</f>
        <v>661.80181284518619</v>
      </c>
      <c r="HV59" s="770">
        <f>'Таблиця цін схема №1'!$JH$8</f>
        <v>487.81784379022207</v>
      </c>
      <c r="HW59" s="770">
        <f>'Таблиця цін схема №1'!$JI$8</f>
        <v>323.47913729816605</v>
      </c>
      <c r="HX59" s="770">
        <f>'Таблиця цін схема №1'!$JJ$8</f>
        <v>66.611999999999995</v>
      </c>
      <c r="HY59" s="770">
        <f>'Таблиця цін схема №1'!$JK$28</f>
        <v>0</v>
      </c>
      <c r="HZ59" s="772">
        <f>'Таблиця цін схема №1'!$JL$8</f>
        <v>62.86234247089866</v>
      </c>
      <c r="IA59" s="770">
        <f>'Таблиця цін схема №1'!$JM$28</f>
        <v>0</v>
      </c>
      <c r="IB59" s="770">
        <v>0</v>
      </c>
      <c r="IC59" s="913">
        <f t="shared" si="98"/>
        <v>599.31460151944088</v>
      </c>
      <c r="ID59" s="914">
        <f t="shared" si="99"/>
        <v>856.1637164563441</v>
      </c>
      <c r="IE59" s="915">
        <f t="shared" si="100"/>
        <v>147.28142907500114</v>
      </c>
      <c r="IF59" s="776">
        <f>'Таблиця цін схема №1'!$JR$8</f>
        <v>300.63036461094771</v>
      </c>
      <c r="IG59" s="777">
        <f t="shared" si="88"/>
        <v>10465.027276225175</v>
      </c>
      <c r="II59" s="835"/>
      <c r="IJ59" s="835"/>
      <c r="IK59" s="835"/>
      <c r="IL59" s="835"/>
    </row>
    <row r="60" spans="2:246" s="780" customFormat="1" ht="12.6" customHeight="1">
      <c r="B60" s="740">
        <v>89</v>
      </c>
      <c r="C60" s="1056" t="s">
        <v>937</v>
      </c>
      <c r="D60" s="892">
        <v>0.24897</v>
      </c>
      <c r="E60" s="918">
        <v>0.12528</v>
      </c>
      <c r="F60" s="742">
        <f t="shared" si="28"/>
        <v>7.6499352310312405</v>
      </c>
      <c r="G60" s="599">
        <v>50</v>
      </c>
      <c r="H60" s="598">
        <f t="shared" si="29"/>
        <v>4.447481243301179</v>
      </c>
      <c r="I60" s="599">
        <v>40</v>
      </c>
      <c r="J60" s="598">
        <f t="shared" si="30"/>
        <v>10.352182952182952</v>
      </c>
      <c r="K60" s="599">
        <v>65</v>
      </c>
      <c r="L60" s="598">
        <f t="shared" si="31"/>
        <v>3.2024539877300615</v>
      </c>
      <c r="M60" s="599">
        <v>32</v>
      </c>
      <c r="N60" s="598">
        <f t="shared" si="32"/>
        <v>2.5411764705882356</v>
      </c>
      <c r="O60" s="599">
        <v>32</v>
      </c>
      <c r="P60" s="598">
        <f t="shared" si="153"/>
        <v>0.76235294117647068</v>
      </c>
      <c r="Q60" s="599">
        <v>20</v>
      </c>
      <c r="R60" s="598">
        <f t="shared" si="33"/>
        <v>6.2896882926764821</v>
      </c>
      <c r="S60" s="600">
        <f t="shared" si="104"/>
        <v>4.5289538623236538</v>
      </c>
      <c r="T60" s="744">
        <v>4</v>
      </c>
      <c r="U60" s="601">
        <f t="shared" si="35"/>
        <v>2.588045738045738</v>
      </c>
      <c r="V60" s="601">
        <f t="shared" si="36"/>
        <v>3.6600493827861689</v>
      </c>
      <c r="W60" s="850">
        <v>32</v>
      </c>
      <c r="X60" s="751">
        <f t="shared" si="0"/>
        <v>50</v>
      </c>
      <c r="Y60" s="746">
        <v>2</v>
      </c>
      <c r="Z60" s="747">
        <f>VLOOKUP(X60,'Ціни контур мережний'!$Z$24:$AB$36,3,0)</f>
        <v>23.2782130224622</v>
      </c>
      <c r="AA60" s="748">
        <f t="shared" si="105"/>
        <v>46.5564260449244</v>
      </c>
      <c r="AB60" s="749">
        <f t="shared" si="1"/>
        <v>50</v>
      </c>
      <c r="AC60" s="749">
        <v>2</v>
      </c>
      <c r="AD60" s="747">
        <f>VLOOKUP(AB60,'Ціни контур мережний'!$Z$64:$AB$77,3,0)</f>
        <v>80.03214361111678</v>
      </c>
      <c r="AE60" s="748">
        <f t="shared" si="106"/>
        <v>160.06428722223356</v>
      </c>
      <c r="AF60" s="746">
        <f t="shared" si="2"/>
        <v>50</v>
      </c>
      <c r="AG60" s="746">
        <v>1</v>
      </c>
      <c r="AH60" s="747">
        <f>VLOOKUP(AF60,'Ціни контур мережний'!$Z$5:$AB$17,3,0)</f>
        <v>26.284999999999997</v>
      </c>
      <c r="AI60" s="748">
        <f t="shared" si="107"/>
        <v>26.284999999999997</v>
      </c>
      <c r="AJ60" s="746">
        <f t="shared" si="3"/>
        <v>40</v>
      </c>
      <c r="AK60" s="746">
        <v>3</v>
      </c>
      <c r="AL60" s="747">
        <f>VLOOKUP(AJ60,'Ціни контур мережний'!$Z$43:$AB$55,3,0)</f>
        <v>18.42400964308333</v>
      </c>
      <c r="AM60" s="748">
        <f t="shared" si="108"/>
        <v>55.272028929249991</v>
      </c>
      <c r="AN60" s="745">
        <f t="shared" si="4"/>
        <v>32</v>
      </c>
      <c r="AO60" s="749">
        <v>4</v>
      </c>
      <c r="AP60" s="747">
        <f>VLOOKUP(AN60,'Ціни контур мережний'!$Z$43:$AB$55,3,0)</f>
        <v>16.107218011318363</v>
      </c>
      <c r="AQ60" s="759">
        <f t="shared" si="109"/>
        <v>64.428872045273451</v>
      </c>
      <c r="AR60" s="751" t="str">
        <f t="shared" si="42"/>
        <v>AMV20</v>
      </c>
      <c r="AS60" s="751">
        <v>1</v>
      </c>
      <c r="AT60" s="747">
        <f>VLOOKUP(AR60,'Ціни контур мережний'!$I$53:$M$57,5,0)</f>
        <v>110.39869654932889</v>
      </c>
      <c r="AU60" s="748">
        <f t="shared" si="110"/>
        <v>110.39869654932889</v>
      </c>
      <c r="AV60" s="752">
        <f t="array" ref="AV60">MIN(IF('Ціни контур мережний'!$Y$83:$Y$92&gt;(R60*1.2),'Ціни контур мережний'!$Y$83:$Y$92))</f>
        <v>10</v>
      </c>
      <c r="AW60" s="746">
        <f>VLOOKUP(AV60,'Ціни контур мережний'!$Y$83:$Z$92,2,0)</f>
        <v>25</v>
      </c>
      <c r="AX60" s="746">
        <v>1</v>
      </c>
      <c r="AY60" s="747">
        <f>VLOOKUP(AV60,'Ціни контур мережний'!$Y$83:$AB$92,4,0)</f>
        <v>117.50505648967251</v>
      </c>
      <c r="AZ60" s="748">
        <f t="shared" si="111"/>
        <v>117.50505648967251</v>
      </c>
      <c r="BA60" s="1099">
        <f t="array" ref="BA60">MIN(IF('[1]Ціни контур мережний'!$Y$104:$Y$114&gt;(R60*1.2),'[1]Ціни контур мережний'!$Y$104:$Y$114))</f>
        <v>8</v>
      </c>
      <c r="BB60" s="1101">
        <f>VLOOKUP(BA60,'[1]Ціни контур мережний'!$Y$104:$Z$114,2,0)</f>
        <v>25</v>
      </c>
      <c r="BC60" s="753">
        <v>1</v>
      </c>
      <c r="BD60" s="754">
        <f>VLOOKUP(BA60,'Ціни контур мережний'!$Y$104:$AB$114,4,0)</f>
        <v>278.09338672441618</v>
      </c>
      <c r="BE60" s="755">
        <f t="shared" si="112"/>
        <v>278.09338672441618</v>
      </c>
      <c r="BF60" s="751" t="s">
        <v>67</v>
      </c>
      <c r="BG60" s="749">
        <v>1</v>
      </c>
      <c r="BH60" s="747">
        <f>VLOOKUP(BF60,'Ціни контур мережний'!$I$53:$M$57,5,0)</f>
        <v>157.67238032974441</v>
      </c>
      <c r="BI60" s="768">
        <f t="shared" si="113"/>
        <v>157.67238032974441</v>
      </c>
      <c r="BJ60" s="894">
        <f t="array" ref="BJ60">MIN(IF('Ціни контур мережний'!$Y$83:$Y$93&gt;(S60*1.2),'Ціни контур мережний'!$Y$83:$Y$93))</f>
        <v>6.3</v>
      </c>
      <c r="BK60" s="895">
        <f>VLOOKUP(BJ60,'Ціни контур мережний'!$Y$83:$Z$93,2,0)</f>
        <v>20</v>
      </c>
      <c r="BL60" s="895">
        <v>1</v>
      </c>
      <c r="BM60" s="896">
        <f>VLOOKUP(BJ60,'Ціни контур мережний'!$Y$83:$AB$93,4,0)</f>
        <v>113.14115267534271</v>
      </c>
      <c r="BN60" s="916">
        <f t="shared" si="114"/>
        <v>113.14115267534271</v>
      </c>
      <c r="BO60" s="896">
        <f t="array" ref="BO60">MIN(IF('Ціни контур мережний'!$Y$104:$Y$114&gt;(S60*1.2),'Ціни контур мережний'!$Y$104:$Y$114))</f>
        <v>6.3</v>
      </c>
      <c r="BP60" s="895">
        <f>VLOOKUP(BO60,'Ціни контур мережний'!$Y$104:$Z$114,2,0)</f>
        <v>20</v>
      </c>
      <c r="BQ60" s="895">
        <v>1</v>
      </c>
      <c r="BR60" s="896">
        <f>VLOOKUP(BO60,'Ціни контур мережний'!$Y$104:$AB$114,4,0)</f>
        <v>259.83406541769665</v>
      </c>
      <c r="BS60" s="897">
        <f t="shared" si="115"/>
        <v>259.83406541769665</v>
      </c>
      <c r="BT60" s="751">
        <f>VLOOKUP(BU60,'Ціни контур мережний'!$J$5:$L$12,3,0)</f>
        <v>25</v>
      </c>
      <c r="BU60" s="751">
        <f t="array" ref="BU60">MIN(IF('Ціни контур мережний'!$J$5:$J$12&gt;H60,'Ціни контур мережний'!$J$5:$J$12))</f>
        <v>6</v>
      </c>
      <c r="BV60" s="746" t="s">
        <v>130</v>
      </c>
      <c r="BW60" s="756">
        <v>1</v>
      </c>
      <c r="BX60" s="747">
        <f>VLOOKUP(BU60,'Ціни контур мережний'!$J$5:$N$12,5,0)</f>
        <v>341.25599999999997</v>
      </c>
      <c r="BY60" s="748">
        <f t="shared" si="116"/>
        <v>341.25599999999997</v>
      </c>
      <c r="BZ60" s="745">
        <f>VLOOKUP(CA60,'Ціни контур мережний'!$J$5:$L$12,3,0)</f>
        <v>25</v>
      </c>
      <c r="CA60" s="747">
        <f t="array" ref="CA60">MIN(IF('Ціни контур мережний'!$J$5:$J$12&gt;L60,'Ціни контур мережний'!$J$5:$J$12))</f>
        <v>3.5</v>
      </c>
      <c r="CB60" s="746" t="s">
        <v>130</v>
      </c>
      <c r="CC60" s="749">
        <v>1</v>
      </c>
      <c r="CD60" s="747">
        <f>VLOOKUP(CA60,'Ціни контур мережний'!$J$5:$N$12,5,0)</f>
        <v>341.25599999999997</v>
      </c>
      <c r="CE60" s="748">
        <f t="shared" si="117"/>
        <v>341.25599999999997</v>
      </c>
      <c r="CF60" s="898" t="s">
        <v>1368</v>
      </c>
      <c r="CG60" s="899">
        <v>1</v>
      </c>
      <c r="CH60" s="900">
        <v>433</v>
      </c>
      <c r="CI60" s="901">
        <f t="shared" si="118"/>
        <v>433</v>
      </c>
      <c r="CJ60" s="751">
        <f t="shared" si="5"/>
        <v>65</v>
      </c>
      <c r="CK60" s="746">
        <v>4</v>
      </c>
      <c r="CL60" s="747">
        <f>VLOOKUP(CJ60,'Ціни контур теплопостачання'!$Y$5:$AA$17,3,0)</f>
        <v>30.19184015363556</v>
      </c>
      <c r="CM60" s="748">
        <f t="shared" si="119"/>
        <v>120.76736061454224</v>
      </c>
      <c r="CN60" s="746">
        <f t="shared" si="6"/>
        <v>32</v>
      </c>
      <c r="CO60" s="746">
        <v>6</v>
      </c>
      <c r="CP60" s="747">
        <f>VLOOKUP(CN60,'Ціни контур теплопостачання'!$AO$20:$AQ$29,3,0)</f>
        <v>10.381</v>
      </c>
      <c r="CQ60" s="748">
        <f t="shared" si="120"/>
        <v>62.286000000000001</v>
      </c>
      <c r="CR60" s="746">
        <f t="shared" si="7"/>
        <v>20</v>
      </c>
      <c r="CS60" s="746">
        <v>3</v>
      </c>
      <c r="CT60" s="747">
        <f>VLOOKUP(CR60,'Ціни контур теплопостачання'!$AO$20:$AQ$29,3,0)</f>
        <v>3.577</v>
      </c>
      <c r="CU60" s="748">
        <f t="shared" si="121"/>
        <v>10.731</v>
      </c>
      <c r="CV60" s="746">
        <f t="shared" si="8"/>
        <v>32</v>
      </c>
      <c r="CW60" s="746">
        <f t="shared" si="101"/>
        <v>8</v>
      </c>
      <c r="CX60" s="747">
        <f>VLOOKUP(CV60,'Ціни контур теплопостачання'!$Y$5:$AA$17,3,0)</f>
        <v>10.381</v>
      </c>
      <c r="CY60" s="748">
        <f t="shared" si="122"/>
        <v>83.048000000000002</v>
      </c>
      <c r="CZ60" s="745">
        <v>20</v>
      </c>
      <c r="DA60" s="749">
        <v>2</v>
      </c>
      <c r="DB60" s="747">
        <f>VLOOKUP(CZ60,'Ціни контур теплопостачання'!$Y$5:$AA$17,3,0)</f>
        <v>3.577</v>
      </c>
      <c r="DC60" s="748">
        <f t="shared" si="123"/>
        <v>7.1539999999999999</v>
      </c>
      <c r="DD60" s="745">
        <v>15</v>
      </c>
      <c r="DE60" s="745">
        <v>8</v>
      </c>
      <c r="DF60" s="758">
        <f>VLOOKUP(DD60,'Ціни контур теплопостачання'!$Y$5:$AA$17,3,0)</f>
        <v>2.464</v>
      </c>
      <c r="DG60" s="759">
        <f t="shared" si="124"/>
        <v>19.712</v>
      </c>
      <c r="DH60" s="745">
        <v>15</v>
      </c>
      <c r="DI60" s="745">
        <f t="shared" si="58"/>
        <v>39</v>
      </c>
      <c r="DJ60" s="758">
        <f>VLOOKUP(DH60,'Ціни контур мережний'!$J$71:$M$71,4,0)</f>
        <v>3.3865201135922525</v>
      </c>
      <c r="DK60" s="759">
        <f t="shared" si="125"/>
        <v>132.07428443009783</v>
      </c>
      <c r="DL60" s="751">
        <f t="shared" si="10"/>
        <v>65</v>
      </c>
      <c r="DM60" s="746">
        <v>1</v>
      </c>
      <c r="DN60" s="747">
        <f>VLOOKUP(DL60,'Ціни контур теплопостачання'!$K$5:$M$17,3,0)</f>
        <v>39.731999999999999</v>
      </c>
      <c r="DO60" s="748">
        <f t="shared" si="126"/>
        <v>39.731999999999999</v>
      </c>
      <c r="DP60" s="745">
        <f t="shared" si="11"/>
        <v>32</v>
      </c>
      <c r="DQ60" s="749">
        <v>1</v>
      </c>
      <c r="DR60" s="747">
        <f>VLOOKUP(DP60,'Ціни контур теплопостачання'!$K$5:$M$17,3,0)</f>
        <v>9.48</v>
      </c>
      <c r="DS60" s="748">
        <f t="shared" si="127"/>
        <v>9.48</v>
      </c>
      <c r="DT60" s="745">
        <f t="shared" si="12"/>
        <v>20</v>
      </c>
      <c r="DU60" s="745">
        <v>1</v>
      </c>
      <c r="DV60" s="758">
        <f>VLOOKUP(DT60,'Ціни контур теплопостачання'!$K$5:$M$17,3,0)</f>
        <v>3.48</v>
      </c>
      <c r="DW60" s="759">
        <f t="shared" si="128"/>
        <v>3.48</v>
      </c>
      <c r="DX60" s="745">
        <f t="shared" si="63"/>
        <v>65</v>
      </c>
      <c r="DY60" s="745">
        <v>1</v>
      </c>
      <c r="DZ60" s="758">
        <f>VLOOKUP(DX60,'Ціни контур теплопостачання'!$Y$24:$AA$36,3,0)</f>
        <v>42.080999999999996</v>
      </c>
      <c r="EA60" s="759">
        <f t="shared" si="64"/>
        <v>42.080999999999996</v>
      </c>
      <c r="EB60" s="751">
        <f t="shared" si="13"/>
        <v>65</v>
      </c>
      <c r="EC60" s="746">
        <v>2</v>
      </c>
      <c r="ED60" s="747">
        <f>VLOOKUP(EB60,'Ціни контур теплопостачання'!$Y$24:$AA$36,3,0)</f>
        <v>42.080999999999996</v>
      </c>
      <c r="EE60" s="748">
        <f t="shared" si="129"/>
        <v>84.161999999999992</v>
      </c>
      <c r="EF60" s="745">
        <f t="shared" si="14"/>
        <v>32</v>
      </c>
      <c r="EG60" s="749">
        <v>1</v>
      </c>
      <c r="EH60" s="747">
        <f>VLOOKUP(EF60,'Ціни контур теплопостачання'!$AO$38:$AQ$50,3,0)</f>
        <v>10.773</v>
      </c>
      <c r="EI60" s="748">
        <f t="shared" si="130"/>
        <v>10.773</v>
      </c>
      <c r="EJ60" s="745">
        <f t="shared" si="15"/>
        <v>20</v>
      </c>
      <c r="EK60" s="745">
        <v>1</v>
      </c>
      <c r="EL60" s="758">
        <f>VLOOKUP(EJ60,'Ціни контур теплопостачання'!$AO$38:$AQ$50,3,0)</f>
        <v>4.5359999999999996</v>
      </c>
      <c r="EM60" s="759">
        <f t="shared" si="131"/>
        <v>4.5359999999999996</v>
      </c>
      <c r="EN60" s="745">
        <f t="shared" si="16"/>
        <v>32</v>
      </c>
      <c r="EO60" s="745">
        <f t="shared" si="102"/>
        <v>8</v>
      </c>
      <c r="EP60" s="758">
        <f>VLOOKUP(EN60,'Ціни контур теплопостачання'!$Y$76:$AA$88,3,0)</f>
        <v>13.15</v>
      </c>
      <c r="EQ60" s="759">
        <f t="shared" si="132"/>
        <v>105.2</v>
      </c>
      <c r="ER60" s="745">
        <f t="shared" si="18"/>
        <v>32</v>
      </c>
      <c r="ES60" s="745">
        <v>1</v>
      </c>
      <c r="ET60" s="758">
        <f>VLOOKUP(ER60,'Ціни контур теплопостачання'!$Y$76:$AA$88,3,0)</f>
        <v>13.15</v>
      </c>
      <c r="EU60" s="759">
        <f t="shared" si="133"/>
        <v>13.15</v>
      </c>
      <c r="EV60" s="745">
        <f t="shared" si="19"/>
        <v>20</v>
      </c>
      <c r="EW60" s="745">
        <v>1</v>
      </c>
      <c r="EX60" s="758">
        <f>VLOOKUP(EV60,'Ціни контур теплопостачання'!$Y$76:$AA$88,3,0)</f>
        <v>11.45</v>
      </c>
      <c r="EY60" s="759">
        <f t="shared" si="134"/>
        <v>11.45</v>
      </c>
      <c r="EZ60" s="758">
        <f t="shared" si="95"/>
        <v>25.344478688661166</v>
      </c>
      <c r="FA60" s="955">
        <v>25</v>
      </c>
      <c r="FB60" s="719">
        <v>2</v>
      </c>
      <c r="FC60" s="747">
        <f>VLOOKUP(FA60,'Ціни контур теплопостачання'!$K$74:$M$79,3,0)</f>
        <v>22.22</v>
      </c>
      <c r="FD60" s="761">
        <f t="shared" si="96"/>
        <v>44.44</v>
      </c>
      <c r="FE60" s="762">
        <f t="shared" si="71"/>
        <v>10.352182952182952</v>
      </c>
      <c r="FF60" s="902">
        <v>9</v>
      </c>
      <c r="FG60" s="900">
        <v>8</v>
      </c>
      <c r="FH60" s="830" t="s">
        <v>123</v>
      </c>
      <c r="FI60" s="708">
        <v>2</v>
      </c>
      <c r="FJ60" s="709">
        <f>VLOOKUP(FH60,'Ціни контур теплопостачання'!$C$89:$M$105,11,0)</f>
        <v>387.45599999999996</v>
      </c>
      <c r="FK60" s="764">
        <f t="shared" si="135"/>
        <v>774.91199999999992</v>
      </c>
      <c r="FL60" s="912">
        <f t="shared" si="73"/>
        <v>0.76235294117647068</v>
      </c>
      <c r="FM60" s="902">
        <v>9</v>
      </c>
      <c r="FN60" s="900">
        <v>9</v>
      </c>
      <c r="FO60" s="900" t="s">
        <v>1097</v>
      </c>
      <c r="FP60" s="749">
        <v>1</v>
      </c>
      <c r="FQ60" s="747">
        <f>VLOOKUP(FO60,'Ціни контур теплопостачання'!$C$89:$M$105,11,0)</f>
        <v>241.2</v>
      </c>
      <c r="FR60" s="904">
        <f t="shared" si="136"/>
        <v>241.2</v>
      </c>
      <c r="FS60" s="758">
        <f t="array" ref="FS60">MIN(IF('Ціни контур теплопостачання'!$AN$68:$AN$77&gt;(V60*1.2),'Ціни контур теплопостачання'!$AN$68:$AN$77))</f>
        <v>5.83</v>
      </c>
      <c r="FT60" s="749">
        <f>VLOOKUP(FS60,'Ціни контур теплопостачання'!$AN$68:$AO$77,2,0)</f>
        <v>25</v>
      </c>
      <c r="FU60" s="749">
        <f t="shared" si="103"/>
        <v>4</v>
      </c>
      <c r="FV60" s="747">
        <f>VLOOKUP(FT60,'Ціни контур теплопостачання'!$AO$68:$AQ$77,3,0)</f>
        <v>26.495000000000001</v>
      </c>
      <c r="FW60" s="765">
        <f t="shared" si="137"/>
        <v>105.98</v>
      </c>
      <c r="FX60" s="750">
        <v>15</v>
      </c>
      <c r="FY60" s="746">
        <v>2</v>
      </c>
      <c r="FZ60" s="747">
        <f>VLOOKUP(FX60,'Ціни контур мережний'!$J$73:$M$73,4,0)</f>
        <v>3.4649999999999999</v>
      </c>
      <c r="GA60" s="748">
        <f t="shared" si="138"/>
        <v>6.93</v>
      </c>
      <c r="GB60" s="750">
        <f>VLOOKUP(GC60,'Ціни контур теплопостачання'!$AN$6:$AO$13,2,0)</f>
        <v>25</v>
      </c>
      <c r="GC60" s="751">
        <f t="array" ref="GC60">MIN(IF('Ціни контур теплопостачання'!$AN$6:$AN$13&gt;N60,'Ціни контур теплопостачання'!$AN$6:$AN$13))</f>
        <v>3.5</v>
      </c>
      <c r="GD60" s="751">
        <v>1</v>
      </c>
      <c r="GE60" s="747">
        <f>VLOOKUP(GB60,'Ціни контур теплопостачання'!$AO$6:$AQ$13,3,0)</f>
        <v>76.3506</v>
      </c>
      <c r="GF60" s="748">
        <f t="shared" si="139"/>
        <v>76.3506</v>
      </c>
      <c r="GG60" s="746">
        <f t="shared" si="23"/>
        <v>32</v>
      </c>
      <c r="GH60" s="746">
        <v>1</v>
      </c>
      <c r="GI60" s="747">
        <f>VLOOKUP(GG60,'Ціни контур теплопостачання'!$AO$55:$AQ$63,3,0)</f>
        <v>150.1</v>
      </c>
      <c r="GJ60" s="768">
        <f t="shared" si="140"/>
        <v>150.1</v>
      </c>
      <c r="GK60" s="655" t="str">
        <f t="shared" si="150"/>
        <v>0-150</v>
      </c>
      <c r="GL60" s="720">
        <v>1</v>
      </c>
      <c r="GM60" s="747">
        <f>VLOOKUP(GK60,'Ціни контур мережний'!$I$79:$M$80,5,0)</f>
        <v>15.050156291498967</v>
      </c>
      <c r="GN60" s="748">
        <f t="shared" si="141"/>
        <v>15.050156291498967</v>
      </c>
      <c r="GO60" s="758" t="s">
        <v>109</v>
      </c>
      <c r="GP60" s="749">
        <v>5</v>
      </c>
      <c r="GQ60" s="747">
        <f>VLOOKUP(GO60,'Ціни контур мережний'!$I$79:$M$80,5,0)</f>
        <v>15.050156291498967</v>
      </c>
      <c r="GR60" s="765">
        <f t="shared" si="142"/>
        <v>75.250781457494838</v>
      </c>
      <c r="GS60" s="655" t="s">
        <v>108</v>
      </c>
      <c r="GT60" s="720">
        <v>5</v>
      </c>
      <c r="GU60" s="747">
        <f>VLOOKUP(GS60,'Ціни контур мережний'!$I$67:$M$69,5,0)</f>
        <v>4.4537969640631703</v>
      </c>
      <c r="GV60" s="748">
        <f t="shared" si="143"/>
        <v>22.26898482031585</v>
      </c>
      <c r="GW60" s="655" t="s">
        <v>106</v>
      </c>
      <c r="GX60" s="720">
        <f t="shared" si="151"/>
        <v>15</v>
      </c>
      <c r="GY60" s="747">
        <f>VLOOKUP(GW60,'Ціни контур мережний'!$I$67:$M$69,5,0)</f>
        <v>4.4537969640631703</v>
      </c>
      <c r="GZ60" s="748">
        <f t="shared" si="144"/>
        <v>66.806954460947551</v>
      </c>
      <c r="HA60" s="655" t="s">
        <v>1013</v>
      </c>
      <c r="HB60" s="720">
        <v>4</v>
      </c>
      <c r="HC60" s="747">
        <f>VLOOKUP(HA60,'Ціни контур мережний'!$I$64:$M$64,5,0)</f>
        <v>29.1312</v>
      </c>
      <c r="HD60" s="748">
        <f t="shared" si="145"/>
        <v>116.5248</v>
      </c>
      <c r="HE60" s="766" t="s">
        <v>1015</v>
      </c>
      <c r="HF60" s="749">
        <v>6</v>
      </c>
      <c r="HG60" s="747">
        <f>VLOOKUP(HE60,'Ціни контур мережний'!$I$89:$M$89,5,0)</f>
        <v>79.523165325760516</v>
      </c>
      <c r="HH60" s="765">
        <f t="shared" si="146"/>
        <v>477.1389919545631</v>
      </c>
      <c r="HI60" s="767" t="s">
        <v>1016</v>
      </c>
      <c r="HJ60" s="720">
        <f t="shared" si="152"/>
        <v>7</v>
      </c>
      <c r="HK60" s="747">
        <f>VLOOKUP(HI60,'Ціни контур мережний'!$I$88:$M$88,5,0)</f>
        <v>13.211568975967202</v>
      </c>
      <c r="HL60" s="768">
        <f t="shared" si="147"/>
        <v>92.480982831770419</v>
      </c>
      <c r="HM60" s="767" t="s">
        <v>383</v>
      </c>
      <c r="HN60" s="720">
        <v>1</v>
      </c>
      <c r="HO60" s="747">
        <f>VLOOKUP(HM60,'Ціни контур мережний'!$I$87:$M$87,5,0)</f>
        <v>13.483972460007763</v>
      </c>
      <c r="HP60" s="748">
        <f t="shared" si="148"/>
        <v>13.483972460007763</v>
      </c>
      <c r="HQ60" s="769">
        <f t="shared" si="97"/>
        <v>89</v>
      </c>
      <c r="HR60" s="770">
        <f t="shared" si="87"/>
        <v>5543.4982217491215</v>
      </c>
      <c r="HS60" s="771">
        <v>0</v>
      </c>
      <c r="HT60" s="771">
        <f>'Таблиця цін схема №1'!$JE$44/'Ціни контур мережний'!$G$26</f>
        <v>476.70609707098151</v>
      </c>
      <c r="HU60" s="770">
        <f>'Таблиця цін схема №1'!$JG$8</f>
        <v>661.80181284518619</v>
      </c>
      <c r="HV60" s="770">
        <f>'Таблиця цін схема №1'!$JH$8</f>
        <v>487.81784379022207</v>
      </c>
      <c r="HW60" s="770">
        <f>'Таблиця цін схема №1'!$JI$8</f>
        <v>323.47913729816605</v>
      </c>
      <c r="HX60" s="770">
        <f>'Таблиця цін схема №1'!$JJ$8</f>
        <v>66.611999999999995</v>
      </c>
      <c r="HY60" s="770">
        <f>'Таблиця цін схема №1'!$JK$28</f>
        <v>0</v>
      </c>
      <c r="HZ60" s="772">
        <f>'Таблиця цін схема №1'!$JL$8</f>
        <v>62.86234247089866</v>
      </c>
      <c r="IA60" s="770">
        <f>'Таблиця цін схема №1'!$JM$28</f>
        <v>0</v>
      </c>
      <c r="IB60" s="770">
        <v>0</v>
      </c>
      <c r="IC60" s="773">
        <f t="shared" si="98"/>
        <v>533.59442186572039</v>
      </c>
      <c r="ID60" s="774">
        <f t="shared" si="99"/>
        <v>762.27774552245774</v>
      </c>
      <c r="IE60" s="775">
        <f t="shared" si="100"/>
        <v>131.13070964662984</v>
      </c>
      <c r="IF60" s="776">
        <f>'Таблиця цін схема №1'!$JR$8</f>
        <v>300.63036461094771</v>
      </c>
      <c r="IG60" s="777">
        <f t="shared" si="88"/>
        <v>9350.4106968703327</v>
      </c>
      <c r="II60" s="826"/>
      <c r="IJ60" s="826"/>
      <c r="IK60" s="826"/>
      <c r="IL60" s="826"/>
    </row>
    <row r="61" spans="2:246" s="780" customFormat="1" ht="12.6" customHeight="1">
      <c r="B61" s="740">
        <v>90</v>
      </c>
      <c r="C61" s="1056" t="s">
        <v>938</v>
      </c>
      <c r="D61" s="892">
        <v>0.25716</v>
      </c>
      <c r="E61" s="918">
        <v>0.11799999999999999</v>
      </c>
      <c r="F61" s="742">
        <f t="shared" si="28"/>
        <v>7.6101434123054474</v>
      </c>
      <c r="G61" s="599">
        <v>50</v>
      </c>
      <c r="H61" s="598">
        <f t="shared" si="29"/>
        <v>4.5937834941050379</v>
      </c>
      <c r="I61" s="599">
        <v>40</v>
      </c>
      <c r="J61" s="598">
        <f t="shared" si="30"/>
        <v>10.692723492723493</v>
      </c>
      <c r="K61" s="599">
        <v>65</v>
      </c>
      <c r="L61" s="598">
        <f t="shared" si="31"/>
        <v>3.0163599182004091</v>
      </c>
      <c r="M61" s="599">
        <v>32</v>
      </c>
      <c r="N61" s="598">
        <f t="shared" si="32"/>
        <v>2.3935091277890468</v>
      </c>
      <c r="O61" s="599">
        <v>32</v>
      </c>
      <c r="P61" s="598">
        <f t="shared" si="153"/>
        <v>0.71805273833671401</v>
      </c>
      <c r="Q61" s="599">
        <v>20</v>
      </c>
      <c r="R61" s="598">
        <f t="shared" si="33"/>
        <v>6.4965909199690088</v>
      </c>
      <c r="S61" s="600">
        <f t="shared" si="104"/>
        <v>4.2657771053176177</v>
      </c>
      <c r="T61" s="744">
        <v>3</v>
      </c>
      <c r="U61" s="601">
        <f t="shared" si="35"/>
        <v>3.5642411642411642</v>
      </c>
      <c r="V61" s="601">
        <f t="shared" si="36"/>
        <v>5.0405981940383242</v>
      </c>
      <c r="W61" s="850">
        <v>40</v>
      </c>
      <c r="X61" s="751">
        <f t="shared" si="0"/>
        <v>50</v>
      </c>
      <c r="Y61" s="746">
        <v>2</v>
      </c>
      <c r="Z61" s="747">
        <f>VLOOKUP(X61,'Ціни контур мережний'!$Z$24:$AB$36,3,0)</f>
        <v>23.2782130224622</v>
      </c>
      <c r="AA61" s="748">
        <f t="shared" si="105"/>
        <v>46.5564260449244</v>
      </c>
      <c r="AB61" s="749">
        <f t="shared" si="1"/>
        <v>50</v>
      </c>
      <c r="AC61" s="749">
        <v>2</v>
      </c>
      <c r="AD61" s="747">
        <f>VLOOKUP(AB61,'Ціни контур мережний'!$Z$64:$AB$77,3,0)</f>
        <v>80.03214361111678</v>
      </c>
      <c r="AE61" s="748">
        <f t="shared" si="106"/>
        <v>160.06428722223356</v>
      </c>
      <c r="AF61" s="746">
        <f t="shared" si="2"/>
        <v>50</v>
      </c>
      <c r="AG61" s="746">
        <v>1</v>
      </c>
      <c r="AH61" s="747">
        <f>VLOOKUP(AF61,'Ціни контур мережний'!$Z$5:$AB$17,3,0)</f>
        <v>26.284999999999997</v>
      </c>
      <c r="AI61" s="748">
        <f t="shared" si="107"/>
        <v>26.284999999999997</v>
      </c>
      <c r="AJ61" s="746">
        <f t="shared" si="3"/>
        <v>40</v>
      </c>
      <c r="AK61" s="746">
        <v>3</v>
      </c>
      <c r="AL61" s="747">
        <f>VLOOKUP(AJ61,'Ціни контур мережний'!$Z$43:$AB$55,3,0)</f>
        <v>18.42400964308333</v>
      </c>
      <c r="AM61" s="748">
        <f t="shared" si="108"/>
        <v>55.272028929249991</v>
      </c>
      <c r="AN61" s="745">
        <f t="shared" si="4"/>
        <v>32</v>
      </c>
      <c r="AO61" s="749">
        <v>4</v>
      </c>
      <c r="AP61" s="747">
        <f>VLOOKUP(AN61,'Ціни контур мережний'!$Z$43:$AB$55,3,0)</f>
        <v>16.107218011318363</v>
      </c>
      <c r="AQ61" s="759">
        <f t="shared" si="109"/>
        <v>64.428872045273451</v>
      </c>
      <c r="AR61" s="751" t="str">
        <f t="shared" si="42"/>
        <v>AMV20</v>
      </c>
      <c r="AS61" s="751">
        <v>1</v>
      </c>
      <c r="AT61" s="747">
        <f>VLOOKUP(AR61,'Ціни контур мережний'!$I$53:$M$57,5,0)</f>
        <v>110.39869654932889</v>
      </c>
      <c r="AU61" s="748">
        <f t="shared" si="110"/>
        <v>110.39869654932889</v>
      </c>
      <c r="AV61" s="752">
        <f t="array" ref="AV61">MIN(IF('Ціни контур мережний'!$Y$83:$Y$92&gt;(R61*1.2),'Ціни контур мережний'!$Y$83:$Y$92))</f>
        <v>10</v>
      </c>
      <c r="AW61" s="746">
        <f>VLOOKUP(AV61,'Ціни контур мережний'!$Y$83:$Z$92,2,0)</f>
        <v>25</v>
      </c>
      <c r="AX61" s="746">
        <v>1</v>
      </c>
      <c r="AY61" s="747">
        <f>VLOOKUP(AV61,'Ціни контур мережний'!$Y$83:$AB$92,4,0)</f>
        <v>117.50505648967251</v>
      </c>
      <c r="AZ61" s="748">
        <f t="shared" si="111"/>
        <v>117.50505648967251</v>
      </c>
      <c r="BA61" s="1099">
        <f t="array" ref="BA61">MIN(IF('[1]Ціни контур мережний'!$Y$104:$Y$114&gt;(R61*1.2),'[1]Ціни контур мережний'!$Y$104:$Y$114))</f>
        <v>8</v>
      </c>
      <c r="BB61" s="1101">
        <f>VLOOKUP(BA61,'[1]Ціни контур мережний'!$Y$104:$Z$114,2,0)</f>
        <v>25</v>
      </c>
      <c r="BC61" s="753">
        <v>1</v>
      </c>
      <c r="BD61" s="754">
        <f>VLOOKUP(BA61,'Ціни контур мережний'!$Y$104:$AB$114,4,0)</f>
        <v>278.09338672441618</v>
      </c>
      <c r="BE61" s="755">
        <f t="shared" si="112"/>
        <v>278.09338672441618</v>
      </c>
      <c r="BF61" s="751" t="s">
        <v>67</v>
      </c>
      <c r="BG61" s="749">
        <v>1</v>
      </c>
      <c r="BH61" s="747">
        <f>VLOOKUP(BF61,'Ціни контур мережний'!$I$53:$M$57,5,0)</f>
        <v>157.67238032974441</v>
      </c>
      <c r="BI61" s="768">
        <f t="shared" si="113"/>
        <v>157.67238032974441</v>
      </c>
      <c r="BJ61" s="894">
        <f t="array" ref="BJ61">MIN(IF('Ціни контур мережний'!$Y$83:$Y$93&gt;(S61*1.2),'Ціни контур мережний'!$Y$83:$Y$93))</f>
        <v>6.3</v>
      </c>
      <c r="BK61" s="895">
        <f>VLOOKUP(BJ61,'Ціни контур мережний'!$Y$83:$Z$93,2,0)</f>
        <v>20</v>
      </c>
      <c r="BL61" s="895">
        <v>1</v>
      </c>
      <c r="BM61" s="896">
        <f>VLOOKUP(BJ61,'Ціни контур мережний'!$Y$83:$AB$93,4,0)</f>
        <v>113.14115267534271</v>
      </c>
      <c r="BN61" s="916">
        <f t="shared" si="114"/>
        <v>113.14115267534271</v>
      </c>
      <c r="BO61" s="896">
        <f t="array" ref="BO61">MIN(IF('Ціни контур мережний'!$Y$104:$Y$114&gt;(S61*1.2),'Ціни контур мережний'!$Y$104:$Y$114))</f>
        <v>6.3</v>
      </c>
      <c r="BP61" s="895">
        <f>VLOOKUP(BO61,'Ціни контур мережний'!$Y$104:$Z$114,2,0)</f>
        <v>20</v>
      </c>
      <c r="BQ61" s="895">
        <v>1</v>
      </c>
      <c r="BR61" s="896">
        <f>VLOOKUP(BO61,'Ціни контур мережний'!$Y$104:$AB$114,4,0)</f>
        <v>259.83406541769665</v>
      </c>
      <c r="BS61" s="897">
        <f t="shared" si="115"/>
        <v>259.83406541769665</v>
      </c>
      <c r="BT61" s="751">
        <f>VLOOKUP(BU61,'Ціни контур мережний'!$J$5:$L$12,3,0)</f>
        <v>25</v>
      </c>
      <c r="BU61" s="751">
        <f t="array" ref="BU61">MIN(IF('Ціни контур мережний'!$J$5:$J$12&gt;H61,'Ціни контур мережний'!$J$5:$J$12))</f>
        <v>6</v>
      </c>
      <c r="BV61" s="746" t="s">
        <v>130</v>
      </c>
      <c r="BW61" s="756">
        <v>1</v>
      </c>
      <c r="BX61" s="747">
        <f>VLOOKUP(BU61,'Ціни контур мережний'!$J$5:$N$12,5,0)</f>
        <v>341.25599999999997</v>
      </c>
      <c r="BY61" s="748">
        <f t="shared" si="116"/>
        <v>341.25599999999997</v>
      </c>
      <c r="BZ61" s="745">
        <f>VLOOKUP(CA61,'Ціни контур мережний'!$J$5:$L$12,3,0)</f>
        <v>25</v>
      </c>
      <c r="CA61" s="747">
        <f t="array" ref="CA61">MIN(IF('Ціни контур мережний'!$J$5:$J$12&gt;L61,'Ціни контур мережний'!$J$5:$J$12))</f>
        <v>3.5</v>
      </c>
      <c r="CB61" s="746" t="s">
        <v>130</v>
      </c>
      <c r="CC61" s="749">
        <v>1</v>
      </c>
      <c r="CD61" s="747">
        <f>VLOOKUP(CA61,'Ціни контур мережний'!$J$5:$N$12,5,0)</f>
        <v>341.25599999999997</v>
      </c>
      <c r="CE61" s="748">
        <f t="shared" si="117"/>
        <v>341.25599999999997</v>
      </c>
      <c r="CF61" s="898" t="s">
        <v>1379</v>
      </c>
      <c r="CG61" s="899">
        <v>1</v>
      </c>
      <c r="CH61" s="900">
        <v>417</v>
      </c>
      <c r="CI61" s="901">
        <f t="shared" si="118"/>
        <v>417</v>
      </c>
      <c r="CJ61" s="751">
        <f t="shared" si="5"/>
        <v>65</v>
      </c>
      <c r="CK61" s="746">
        <v>4</v>
      </c>
      <c r="CL61" s="747">
        <f>VLOOKUP(CJ61,'Ціни контур теплопостачання'!$Y$5:$AA$17,3,0)</f>
        <v>30.19184015363556</v>
      </c>
      <c r="CM61" s="748">
        <f t="shared" si="119"/>
        <v>120.76736061454224</v>
      </c>
      <c r="CN61" s="746">
        <f t="shared" si="6"/>
        <v>32</v>
      </c>
      <c r="CO61" s="746">
        <v>6</v>
      </c>
      <c r="CP61" s="747">
        <f>VLOOKUP(CN61,'Ціни контур теплопостачання'!$AO$20:$AQ$29,3,0)</f>
        <v>10.381</v>
      </c>
      <c r="CQ61" s="748">
        <f t="shared" si="120"/>
        <v>62.286000000000001</v>
      </c>
      <c r="CR61" s="746">
        <f t="shared" si="7"/>
        <v>20</v>
      </c>
      <c r="CS61" s="746">
        <v>3</v>
      </c>
      <c r="CT61" s="747">
        <f>VLOOKUP(CR61,'Ціни контур теплопостачання'!$AO$20:$AQ$29,3,0)</f>
        <v>3.577</v>
      </c>
      <c r="CU61" s="748">
        <f t="shared" si="121"/>
        <v>10.731</v>
      </c>
      <c r="CV61" s="746">
        <f t="shared" si="8"/>
        <v>40</v>
      </c>
      <c r="CW61" s="746">
        <f t="shared" si="101"/>
        <v>6</v>
      </c>
      <c r="CX61" s="747">
        <f>VLOOKUP(CV61,'Ціни контур теплопостачання'!$Y$5:$AA$17,3,0)</f>
        <v>18.42400964308333</v>
      </c>
      <c r="CY61" s="748">
        <f t="shared" si="122"/>
        <v>110.54405785849998</v>
      </c>
      <c r="CZ61" s="745">
        <v>20</v>
      </c>
      <c r="DA61" s="749">
        <v>2</v>
      </c>
      <c r="DB61" s="747">
        <f>VLOOKUP(CZ61,'Ціни контур теплопостачання'!$Y$5:$AA$17,3,0)</f>
        <v>3.577</v>
      </c>
      <c r="DC61" s="748">
        <f t="shared" si="123"/>
        <v>7.1539999999999999</v>
      </c>
      <c r="DD61" s="745">
        <v>15</v>
      </c>
      <c r="DE61" s="745">
        <v>8</v>
      </c>
      <c r="DF61" s="758">
        <f>VLOOKUP(DD61,'Ціни контур теплопостачання'!$Y$5:$AA$17,3,0)</f>
        <v>2.464</v>
      </c>
      <c r="DG61" s="759">
        <f t="shared" si="124"/>
        <v>19.712</v>
      </c>
      <c r="DH61" s="745">
        <v>15</v>
      </c>
      <c r="DI61" s="745">
        <f t="shared" si="58"/>
        <v>38</v>
      </c>
      <c r="DJ61" s="758">
        <f>VLOOKUP(DH61,'Ціни контур мережний'!$J$71:$M$71,4,0)</f>
        <v>3.3865201135922525</v>
      </c>
      <c r="DK61" s="759">
        <f t="shared" si="125"/>
        <v>128.68776431650559</v>
      </c>
      <c r="DL61" s="751">
        <f t="shared" si="10"/>
        <v>65</v>
      </c>
      <c r="DM61" s="746">
        <v>1</v>
      </c>
      <c r="DN61" s="747">
        <f>VLOOKUP(DL61,'Ціни контур теплопостачання'!$K$5:$M$17,3,0)</f>
        <v>39.731999999999999</v>
      </c>
      <c r="DO61" s="748">
        <f t="shared" si="126"/>
        <v>39.731999999999999</v>
      </c>
      <c r="DP61" s="745">
        <f t="shared" si="11"/>
        <v>32</v>
      </c>
      <c r="DQ61" s="749">
        <v>1</v>
      </c>
      <c r="DR61" s="747">
        <f>VLOOKUP(DP61,'Ціни контур теплопостачання'!$K$5:$M$17,3,0)</f>
        <v>9.48</v>
      </c>
      <c r="DS61" s="748">
        <f t="shared" si="127"/>
        <v>9.48</v>
      </c>
      <c r="DT61" s="745">
        <f t="shared" si="12"/>
        <v>20</v>
      </c>
      <c r="DU61" s="745">
        <v>1</v>
      </c>
      <c r="DV61" s="758">
        <f>VLOOKUP(DT61,'Ціни контур теплопостачання'!$K$5:$M$17,3,0)</f>
        <v>3.48</v>
      </c>
      <c r="DW61" s="759">
        <f t="shared" si="128"/>
        <v>3.48</v>
      </c>
      <c r="DX61" s="745">
        <f t="shared" si="63"/>
        <v>65</v>
      </c>
      <c r="DY61" s="745">
        <v>1</v>
      </c>
      <c r="DZ61" s="758">
        <f>VLOOKUP(DX61,'Ціни контур теплопостачання'!$Y$24:$AA$36,3,0)</f>
        <v>42.080999999999996</v>
      </c>
      <c r="EA61" s="759">
        <f t="shared" si="64"/>
        <v>42.080999999999996</v>
      </c>
      <c r="EB61" s="751">
        <f t="shared" si="13"/>
        <v>65</v>
      </c>
      <c r="EC61" s="746">
        <v>2</v>
      </c>
      <c r="ED61" s="747">
        <f>VLOOKUP(EB61,'Ціни контур теплопостачання'!$Y$24:$AA$36,3,0)</f>
        <v>42.080999999999996</v>
      </c>
      <c r="EE61" s="748">
        <f t="shared" si="129"/>
        <v>84.161999999999992</v>
      </c>
      <c r="EF61" s="745">
        <f t="shared" si="14"/>
        <v>32</v>
      </c>
      <c r="EG61" s="749">
        <v>1</v>
      </c>
      <c r="EH61" s="747">
        <f>VLOOKUP(EF61,'Ціни контур теплопостачання'!$AO$38:$AQ$50,3,0)</f>
        <v>10.773</v>
      </c>
      <c r="EI61" s="748">
        <f t="shared" si="130"/>
        <v>10.773</v>
      </c>
      <c r="EJ61" s="745">
        <f t="shared" si="15"/>
        <v>20</v>
      </c>
      <c r="EK61" s="745">
        <v>1</v>
      </c>
      <c r="EL61" s="758">
        <f>VLOOKUP(EJ61,'Ціни контур теплопостачання'!$AO$38:$AQ$50,3,0)</f>
        <v>4.5359999999999996</v>
      </c>
      <c r="EM61" s="759">
        <f t="shared" si="131"/>
        <v>4.5359999999999996</v>
      </c>
      <c r="EN61" s="745">
        <f t="shared" si="16"/>
        <v>40</v>
      </c>
      <c r="EO61" s="745">
        <f t="shared" si="102"/>
        <v>6</v>
      </c>
      <c r="EP61" s="758">
        <f>VLOOKUP(EN61,'Ціни контур теплопостачання'!$Y$76:$AA$88,3,0)</f>
        <v>16.809999999999999</v>
      </c>
      <c r="EQ61" s="759">
        <f t="shared" si="132"/>
        <v>100.85999999999999</v>
      </c>
      <c r="ER61" s="745">
        <f t="shared" si="18"/>
        <v>32</v>
      </c>
      <c r="ES61" s="745">
        <v>1</v>
      </c>
      <c r="ET61" s="758">
        <f>VLOOKUP(ER61,'Ціни контур теплопостачання'!$Y$76:$AA$88,3,0)</f>
        <v>13.15</v>
      </c>
      <c r="EU61" s="759">
        <f t="shared" si="133"/>
        <v>13.15</v>
      </c>
      <c r="EV61" s="745">
        <f t="shared" si="19"/>
        <v>20</v>
      </c>
      <c r="EW61" s="745">
        <v>1</v>
      </c>
      <c r="EX61" s="758">
        <f>VLOOKUP(EV61,'Ціни контур теплопостачання'!$Y$76:$AA$88,3,0)</f>
        <v>11.45</v>
      </c>
      <c r="EY61" s="759">
        <f t="shared" si="134"/>
        <v>11.45</v>
      </c>
      <c r="EZ61" s="758">
        <f t="shared" si="95"/>
        <v>25.757965758188281</v>
      </c>
      <c r="FA61" s="955">
        <v>25</v>
      </c>
      <c r="FB61" s="719">
        <v>2</v>
      </c>
      <c r="FC61" s="747">
        <f>VLOOKUP(FA61,'Ціни контур теплопостачання'!$K$74:$M$79,3,0)</f>
        <v>22.22</v>
      </c>
      <c r="FD61" s="761">
        <f t="shared" si="96"/>
        <v>44.44</v>
      </c>
      <c r="FE61" s="762">
        <f t="shared" si="71"/>
        <v>10.692723492723493</v>
      </c>
      <c r="FF61" s="902">
        <v>4</v>
      </c>
      <c r="FG61" s="900">
        <v>5</v>
      </c>
      <c r="FH61" s="830" t="s">
        <v>1092</v>
      </c>
      <c r="FI61" s="708">
        <v>2</v>
      </c>
      <c r="FJ61" s="709">
        <f>VLOOKUP(FH61,'Ціни контур теплопостачання'!$C$89:$M$105,11,0)</f>
        <v>276.99599999999998</v>
      </c>
      <c r="FK61" s="764">
        <f t="shared" si="135"/>
        <v>553.99199999999996</v>
      </c>
      <c r="FL61" s="912">
        <f t="shared" si="73"/>
        <v>0.71805273833671401</v>
      </c>
      <c r="FM61" s="902">
        <v>4</v>
      </c>
      <c r="FN61" s="900">
        <v>6</v>
      </c>
      <c r="FO61" s="900" t="s">
        <v>1096</v>
      </c>
      <c r="FP61" s="749">
        <v>1</v>
      </c>
      <c r="FQ61" s="747">
        <f>VLOOKUP(FO61,'Ціни контур теплопостачання'!$C$89:$M$105,11,0)</f>
        <v>162.96</v>
      </c>
      <c r="FR61" s="904">
        <f t="shared" si="136"/>
        <v>162.96</v>
      </c>
      <c r="FS61" s="758">
        <f t="array" ref="FS61">MIN(IF('Ціни контур теплопостачання'!$AN$68:$AN$77&gt;(V61*1.2),'Ціни контур теплопостачання'!$AN$68:$AN$77))</f>
        <v>11.13</v>
      </c>
      <c r="FT61" s="749">
        <f>VLOOKUP(FS61,'Ціни контур теплопостачання'!$AN$68:$AO$77,2,0)</f>
        <v>32</v>
      </c>
      <c r="FU61" s="749">
        <f t="shared" si="103"/>
        <v>3</v>
      </c>
      <c r="FV61" s="747">
        <f>VLOOKUP(FT61,'Ціни контур теплопостачання'!$AO$68:$AQ$77,3,0)</f>
        <v>37.183999999999997</v>
      </c>
      <c r="FW61" s="765">
        <f t="shared" si="137"/>
        <v>111.55199999999999</v>
      </c>
      <c r="FX61" s="750">
        <v>15</v>
      </c>
      <c r="FY61" s="746">
        <v>2</v>
      </c>
      <c r="FZ61" s="747">
        <f>VLOOKUP(FX61,'Ціни контур мережний'!$J$73:$M$73,4,0)</f>
        <v>3.4649999999999999</v>
      </c>
      <c r="GA61" s="748">
        <f t="shared" si="138"/>
        <v>6.93</v>
      </c>
      <c r="GB61" s="750">
        <f>VLOOKUP(GC61,'Ціни контур теплопостачання'!$AN$6:$AO$13,2,0)</f>
        <v>20</v>
      </c>
      <c r="GC61" s="751">
        <f t="array" ref="GC61">MIN(IF('Ціни контур теплопостачання'!$AN$6:$AN$13&gt;N61,'Ціни контур теплопостачання'!$AN$6:$AN$13))</f>
        <v>2.5</v>
      </c>
      <c r="GD61" s="751">
        <v>1</v>
      </c>
      <c r="GE61" s="747">
        <f>VLOOKUP(GB61,'Ціни контур теплопостачання'!$AO$6:$AQ$13,3,0)</f>
        <v>23.753519999999998</v>
      </c>
      <c r="GF61" s="748">
        <f t="shared" si="139"/>
        <v>23.753519999999998</v>
      </c>
      <c r="GG61" s="746">
        <f t="shared" si="23"/>
        <v>32</v>
      </c>
      <c r="GH61" s="746">
        <v>1</v>
      </c>
      <c r="GI61" s="747">
        <f>VLOOKUP(GG61,'Ціни контур теплопостачання'!$AO$55:$AQ$63,3,0)</f>
        <v>150.1</v>
      </c>
      <c r="GJ61" s="768">
        <f t="shared" si="140"/>
        <v>150.1</v>
      </c>
      <c r="GK61" s="655" t="str">
        <f t="shared" si="150"/>
        <v>0-150</v>
      </c>
      <c r="GL61" s="720">
        <v>1</v>
      </c>
      <c r="GM61" s="747">
        <f>VLOOKUP(GK61,'Ціни контур мережний'!$I$79:$M$80,5,0)</f>
        <v>15.050156291498967</v>
      </c>
      <c r="GN61" s="748">
        <f t="shared" si="141"/>
        <v>15.050156291498967</v>
      </c>
      <c r="GO61" s="758" t="s">
        <v>109</v>
      </c>
      <c r="GP61" s="749">
        <v>5</v>
      </c>
      <c r="GQ61" s="747">
        <f>VLOOKUP(GO61,'Ціни контур мережний'!$I$79:$M$80,5,0)</f>
        <v>15.050156291498967</v>
      </c>
      <c r="GR61" s="765">
        <f t="shared" si="142"/>
        <v>75.250781457494838</v>
      </c>
      <c r="GS61" s="655" t="s">
        <v>108</v>
      </c>
      <c r="GT61" s="720">
        <v>5</v>
      </c>
      <c r="GU61" s="747">
        <f>VLOOKUP(GS61,'Ціни контур мережний'!$I$67:$M$69,5,0)</f>
        <v>4.4537969640631703</v>
      </c>
      <c r="GV61" s="748">
        <f t="shared" si="143"/>
        <v>22.26898482031585</v>
      </c>
      <c r="GW61" s="655" t="s">
        <v>106</v>
      </c>
      <c r="GX61" s="720">
        <f t="shared" si="151"/>
        <v>14</v>
      </c>
      <c r="GY61" s="747">
        <f>VLOOKUP(GW61,'Ціни контур мережний'!$I$67:$M$69,5,0)</f>
        <v>4.4537969640631703</v>
      </c>
      <c r="GZ61" s="748">
        <f t="shared" si="144"/>
        <v>62.353157496884386</v>
      </c>
      <c r="HA61" s="655" t="s">
        <v>1013</v>
      </c>
      <c r="HB61" s="720">
        <v>4</v>
      </c>
      <c r="HC61" s="747">
        <f>VLOOKUP(HA61,'Ціни контур мережний'!$I$64:$M$64,5,0)</f>
        <v>29.1312</v>
      </c>
      <c r="HD61" s="748">
        <f t="shared" si="145"/>
        <v>116.5248</v>
      </c>
      <c r="HE61" s="766" t="s">
        <v>1015</v>
      </c>
      <c r="HF61" s="749">
        <v>6</v>
      </c>
      <c r="HG61" s="747">
        <f>VLOOKUP(HE61,'Ціни контур мережний'!$I$89:$M$89,5,0)</f>
        <v>79.523165325760516</v>
      </c>
      <c r="HH61" s="765">
        <f t="shared" si="146"/>
        <v>477.1389919545631</v>
      </c>
      <c r="HI61" s="778" t="s">
        <v>1016</v>
      </c>
      <c r="HJ61" s="720">
        <f t="shared" si="152"/>
        <v>7</v>
      </c>
      <c r="HK61" s="747">
        <f>VLOOKUP(HI61,'Ціни контур мережний'!$I$88:$M$88,5,0)</f>
        <v>13.211568975967202</v>
      </c>
      <c r="HL61" s="768">
        <f t="shared" si="147"/>
        <v>92.480982831770419</v>
      </c>
      <c r="HM61" s="779" t="s">
        <v>383</v>
      </c>
      <c r="HN61" s="720">
        <v>1</v>
      </c>
      <c r="HO61" s="747">
        <f>VLOOKUP(HM61,'Ціни контур мережний'!$I$87:$M$87,5,0)</f>
        <v>13.483972460007763</v>
      </c>
      <c r="HP61" s="748">
        <f t="shared" si="148"/>
        <v>13.483972460007763</v>
      </c>
      <c r="HQ61" s="769">
        <f t="shared" si="97"/>
        <v>90</v>
      </c>
      <c r="HR61" s="770">
        <f t="shared" si="87"/>
        <v>5196.6288825299671</v>
      </c>
      <c r="HS61" s="771">
        <v>0</v>
      </c>
      <c r="HT61" s="771">
        <f>'Таблиця цін схема №1'!$JE$44/'Ціни контур мережний'!$G$26</f>
        <v>476.70609707098151</v>
      </c>
      <c r="HU61" s="770">
        <f>'Таблиця цін схема №1'!$JG$8</f>
        <v>661.80181284518619</v>
      </c>
      <c r="HV61" s="770">
        <f>'Таблиця цін схема №1'!$JH$8</f>
        <v>487.81784379022207</v>
      </c>
      <c r="HW61" s="770">
        <f>'Таблиця цін схема №1'!$JI$8</f>
        <v>323.47913729816605</v>
      </c>
      <c r="HX61" s="770">
        <f>'Таблиця цін схема №1'!$JJ$8</f>
        <v>66.611999999999995</v>
      </c>
      <c r="HY61" s="770">
        <f>'Таблиця цін схема №1'!$JK$28</f>
        <v>0</v>
      </c>
      <c r="HZ61" s="772">
        <f>'Таблиця цін схема №1'!$JL$8</f>
        <v>62.86234247089866</v>
      </c>
      <c r="IA61" s="770">
        <f>'Таблиця цін схема №1'!$JM$28</f>
        <v>0</v>
      </c>
      <c r="IB61" s="770">
        <v>0</v>
      </c>
      <c r="IC61" s="773">
        <f t="shared" si="98"/>
        <v>509.31356812037961</v>
      </c>
      <c r="ID61" s="774">
        <f t="shared" si="99"/>
        <v>727.59081160054222</v>
      </c>
      <c r="IE61" s="775">
        <f t="shared" si="100"/>
        <v>125.16369527770257</v>
      </c>
      <c r="IF61" s="776">
        <f>'Таблиця цін схема №1'!$JR$8</f>
        <v>300.63036461094771</v>
      </c>
      <c r="IG61" s="777">
        <f t="shared" si="88"/>
        <v>8938.6065556149952</v>
      </c>
      <c r="II61" s="826"/>
      <c r="IJ61" s="826"/>
      <c r="IK61" s="826"/>
      <c r="IL61" s="826"/>
    </row>
    <row r="62" spans="2:246" s="780" customFormat="1" ht="12.6" customHeight="1">
      <c r="B62" s="905">
        <v>91</v>
      </c>
      <c r="C62" s="1056" t="s">
        <v>939</v>
      </c>
      <c r="D62" s="906">
        <v>0.34199000000000002</v>
      </c>
      <c r="E62" s="907">
        <v>0.15264</v>
      </c>
      <c r="F62" s="908">
        <f t="shared" si="28"/>
        <v>10.010986614413122</v>
      </c>
      <c r="G62" s="599">
        <v>65</v>
      </c>
      <c r="H62" s="598">
        <f t="shared" si="29"/>
        <v>6.1091461236155764</v>
      </c>
      <c r="I62" s="599">
        <v>50</v>
      </c>
      <c r="J62" s="598">
        <f t="shared" si="30"/>
        <v>14.21995841995842</v>
      </c>
      <c r="K62" s="599">
        <v>80</v>
      </c>
      <c r="L62" s="598">
        <f t="shared" si="31"/>
        <v>3.9018404907975461</v>
      </c>
      <c r="M62" s="599">
        <v>40</v>
      </c>
      <c r="N62" s="598">
        <f t="shared" si="32"/>
        <v>3.0961460446247462</v>
      </c>
      <c r="O62" s="599">
        <v>40</v>
      </c>
      <c r="P62" s="598">
        <f t="shared" si="153"/>
        <v>0.92884381338742383</v>
      </c>
      <c r="Q62" s="599">
        <v>25</v>
      </c>
      <c r="R62" s="598">
        <f t="shared" si="33"/>
        <v>8.639637302536169</v>
      </c>
      <c r="S62" s="600">
        <f t="shared" si="104"/>
        <v>5.5180357403023832</v>
      </c>
      <c r="T62" s="910">
        <v>2</v>
      </c>
      <c r="U62" s="601">
        <f t="shared" si="35"/>
        <v>7.1099792099792101</v>
      </c>
      <c r="V62" s="601">
        <f t="shared" si="36"/>
        <v>10.055029026943341</v>
      </c>
      <c r="W62" s="850">
        <v>50</v>
      </c>
      <c r="X62" s="751">
        <f t="shared" si="0"/>
        <v>65</v>
      </c>
      <c r="Y62" s="746">
        <v>2</v>
      </c>
      <c r="Z62" s="747">
        <f>VLOOKUP(X62,'Ціни контур мережний'!$Z$24:$AB$36,3,0)</f>
        <v>30.19184015363556</v>
      </c>
      <c r="AA62" s="748">
        <f t="shared" si="105"/>
        <v>60.383680307271121</v>
      </c>
      <c r="AB62" s="749">
        <f t="shared" si="1"/>
        <v>65</v>
      </c>
      <c r="AC62" s="749">
        <v>2</v>
      </c>
      <c r="AD62" s="747">
        <f>VLOOKUP(AB62,'Ціни контур мережний'!$Z$64:$AB$77,3,0)</f>
        <v>105.883234246566</v>
      </c>
      <c r="AE62" s="748">
        <f t="shared" si="106"/>
        <v>211.76646849313201</v>
      </c>
      <c r="AF62" s="746">
        <f t="shared" si="2"/>
        <v>65</v>
      </c>
      <c r="AG62" s="746">
        <v>1</v>
      </c>
      <c r="AH62" s="747">
        <f>VLOOKUP(AF62,'Ціни контур мережний'!$Z$5:$AB$17,3,0)</f>
        <v>39.731999999999999</v>
      </c>
      <c r="AI62" s="748">
        <f t="shared" si="107"/>
        <v>39.731999999999999</v>
      </c>
      <c r="AJ62" s="746">
        <f t="shared" si="3"/>
        <v>50</v>
      </c>
      <c r="AK62" s="746">
        <v>3</v>
      </c>
      <c r="AL62" s="747">
        <f>VLOOKUP(AJ62,'Ціни контур мережний'!$Z$43:$AB$55,3,0)</f>
        <v>23.2782130224622</v>
      </c>
      <c r="AM62" s="748">
        <f t="shared" si="108"/>
        <v>69.834639067386604</v>
      </c>
      <c r="AN62" s="745">
        <f t="shared" si="4"/>
        <v>40</v>
      </c>
      <c r="AO62" s="749">
        <v>4</v>
      </c>
      <c r="AP62" s="747">
        <f>VLOOKUP(AN62,'Ціни контур мережний'!$Z$43:$AB$55,3,0)</f>
        <v>18.42400964308333</v>
      </c>
      <c r="AQ62" s="759">
        <f t="shared" si="109"/>
        <v>73.696038572333322</v>
      </c>
      <c r="AR62" s="751" t="str">
        <f t="shared" si="42"/>
        <v>AMV20</v>
      </c>
      <c r="AS62" s="751">
        <v>1</v>
      </c>
      <c r="AT62" s="747">
        <f>VLOOKUP(AR62,'Ціни контур мережний'!$I$53:$M$57,5,0)</f>
        <v>110.39869654932889</v>
      </c>
      <c r="AU62" s="748">
        <f t="shared" si="110"/>
        <v>110.39869654932889</v>
      </c>
      <c r="AV62" s="752">
        <f t="array" ref="AV62">MIN(IF('Ціни контур мережний'!$Y$83:$Y$92&gt;(R62*1.2),'Ціни контур мережний'!$Y$83:$Y$92))</f>
        <v>16</v>
      </c>
      <c r="AW62" s="746">
        <f>VLOOKUP(AV62,'Ціни контур мережний'!$Y$83:$Z$92,2,0)</f>
        <v>32</v>
      </c>
      <c r="AX62" s="746">
        <v>1</v>
      </c>
      <c r="AY62" s="747">
        <f>VLOOKUP(AV62,'Ціни контур мережний'!$Y$83:$AB$92,4,0)</f>
        <v>130.5392363168325</v>
      </c>
      <c r="AZ62" s="748">
        <f t="shared" si="111"/>
        <v>130.5392363168325</v>
      </c>
      <c r="BA62" s="1099">
        <f t="array" ref="BA62">MIN(IF('[1]Ціни контур мережний'!$Y$104:$Y$114&gt;(R62*1.2),'[1]Ціни контур мережний'!$Y$104:$Y$114))</f>
        <v>12.5</v>
      </c>
      <c r="BB62" s="1101">
        <f>VLOOKUP(BA62,'[1]Ціни контур мережний'!$Y$104:$Z$114,2,0)</f>
        <v>32</v>
      </c>
      <c r="BC62" s="753">
        <v>1</v>
      </c>
      <c r="BD62" s="754">
        <f>VLOOKUP(BA62,'Ціни контур мережний'!$Y$104:$AB$114,4,0)</f>
        <v>435.76049604674444</v>
      </c>
      <c r="BE62" s="755">
        <f t="shared" si="112"/>
        <v>435.76049604674444</v>
      </c>
      <c r="BF62" s="751" t="s">
        <v>67</v>
      </c>
      <c r="BG62" s="749">
        <v>1</v>
      </c>
      <c r="BH62" s="747">
        <f>VLOOKUP(BF62,'Ціни контур мережний'!$I$53:$M$57,5,0)</f>
        <v>157.67238032974441</v>
      </c>
      <c r="BI62" s="768">
        <f t="shared" si="113"/>
        <v>157.67238032974441</v>
      </c>
      <c r="BJ62" s="894">
        <f t="array" ref="BJ62">MIN(IF('Ціни контур мережний'!$Y$83:$Y$93&gt;(S62*1.2),'Ціни контур мережний'!$Y$83:$Y$93))</f>
        <v>10</v>
      </c>
      <c r="BK62" s="895">
        <f>VLOOKUP(BJ62,'Ціни контур мережний'!$Y$83:$Z$93,2,0)</f>
        <v>25</v>
      </c>
      <c r="BL62" s="895">
        <v>1</v>
      </c>
      <c r="BM62" s="896">
        <f>VLOOKUP(BJ62,'Ціни контур мережний'!$Y$83:$AB$93,4,0)</f>
        <v>117.50505648967251</v>
      </c>
      <c r="BN62" s="916">
        <f t="shared" si="114"/>
        <v>117.50505648967251</v>
      </c>
      <c r="BO62" s="896">
        <f t="array" ref="BO62">MIN(IF('Ціни контур мережний'!$Y$104:$Y$114&gt;(S62*1.2),'Ціни контур мережний'!$Y$104:$Y$114))</f>
        <v>8</v>
      </c>
      <c r="BP62" s="895">
        <f>VLOOKUP(BO62,'Ціни контур мережний'!$Y$104:$Z$114,2,0)</f>
        <v>25</v>
      </c>
      <c r="BQ62" s="895">
        <v>1</v>
      </c>
      <c r="BR62" s="896">
        <f>VLOOKUP(BO62,'Ціни контур мережний'!$Y$104:$AB$114,4,0)</f>
        <v>278.09338672441618</v>
      </c>
      <c r="BS62" s="897">
        <f t="shared" si="115"/>
        <v>278.09338672441618</v>
      </c>
      <c r="BT62" s="751" t="s">
        <v>115</v>
      </c>
      <c r="BU62" s="751" t="s">
        <v>115</v>
      </c>
      <c r="BV62" s="746" t="s">
        <v>1025</v>
      </c>
      <c r="BW62" s="756">
        <v>0</v>
      </c>
      <c r="BX62" s="747">
        <v>0</v>
      </c>
      <c r="BY62" s="748">
        <f t="shared" si="116"/>
        <v>0</v>
      </c>
      <c r="BZ62" s="745">
        <f>VLOOKUP(CA62,'Ціни контур мережний'!$J$5:$L$12,3,0)</f>
        <v>25</v>
      </c>
      <c r="CA62" s="747">
        <f t="array" ref="CA62">MIN(IF('Ціни контур мережний'!$J$5:$J$12&gt;L62,'Ціни контур мережний'!$J$5:$J$12))</f>
        <v>6</v>
      </c>
      <c r="CB62" s="746" t="s">
        <v>130</v>
      </c>
      <c r="CC62" s="749">
        <v>1</v>
      </c>
      <c r="CD62" s="747">
        <f>VLOOKUP(CA62,'Ціни контур мережний'!$J$5:$N$12,5,0)</f>
        <v>341.25599999999997</v>
      </c>
      <c r="CE62" s="748">
        <f t="shared" si="117"/>
        <v>341.25599999999997</v>
      </c>
      <c r="CF62" s="898" t="s">
        <v>1380</v>
      </c>
      <c r="CG62" s="899">
        <v>1</v>
      </c>
      <c r="CH62" s="900">
        <v>518</v>
      </c>
      <c r="CI62" s="901">
        <f t="shared" si="118"/>
        <v>518</v>
      </c>
      <c r="CJ62" s="751">
        <f t="shared" si="5"/>
        <v>80</v>
      </c>
      <c r="CK62" s="746">
        <v>4</v>
      </c>
      <c r="CL62" s="747">
        <f>VLOOKUP(CJ62,'Ціни контур теплопостачання'!$Y$5:$AA$17,3,0)</f>
        <v>37.693832104112609</v>
      </c>
      <c r="CM62" s="748">
        <f t="shared" si="119"/>
        <v>150.77532841645044</v>
      </c>
      <c r="CN62" s="746">
        <f t="shared" si="6"/>
        <v>40</v>
      </c>
      <c r="CO62" s="746">
        <v>6</v>
      </c>
      <c r="CP62" s="747">
        <f>VLOOKUP(CN62,'Ціни контур теплопостачання'!$AO$20:$AQ$29,3,0)</f>
        <v>37.980000000000004</v>
      </c>
      <c r="CQ62" s="748">
        <f t="shared" si="120"/>
        <v>227.88000000000002</v>
      </c>
      <c r="CR62" s="746">
        <f t="shared" si="7"/>
        <v>25</v>
      </c>
      <c r="CS62" s="746">
        <v>3</v>
      </c>
      <c r="CT62" s="747">
        <f>VLOOKUP(CR62,'Ціни контур теплопостачання'!$AO$20:$AQ$29,3,0)</f>
        <v>6.3070000000000004</v>
      </c>
      <c r="CU62" s="748">
        <f t="shared" si="121"/>
        <v>18.920999999999999</v>
      </c>
      <c r="CV62" s="746">
        <f t="shared" si="8"/>
        <v>50</v>
      </c>
      <c r="CW62" s="746">
        <f t="shared" si="101"/>
        <v>4</v>
      </c>
      <c r="CX62" s="747">
        <f>VLOOKUP(CV62,'Ціни контур теплопостачання'!$Y$5:$AA$17,3,0)</f>
        <v>23.2782130224622</v>
      </c>
      <c r="CY62" s="748">
        <f t="shared" si="122"/>
        <v>93.112852089848801</v>
      </c>
      <c r="CZ62" s="745">
        <v>20</v>
      </c>
      <c r="DA62" s="749">
        <v>2</v>
      </c>
      <c r="DB62" s="747">
        <f>VLOOKUP(CZ62,'Ціни контур теплопостачання'!$Y$5:$AA$17,3,0)</f>
        <v>3.577</v>
      </c>
      <c r="DC62" s="748">
        <f t="shared" si="123"/>
        <v>7.1539999999999999</v>
      </c>
      <c r="DD62" s="745">
        <v>15</v>
      </c>
      <c r="DE62" s="745">
        <v>8</v>
      </c>
      <c r="DF62" s="758">
        <f>VLOOKUP(DD62,'Ціни контур теплопостачання'!$Y$5:$AA$17,3,0)</f>
        <v>2.464</v>
      </c>
      <c r="DG62" s="759">
        <f t="shared" si="124"/>
        <v>19.712</v>
      </c>
      <c r="DH62" s="745">
        <v>15</v>
      </c>
      <c r="DI62" s="745">
        <f t="shared" si="58"/>
        <v>37</v>
      </c>
      <c r="DJ62" s="758">
        <f>VLOOKUP(DH62,'Ціни контур мережний'!$J$71:$M$71,4,0)</f>
        <v>3.3865201135922525</v>
      </c>
      <c r="DK62" s="759">
        <f t="shared" si="125"/>
        <v>125.30124420291334</v>
      </c>
      <c r="DL62" s="751">
        <f t="shared" si="10"/>
        <v>80</v>
      </c>
      <c r="DM62" s="746">
        <v>1</v>
      </c>
      <c r="DN62" s="747">
        <f>VLOOKUP(DL62,'Ціни контур теплопостачання'!$K$5:$M$17,3,0)</f>
        <v>50.12</v>
      </c>
      <c r="DO62" s="748">
        <f t="shared" si="126"/>
        <v>50.12</v>
      </c>
      <c r="DP62" s="745">
        <f t="shared" si="11"/>
        <v>40</v>
      </c>
      <c r="DQ62" s="749">
        <v>1</v>
      </c>
      <c r="DR62" s="747">
        <f>VLOOKUP(DP62,'Ціни контур теплопостачання'!$K$5:$M$17,3,0)</f>
        <v>23.225999999999999</v>
      </c>
      <c r="DS62" s="748">
        <f t="shared" si="127"/>
        <v>23.225999999999999</v>
      </c>
      <c r="DT62" s="745">
        <f t="shared" si="12"/>
        <v>25</v>
      </c>
      <c r="DU62" s="745">
        <v>1</v>
      </c>
      <c r="DV62" s="758">
        <f>VLOOKUP(DT62,'Ціни контур теплопостачання'!$K$5:$M$17,3,0)</f>
        <v>4.78</v>
      </c>
      <c r="DW62" s="759">
        <f t="shared" si="128"/>
        <v>4.78</v>
      </c>
      <c r="DX62" s="745">
        <f t="shared" si="63"/>
        <v>80</v>
      </c>
      <c r="DY62" s="745">
        <v>1</v>
      </c>
      <c r="DZ62" s="758">
        <f>VLOOKUP(DX62,'Ціни контур теплопостачання'!$Y$24:$AA$36,3,0)</f>
        <v>60.079499999999996</v>
      </c>
      <c r="EA62" s="759">
        <f t="shared" si="64"/>
        <v>60.079499999999996</v>
      </c>
      <c r="EB62" s="751">
        <f t="shared" si="13"/>
        <v>80</v>
      </c>
      <c r="EC62" s="746">
        <v>2</v>
      </c>
      <c r="ED62" s="747">
        <f>VLOOKUP(EB62,'Ціни контур теплопостачання'!$Y$24:$AA$36,3,0)</f>
        <v>60.079499999999996</v>
      </c>
      <c r="EE62" s="748">
        <f t="shared" si="129"/>
        <v>120.15899999999999</v>
      </c>
      <c r="EF62" s="745">
        <f t="shared" si="14"/>
        <v>40</v>
      </c>
      <c r="EG62" s="749">
        <v>1</v>
      </c>
      <c r="EH62" s="747">
        <f>VLOOKUP(EF62,'Ціни контур теплопостачання'!$AO$38:$AQ$50,3,0)</f>
        <v>20.3645</v>
      </c>
      <c r="EI62" s="748">
        <f t="shared" si="130"/>
        <v>20.3645</v>
      </c>
      <c r="EJ62" s="745">
        <f t="shared" si="15"/>
        <v>25</v>
      </c>
      <c r="EK62" s="745">
        <v>1</v>
      </c>
      <c r="EL62" s="758">
        <f>VLOOKUP(EJ62,'Ціни контур теплопостачання'!$AO$38:$AQ$50,3,0)</f>
        <v>6.9659999999999993</v>
      </c>
      <c r="EM62" s="759">
        <f t="shared" si="131"/>
        <v>6.9659999999999993</v>
      </c>
      <c r="EN62" s="745">
        <f t="shared" si="16"/>
        <v>50</v>
      </c>
      <c r="EO62" s="745">
        <f t="shared" si="102"/>
        <v>4</v>
      </c>
      <c r="EP62" s="758">
        <f>VLOOKUP(EN62,'Ціни контур теплопостачання'!$Y$76:$AA$88,3,0)</f>
        <v>20.6</v>
      </c>
      <c r="EQ62" s="759">
        <f t="shared" si="132"/>
        <v>82.4</v>
      </c>
      <c r="ER62" s="745">
        <f t="shared" si="18"/>
        <v>40</v>
      </c>
      <c r="ES62" s="745">
        <v>1</v>
      </c>
      <c r="ET62" s="758">
        <f>VLOOKUP(ER62,'Ціни контур теплопостачання'!$Y$76:$AA$88,3,0)</f>
        <v>16.809999999999999</v>
      </c>
      <c r="EU62" s="759">
        <f t="shared" si="133"/>
        <v>16.809999999999999</v>
      </c>
      <c r="EV62" s="745">
        <f t="shared" si="19"/>
        <v>25</v>
      </c>
      <c r="EW62" s="745">
        <v>1</v>
      </c>
      <c r="EX62" s="758">
        <f>VLOOKUP(EV62,'Ціни контур теплопостачання'!$Y$76:$AA$88,3,0)</f>
        <v>11.45</v>
      </c>
      <c r="EY62" s="759">
        <f t="shared" si="134"/>
        <v>11.45</v>
      </c>
      <c r="EZ62" s="758">
        <f t="shared" si="95"/>
        <v>29.704110826617921</v>
      </c>
      <c r="FA62" s="955">
        <v>32</v>
      </c>
      <c r="FB62" s="719">
        <v>2</v>
      </c>
      <c r="FC62" s="747">
        <f>VLOOKUP(FA62,'Ціни контур теплопостачання'!$K$74:$M$79,3,0)</f>
        <v>33.68</v>
      </c>
      <c r="FD62" s="761">
        <f t="shared" si="96"/>
        <v>67.36</v>
      </c>
      <c r="FE62" s="762">
        <f t="shared" si="71"/>
        <v>14.21995841995842</v>
      </c>
      <c r="FF62" s="911">
        <v>9</v>
      </c>
      <c r="FG62" s="900">
        <v>8</v>
      </c>
      <c r="FH62" s="830" t="s">
        <v>119</v>
      </c>
      <c r="FI62" s="708">
        <v>2</v>
      </c>
      <c r="FJ62" s="709">
        <f>VLOOKUP(FH62,'Ціни контур теплопостачання'!$C$89:$M$105,11,0)</f>
        <v>391.06799999999998</v>
      </c>
      <c r="FK62" s="764">
        <f t="shared" si="135"/>
        <v>782.13599999999997</v>
      </c>
      <c r="FL62" s="912">
        <f t="shared" si="73"/>
        <v>0.92884381338742383</v>
      </c>
      <c r="FM62" s="911">
        <v>9</v>
      </c>
      <c r="FN62" s="900">
        <v>9</v>
      </c>
      <c r="FO62" s="900" t="s">
        <v>1097</v>
      </c>
      <c r="FP62" s="749">
        <v>1</v>
      </c>
      <c r="FQ62" s="747">
        <f>VLOOKUP(FO62,'Ціни контур теплопостачання'!$C$89:$M$105,11,0)</f>
        <v>241.2</v>
      </c>
      <c r="FR62" s="904">
        <f t="shared" si="136"/>
        <v>241.2</v>
      </c>
      <c r="FS62" s="758">
        <f t="array" ref="FS62">MIN(IF('Ціни контур теплопостачання'!$AN$68:$AN$77&gt;(V62*1.2),'Ціни контур теплопостачання'!$AN$68:$AN$77))</f>
        <v>22.36</v>
      </c>
      <c r="FT62" s="749">
        <f>VLOOKUP(FS62,'Ціни контур теплопостачання'!$AN$68:$AO$77,2,0)</f>
        <v>40</v>
      </c>
      <c r="FU62" s="749">
        <f t="shared" si="103"/>
        <v>2</v>
      </c>
      <c r="FV62" s="747">
        <f>VLOOKUP(FT62,'Ціни контур теплопостачання'!$AO$68:$AQ$77,3,0)</f>
        <v>43.225000000000001</v>
      </c>
      <c r="FW62" s="765">
        <f t="shared" si="137"/>
        <v>86.45</v>
      </c>
      <c r="FX62" s="750">
        <v>15</v>
      </c>
      <c r="FY62" s="746">
        <v>2</v>
      </c>
      <c r="FZ62" s="747">
        <f>VLOOKUP(FX62,'Ціни контур мережний'!$J$73:$M$73,4,0)</f>
        <v>3.4649999999999999</v>
      </c>
      <c r="GA62" s="748">
        <f t="shared" si="138"/>
        <v>6.93</v>
      </c>
      <c r="GB62" s="750">
        <f>VLOOKUP(GC62,'Ціни контур теплопостачання'!$AN$6:$AO$13,2,0)</f>
        <v>25</v>
      </c>
      <c r="GC62" s="751">
        <f t="array" ref="GC62">MIN(IF('Ціни контур теплопостачання'!$AN$6:$AN$13&gt;N62,'Ціни контур теплопостачання'!$AN$6:$AN$13))</f>
        <v>3.5</v>
      </c>
      <c r="GD62" s="751">
        <v>1</v>
      </c>
      <c r="GE62" s="747">
        <f>VLOOKUP(GB62,'Ціни контур теплопостачання'!$AO$6:$AQ$13,3,0)</f>
        <v>76.3506</v>
      </c>
      <c r="GF62" s="748">
        <f t="shared" si="139"/>
        <v>76.3506</v>
      </c>
      <c r="GG62" s="746">
        <f t="shared" si="23"/>
        <v>40</v>
      </c>
      <c r="GH62" s="746">
        <v>1</v>
      </c>
      <c r="GI62" s="747">
        <f>VLOOKUP(GG62,'Ціни контур теплопостачання'!$AO$55:$AQ$63,3,0)</f>
        <v>193.55</v>
      </c>
      <c r="GJ62" s="768">
        <f t="shared" si="140"/>
        <v>193.55</v>
      </c>
      <c r="GK62" s="655" t="str">
        <f t="shared" si="150"/>
        <v>0-150</v>
      </c>
      <c r="GL62" s="720">
        <v>1</v>
      </c>
      <c r="GM62" s="747">
        <f>VLOOKUP(GK62,'Ціни контур мережний'!$I$79:$M$80,5,0)</f>
        <v>15.050156291498967</v>
      </c>
      <c r="GN62" s="748">
        <f t="shared" si="141"/>
        <v>15.050156291498967</v>
      </c>
      <c r="GO62" s="758" t="s">
        <v>109</v>
      </c>
      <c r="GP62" s="749">
        <v>5</v>
      </c>
      <c r="GQ62" s="747">
        <f>VLOOKUP(GO62,'Ціни контур мережний'!$I$79:$M$80,5,0)</f>
        <v>15.050156291498967</v>
      </c>
      <c r="GR62" s="765">
        <f t="shared" si="142"/>
        <v>75.250781457494838</v>
      </c>
      <c r="GS62" s="655" t="s">
        <v>108</v>
      </c>
      <c r="GT62" s="720">
        <v>5</v>
      </c>
      <c r="GU62" s="747">
        <f>VLOOKUP(GS62,'Ціни контур мережний'!$I$67:$M$69,5,0)</f>
        <v>4.4537969640631703</v>
      </c>
      <c r="GV62" s="748">
        <f t="shared" si="143"/>
        <v>22.26898482031585</v>
      </c>
      <c r="GW62" s="655" t="s">
        <v>106</v>
      </c>
      <c r="GX62" s="720">
        <f t="shared" si="151"/>
        <v>13</v>
      </c>
      <c r="GY62" s="747">
        <f>VLOOKUP(GW62,'Ціни контур мережний'!$I$67:$M$69,5,0)</f>
        <v>4.4537969640631703</v>
      </c>
      <c r="GZ62" s="748">
        <f t="shared" si="144"/>
        <v>57.899360532821213</v>
      </c>
      <c r="HA62" s="655" t="s">
        <v>1013</v>
      </c>
      <c r="HB62" s="720">
        <v>4</v>
      </c>
      <c r="HC62" s="747">
        <f>VLOOKUP(HA62,'Ціни контур мережний'!$I$64:$M$64,5,0)</f>
        <v>29.1312</v>
      </c>
      <c r="HD62" s="748">
        <f t="shared" si="145"/>
        <v>116.5248</v>
      </c>
      <c r="HE62" s="766" t="s">
        <v>1015</v>
      </c>
      <c r="HF62" s="749">
        <v>6</v>
      </c>
      <c r="HG62" s="747">
        <f>VLOOKUP(HE62,'Ціни контур мережний'!$I$89:$M$89,5,0)</f>
        <v>79.523165325760516</v>
      </c>
      <c r="HH62" s="765">
        <f t="shared" si="146"/>
        <v>477.1389919545631</v>
      </c>
      <c r="HI62" s="917" t="s">
        <v>1016</v>
      </c>
      <c r="HJ62" s="720">
        <f t="shared" si="152"/>
        <v>7</v>
      </c>
      <c r="HK62" s="747">
        <f>VLOOKUP(HI62,'Ціни контур мережний'!$I$88:$M$88,5,0)</f>
        <v>13.211568975967202</v>
      </c>
      <c r="HL62" s="768">
        <f t="shared" si="147"/>
        <v>92.480982831770419</v>
      </c>
      <c r="HM62" s="917" t="s">
        <v>383</v>
      </c>
      <c r="HN62" s="720">
        <v>1</v>
      </c>
      <c r="HO62" s="747">
        <f>VLOOKUP(HM62,'Ціни контур мережний'!$I$87:$M$87,5,0)</f>
        <v>13.483972460007763</v>
      </c>
      <c r="HP62" s="748">
        <f t="shared" si="148"/>
        <v>13.483972460007763</v>
      </c>
      <c r="HQ62" s="769">
        <f t="shared" si="97"/>
        <v>91</v>
      </c>
      <c r="HR62" s="770">
        <f t="shared" si="87"/>
        <v>5907.924133954547</v>
      </c>
      <c r="HS62" s="771">
        <v>0</v>
      </c>
      <c r="HT62" s="771">
        <f>'Таблиця цін схема №1'!$JE$44/'Ціни контур мережний'!$G$26</f>
        <v>476.70609707098151</v>
      </c>
      <c r="HU62" s="770">
        <f>'Таблиця цін схема №1'!$JG$8</f>
        <v>661.80181284518619</v>
      </c>
      <c r="HV62" s="770">
        <f>'Таблиця цін схема №1'!$JH$8</f>
        <v>487.81784379022207</v>
      </c>
      <c r="HW62" s="770">
        <f>'Таблиця цін схема №1'!$JI$8</f>
        <v>323.47913729816605</v>
      </c>
      <c r="HX62" s="770">
        <f>'Таблиця цін схема №1'!$JJ$8</f>
        <v>66.611999999999995</v>
      </c>
      <c r="HY62" s="770">
        <f>'Таблиця цін схема №1'!$JK$28</f>
        <v>0</v>
      </c>
      <c r="HZ62" s="772">
        <f>'Таблиця цін схема №1'!$JL$8</f>
        <v>62.86234247089866</v>
      </c>
      <c r="IA62" s="770">
        <f>'Таблиця цін схема №1'!$JM$28</f>
        <v>0</v>
      </c>
      <c r="IB62" s="770">
        <v>0</v>
      </c>
      <c r="IC62" s="913">
        <f t="shared" si="98"/>
        <v>559.10423572010018</v>
      </c>
      <c r="ID62" s="914">
        <f t="shared" si="99"/>
        <v>798.72033674300019</v>
      </c>
      <c r="IE62" s="915">
        <f t="shared" si="100"/>
        <v>137.39974068706397</v>
      </c>
      <c r="IF62" s="776">
        <f>'Таблиця цін схема №1'!$JR$8</f>
        <v>300.63036461094771</v>
      </c>
      <c r="IG62" s="777">
        <f t="shared" si="88"/>
        <v>9783.0580451911137</v>
      </c>
      <c r="II62" s="835"/>
      <c r="IJ62" s="835"/>
      <c r="IK62" s="835"/>
      <c r="IL62" s="835"/>
    </row>
    <row r="63" spans="2:246" s="780" customFormat="1" ht="12.6" customHeight="1">
      <c r="B63" s="740">
        <v>92</v>
      </c>
      <c r="C63" s="1056" t="s">
        <v>940</v>
      </c>
      <c r="D63" s="892">
        <v>0.42298999999999998</v>
      </c>
      <c r="E63" s="918">
        <v>0.19728000000000001</v>
      </c>
      <c r="F63" s="742">
        <f t="shared" si="28"/>
        <v>12.599036246512227</v>
      </c>
      <c r="G63" s="599">
        <v>65</v>
      </c>
      <c r="H63" s="598">
        <f t="shared" si="29"/>
        <v>7.5560914612361545</v>
      </c>
      <c r="I63" s="599">
        <v>50</v>
      </c>
      <c r="J63" s="598">
        <f t="shared" si="30"/>
        <v>17.587941787941787</v>
      </c>
      <c r="K63" s="599">
        <v>80</v>
      </c>
      <c r="L63" s="598">
        <f t="shared" si="31"/>
        <v>5.0429447852760738</v>
      </c>
      <c r="M63" s="599">
        <v>40</v>
      </c>
      <c r="N63" s="598">
        <f t="shared" si="32"/>
        <v>4.0016227180527384</v>
      </c>
      <c r="O63" s="599">
        <v>40</v>
      </c>
      <c r="P63" s="598">
        <f t="shared" si="153"/>
        <v>1.2004868154158215</v>
      </c>
      <c r="Q63" s="599">
        <v>25</v>
      </c>
      <c r="R63" s="598">
        <f t="shared" si="33"/>
        <v>10.685927023011706</v>
      </c>
      <c r="S63" s="600">
        <f t="shared" si="104"/>
        <v>7.131800909636099</v>
      </c>
      <c r="T63" s="744">
        <v>2</v>
      </c>
      <c r="U63" s="601">
        <f t="shared" si="35"/>
        <v>8.7939708939708936</v>
      </c>
      <c r="V63" s="601">
        <f t="shared" si="36"/>
        <v>12.436552905367888</v>
      </c>
      <c r="W63" s="850">
        <v>65</v>
      </c>
      <c r="X63" s="751">
        <f t="shared" si="0"/>
        <v>65</v>
      </c>
      <c r="Y63" s="746">
        <v>2</v>
      </c>
      <c r="Z63" s="747">
        <f>VLOOKUP(X63,'Ціни контур мережний'!$Z$24:$AB$36,3,0)</f>
        <v>30.19184015363556</v>
      </c>
      <c r="AA63" s="748">
        <f t="shared" si="105"/>
        <v>60.383680307271121</v>
      </c>
      <c r="AB63" s="749">
        <f t="shared" si="1"/>
        <v>65</v>
      </c>
      <c r="AC63" s="749">
        <v>2</v>
      </c>
      <c r="AD63" s="747">
        <f>VLOOKUP(AB63,'Ціни контур мережний'!$Z$64:$AB$77,3,0)</f>
        <v>105.883234246566</v>
      </c>
      <c r="AE63" s="748">
        <f t="shared" si="106"/>
        <v>211.76646849313201</v>
      </c>
      <c r="AF63" s="746">
        <f t="shared" si="2"/>
        <v>65</v>
      </c>
      <c r="AG63" s="746">
        <v>1</v>
      </c>
      <c r="AH63" s="747">
        <f>VLOOKUP(AF63,'Ціни контур мережний'!$Z$5:$AB$17,3,0)</f>
        <v>39.731999999999999</v>
      </c>
      <c r="AI63" s="748">
        <f t="shared" si="107"/>
        <v>39.731999999999999</v>
      </c>
      <c r="AJ63" s="746">
        <f t="shared" si="3"/>
        <v>50</v>
      </c>
      <c r="AK63" s="746">
        <v>3</v>
      </c>
      <c r="AL63" s="747">
        <f>VLOOKUP(AJ63,'Ціни контур мережний'!$Z$43:$AB$55,3,0)</f>
        <v>23.2782130224622</v>
      </c>
      <c r="AM63" s="748">
        <f t="shared" si="108"/>
        <v>69.834639067386604</v>
      </c>
      <c r="AN63" s="745">
        <f t="shared" si="4"/>
        <v>40</v>
      </c>
      <c r="AO63" s="749">
        <v>4</v>
      </c>
      <c r="AP63" s="747">
        <f>VLOOKUP(AN63,'Ціни контур мережний'!$Z$43:$AB$55,3,0)</f>
        <v>18.42400964308333</v>
      </c>
      <c r="AQ63" s="759">
        <f t="shared" si="109"/>
        <v>73.696038572333322</v>
      </c>
      <c r="AR63" s="751" t="str">
        <f t="shared" si="42"/>
        <v>AMV20</v>
      </c>
      <c r="AS63" s="751">
        <v>1</v>
      </c>
      <c r="AT63" s="747">
        <f>VLOOKUP(AR63,'Ціни контур мережний'!$I$53:$M$57,5,0)</f>
        <v>110.39869654932889</v>
      </c>
      <c r="AU63" s="748">
        <f t="shared" si="110"/>
        <v>110.39869654932889</v>
      </c>
      <c r="AV63" s="752">
        <f t="array" ref="AV63">MIN(IF('Ціни контур мережний'!$Y$83:$Y$92&gt;(R63*1.2),'Ціни контур мережний'!$Y$83:$Y$92))</f>
        <v>16</v>
      </c>
      <c r="AW63" s="746">
        <f>VLOOKUP(AV63,'Ціни контур мережний'!$Y$83:$Z$92,2,0)</f>
        <v>32</v>
      </c>
      <c r="AX63" s="746">
        <v>1</v>
      </c>
      <c r="AY63" s="747">
        <f>VLOOKUP(AV63,'Ціни контур мережний'!$Y$83:$AB$92,4,0)</f>
        <v>130.5392363168325</v>
      </c>
      <c r="AZ63" s="748">
        <f t="shared" si="111"/>
        <v>130.5392363168325</v>
      </c>
      <c r="BA63" s="1099">
        <v>20</v>
      </c>
      <c r="BB63" s="1101">
        <f>VLOOKUP(BA63,'[1]Ціни контур мережний'!$Y$104:$Z$114,2,0)</f>
        <v>50</v>
      </c>
      <c r="BC63" s="753">
        <v>1</v>
      </c>
      <c r="BD63" s="754">
        <f>VLOOKUP(BA63,'Ціни контур мережний'!$Y$104:$AB$114,4,0)</f>
        <v>448.22326189551967</v>
      </c>
      <c r="BE63" s="755">
        <f t="shared" si="112"/>
        <v>448.22326189551967</v>
      </c>
      <c r="BF63" s="751" t="s">
        <v>67</v>
      </c>
      <c r="BG63" s="749">
        <v>1</v>
      </c>
      <c r="BH63" s="747">
        <f>VLOOKUP(BF63,'Ціни контур мережний'!$I$53:$M$57,5,0)</f>
        <v>157.67238032974441</v>
      </c>
      <c r="BI63" s="768">
        <f t="shared" si="113"/>
        <v>157.67238032974441</v>
      </c>
      <c r="BJ63" s="894">
        <f t="array" ref="BJ63">MIN(IF('Ціни контур мережний'!$Y$83:$Y$93&gt;(S63*1.2),'Ціни контур мережний'!$Y$83:$Y$93))</f>
        <v>10</v>
      </c>
      <c r="BK63" s="895">
        <f>VLOOKUP(BJ63,'Ціни контур мережний'!$Y$83:$Z$93,2,0)</f>
        <v>25</v>
      </c>
      <c r="BL63" s="895">
        <v>1</v>
      </c>
      <c r="BM63" s="896">
        <f>VLOOKUP(BJ63,'Ціни контур мережний'!$Y$83:$AB$93,4,0)</f>
        <v>117.50505648967251</v>
      </c>
      <c r="BN63" s="916">
        <f t="shared" si="114"/>
        <v>117.50505648967251</v>
      </c>
      <c r="BO63" s="896">
        <f t="array" ref="BO63">MIN(IF('Ціни контур мережний'!$Y$104:$Y$114&gt;(S63*1.2),'Ціни контур мережний'!$Y$104:$Y$114))</f>
        <v>12.5</v>
      </c>
      <c r="BP63" s="895">
        <f>VLOOKUP(BO63,'Ціни контур мережний'!$Y$104:$Z$114,2,0)</f>
        <v>32</v>
      </c>
      <c r="BQ63" s="895">
        <v>1</v>
      </c>
      <c r="BR63" s="896">
        <f>VLOOKUP(BO63,'Ціни контур мережний'!$Y$104:$AB$114,4,0)</f>
        <v>435.76049604674444</v>
      </c>
      <c r="BS63" s="897">
        <f t="shared" si="115"/>
        <v>435.76049604674444</v>
      </c>
      <c r="BT63" s="751">
        <f>VLOOKUP(BU63,'Ціни контур мережний'!$J$5:$L$12,3,0)</f>
        <v>40</v>
      </c>
      <c r="BU63" s="751">
        <f t="array" ref="BU63">MIN(IF('Ціни контур мережний'!$J$5:$J$12&gt;H63,'Ціни контур мережний'!$J$5:$J$12))</f>
        <v>10</v>
      </c>
      <c r="BV63" s="746" t="s">
        <v>130</v>
      </c>
      <c r="BW63" s="756">
        <v>1</v>
      </c>
      <c r="BX63" s="747">
        <f>VLOOKUP(BU63,'Ціни контур мережний'!$J$5:$N$12,5,0)</f>
        <v>375.23999999999995</v>
      </c>
      <c r="BY63" s="748">
        <f t="shared" si="116"/>
        <v>375.23999999999995</v>
      </c>
      <c r="BZ63" s="745">
        <f>VLOOKUP(CA63,'Ціни контур мережний'!$J$5:$L$12,3,0)</f>
        <v>25</v>
      </c>
      <c r="CA63" s="747">
        <f t="array" ref="CA63">MIN(IF('Ціни контур мережний'!$J$5:$J$12&gt;L63,'Ціни контур мережний'!$J$5:$J$12))</f>
        <v>6</v>
      </c>
      <c r="CB63" s="746" t="s">
        <v>130</v>
      </c>
      <c r="CC63" s="749">
        <v>1</v>
      </c>
      <c r="CD63" s="747">
        <f>VLOOKUP(CA63,'Ціни контур мережний'!$J$5:$N$12,5,0)</f>
        <v>341.25599999999997</v>
      </c>
      <c r="CE63" s="748">
        <f t="shared" si="117"/>
        <v>341.25599999999997</v>
      </c>
      <c r="CF63" s="898" t="s">
        <v>1381</v>
      </c>
      <c r="CG63" s="899">
        <v>1</v>
      </c>
      <c r="CH63" s="900">
        <v>582</v>
      </c>
      <c r="CI63" s="901">
        <f t="shared" si="118"/>
        <v>582</v>
      </c>
      <c r="CJ63" s="751">
        <f t="shared" si="5"/>
        <v>80</v>
      </c>
      <c r="CK63" s="746">
        <v>4</v>
      </c>
      <c r="CL63" s="747">
        <f>VLOOKUP(CJ63,'Ціни контур теплопостачання'!$Y$5:$AA$17,3,0)</f>
        <v>37.693832104112609</v>
      </c>
      <c r="CM63" s="748">
        <f t="shared" si="119"/>
        <v>150.77532841645044</v>
      </c>
      <c r="CN63" s="746">
        <f t="shared" si="6"/>
        <v>40</v>
      </c>
      <c r="CO63" s="746">
        <v>6</v>
      </c>
      <c r="CP63" s="747">
        <f>VLOOKUP(CN63,'Ціни контур теплопостачання'!$AO$20:$AQ$29,3,0)</f>
        <v>37.980000000000004</v>
      </c>
      <c r="CQ63" s="748">
        <f t="shared" si="120"/>
        <v>227.88000000000002</v>
      </c>
      <c r="CR63" s="746">
        <f t="shared" si="7"/>
        <v>25</v>
      </c>
      <c r="CS63" s="746">
        <v>3</v>
      </c>
      <c r="CT63" s="747">
        <f>VLOOKUP(CR63,'Ціни контур теплопостачання'!$AO$20:$AQ$29,3,0)</f>
        <v>6.3070000000000004</v>
      </c>
      <c r="CU63" s="748">
        <f t="shared" si="121"/>
        <v>18.920999999999999</v>
      </c>
      <c r="CV63" s="746">
        <f t="shared" si="8"/>
        <v>65</v>
      </c>
      <c r="CW63" s="746">
        <f t="shared" si="101"/>
        <v>4</v>
      </c>
      <c r="CX63" s="747">
        <f>VLOOKUP(CV63,'Ціни контур теплопостачання'!$Y$5:$AA$17,3,0)</f>
        <v>30.19184015363556</v>
      </c>
      <c r="CY63" s="748">
        <f t="shared" si="122"/>
        <v>120.76736061454224</v>
      </c>
      <c r="CZ63" s="745">
        <v>20</v>
      </c>
      <c r="DA63" s="749">
        <v>2</v>
      </c>
      <c r="DB63" s="747">
        <f>VLOOKUP(CZ63,'Ціни контур теплопостачання'!$Y$5:$AA$17,3,0)</f>
        <v>3.577</v>
      </c>
      <c r="DC63" s="748">
        <f t="shared" si="123"/>
        <v>7.1539999999999999</v>
      </c>
      <c r="DD63" s="745">
        <v>15</v>
      </c>
      <c r="DE63" s="745">
        <v>8</v>
      </c>
      <c r="DF63" s="758">
        <f>VLOOKUP(DD63,'Ціни контур теплопостачання'!$Y$5:$AA$17,3,0)</f>
        <v>2.464</v>
      </c>
      <c r="DG63" s="759">
        <f t="shared" si="124"/>
        <v>19.712</v>
      </c>
      <c r="DH63" s="745">
        <v>15</v>
      </c>
      <c r="DI63" s="745">
        <f t="shared" si="58"/>
        <v>37</v>
      </c>
      <c r="DJ63" s="758">
        <f>VLOOKUP(DH63,'Ціни контур мережний'!$J$71:$M$71,4,0)</f>
        <v>3.3865201135922525</v>
      </c>
      <c r="DK63" s="759">
        <f t="shared" si="125"/>
        <v>125.30124420291334</v>
      </c>
      <c r="DL63" s="751">
        <f t="shared" si="10"/>
        <v>80</v>
      </c>
      <c r="DM63" s="746">
        <v>1</v>
      </c>
      <c r="DN63" s="747">
        <f>VLOOKUP(DL63,'Ціни контур теплопостачання'!$K$5:$M$17,3,0)</f>
        <v>50.12</v>
      </c>
      <c r="DO63" s="748">
        <f t="shared" si="126"/>
        <v>50.12</v>
      </c>
      <c r="DP63" s="745">
        <f t="shared" si="11"/>
        <v>40</v>
      </c>
      <c r="DQ63" s="749">
        <v>1</v>
      </c>
      <c r="DR63" s="747">
        <f>VLOOKUP(DP63,'Ціни контур теплопостачання'!$K$5:$M$17,3,0)</f>
        <v>23.225999999999999</v>
      </c>
      <c r="DS63" s="748">
        <f t="shared" si="127"/>
        <v>23.225999999999999</v>
      </c>
      <c r="DT63" s="745">
        <f t="shared" si="12"/>
        <v>25</v>
      </c>
      <c r="DU63" s="745">
        <v>1</v>
      </c>
      <c r="DV63" s="758">
        <f>VLOOKUP(DT63,'Ціни контур теплопостачання'!$K$5:$M$17,3,0)</f>
        <v>4.78</v>
      </c>
      <c r="DW63" s="759">
        <f t="shared" si="128"/>
        <v>4.78</v>
      </c>
      <c r="DX63" s="745">
        <f t="shared" si="63"/>
        <v>80</v>
      </c>
      <c r="DY63" s="745">
        <v>1</v>
      </c>
      <c r="DZ63" s="758">
        <f>VLOOKUP(DX63,'Ціни контур теплопостачання'!$Y$24:$AA$36,3,0)</f>
        <v>60.079499999999996</v>
      </c>
      <c r="EA63" s="759">
        <f t="shared" si="64"/>
        <v>60.079499999999996</v>
      </c>
      <c r="EB63" s="751">
        <f t="shared" si="13"/>
        <v>80</v>
      </c>
      <c r="EC63" s="746">
        <v>2</v>
      </c>
      <c r="ED63" s="747">
        <f>VLOOKUP(EB63,'Ціни контур теплопостачання'!$Y$24:$AA$36,3,0)</f>
        <v>60.079499999999996</v>
      </c>
      <c r="EE63" s="748">
        <f t="shared" si="129"/>
        <v>120.15899999999999</v>
      </c>
      <c r="EF63" s="745">
        <f t="shared" si="14"/>
        <v>40</v>
      </c>
      <c r="EG63" s="749">
        <v>1</v>
      </c>
      <c r="EH63" s="747">
        <f>VLOOKUP(EF63,'Ціни контур теплопостачання'!$AO$38:$AQ$50,3,0)</f>
        <v>20.3645</v>
      </c>
      <c r="EI63" s="748">
        <f t="shared" si="130"/>
        <v>20.3645</v>
      </c>
      <c r="EJ63" s="745">
        <f t="shared" si="15"/>
        <v>25</v>
      </c>
      <c r="EK63" s="745">
        <v>1</v>
      </c>
      <c r="EL63" s="758">
        <f>VLOOKUP(EJ63,'Ціни контур теплопостачання'!$AO$38:$AQ$50,3,0)</f>
        <v>6.9659999999999993</v>
      </c>
      <c r="EM63" s="759">
        <f t="shared" si="131"/>
        <v>6.9659999999999993</v>
      </c>
      <c r="EN63" s="745">
        <f t="shared" si="16"/>
        <v>65</v>
      </c>
      <c r="EO63" s="745">
        <f t="shared" si="102"/>
        <v>4</v>
      </c>
      <c r="EP63" s="758">
        <f>VLOOKUP(EN63,'Ціни контур теплопостачання'!$Y$76:$AA$88,3,0)</f>
        <v>26.33</v>
      </c>
      <c r="EQ63" s="759">
        <f t="shared" si="132"/>
        <v>105.32</v>
      </c>
      <c r="ER63" s="745">
        <f t="shared" si="18"/>
        <v>40</v>
      </c>
      <c r="ES63" s="745">
        <v>1</v>
      </c>
      <c r="ET63" s="758">
        <f>VLOOKUP(ER63,'Ціни контур теплопостачання'!$Y$76:$AA$88,3,0)</f>
        <v>16.809999999999999</v>
      </c>
      <c r="EU63" s="759">
        <f t="shared" si="133"/>
        <v>16.809999999999999</v>
      </c>
      <c r="EV63" s="745">
        <f t="shared" si="19"/>
        <v>25</v>
      </c>
      <c r="EW63" s="745">
        <v>1</v>
      </c>
      <c r="EX63" s="758">
        <f>VLOOKUP(EV63,'Ціни контур теплопостачання'!$Y$76:$AA$88,3,0)</f>
        <v>11.45</v>
      </c>
      <c r="EY63" s="759">
        <f t="shared" si="134"/>
        <v>11.45</v>
      </c>
      <c r="EZ63" s="758">
        <f t="shared" si="95"/>
        <v>33.035045027969915</v>
      </c>
      <c r="FA63" s="955">
        <v>40</v>
      </c>
      <c r="FB63" s="719">
        <v>2</v>
      </c>
      <c r="FC63" s="747">
        <f>VLOOKUP(FA63,'Ціни контур теплопостачання'!$K$74:$M$79,3,0)</f>
        <v>43.19</v>
      </c>
      <c r="FD63" s="761">
        <f t="shared" si="96"/>
        <v>86.38</v>
      </c>
      <c r="FE63" s="762">
        <f t="shared" si="71"/>
        <v>17.587941787941787</v>
      </c>
      <c r="FF63" s="902">
        <v>9</v>
      </c>
      <c r="FG63" s="900">
        <v>8</v>
      </c>
      <c r="FH63" s="830" t="s">
        <v>1090</v>
      </c>
      <c r="FI63" s="708">
        <v>2</v>
      </c>
      <c r="FJ63" s="709">
        <f>VLOOKUP(FH63,'Ціни контур теплопостачання'!$C$89:$M$105,11,0)</f>
        <v>648.69600000000003</v>
      </c>
      <c r="FK63" s="764">
        <f t="shared" si="135"/>
        <v>1297.3920000000001</v>
      </c>
      <c r="FL63" s="912">
        <f t="shared" si="73"/>
        <v>1.2004868154158215</v>
      </c>
      <c r="FM63" s="902">
        <v>9</v>
      </c>
      <c r="FN63" s="900">
        <v>9</v>
      </c>
      <c r="FO63" s="900" t="s">
        <v>1097</v>
      </c>
      <c r="FP63" s="749">
        <v>1</v>
      </c>
      <c r="FQ63" s="747">
        <f>VLOOKUP(FO63,'Ціни контур теплопостачання'!$C$89:$M$105,11,0)</f>
        <v>241.2</v>
      </c>
      <c r="FR63" s="904">
        <f t="shared" si="136"/>
        <v>241.2</v>
      </c>
      <c r="FS63" s="758">
        <f t="array" ref="FS63">MIN(IF('Ціни контур теплопостачання'!$AN$68:$AN$77&gt;(V63*1.2),'Ціни контур теплопостачання'!$AN$68:$AN$77))</f>
        <v>22.36</v>
      </c>
      <c r="FT63" s="749">
        <f>VLOOKUP(FS63,'Ціни контур теплопостачання'!$AN$68:$AO$77,2,0)</f>
        <v>40</v>
      </c>
      <c r="FU63" s="749">
        <f t="shared" si="103"/>
        <v>2</v>
      </c>
      <c r="FV63" s="747">
        <f>VLOOKUP(FT63,'Ціни контур теплопостачання'!$AO$68:$AQ$77,3,0)</f>
        <v>43.225000000000001</v>
      </c>
      <c r="FW63" s="765">
        <f t="shared" si="137"/>
        <v>86.45</v>
      </c>
      <c r="FX63" s="750">
        <v>15</v>
      </c>
      <c r="FY63" s="746">
        <v>2</v>
      </c>
      <c r="FZ63" s="747">
        <f>VLOOKUP(FX63,'Ціни контур мережний'!$J$73:$M$73,4,0)</f>
        <v>3.4649999999999999</v>
      </c>
      <c r="GA63" s="748">
        <f t="shared" si="138"/>
        <v>6.93</v>
      </c>
      <c r="GB63" s="750">
        <f>VLOOKUP(GC63,'Ціни контур теплопостачання'!$AN$6:$AO$13,2,0)</f>
        <v>32</v>
      </c>
      <c r="GC63" s="751">
        <f t="array" ref="GC63">MIN(IF('Ціни контур теплопостачання'!$AN$6:$AN$13&gt;N63,'Ціни контур теплопостачання'!$AN$6:$AN$13))</f>
        <v>6</v>
      </c>
      <c r="GD63" s="751">
        <v>1</v>
      </c>
      <c r="GE63" s="747">
        <f>VLOOKUP(GB63,'Ціни контур теплопостачання'!$AO$6:$AQ$13,3,0)</f>
        <v>85.682340000000011</v>
      </c>
      <c r="GF63" s="748">
        <f t="shared" si="139"/>
        <v>85.682340000000011</v>
      </c>
      <c r="GG63" s="746">
        <f t="shared" si="23"/>
        <v>40</v>
      </c>
      <c r="GH63" s="746">
        <v>1</v>
      </c>
      <c r="GI63" s="747">
        <f>VLOOKUP(GG63,'Ціни контур теплопостачання'!$AO$55:$AQ$63,3,0)</f>
        <v>193.55</v>
      </c>
      <c r="GJ63" s="768">
        <f t="shared" si="140"/>
        <v>193.55</v>
      </c>
      <c r="GK63" s="655" t="str">
        <f t="shared" si="150"/>
        <v>0-150</v>
      </c>
      <c r="GL63" s="720">
        <v>1</v>
      </c>
      <c r="GM63" s="747">
        <f>VLOOKUP(GK63,'Ціни контур мережний'!$I$79:$M$80,5,0)</f>
        <v>15.050156291498967</v>
      </c>
      <c r="GN63" s="748">
        <f t="shared" si="141"/>
        <v>15.050156291498967</v>
      </c>
      <c r="GO63" s="758" t="s">
        <v>109</v>
      </c>
      <c r="GP63" s="749">
        <v>5</v>
      </c>
      <c r="GQ63" s="747">
        <f>VLOOKUP(GO63,'Ціни контур мережний'!$I$79:$M$80,5,0)</f>
        <v>15.050156291498967</v>
      </c>
      <c r="GR63" s="765">
        <f t="shared" si="142"/>
        <v>75.250781457494838</v>
      </c>
      <c r="GS63" s="655" t="s">
        <v>108</v>
      </c>
      <c r="GT63" s="720">
        <v>5</v>
      </c>
      <c r="GU63" s="747">
        <f>VLOOKUP(GS63,'Ціни контур мережний'!$I$67:$M$69,5,0)</f>
        <v>4.4537969640631703</v>
      </c>
      <c r="GV63" s="748">
        <f t="shared" si="143"/>
        <v>22.26898482031585</v>
      </c>
      <c r="GW63" s="655" t="s">
        <v>106</v>
      </c>
      <c r="GX63" s="720">
        <f t="shared" si="151"/>
        <v>13</v>
      </c>
      <c r="GY63" s="747">
        <f>VLOOKUP(GW63,'Ціни контур мережний'!$I$67:$M$69,5,0)</f>
        <v>4.4537969640631703</v>
      </c>
      <c r="GZ63" s="748">
        <f t="shared" si="144"/>
        <v>57.899360532821213</v>
      </c>
      <c r="HA63" s="655" t="s">
        <v>1013</v>
      </c>
      <c r="HB63" s="720">
        <v>4</v>
      </c>
      <c r="HC63" s="747">
        <f>VLOOKUP(HA63,'Ціни контур мережний'!$I$64:$M$64,5,0)</f>
        <v>29.1312</v>
      </c>
      <c r="HD63" s="748">
        <f t="shared" si="145"/>
        <v>116.5248</v>
      </c>
      <c r="HE63" s="766" t="s">
        <v>1015</v>
      </c>
      <c r="HF63" s="749">
        <v>6</v>
      </c>
      <c r="HG63" s="747">
        <f>VLOOKUP(HE63,'Ціни контур мережний'!$I$89:$M$89,5,0)</f>
        <v>79.523165325760516</v>
      </c>
      <c r="HH63" s="765">
        <f t="shared" si="146"/>
        <v>477.1389919545631</v>
      </c>
      <c r="HI63" s="778" t="s">
        <v>1016</v>
      </c>
      <c r="HJ63" s="720">
        <f t="shared" si="152"/>
        <v>7</v>
      </c>
      <c r="HK63" s="747">
        <f>VLOOKUP(HI63,'Ціни контур мережний'!$I$88:$M$88,5,0)</f>
        <v>13.211568975967202</v>
      </c>
      <c r="HL63" s="768">
        <f t="shared" si="147"/>
        <v>92.480982831770419</v>
      </c>
      <c r="HM63" s="779" t="s">
        <v>383</v>
      </c>
      <c r="HN63" s="720">
        <v>1</v>
      </c>
      <c r="HO63" s="747">
        <f>VLOOKUP(HM63,'Ціни контур мережний'!$I$87:$M$87,5,0)</f>
        <v>13.483972460007763</v>
      </c>
      <c r="HP63" s="748">
        <f t="shared" si="148"/>
        <v>13.483972460007763</v>
      </c>
      <c r="HQ63" s="769">
        <f t="shared" si="97"/>
        <v>92</v>
      </c>
      <c r="HR63" s="770">
        <f t="shared" si="87"/>
        <v>7111.4762576503445</v>
      </c>
      <c r="HS63" s="771">
        <v>0</v>
      </c>
      <c r="HT63" s="771">
        <f>'Таблиця цін схема №1'!$JE$44/'Ціни контур мережний'!$G$26</f>
        <v>476.70609707098151</v>
      </c>
      <c r="HU63" s="770">
        <f>'Таблиця цін схема №1'!$JG$8</f>
        <v>661.80181284518619</v>
      </c>
      <c r="HV63" s="770">
        <f>'Таблиця цін схема №1'!$JH$8</f>
        <v>487.81784379022207</v>
      </c>
      <c r="HW63" s="770">
        <f>'Таблиця цін схема №1'!$JI$8</f>
        <v>323.47913729816605</v>
      </c>
      <c r="HX63" s="770">
        <f>'Таблиця цін схема №1'!$JJ$8</f>
        <v>66.611999999999995</v>
      </c>
      <c r="HY63" s="770">
        <f>'Таблиця цін схема №1'!$JK$28</f>
        <v>0</v>
      </c>
      <c r="HZ63" s="772">
        <f>'Таблиця цін схема №1'!$JL$8</f>
        <v>62.86234247089866</v>
      </c>
      <c r="IA63" s="770">
        <f>'Таблиця цін схема №1'!$JM$28</f>
        <v>0</v>
      </c>
      <c r="IB63" s="770">
        <v>0</v>
      </c>
      <c r="IC63" s="773">
        <f t="shared" si="98"/>
        <v>643.35288437880592</v>
      </c>
      <c r="ID63" s="774">
        <f t="shared" si="99"/>
        <v>919.07554911257978</v>
      </c>
      <c r="IE63" s="775">
        <f t="shared" si="100"/>
        <v>158.10382722297254</v>
      </c>
      <c r="IF63" s="776">
        <f>'Таблиця цін схема №1'!$JR$8</f>
        <v>300.63036461094771</v>
      </c>
      <c r="IG63" s="777">
        <f t="shared" si="88"/>
        <v>11211.918116451105</v>
      </c>
      <c r="II63" s="826"/>
      <c r="IJ63" s="826"/>
      <c r="IK63" s="826"/>
      <c r="IL63" s="826"/>
    </row>
    <row r="64" spans="2:246" s="780" customFormat="1" ht="12.6" customHeight="1">
      <c r="B64" s="905">
        <v>93</v>
      </c>
      <c r="C64" s="1056" t="s">
        <v>941</v>
      </c>
      <c r="D64" s="906">
        <v>3.2500000000000001E-2</v>
      </c>
      <c r="E64" s="907">
        <v>2.8800000000000002E-3</v>
      </c>
      <c r="F64" s="908">
        <f t="shared" si="28"/>
        <v>0.65418411921873931</v>
      </c>
      <c r="G64" s="599">
        <v>40</v>
      </c>
      <c r="H64" s="598">
        <f t="shared" si="29"/>
        <v>0.5805644873168988</v>
      </c>
      <c r="I64" s="599">
        <v>20</v>
      </c>
      <c r="J64" s="598">
        <f t="shared" si="30"/>
        <v>1.3513513513513513</v>
      </c>
      <c r="K64" s="599">
        <v>25</v>
      </c>
      <c r="L64" s="598">
        <f t="shared" si="31"/>
        <v>7.361963190184051E-2</v>
      </c>
      <c r="M64" s="599">
        <v>20</v>
      </c>
      <c r="N64" s="598">
        <f t="shared" si="32"/>
        <v>5.8417849898580135E-2</v>
      </c>
      <c r="O64" s="599">
        <v>20</v>
      </c>
      <c r="P64" s="598">
        <f t="shared" si="153"/>
        <v>1.7525354969574039E-2</v>
      </c>
      <c r="Q64" s="599">
        <v>20</v>
      </c>
      <c r="R64" s="598">
        <f t="shared" si="33"/>
        <v>0.8210421717957409</v>
      </c>
      <c r="S64" s="600">
        <f t="shared" si="104"/>
        <v>0.10411388189249782</v>
      </c>
      <c r="T64" s="910">
        <v>2</v>
      </c>
      <c r="U64" s="601">
        <f t="shared" si="35"/>
        <v>0.67567567567567566</v>
      </c>
      <c r="V64" s="601">
        <f t="shared" si="36"/>
        <v>0.95554970430614516</v>
      </c>
      <c r="W64" s="850">
        <v>20</v>
      </c>
      <c r="X64" s="751">
        <f t="shared" si="0"/>
        <v>40</v>
      </c>
      <c r="Y64" s="746">
        <v>2</v>
      </c>
      <c r="Z64" s="747">
        <f>VLOOKUP(X64,'Ціни контур мережний'!$Z$24:$AB$36,3,0)</f>
        <v>18.42400964308333</v>
      </c>
      <c r="AA64" s="748">
        <f t="shared" si="105"/>
        <v>36.848019286166661</v>
      </c>
      <c r="AB64" s="749">
        <f t="shared" si="1"/>
        <v>40</v>
      </c>
      <c r="AC64" s="749">
        <v>2</v>
      </c>
      <c r="AD64" s="747">
        <f>VLOOKUP(AB64,'Ціни контур мережний'!$Z$64:$AB$77,3,0)</f>
        <v>72.595528496809465</v>
      </c>
      <c r="AE64" s="748">
        <f t="shared" si="106"/>
        <v>145.19105699361893</v>
      </c>
      <c r="AF64" s="746">
        <f t="shared" si="2"/>
        <v>40</v>
      </c>
      <c r="AG64" s="746">
        <v>0</v>
      </c>
      <c r="AH64" s="747">
        <f>VLOOKUP(AF64,'Ціни контур мережний'!$Z$5:$AB$17,3,0)</f>
        <v>23.225999999999999</v>
      </c>
      <c r="AI64" s="748">
        <f t="shared" si="107"/>
        <v>0</v>
      </c>
      <c r="AJ64" s="746">
        <f t="shared" si="3"/>
        <v>20</v>
      </c>
      <c r="AK64" s="746">
        <v>1</v>
      </c>
      <c r="AL64" s="747">
        <f>VLOOKUP(AJ64,'Ціни контур мережний'!$Z$43:$AB$55,3,0)</f>
        <v>14.562690256808384</v>
      </c>
      <c r="AM64" s="748">
        <f t="shared" si="108"/>
        <v>14.562690256808384</v>
      </c>
      <c r="AN64" s="745">
        <f t="shared" si="4"/>
        <v>20</v>
      </c>
      <c r="AO64" s="749">
        <v>4</v>
      </c>
      <c r="AP64" s="747">
        <f>VLOOKUP(AN64,'Ціни контур мережний'!$Z$43:$AB$55,3,0)</f>
        <v>14.562690256808384</v>
      </c>
      <c r="AQ64" s="759">
        <f t="shared" si="109"/>
        <v>58.250761027233537</v>
      </c>
      <c r="AR64" s="751" t="str">
        <f t="shared" si="42"/>
        <v>AMV20</v>
      </c>
      <c r="AS64" s="751">
        <v>1</v>
      </c>
      <c r="AT64" s="747">
        <f>VLOOKUP(AR64,'Ціни контур мережний'!$I$53:$M$57,5,0)</f>
        <v>110.39869654932889</v>
      </c>
      <c r="AU64" s="748">
        <f t="shared" si="110"/>
        <v>110.39869654932889</v>
      </c>
      <c r="AV64" s="752">
        <f t="array" ref="AV64">MIN(IF('Ціни контур мережний'!$Y$83:$Y$92&gt;(R64*1.2),'Ціни контур мережний'!$Y$83:$Y$92))</f>
        <v>1</v>
      </c>
      <c r="AW64" s="746">
        <f>VLOOKUP(AV64,'Ціни контур мережний'!$Y$83:$Z$92,2,0)</f>
        <v>15</v>
      </c>
      <c r="AX64" s="746">
        <v>1</v>
      </c>
      <c r="AY64" s="747">
        <f>VLOOKUP(AV64,'Ціни контур мережний'!$Y$83:$AB$92,4,0)</f>
        <v>104.44472592804462</v>
      </c>
      <c r="AZ64" s="748">
        <f t="shared" si="111"/>
        <v>104.44472592804462</v>
      </c>
      <c r="BA64" s="1099">
        <f t="array" ref="BA64">MIN(IF('[1]Ціни контур мережний'!$Y$104:$Y$114&gt;(R64*1.2),'[1]Ціни контур мережний'!$Y$104:$Y$114))</f>
        <v>4</v>
      </c>
      <c r="BB64" s="1101">
        <f>VLOOKUP(BA64,'[1]Ціни контур мережний'!$Y$104:$Z$114,2,0)</f>
        <v>15</v>
      </c>
      <c r="BC64" s="753">
        <v>1</v>
      </c>
      <c r="BD64" s="754">
        <f>VLOOKUP(BA64,'Ціни контур мережний'!$Y$104:$AB$114,4,0)</f>
        <v>251.13923223078018</v>
      </c>
      <c r="BE64" s="755">
        <f t="shared" si="112"/>
        <v>251.13923223078018</v>
      </c>
      <c r="BF64" s="751" t="s">
        <v>67</v>
      </c>
      <c r="BG64" s="749">
        <v>1</v>
      </c>
      <c r="BH64" s="747">
        <f>VLOOKUP(BF64,'Ціни контур мережний'!$I$53:$M$57,5,0)</f>
        <v>157.67238032974441</v>
      </c>
      <c r="BI64" s="768">
        <f t="shared" si="113"/>
        <v>157.67238032974441</v>
      </c>
      <c r="BJ64" s="894">
        <f t="array" ref="BJ64">MIN(IF('Ціни контур мережний'!$Y$83:$Y$93&gt;(S64*1.2),'Ціни контур мережний'!$Y$83:$Y$93))</f>
        <v>0.63</v>
      </c>
      <c r="BK64" s="895">
        <f>VLOOKUP(BJ64,'Ціни контур мережний'!$Y$83:$Z$93,2,0)</f>
        <v>15</v>
      </c>
      <c r="BL64" s="895">
        <v>1</v>
      </c>
      <c r="BM64" s="896">
        <f>VLOOKUP(BJ64,'Ціни контур мережний'!$Y$83:$AB$93,4,0)</f>
        <v>104.44472592804462</v>
      </c>
      <c r="BN64" s="916">
        <f t="shared" si="114"/>
        <v>104.44472592804462</v>
      </c>
      <c r="BO64" s="896">
        <f t="array" ref="BO64">MIN(IF('Ціни контур мережний'!$Y$104:$Y$114&gt;(S64*1.2),'Ціни контур мережний'!$Y$104:$Y$114))</f>
        <v>4</v>
      </c>
      <c r="BP64" s="895">
        <f>VLOOKUP(BO64,'Ціни контур мережний'!$Y$104:$Z$114,2,0)</f>
        <v>15</v>
      </c>
      <c r="BQ64" s="895">
        <v>1</v>
      </c>
      <c r="BR64" s="896">
        <f>VLOOKUP(BO64,'Ціни контур мережний'!$Y$104:$AB$114,4,0)</f>
        <v>251.13923223078018</v>
      </c>
      <c r="BS64" s="897">
        <f t="shared" si="115"/>
        <v>251.13923223078018</v>
      </c>
      <c r="BT64" s="751" t="s">
        <v>115</v>
      </c>
      <c r="BU64" s="751" t="s">
        <v>115</v>
      </c>
      <c r="BV64" s="746" t="s">
        <v>1025</v>
      </c>
      <c r="BW64" s="756">
        <v>0</v>
      </c>
      <c r="BX64" s="747">
        <v>0</v>
      </c>
      <c r="BY64" s="748">
        <f t="shared" si="116"/>
        <v>0</v>
      </c>
      <c r="BZ64" s="745">
        <f>VLOOKUP(CA64,'Ціни контур мережний'!$J$5:$L$12,3,0)</f>
        <v>15</v>
      </c>
      <c r="CA64" s="747">
        <f t="array" ref="CA64">MIN(IF('Ціни контур мережний'!$J$5:$J$12&gt;L64,'Ціни контур мережний'!$J$5:$J$12))</f>
        <v>1.5</v>
      </c>
      <c r="CB64" s="746" t="s">
        <v>130</v>
      </c>
      <c r="CC64" s="749">
        <v>1</v>
      </c>
      <c r="CD64" s="747">
        <f>VLOOKUP(CA64,'Ціни контур мережний'!$J$5:$N$12,5,0)</f>
        <v>246.38399999999999</v>
      </c>
      <c r="CE64" s="748">
        <f t="shared" si="117"/>
        <v>246.38399999999999</v>
      </c>
      <c r="CF64" s="1092" t="s">
        <v>1389</v>
      </c>
      <c r="CG64" s="899">
        <v>1</v>
      </c>
      <c r="CH64" s="900">
        <v>211</v>
      </c>
      <c r="CI64" s="901">
        <f t="shared" si="118"/>
        <v>211</v>
      </c>
      <c r="CJ64" s="751">
        <f t="shared" si="5"/>
        <v>25</v>
      </c>
      <c r="CK64" s="746">
        <v>4</v>
      </c>
      <c r="CL64" s="747">
        <f>VLOOKUP(CJ64,'Ціни контур теплопостачання'!$Y$5:$AA$17,3,0)</f>
        <v>6.3070000000000004</v>
      </c>
      <c r="CM64" s="748">
        <f t="shared" si="119"/>
        <v>25.228000000000002</v>
      </c>
      <c r="CN64" s="746">
        <f t="shared" si="6"/>
        <v>20</v>
      </c>
      <c r="CO64" s="746">
        <v>6</v>
      </c>
      <c r="CP64" s="747">
        <f>VLOOKUP(CN64,'Ціни контур теплопостачання'!$AO$20:$AQ$29,3,0)</f>
        <v>3.577</v>
      </c>
      <c r="CQ64" s="748">
        <f t="shared" si="120"/>
        <v>21.462</v>
      </c>
      <c r="CR64" s="746">
        <f t="shared" si="7"/>
        <v>20</v>
      </c>
      <c r="CS64" s="746">
        <v>3</v>
      </c>
      <c r="CT64" s="747">
        <f>VLOOKUP(CR64,'Ціни контур теплопостачання'!$AO$20:$AQ$29,3,0)</f>
        <v>3.577</v>
      </c>
      <c r="CU64" s="748">
        <f t="shared" si="121"/>
        <v>10.731</v>
      </c>
      <c r="CV64" s="746">
        <f t="shared" si="8"/>
        <v>20</v>
      </c>
      <c r="CW64" s="746">
        <f t="shared" si="101"/>
        <v>4</v>
      </c>
      <c r="CX64" s="747">
        <f>VLOOKUP(CV64,'Ціни контур теплопостачання'!$Y$5:$AA$17,3,0)</f>
        <v>3.577</v>
      </c>
      <c r="CY64" s="748">
        <f t="shared" si="122"/>
        <v>14.308</v>
      </c>
      <c r="CZ64" s="745">
        <v>20</v>
      </c>
      <c r="DA64" s="749">
        <v>2</v>
      </c>
      <c r="DB64" s="747">
        <f>VLOOKUP(CZ64,'Ціни контур теплопостачання'!$Y$5:$AA$17,3,0)</f>
        <v>3.577</v>
      </c>
      <c r="DC64" s="748">
        <f t="shared" si="123"/>
        <v>7.1539999999999999</v>
      </c>
      <c r="DD64" s="745">
        <v>15</v>
      </c>
      <c r="DE64" s="745">
        <v>8</v>
      </c>
      <c r="DF64" s="758">
        <f>VLOOKUP(DD64,'Ціни контур теплопостачання'!$Y$5:$AA$17,3,0)</f>
        <v>2.464</v>
      </c>
      <c r="DG64" s="759">
        <f t="shared" si="124"/>
        <v>19.712</v>
      </c>
      <c r="DH64" s="745">
        <v>15</v>
      </c>
      <c r="DI64" s="745">
        <f t="shared" si="58"/>
        <v>37</v>
      </c>
      <c r="DJ64" s="758">
        <f>VLOOKUP(DH64,'Ціни контур мережний'!$J$71:$M$71,4,0)</f>
        <v>3.3865201135922525</v>
      </c>
      <c r="DK64" s="759">
        <f t="shared" si="125"/>
        <v>125.30124420291334</v>
      </c>
      <c r="DL64" s="751">
        <f t="shared" si="10"/>
        <v>25</v>
      </c>
      <c r="DM64" s="746">
        <v>1</v>
      </c>
      <c r="DN64" s="747">
        <f>VLOOKUP(DL64,'Ціни контур теплопостачання'!$K$5:$M$17,3,0)</f>
        <v>4.78</v>
      </c>
      <c r="DO64" s="748">
        <f t="shared" si="126"/>
        <v>4.78</v>
      </c>
      <c r="DP64" s="745">
        <f t="shared" si="11"/>
        <v>20</v>
      </c>
      <c r="DQ64" s="749">
        <v>1</v>
      </c>
      <c r="DR64" s="747">
        <f>VLOOKUP(DP64,'Ціни контур теплопостачання'!$K$5:$M$17,3,0)</f>
        <v>3.48</v>
      </c>
      <c r="DS64" s="748">
        <f t="shared" si="127"/>
        <v>3.48</v>
      </c>
      <c r="DT64" s="745">
        <f t="shared" si="12"/>
        <v>20</v>
      </c>
      <c r="DU64" s="745">
        <v>1</v>
      </c>
      <c r="DV64" s="758">
        <f>VLOOKUP(DT64,'Ціни контур теплопостачання'!$K$5:$M$17,3,0)</f>
        <v>3.48</v>
      </c>
      <c r="DW64" s="759">
        <f t="shared" si="128"/>
        <v>3.48</v>
      </c>
      <c r="DX64" s="745">
        <f t="shared" si="63"/>
        <v>25</v>
      </c>
      <c r="DY64" s="745">
        <v>1</v>
      </c>
      <c r="DZ64" s="758">
        <f>VLOOKUP(DX64,'Ціни контур теплопостачання'!$Y$24:$AA$36,3,0)</f>
        <v>6.9659999999999993</v>
      </c>
      <c r="EA64" s="759">
        <f t="shared" si="64"/>
        <v>6.9659999999999993</v>
      </c>
      <c r="EB64" s="751">
        <f t="shared" si="13"/>
        <v>25</v>
      </c>
      <c r="EC64" s="746">
        <v>2</v>
      </c>
      <c r="ED64" s="747">
        <f>VLOOKUP(EB64,'Ціни контур теплопостачання'!$Y$24:$AA$36,3,0)</f>
        <v>6.9659999999999993</v>
      </c>
      <c r="EE64" s="748">
        <f t="shared" si="129"/>
        <v>13.931999999999999</v>
      </c>
      <c r="EF64" s="745">
        <f t="shared" si="14"/>
        <v>20</v>
      </c>
      <c r="EG64" s="749">
        <v>1</v>
      </c>
      <c r="EH64" s="747">
        <f>VLOOKUP(EF64,'Ціни контур теплопостачання'!$AO$38:$AQ$50,3,0)</f>
        <v>4.5359999999999996</v>
      </c>
      <c r="EI64" s="748">
        <f t="shared" si="130"/>
        <v>4.5359999999999996</v>
      </c>
      <c r="EJ64" s="745">
        <f t="shared" si="15"/>
        <v>20</v>
      </c>
      <c r="EK64" s="745">
        <v>1</v>
      </c>
      <c r="EL64" s="758">
        <f>VLOOKUP(EJ64,'Ціни контур теплопостачання'!$AO$38:$AQ$50,3,0)</f>
        <v>4.5359999999999996</v>
      </c>
      <c r="EM64" s="759">
        <f t="shared" si="131"/>
        <v>4.5359999999999996</v>
      </c>
      <c r="EN64" s="745">
        <f t="shared" si="16"/>
        <v>20</v>
      </c>
      <c r="EO64" s="745">
        <f t="shared" si="102"/>
        <v>4</v>
      </c>
      <c r="EP64" s="758">
        <f>VLOOKUP(EN64,'Ціни контур теплопостачання'!$Y$76:$AA$88,3,0)</f>
        <v>11.45</v>
      </c>
      <c r="EQ64" s="759">
        <f t="shared" si="132"/>
        <v>45.8</v>
      </c>
      <c r="ER64" s="745">
        <f t="shared" si="18"/>
        <v>20</v>
      </c>
      <c r="ES64" s="745">
        <v>1</v>
      </c>
      <c r="ET64" s="758">
        <f>VLOOKUP(ER64,'Ціни контур теплопостачання'!$Y$76:$AA$88,3,0)</f>
        <v>11.45</v>
      </c>
      <c r="EU64" s="759">
        <f t="shared" si="133"/>
        <v>11.45</v>
      </c>
      <c r="EV64" s="745">
        <f t="shared" si="19"/>
        <v>20</v>
      </c>
      <c r="EW64" s="745">
        <v>1</v>
      </c>
      <c r="EX64" s="758">
        <f>VLOOKUP(EV64,'Ціни контур теплопостачання'!$Y$76:$AA$88,3,0)</f>
        <v>11.45</v>
      </c>
      <c r="EY64" s="759">
        <f t="shared" si="134"/>
        <v>11.45</v>
      </c>
      <c r="EZ64" s="758">
        <f t="shared" si="95"/>
        <v>9.1569645625611109</v>
      </c>
      <c r="FA64" s="955">
        <v>15</v>
      </c>
      <c r="FB64" s="719">
        <v>2</v>
      </c>
      <c r="FC64" s="747">
        <f>VLOOKUP(FA64,'Ціни контур теплопостачання'!$K$74:$M$79,3,0)</f>
        <v>13.33</v>
      </c>
      <c r="FD64" s="761">
        <f t="shared" si="96"/>
        <v>26.66</v>
      </c>
      <c r="FE64" s="762">
        <f t="shared" si="71"/>
        <v>1.3513513513513513</v>
      </c>
      <c r="FF64" s="911">
        <v>2</v>
      </c>
      <c r="FG64" s="900">
        <v>5</v>
      </c>
      <c r="FH64" s="830" t="s">
        <v>1094</v>
      </c>
      <c r="FI64" s="708">
        <v>2</v>
      </c>
      <c r="FJ64" s="709">
        <f>VLOOKUP(FH64,'Ціни контур теплопостачання'!$C$89:$M$105,11,0)</f>
        <v>80.399999999999991</v>
      </c>
      <c r="FK64" s="764">
        <f t="shared" si="135"/>
        <v>160.79999999999998</v>
      </c>
      <c r="FL64" s="912">
        <f t="shared" si="73"/>
        <v>1.7525354969574039E-2</v>
      </c>
      <c r="FM64" s="911">
        <v>2</v>
      </c>
      <c r="FN64" s="900">
        <v>6</v>
      </c>
      <c r="FO64" s="900" t="s">
        <v>1098</v>
      </c>
      <c r="FP64" s="749">
        <v>1</v>
      </c>
      <c r="FQ64" s="747">
        <f>VLOOKUP(FO64,'Ціни контур теплопостачання'!$C$89:$M$105,11,0)</f>
        <v>80.399999999999991</v>
      </c>
      <c r="FR64" s="904">
        <f t="shared" si="136"/>
        <v>80.399999999999991</v>
      </c>
      <c r="FS64" s="758">
        <f t="array" ref="FS64">MIN(IF('Ціни контур теплопостачання'!$AN$68:$AN$77&gt;(V64*1.2),'Ціни контур теплопостачання'!$AN$68:$AN$77))</f>
        <v>1.67</v>
      </c>
      <c r="FT64" s="749">
        <f>VLOOKUP(FS64,'Ціни контур теплопостачання'!$AN$68:$AO$77,2,0)</f>
        <v>15</v>
      </c>
      <c r="FU64" s="749">
        <f t="shared" si="103"/>
        <v>2</v>
      </c>
      <c r="FV64" s="747">
        <f>VLOOKUP(FT64,'Ціни контур теплопостачання'!$AO$68:$AQ$77,3,0)</f>
        <v>22.777999999999999</v>
      </c>
      <c r="FW64" s="765">
        <f t="shared" si="137"/>
        <v>45.555999999999997</v>
      </c>
      <c r="FX64" s="750">
        <v>15</v>
      </c>
      <c r="FY64" s="746">
        <v>2</v>
      </c>
      <c r="FZ64" s="747">
        <f>VLOOKUP(FX64,'Ціни контур мережний'!$J$73:$M$73,4,0)</f>
        <v>3.4649999999999999</v>
      </c>
      <c r="GA64" s="748">
        <f t="shared" si="138"/>
        <v>6.93</v>
      </c>
      <c r="GB64" s="750">
        <f>VLOOKUP(GC64,'Ціни контур теплопостачання'!$AN$6:$AO$13,2,0)</f>
        <v>15</v>
      </c>
      <c r="GC64" s="751">
        <f t="array" ref="GC64">MIN(IF('Ціни контур теплопостачання'!$AN$6:$AN$13&gt;N64,'Ціни контур теплопостачання'!$AN$6:$AN$13))</f>
        <v>1.5</v>
      </c>
      <c r="GD64" s="751">
        <v>1</v>
      </c>
      <c r="GE64" s="747">
        <f>VLOOKUP(GB64,'Ціни контур теплопостачання'!$AO$6:$AQ$13,3,0)</f>
        <v>19.51182</v>
      </c>
      <c r="GF64" s="748">
        <f t="shared" si="139"/>
        <v>19.51182</v>
      </c>
      <c r="GG64" s="746">
        <f t="shared" si="23"/>
        <v>20</v>
      </c>
      <c r="GH64" s="746">
        <v>1</v>
      </c>
      <c r="GI64" s="747">
        <f>VLOOKUP(GG64,'Ціни контур теплопостачання'!$AO$55:$AQ$63,3,0)</f>
        <v>98.75</v>
      </c>
      <c r="GJ64" s="768">
        <f t="shared" si="140"/>
        <v>98.75</v>
      </c>
      <c r="GK64" s="655" t="str">
        <f t="shared" si="150"/>
        <v>0-150</v>
      </c>
      <c r="GL64" s="720">
        <v>1</v>
      </c>
      <c r="GM64" s="747">
        <f>VLOOKUP(GK64,'Ціни контур мережний'!$I$79:$M$80,5,0)</f>
        <v>15.050156291498967</v>
      </c>
      <c r="GN64" s="748">
        <f t="shared" si="141"/>
        <v>15.050156291498967</v>
      </c>
      <c r="GO64" s="758" t="s">
        <v>109</v>
      </c>
      <c r="GP64" s="749">
        <v>1</v>
      </c>
      <c r="GQ64" s="747">
        <f>VLOOKUP(GO64,'Ціни контур мережний'!$I$79:$M$80,5,0)</f>
        <v>15.050156291498967</v>
      </c>
      <c r="GR64" s="765">
        <f t="shared" si="142"/>
        <v>15.050156291498967</v>
      </c>
      <c r="GS64" s="655" t="s">
        <v>108</v>
      </c>
      <c r="GT64" s="720">
        <v>3</v>
      </c>
      <c r="GU64" s="747">
        <f>VLOOKUP(GS64,'Ціни контур мережний'!$I$67:$M$69,5,0)</f>
        <v>4.4537969640631703</v>
      </c>
      <c r="GV64" s="748">
        <f t="shared" si="143"/>
        <v>13.361390892189512</v>
      </c>
      <c r="GW64" s="655" t="s">
        <v>106</v>
      </c>
      <c r="GX64" s="720">
        <f t="shared" si="151"/>
        <v>13</v>
      </c>
      <c r="GY64" s="747">
        <f>VLOOKUP(GW64,'Ціни контур мережний'!$I$67:$M$69,5,0)</f>
        <v>4.4537969640631703</v>
      </c>
      <c r="GZ64" s="748">
        <f t="shared" si="144"/>
        <v>57.899360532821213</v>
      </c>
      <c r="HA64" s="655" t="s">
        <v>1013</v>
      </c>
      <c r="HB64" s="720">
        <v>4</v>
      </c>
      <c r="HC64" s="747">
        <f>VLOOKUP(HA64,'Ціни контур мережний'!$I$64:$M$64,5,0)</f>
        <v>29.1312</v>
      </c>
      <c r="HD64" s="748">
        <f t="shared" si="145"/>
        <v>116.5248</v>
      </c>
      <c r="HE64" s="766" t="s">
        <v>1015</v>
      </c>
      <c r="HF64" s="749">
        <v>6</v>
      </c>
      <c r="HG64" s="747">
        <f>VLOOKUP(HE64,'Ціни контур мережний'!$I$89:$M$89,5,0)</f>
        <v>79.523165325760516</v>
      </c>
      <c r="HH64" s="765">
        <f t="shared" si="146"/>
        <v>477.1389919545631</v>
      </c>
      <c r="HI64" s="917" t="s">
        <v>1016</v>
      </c>
      <c r="HJ64" s="720">
        <f t="shared" si="152"/>
        <v>7</v>
      </c>
      <c r="HK64" s="747">
        <f>VLOOKUP(HI64,'Ціни контур мережний'!$I$88:$M$88,5,0)</f>
        <v>13.211568975967202</v>
      </c>
      <c r="HL64" s="768">
        <f t="shared" si="147"/>
        <v>92.480982831770419</v>
      </c>
      <c r="HM64" s="917" t="s">
        <v>383</v>
      </c>
      <c r="HN64" s="720">
        <v>1</v>
      </c>
      <c r="HO64" s="747">
        <f>VLOOKUP(HM64,'Ціни контур мережний'!$I$87:$M$87,5,0)</f>
        <v>13.483972460007763</v>
      </c>
      <c r="HP64" s="748">
        <f t="shared" si="148"/>
        <v>13.483972460007763</v>
      </c>
      <c r="HQ64" s="769">
        <f t="shared" si="97"/>
        <v>93</v>
      </c>
      <c r="HR64" s="770">
        <f t="shared" si="87"/>
        <v>3265.3793962178133</v>
      </c>
      <c r="HS64" s="771">
        <v>0</v>
      </c>
      <c r="HT64" s="771">
        <f>'Таблиця цін схема №1'!$JE$43/'Ціни контур мережний'!$G$26</f>
        <v>340.50435505070107</v>
      </c>
      <c r="HU64" s="770">
        <f>'Таблиця цін схема №1'!$JG$8</f>
        <v>661.80181284518619</v>
      </c>
      <c r="HV64" s="770">
        <f>'Таблиця цін схема №1'!$JH$8</f>
        <v>487.81784379022207</v>
      </c>
      <c r="HW64" s="770">
        <f>'Таблиця цін схема №1'!$JI$8</f>
        <v>323.47913729816605</v>
      </c>
      <c r="HX64" s="770">
        <f>'Таблиця цін схема №1'!$JJ$8</f>
        <v>66.611999999999995</v>
      </c>
      <c r="HY64" s="770">
        <f>'Таблиця цін схема №1'!$JK$28</f>
        <v>0</v>
      </c>
      <c r="HZ64" s="772">
        <f>'Таблиця цін схема №1'!$JL$8</f>
        <v>62.86234247089866</v>
      </c>
      <c r="IA64" s="770">
        <f>'Таблиця цін схема №1'!$JM$28</f>
        <v>0</v>
      </c>
      <c r="IB64" s="770">
        <v>0</v>
      </c>
      <c r="IC64" s="913">
        <f t="shared" si="98"/>
        <v>364.5919821371092</v>
      </c>
      <c r="ID64" s="914">
        <f t="shared" si="99"/>
        <v>520.84568876729884</v>
      </c>
      <c r="IE64" s="915">
        <f t="shared" si="100"/>
        <v>89.598397940415452</v>
      </c>
      <c r="IF64" s="776">
        <f>'Таблиця цін схема №1'!$JR$8</f>
        <v>300.63036461094771</v>
      </c>
      <c r="IG64" s="777">
        <f t="shared" si="88"/>
        <v>6484.1233211287599</v>
      </c>
      <c r="II64" s="835"/>
      <c r="IJ64" s="835"/>
      <c r="IK64" s="835"/>
      <c r="IL64" s="835"/>
    </row>
    <row r="65" spans="2:246" s="780" customFormat="1" ht="12.6" customHeight="1">
      <c r="B65" s="905">
        <v>95</v>
      </c>
      <c r="C65" s="1056" t="s">
        <v>881</v>
      </c>
      <c r="D65" s="906">
        <v>5.9720000000000002E-2</v>
      </c>
      <c r="E65" s="907">
        <v>0.03</v>
      </c>
      <c r="F65" s="908">
        <f t="shared" si="28"/>
        <v>1.8336807404923317</v>
      </c>
      <c r="G65" s="599">
        <v>40</v>
      </c>
      <c r="H65" s="598">
        <f t="shared" si="29"/>
        <v>1.0668095748481599</v>
      </c>
      <c r="I65" s="599">
        <v>25</v>
      </c>
      <c r="J65" s="598">
        <f t="shared" si="30"/>
        <v>2.4831600831600831</v>
      </c>
      <c r="K65" s="599">
        <v>32</v>
      </c>
      <c r="L65" s="598">
        <f t="shared" si="31"/>
        <v>0.76687116564417179</v>
      </c>
      <c r="M65" s="599">
        <v>20</v>
      </c>
      <c r="N65" s="598">
        <f t="shared" si="32"/>
        <v>0.60851926977687631</v>
      </c>
      <c r="O65" s="599">
        <v>20</v>
      </c>
      <c r="P65" s="598">
        <f t="shared" si="153"/>
        <v>0.18255578093306288</v>
      </c>
      <c r="Q65" s="599">
        <v>20</v>
      </c>
      <c r="R65" s="598">
        <f t="shared" si="33"/>
        <v>1.5086965692197429</v>
      </c>
      <c r="S65" s="600">
        <f t="shared" si="104"/>
        <v>1.084519603046852</v>
      </c>
      <c r="T65" s="910">
        <v>1</v>
      </c>
      <c r="U65" s="601">
        <f t="shared" si="35"/>
        <v>2.4831600831600831</v>
      </c>
      <c r="V65" s="601">
        <f t="shared" si="36"/>
        <v>3.5117186671484917</v>
      </c>
      <c r="W65" s="850">
        <v>32</v>
      </c>
      <c r="X65" s="751">
        <f t="shared" si="0"/>
        <v>40</v>
      </c>
      <c r="Y65" s="746">
        <v>2</v>
      </c>
      <c r="Z65" s="747">
        <f>VLOOKUP(X65,'Ціни контур мережний'!$Z$24:$AB$36,3,0)</f>
        <v>18.42400964308333</v>
      </c>
      <c r="AA65" s="748">
        <f t="shared" si="105"/>
        <v>36.848019286166661</v>
      </c>
      <c r="AB65" s="749">
        <f t="shared" si="1"/>
        <v>40</v>
      </c>
      <c r="AC65" s="749">
        <v>2</v>
      </c>
      <c r="AD65" s="747">
        <f>VLOOKUP(AB65,'Ціни контур мережний'!$Z$64:$AB$77,3,0)</f>
        <v>72.595528496809465</v>
      </c>
      <c r="AE65" s="748">
        <f t="shared" si="106"/>
        <v>145.19105699361893</v>
      </c>
      <c r="AF65" s="746">
        <f t="shared" si="2"/>
        <v>40</v>
      </c>
      <c r="AG65" s="746">
        <v>0</v>
      </c>
      <c r="AH65" s="747">
        <f>VLOOKUP(AF65,'Ціни контур мережний'!$Z$5:$AB$17,3,0)</f>
        <v>23.225999999999999</v>
      </c>
      <c r="AI65" s="748">
        <f t="shared" si="107"/>
        <v>0</v>
      </c>
      <c r="AJ65" s="746">
        <f t="shared" si="3"/>
        <v>25</v>
      </c>
      <c r="AK65" s="746">
        <v>1</v>
      </c>
      <c r="AL65" s="747">
        <f>VLOOKUP(AJ65,'Ціни контур мережний'!$Z$43:$AB$55,3,0)</f>
        <v>14.856886019572187</v>
      </c>
      <c r="AM65" s="748">
        <f t="shared" si="108"/>
        <v>14.856886019572187</v>
      </c>
      <c r="AN65" s="745">
        <f t="shared" si="4"/>
        <v>20</v>
      </c>
      <c r="AO65" s="749">
        <v>4</v>
      </c>
      <c r="AP65" s="747">
        <f>VLOOKUP(AN65,'Ціни контур мережний'!$Z$43:$AB$55,3,0)</f>
        <v>14.562690256808384</v>
      </c>
      <c r="AQ65" s="759">
        <f t="shared" si="109"/>
        <v>58.250761027233537</v>
      </c>
      <c r="AR65" s="751" t="str">
        <f t="shared" si="42"/>
        <v>AMV20</v>
      </c>
      <c r="AS65" s="751">
        <v>1</v>
      </c>
      <c r="AT65" s="747">
        <f>VLOOKUP(AR65,'Ціни контур мережний'!$I$53:$M$57,5,0)</f>
        <v>110.39869654932889</v>
      </c>
      <c r="AU65" s="748">
        <f t="shared" si="110"/>
        <v>110.39869654932889</v>
      </c>
      <c r="AV65" s="752">
        <f t="array" ref="AV65">MIN(IF('Ціни контур мережний'!$Y$83:$Y$92&gt;(R65*1.2),'Ціни контур мережний'!$Y$83:$Y$92))</f>
        <v>2.5</v>
      </c>
      <c r="AW65" s="746">
        <f>VLOOKUP(AV65,'Ціни контур мережний'!$Y$83:$Z$92,2,0)</f>
        <v>15</v>
      </c>
      <c r="AX65" s="746">
        <v>1</v>
      </c>
      <c r="AY65" s="747">
        <f>VLOOKUP(AV65,'Ціни контур мережний'!$Y$83:$AB$92,4,0)</f>
        <v>104.44472592804462</v>
      </c>
      <c r="AZ65" s="748">
        <f t="shared" si="111"/>
        <v>104.44472592804462</v>
      </c>
      <c r="BA65" s="1099">
        <f t="array" ref="BA65">MIN(IF('[1]Ціни контур мережний'!$Y$104:$Y$114&gt;(R65*1.2),'[1]Ціни контур мережний'!$Y$104:$Y$114))</f>
        <v>4</v>
      </c>
      <c r="BB65" s="1101">
        <f>VLOOKUP(BA65,'[1]Ціни контур мережний'!$Y$104:$Z$114,2,0)</f>
        <v>15</v>
      </c>
      <c r="BC65" s="753">
        <v>1</v>
      </c>
      <c r="BD65" s="754">
        <f>VLOOKUP(BA65,'Ціни контур мережний'!$Y$104:$AB$114,4,0)</f>
        <v>251.13923223078018</v>
      </c>
      <c r="BE65" s="755">
        <f t="shared" si="112"/>
        <v>251.13923223078018</v>
      </c>
      <c r="BF65" s="751" t="s">
        <v>67</v>
      </c>
      <c r="BG65" s="749">
        <v>1</v>
      </c>
      <c r="BH65" s="747">
        <f>VLOOKUP(BF65,'Ціни контур мережний'!$I$53:$M$57,5,0)</f>
        <v>157.67238032974441</v>
      </c>
      <c r="BI65" s="768">
        <f t="shared" si="113"/>
        <v>157.67238032974441</v>
      </c>
      <c r="BJ65" s="894">
        <f t="array" ref="BJ65">MIN(IF('Ціни контур мережний'!$Y$83:$Y$93&gt;(S65*1.2),'Ціни контур мережний'!$Y$83:$Y$93))</f>
        <v>1.6</v>
      </c>
      <c r="BK65" s="895">
        <f>VLOOKUP(BJ65,'Ціни контур мережний'!$Y$83:$Z$93,2,0)</f>
        <v>15</v>
      </c>
      <c r="BL65" s="895">
        <v>1</v>
      </c>
      <c r="BM65" s="896">
        <f>VLOOKUP(BJ65,'Ціни контур мережний'!$Y$83:$AB$93,4,0)</f>
        <v>104.44472592804462</v>
      </c>
      <c r="BN65" s="916">
        <f t="shared" si="114"/>
        <v>104.44472592804462</v>
      </c>
      <c r="BO65" s="896">
        <f t="array" ref="BO65">MIN(IF('Ціни контур мережний'!$Y$104:$Y$114&gt;(S65*1.2),'Ціни контур мережний'!$Y$104:$Y$114))</f>
        <v>4</v>
      </c>
      <c r="BP65" s="895">
        <f>VLOOKUP(BO65,'Ціни контур мережний'!$Y$104:$Z$114,2,0)</f>
        <v>15</v>
      </c>
      <c r="BQ65" s="895">
        <v>1</v>
      </c>
      <c r="BR65" s="896">
        <f>VLOOKUP(BO65,'Ціни контур мережний'!$Y$104:$AB$114,4,0)</f>
        <v>251.13923223078018</v>
      </c>
      <c r="BS65" s="897">
        <f t="shared" si="115"/>
        <v>251.13923223078018</v>
      </c>
      <c r="BT65" s="751" t="s">
        <v>115</v>
      </c>
      <c r="BU65" s="751" t="s">
        <v>115</v>
      </c>
      <c r="BV65" s="746" t="s">
        <v>1025</v>
      </c>
      <c r="BW65" s="756">
        <v>0</v>
      </c>
      <c r="BX65" s="747">
        <v>0</v>
      </c>
      <c r="BY65" s="748">
        <f t="shared" si="116"/>
        <v>0</v>
      </c>
      <c r="BZ65" s="745">
        <f>VLOOKUP(CA65,'Ціни контур мережний'!$J$5:$L$12,3,0)</f>
        <v>15</v>
      </c>
      <c r="CA65" s="747">
        <f t="array" ref="CA65">MIN(IF('Ціни контур мережний'!$J$5:$J$12&gt;L65,'Ціни контур мережний'!$J$5:$J$12))</f>
        <v>1.5</v>
      </c>
      <c r="CB65" s="746" t="s">
        <v>130</v>
      </c>
      <c r="CC65" s="749">
        <v>1</v>
      </c>
      <c r="CD65" s="747">
        <f>VLOOKUP(CA65,'Ціни контур мережний'!$J$5:$N$12,5,0)</f>
        <v>246.38399999999999</v>
      </c>
      <c r="CE65" s="748">
        <f t="shared" si="117"/>
        <v>246.38399999999999</v>
      </c>
      <c r="CF65" s="898" t="s">
        <v>1382</v>
      </c>
      <c r="CG65" s="899">
        <v>1</v>
      </c>
      <c r="CH65" s="900">
        <v>259</v>
      </c>
      <c r="CI65" s="901">
        <f t="shared" si="118"/>
        <v>259</v>
      </c>
      <c r="CJ65" s="751">
        <f t="shared" si="5"/>
        <v>32</v>
      </c>
      <c r="CK65" s="746">
        <v>4</v>
      </c>
      <c r="CL65" s="747">
        <f>VLOOKUP(CJ65,'Ціни контур теплопостачання'!$Y$5:$AA$17,3,0)</f>
        <v>10.381</v>
      </c>
      <c r="CM65" s="748">
        <f t="shared" si="119"/>
        <v>41.524000000000001</v>
      </c>
      <c r="CN65" s="746">
        <f t="shared" si="6"/>
        <v>20</v>
      </c>
      <c r="CO65" s="746">
        <v>6</v>
      </c>
      <c r="CP65" s="747">
        <f>VLOOKUP(CN65,'Ціни контур теплопостачання'!$AO$20:$AQ$29,3,0)</f>
        <v>3.577</v>
      </c>
      <c r="CQ65" s="748">
        <f t="shared" si="120"/>
        <v>21.462</v>
      </c>
      <c r="CR65" s="746">
        <f t="shared" si="7"/>
        <v>20</v>
      </c>
      <c r="CS65" s="746">
        <v>3</v>
      </c>
      <c r="CT65" s="747">
        <f>VLOOKUP(CR65,'Ціни контур теплопостачання'!$AO$20:$AQ$29,3,0)</f>
        <v>3.577</v>
      </c>
      <c r="CU65" s="748">
        <f t="shared" si="121"/>
        <v>10.731</v>
      </c>
      <c r="CV65" s="746">
        <f t="shared" si="8"/>
        <v>32</v>
      </c>
      <c r="CW65" s="746">
        <f t="shared" si="101"/>
        <v>2</v>
      </c>
      <c r="CX65" s="747">
        <f>VLOOKUP(CV65,'Ціни контур теплопостачання'!$Y$5:$AA$17,3,0)</f>
        <v>10.381</v>
      </c>
      <c r="CY65" s="748">
        <f t="shared" si="122"/>
        <v>20.762</v>
      </c>
      <c r="CZ65" s="745">
        <v>20</v>
      </c>
      <c r="DA65" s="749">
        <v>2</v>
      </c>
      <c r="DB65" s="747">
        <f>VLOOKUP(CZ65,'Ціни контур теплопостачання'!$Y$5:$AA$17,3,0)</f>
        <v>3.577</v>
      </c>
      <c r="DC65" s="748">
        <f t="shared" si="123"/>
        <v>7.1539999999999999</v>
      </c>
      <c r="DD65" s="745">
        <v>15</v>
      </c>
      <c r="DE65" s="745">
        <v>8</v>
      </c>
      <c r="DF65" s="758">
        <f>VLOOKUP(DD65,'Ціни контур теплопостачання'!$Y$5:$AA$17,3,0)</f>
        <v>2.464</v>
      </c>
      <c r="DG65" s="759">
        <f t="shared" si="124"/>
        <v>19.712</v>
      </c>
      <c r="DH65" s="745">
        <v>15</v>
      </c>
      <c r="DI65" s="745">
        <f>35</f>
        <v>35</v>
      </c>
      <c r="DJ65" s="758">
        <f>VLOOKUP(DH65,'Ціни контур мережний'!$J$71:$M$71,4,0)</f>
        <v>3.3865201135922525</v>
      </c>
      <c r="DK65" s="759">
        <f t="shared" si="125"/>
        <v>118.52820397572884</v>
      </c>
      <c r="DL65" s="751">
        <f t="shared" si="10"/>
        <v>32</v>
      </c>
      <c r="DM65" s="746">
        <v>1</v>
      </c>
      <c r="DN65" s="747">
        <f>VLOOKUP(DL65,'Ціни контур теплопостачання'!$K$5:$M$17,3,0)</f>
        <v>9.48</v>
      </c>
      <c r="DO65" s="748">
        <f t="shared" si="126"/>
        <v>9.48</v>
      </c>
      <c r="DP65" s="745">
        <f t="shared" si="11"/>
        <v>20</v>
      </c>
      <c r="DQ65" s="749">
        <v>1</v>
      </c>
      <c r="DR65" s="747">
        <f>VLOOKUP(DP65,'Ціни контур теплопостачання'!$K$5:$M$17,3,0)</f>
        <v>3.48</v>
      </c>
      <c r="DS65" s="748">
        <f t="shared" si="127"/>
        <v>3.48</v>
      </c>
      <c r="DT65" s="745">
        <f t="shared" si="12"/>
        <v>20</v>
      </c>
      <c r="DU65" s="745">
        <v>1</v>
      </c>
      <c r="DV65" s="758">
        <f>VLOOKUP(DT65,'Ціни контур теплопостачання'!$K$5:$M$17,3,0)</f>
        <v>3.48</v>
      </c>
      <c r="DW65" s="759">
        <f t="shared" si="128"/>
        <v>3.48</v>
      </c>
      <c r="DX65" s="745">
        <f t="shared" si="63"/>
        <v>32</v>
      </c>
      <c r="DY65" s="745">
        <v>1</v>
      </c>
      <c r="DZ65" s="758">
        <f>VLOOKUP(DX65,'Ціни контур теплопостачання'!$Y$24:$AA$36,3,0)</f>
        <v>10.773</v>
      </c>
      <c r="EA65" s="759">
        <f t="shared" si="64"/>
        <v>10.773</v>
      </c>
      <c r="EB65" s="751">
        <f t="shared" si="13"/>
        <v>32</v>
      </c>
      <c r="EC65" s="746">
        <v>2</v>
      </c>
      <c r="ED65" s="747">
        <f>VLOOKUP(EB65,'Ціни контур теплопостачання'!$Y$24:$AA$36,3,0)</f>
        <v>10.773</v>
      </c>
      <c r="EE65" s="748">
        <f t="shared" si="129"/>
        <v>21.545999999999999</v>
      </c>
      <c r="EF65" s="745">
        <f t="shared" si="14"/>
        <v>20</v>
      </c>
      <c r="EG65" s="749">
        <v>1</v>
      </c>
      <c r="EH65" s="747">
        <f>VLOOKUP(EF65,'Ціни контур теплопостачання'!$AO$38:$AQ$50,3,0)</f>
        <v>4.5359999999999996</v>
      </c>
      <c r="EI65" s="748">
        <f t="shared" si="130"/>
        <v>4.5359999999999996</v>
      </c>
      <c r="EJ65" s="745">
        <f t="shared" si="15"/>
        <v>20</v>
      </c>
      <c r="EK65" s="745">
        <v>1</v>
      </c>
      <c r="EL65" s="758">
        <f>VLOOKUP(EJ65,'Ціни контур теплопостачання'!$AO$38:$AQ$50,3,0)</f>
        <v>4.5359999999999996</v>
      </c>
      <c r="EM65" s="759">
        <f t="shared" si="131"/>
        <v>4.5359999999999996</v>
      </c>
      <c r="EN65" s="745">
        <f t="shared" si="16"/>
        <v>32</v>
      </c>
      <c r="EO65" s="745">
        <f t="shared" si="102"/>
        <v>2</v>
      </c>
      <c r="EP65" s="758">
        <f>VLOOKUP(EN65,'Ціни контур теплопостачання'!$Y$76:$AA$88,3,0)</f>
        <v>13.15</v>
      </c>
      <c r="EQ65" s="759">
        <f t="shared" si="132"/>
        <v>26.3</v>
      </c>
      <c r="ER65" s="745">
        <f t="shared" si="18"/>
        <v>20</v>
      </c>
      <c r="ES65" s="745">
        <v>1</v>
      </c>
      <c r="ET65" s="758">
        <f>VLOOKUP(ER65,'Ціни контур теплопостачання'!$Y$76:$AA$88,3,0)</f>
        <v>11.45</v>
      </c>
      <c r="EU65" s="759">
        <f t="shared" si="133"/>
        <v>11.45</v>
      </c>
      <c r="EV65" s="745">
        <f t="shared" si="19"/>
        <v>20</v>
      </c>
      <c r="EW65" s="745">
        <v>1</v>
      </c>
      <c r="EX65" s="758">
        <f>VLOOKUP(EV65,'Ціни контур теплопостачання'!$Y$76:$AA$88,3,0)</f>
        <v>11.45</v>
      </c>
      <c r="EY65" s="759">
        <f t="shared" si="134"/>
        <v>11.45</v>
      </c>
      <c r="EZ65" s="758">
        <f t="shared" si="95"/>
        <v>12.412799845320958</v>
      </c>
      <c r="FA65" s="955">
        <v>15</v>
      </c>
      <c r="FB65" s="719">
        <v>2</v>
      </c>
      <c r="FC65" s="747">
        <f>VLOOKUP(FA65,'Ціни контур теплопостачання'!$K$74:$M$79,3,0)</f>
        <v>13.33</v>
      </c>
      <c r="FD65" s="761">
        <f t="shared" si="96"/>
        <v>26.66</v>
      </c>
      <c r="FE65" s="762">
        <f t="shared" si="71"/>
        <v>2.4831600831600831</v>
      </c>
      <c r="FF65" s="911">
        <v>5</v>
      </c>
      <c r="FG65" s="900">
        <v>8</v>
      </c>
      <c r="FH65" s="830" t="s">
        <v>120</v>
      </c>
      <c r="FI65" s="708">
        <v>2</v>
      </c>
      <c r="FJ65" s="709">
        <f>VLOOKUP(FH65,'Ціни контур теплопостачання'!$C$89:$M$105,11,0)</f>
        <v>198.83999999999997</v>
      </c>
      <c r="FK65" s="764">
        <f t="shared" si="135"/>
        <v>397.67999999999995</v>
      </c>
      <c r="FL65" s="912">
        <f t="shared" si="73"/>
        <v>0.18255578093306288</v>
      </c>
      <c r="FM65" s="911">
        <v>5</v>
      </c>
      <c r="FN65" s="900">
        <v>6</v>
      </c>
      <c r="FO65" s="900" t="s">
        <v>1098</v>
      </c>
      <c r="FP65" s="749">
        <v>1</v>
      </c>
      <c r="FQ65" s="747">
        <f>VLOOKUP(FO65,'Ціни контур теплопостачання'!$C$89:$M$105,11,0)</f>
        <v>80.399999999999991</v>
      </c>
      <c r="FR65" s="904">
        <f t="shared" si="136"/>
        <v>80.399999999999991</v>
      </c>
      <c r="FS65" s="758">
        <f t="array" ref="FS65">MIN(IF('Ціни контур теплопостачання'!$AN$68:$AN$77&gt;(V65*1.2),'Ціни контур теплопостачання'!$AN$68:$AN$77))</f>
        <v>5.83</v>
      </c>
      <c r="FT65" s="749">
        <f>VLOOKUP(FS65,'Ціни контур теплопостачання'!$AN$68:$AO$77,2,0)</f>
        <v>25</v>
      </c>
      <c r="FU65" s="749">
        <v>0</v>
      </c>
      <c r="FV65" s="747">
        <f>VLOOKUP(FT65,'Ціни контур теплопостачання'!$AO$68:$AQ$77,3,0)</f>
        <v>26.495000000000001</v>
      </c>
      <c r="FW65" s="765">
        <f t="shared" si="137"/>
        <v>0</v>
      </c>
      <c r="FX65" s="750">
        <v>15</v>
      </c>
      <c r="FY65" s="746">
        <v>2</v>
      </c>
      <c r="FZ65" s="747">
        <f>VLOOKUP(FX65,'Ціни контур мережний'!$J$73:$M$73,4,0)</f>
        <v>3.4649999999999999</v>
      </c>
      <c r="GA65" s="748">
        <f t="shared" si="138"/>
        <v>6.93</v>
      </c>
      <c r="GB65" s="750">
        <f>VLOOKUP(GC65,'Ціни контур теплопостачання'!$AN$6:$AO$13,2,0)</f>
        <v>15</v>
      </c>
      <c r="GC65" s="751">
        <f t="array" ref="GC65">MIN(IF('Ціни контур теплопостачання'!$AN$6:$AN$13&gt;N65,'Ціни контур теплопостачання'!$AN$6:$AN$13))</f>
        <v>1.5</v>
      </c>
      <c r="GD65" s="751">
        <v>1</v>
      </c>
      <c r="GE65" s="747">
        <f>VLOOKUP(GB65,'Ціни контур теплопостачання'!$AO$6:$AQ$13,3,0)</f>
        <v>19.51182</v>
      </c>
      <c r="GF65" s="748">
        <f t="shared" si="139"/>
        <v>19.51182</v>
      </c>
      <c r="GG65" s="746">
        <f t="shared" si="23"/>
        <v>20</v>
      </c>
      <c r="GH65" s="746">
        <v>1</v>
      </c>
      <c r="GI65" s="747">
        <f>VLOOKUP(GG65,'Ціни контур теплопостачання'!$AO$55:$AQ$63,3,0)</f>
        <v>98.75</v>
      </c>
      <c r="GJ65" s="768">
        <f t="shared" si="140"/>
        <v>98.75</v>
      </c>
      <c r="GK65" s="655" t="str">
        <f t="shared" si="150"/>
        <v>0-150</v>
      </c>
      <c r="GL65" s="720">
        <v>1</v>
      </c>
      <c r="GM65" s="747">
        <f>VLOOKUP(GK65,'Ціни контур мережний'!$I$79:$M$80,5,0)</f>
        <v>15.050156291498967</v>
      </c>
      <c r="GN65" s="748">
        <f t="shared" si="141"/>
        <v>15.050156291498967</v>
      </c>
      <c r="GO65" s="758" t="s">
        <v>109</v>
      </c>
      <c r="GP65" s="749">
        <v>1</v>
      </c>
      <c r="GQ65" s="747">
        <f>VLOOKUP(GO65,'Ціни контур мережний'!$I$79:$M$80,5,0)</f>
        <v>15.050156291498967</v>
      </c>
      <c r="GR65" s="765">
        <f t="shared" si="142"/>
        <v>15.050156291498967</v>
      </c>
      <c r="GS65" s="655" t="s">
        <v>108</v>
      </c>
      <c r="GT65" s="720">
        <v>3</v>
      </c>
      <c r="GU65" s="747">
        <f>VLOOKUP(GS65,'Ціни контур мережний'!$I$67:$M$69,5,0)</f>
        <v>4.4537969640631703</v>
      </c>
      <c r="GV65" s="748">
        <f t="shared" si="143"/>
        <v>13.361390892189512</v>
      </c>
      <c r="GW65" s="655" t="s">
        <v>106</v>
      </c>
      <c r="GX65" s="720">
        <f>11</f>
        <v>11</v>
      </c>
      <c r="GY65" s="747">
        <f>VLOOKUP(GW65,'Ціни контур мережний'!$I$67:$M$69,5,0)</f>
        <v>4.4537969640631703</v>
      </c>
      <c r="GZ65" s="748">
        <f t="shared" si="144"/>
        <v>48.991766604694874</v>
      </c>
      <c r="HA65" s="655" t="s">
        <v>1013</v>
      </c>
      <c r="HB65" s="720">
        <v>4</v>
      </c>
      <c r="HC65" s="747">
        <f>VLOOKUP(HA65,'Ціни контур мережний'!$I$64:$M$64,5,0)</f>
        <v>29.1312</v>
      </c>
      <c r="HD65" s="748">
        <f t="shared" si="145"/>
        <v>116.5248</v>
      </c>
      <c r="HE65" s="766" t="s">
        <v>1015</v>
      </c>
      <c r="HF65" s="749">
        <v>6</v>
      </c>
      <c r="HG65" s="747">
        <f>VLOOKUP(HE65,'Ціни контур мережний'!$I$89:$M$89,5,0)</f>
        <v>79.523165325760516</v>
      </c>
      <c r="HH65" s="765">
        <f t="shared" si="146"/>
        <v>477.1389919545631</v>
      </c>
      <c r="HI65" s="778" t="s">
        <v>1016</v>
      </c>
      <c r="HJ65" s="720">
        <f t="shared" si="152"/>
        <v>7</v>
      </c>
      <c r="HK65" s="747">
        <f>VLOOKUP(HI65,'Ціни контур мережний'!$I$88:$M$88,5,0)</f>
        <v>13.211568975967202</v>
      </c>
      <c r="HL65" s="768">
        <f t="shared" si="147"/>
        <v>92.480982831770419</v>
      </c>
      <c r="HM65" s="757" t="s">
        <v>383</v>
      </c>
      <c r="HN65" s="720">
        <v>1</v>
      </c>
      <c r="HO65" s="747">
        <f>VLOOKUP(HM65,'Ціни контур мережний'!$I$87:$M$87,5,0)</f>
        <v>13.483972460007763</v>
      </c>
      <c r="HP65" s="748">
        <f t="shared" si="148"/>
        <v>13.483972460007763</v>
      </c>
      <c r="HQ65" s="769">
        <f t="shared" si="97"/>
        <v>95</v>
      </c>
      <c r="HR65" s="770">
        <f t="shared" si="87"/>
        <v>3508.687957825266</v>
      </c>
      <c r="HS65" s="771">
        <v>0</v>
      </c>
      <c r="HT65" s="771">
        <f>'Таблиця цін схема №1'!$JE$43/'Ціни контур мережний'!$G$26</f>
        <v>340.50435505070107</v>
      </c>
      <c r="HU65" s="770">
        <f>'Таблиця цін схема №1'!$JG$8</f>
        <v>661.80181284518619</v>
      </c>
      <c r="HV65" s="770">
        <f>'Таблиця цін схема №1'!$JH$8</f>
        <v>487.81784379022207</v>
      </c>
      <c r="HW65" s="770">
        <f>'Таблиця цін схема №1'!$JI$8</f>
        <v>323.47913729816605</v>
      </c>
      <c r="HX65" s="770">
        <f>'Таблиця цін схема №1'!$JJ$8</f>
        <v>66.611999999999995</v>
      </c>
      <c r="HY65" s="770">
        <f>'Таблиця цін схема №1'!$JK$28</f>
        <v>0</v>
      </c>
      <c r="HZ65" s="772">
        <f>'Таблиця цін схема №1'!$JL$8</f>
        <v>62.86234247089866</v>
      </c>
      <c r="IA65" s="770">
        <f>'Таблиця цін схема №1'!$JM$28</f>
        <v>0</v>
      </c>
      <c r="IB65" s="770">
        <v>0</v>
      </c>
      <c r="IC65" s="913">
        <f t="shared" si="98"/>
        <v>381.62358144963088</v>
      </c>
      <c r="ID65" s="914">
        <f t="shared" si="99"/>
        <v>545.17654492804411</v>
      </c>
      <c r="IE65" s="915">
        <f t="shared" si="100"/>
        <v>93.783909656334799</v>
      </c>
      <c r="IF65" s="776">
        <f>'Таблиця цін схема №1'!$JR$8</f>
        <v>300.63036461094771</v>
      </c>
      <c r="IG65" s="777">
        <f t="shared" si="88"/>
        <v>6772.9798499253975</v>
      </c>
      <c r="II65" s="835"/>
      <c r="IJ65" s="835"/>
      <c r="IK65" s="835"/>
      <c r="IL65" s="835"/>
    </row>
    <row r="66" spans="2:246" s="780" customFormat="1" ht="12.6" customHeight="1">
      <c r="B66" s="905">
        <v>96</v>
      </c>
      <c r="C66" s="1056" t="s">
        <v>882</v>
      </c>
      <c r="D66" s="906">
        <v>0.17899999999999999</v>
      </c>
      <c r="E66" s="907">
        <v>9.8000000000000004E-2</v>
      </c>
      <c r="F66" s="908">
        <f t="shared" si="28"/>
        <v>5.7026830353522406</v>
      </c>
      <c r="G66" s="599">
        <v>50</v>
      </c>
      <c r="H66" s="598">
        <f t="shared" si="29"/>
        <v>3.1975705609146123</v>
      </c>
      <c r="I66" s="599">
        <v>32</v>
      </c>
      <c r="J66" s="598">
        <f t="shared" si="30"/>
        <v>7.4428274428274426</v>
      </c>
      <c r="K66" s="599">
        <v>50</v>
      </c>
      <c r="L66" s="598">
        <f t="shared" si="31"/>
        <v>2.5051124744376279</v>
      </c>
      <c r="M66" s="599">
        <v>32</v>
      </c>
      <c r="N66" s="598">
        <f t="shared" si="32"/>
        <v>1.9878296146044625</v>
      </c>
      <c r="O66" s="599">
        <v>32</v>
      </c>
      <c r="P66" s="598">
        <f t="shared" si="153"/>
        <v>0.59634888438133871</v>
      </c>
      <c r="Q66" s="599">
        <v>20</v>
      </c>
      <c r="R66" s="598">
        <f t="shared" si="33"/>
        <v>4.5220476538903895</v>
      </c>
      <c r="S66" s="600">
        <f t="shared" si="104"/>
        <v>3.5427640366197166</v>
      </c>
      <c r="T66" s="910">
        <v>1</v>
      </c>
      <c r="U66" s="601">
        <f t="shared" si="35"/>
        <v>7.4428274428274426</v>
      </c>
      <c r="V66" s="601">
        <f t="shared" si="36"/>
        <v>10.525747512049231</v>
      </c>
      <c r="W66" s="850">
        <v>50</v>
      </c>
      <c r="X66" s="751">
        <f t="shared" si="0"/>
        <v>50</v>
      </c>
      <c r="Y66" s="746">
        <v>2</v>
      </c>
      <c r="Z66" s="747">
        <f>VLOOKUP(X66,'Ціни контур мережний'!$Z$24:$AB$36,3,0)</f>
        <v>23.2782130224622</v>
      </c>
      <c r="AA66" s="748">
        <f t="shared" si="105"/>
        <v>46.5564260449244</v>
      </c>
      <c r="AB66" s="749">
        <f t="shared" si="1"/>
        <v>50</v>
      </c>
      <c r="AC66" s="749">
        <v>2</v>
      </c>
      <c r="AD66" s="747">
        <f>VLOOKUP(AB66,'Ціни контур мережний'!$Z$64:$AB$77,3,0)</f>
        <v>80.03214361111678</v>
      </c>
      <c r="AE66" s="748">
        <f t="shared" si="106"/>
        <v>160.06428722223356</v>
      </c>
      <c r="AF66" s="746">
        <f t="shared" si="2"/>
        <v>50</v>
      </c>
      <c r="AG66" s="746">
        <v>0</v>
      </c>
      <c r="AH66" s="747">
        <f>VLOOKUP(AF66,'Ціни контур мережний'!$Z$5:$AB$17,3,0)</f>
        <v>26.284999999999997</v>
      </c>
      <c r="AI66" s="748">
        <f t="shared" si="107"/>
        <v>0</v>
      </c>
      <c r="AJ66" s="746">
        <f t="shared" si="3"/>
        <v>32</v>
      </c>
      <c r="AK66" s="746">
        <v>1</v>
      </c>
      <c r="AL66" s="747">
        <f>VLOOKUP(AJ66,'Ціни контур мережний'!$Z$43:$AB$55,3,0)</f>
        <v>16.107218011318363</v>
      </c>
      <c r="AM66" s="748">
        <f t="shared" si="108"/>
        <v>16.107218011318363</v>
      </c>
      <c r="AN66" s="745">
        <f t="shared" si="4"/>
        <v>32</v>
      </c>
      <c r="AO66" s="749">
        <v>4</v>
      </c>
      <c r="AP66" s="747">
        <f>VLOOKUP(AN66,'Ціни контур мережний'!$Z$43:$AB$55,3,0)</f>
        <v>16.107218011318363</v>
      </c>
      <c r="AQ66" s="759">
        <f t="shared" si="109"/>
        <v>64.428872045273451</v>
      </c>
      <c r="AR66" s="751" t="str">
        <f t="shared" si="42"/>
        <v>AMV20</v>
      </c>
      <c r="AS66" s="751">
        <v>1</v>
      </c>
      <c r="AT66" s="747">
        <f>VLOOKUP(AR66,'Ціни контур мережний'!$I$53:$M$57,5,0)</f>
        <v>110.39869654932889</v>
      </c>
      <c r="AU66" s="748">
        <f t="shared" si="110"/>
        <v>110.39869654932889</v>
      </c>
      <c r="AV66" s="752">
        <f t="array" ref="AV66">MIN(IF('Ціни контур мережний'!$Y$83:$Y$92&gt;(R66*1.2),'Ціни контур мережний'!$Y$83:$Y$92))</f>
        <v>6.3</v>
      </c>
      <c r="AW66" s="746">
        <f>VLOOKUP(AV66,'Ціни контур мережний'!$Y$83:$Z$92,2,0)</f>
        <v>20</v>
      </c>
      <c r="AX66" s="746">
        <v>1</v>
      </c>
      <c r="AY66" s="747">
        <f>VLOOKUP(AV66,'Ціни контур мережний'!$Y$83:$AB$92,4,0)</f>
        <v>113.14115267534271</v>
      </c>
      <c r="AZ66" s="748">
        <f t="shared" si="111"/>
        <v>113.14115267534271</v>
      </c>
      <c r="BA66" s="1099">
        <f t="array" ref="BA66">MIN(IF('[1]Ціни контур мережний'!$Y$104:$Y$114&gt;(R66*1.2),'[1]Ціни контур мережний'!$Y$104:$Y$114))</f>
        <v>6.3</v>
      </c>
      <c r="BB66" s="1101">
        <f>VLOOKUP(BA66,'[1]Ціни контур мережний'!$Y$104:$Z$114,2,0)</f>
        <v>20</v>
      </c>
      <c r="BC66" s="753">
        <v>1</v>
      </c>
      <c r="BD66" s="754">
        <f>VLOOKUP(BA66,'Ціни контур мережний'!$Y$104:$AB$114,4,0)</f>
        <v>259.83406541769665</v>
      </c>
      <c r="BE66" s="755">
        <f t="shared" si="112"/>
        <v>259.83406541769665</v>
      </c>
      <c r="BF66" s="751" t="s">
        <v>67</v>
      </c>
      <c r="BG66" s="749">
        <v>1</v>
      </c>
      <c r="BH66" s="747">
        <f>VLOOKUP(BF66,'Ціни контур мережний'!$I$53:$M$57,5,0)</f>
        <v>157.67238032974441</v>
      </c>
      <c r="BI66" s="768">
        <f t="shared" si="113"/>
        <v>157.67238032974441</v>
      </c>
      <c r="BJ66" s="894">
        <f t="array" ref="BJ66">MIN(IF('Ціни контур мережний'!$Y$83:$Y$93&gt;(S66*1.2),'Ціни контур мережний'!$Y$83:$Y$93))</f>
        <v>6.3</v>
      </c>
      <c r="BK66" s="895">
        <f>VLOOKUP(BJ66,'Ціни контур мережний'!$Y$83:$Z$93,2,0)</f>
        <v>20</v>
      </c>
      <c r="BL66" s="895">
        <v>1</v>
      </c>
      <c r="BM66" s="896">
        <f>VLOOKUP(BJ66,'Ціни контур мережний'!$Y$83:$AB$93,4,0)</f>
        <v>113.14115267534271</v>
      </c>
      <c r="BN66" s="916">
        <f t="shared" si="114"/>
        <v>113.14115267534271</v>
      </c>
      <c r="BO66" s="896">
        <f t="array" ref="BO66">MIN(IF('Ціни контур мережний'!$Y$104:$Y$114&gt;(S66*1.2),'Ціни контур мережний'!$Y$104:$Y$114))</f>
        <v>6.3</v>
      </c>
      <c r="BP66" s="895">
        <f>VLOOKUP(BO66,'Ціни контур мережний'!$Y$104:$Z$114,2,0)</f>
        <v>20</v>
      </c>
      <c r="BQ66" s="895">
        <v>1</v>
      </c>
      <c r="BR66" s="896">
        <f>VLOOKUP(BO66,'Ціни контур мережний'!$Y$104:$AB$114,4,0)</f>
        <v>259.83406541769665</v>
      </c>
      <c r="BS66" s="897">
        <f t="shared" si="115"/>
        <v>259.83406541769665</v>
      </c>
      <c r="BT66" s="751" t="s">
        <v>115</v>
      </c>
      <c r="BU66" s="751" t="s">
        <v>115</v>
      </c>
      <c r="BV66" s="746" t="s">
        <v>1025</v>
      </c>
      <c r="BW66" s="756">
        <v>0</v>
      </c>
      <c r="BX66" s="747">
        <v>0</v>
      </c>
      <c r="BY66" s="748">
        <f t="shared" si="116"/>
        <v>0</v>
      </c>
      <c r="BZ66" s="745">
        <f>VLOOKUP(CA66,'Ціни контур мережний'!$J$5:$L$12,3,0)</f>
        <v>25</v>
      </c>
      <c r="CA66" s="747">
        <f t="array" ref="CA66">MIN(IF('Ціни контур мережний'!$J$5:$J$12&gt;L66,'Ціни контур мережний'!$J$5:$J$12))</f>
        <v>3.5</v>
      </c>
      <c r="CB66" s="746" t="s">
        <v>130</v>
      </c>
      <c r="CC66" s="749">
        <v>1</v>
      </c>
      <c r="CD66" s="747">
        <f>VLOOKUP(CA66,'Ціни контур мережний'!$J$5:$N$12,5,0)</f>
        <v>341.25599999999997</v>
      </c>
      <c r="CE66" s="748">
        <f t="shared" si="117"/>
        <v>341.25599999999997</v>
      </c>
      <c r="CF66" s="898" t="s">
        <v>1337</v>
      </c>
      <c r="CG66" s="899">
        <v>1</v>
      </c>
      <c r="CH66" s="900">
        <v>385</v>
      </c>
      <c r="CI66" s="901">
        <f t="shared" si="118"/>
        <v>385</v>
      </c>
      <c r="CJ66" s="751">
        <f t="shared" si="5"/>
        <v>50</v>
      </c>
      <c r="CK66" s="746">
        <v>4</v>
      </c>
      <c r="CL66" s="747">
        <f>VLOOKUP(CJ66,'Ціни контур теплопостачання'!$Y$5:$AA$17,3,0)</f>
        <v>23.2782130224622</v>
      </c>
      <c r="CM66" s="748">
        <f t="shared" si="119"/>
        <v>93.112852089848801</v>
      </c>
      <c r="CN66" s="746">
        <f t="shared" si="6"/>
        <v>32</v>
      </c>
      <c r="CO66" s="746">
        <v>6</v>
      </c>
      <c r="CP66" s="747">
        <f>VLOOKUP(CN66,'Ціни контур теплопостачання'!$AO$20:$AQ$29,3,0)</f>
        <v>10.381</v>
      </c>
      <c r="CQ66" s="748">
        <f t="shared" si="120"/>
        <v>62.286000000000001</v>
      </c>
      <c r="CR66" s="746">
        <f t="shared" si="7"/>
        <v>20</v>
      </c>
      <c r="CS66" s="746">
        <v>3</v>
      </c>
      <c r="CT66" s="747">
        <f>VLOOKUP(CR66,'Ціни контур теплопостачання'!$AO$20:$AQ$29,3,0)</f>
        <v>3.577</v>
      </c>
      <c r="CU66" s="748">
        <f t="shared" si="121"/>
        <v>10.731</v>
      </c>
      <c r="CV66" s="746">
        <f t="shared" si="8"/>
        <v>50</v>
      </c>
      <c r="CW66" s="746">
        <f t="shared" si="101"/>
        <v>2</v>
      </c>
      <c r="CX66" s="747">
        <f>VLOOKUP(CV66,'Ціни контур теплопостачання'!$Y$5:$AA$17,3,0)</f>
        <v>23.2782130224622</v>
      </c>
      <c r="CY66" s="748">
        <f t="shared" si="122"/>
        <v>46.5564260449244</v>
      </c>
      <c r="CZ66" s="745">
        <v>20</v>
      </c>
      <c r="DA66" s="749">
        <v>2</v>
      </c>
      <c r="DB66" s="747">
        <f>VLOOKUP(CZ66,'Ціни контур теплопостачання'!$Y$5:$AA$17,3,0)</f>
        <v>3.577</v>
      </c>
      <c r="DC66" s="748">
        <f t="shared" si="123"/>
        <v>7.1539999999999999</v>
      </c>
      <c r="DD66" s="745">
        <v>15</v>
      </c>
      <c r="DE66" s="745">
        <v>8</v>
      </c>
      <c r="DF66" s="758">
        <f>VLOOKUP(DD66,'Ціни контур теплопостачання'!$Y$5:$AA$17,3,0)</f>
        <v>2.464</v>
      </c>
      <c r="DG66" s="759">
        <f t="shared" si="124"/>
        <v>19.712</v>
      </c>
      <c r="DH66" s="745">
        <v>15</v>
      </c>
      <c r="DI66" s="745">
        <f>35</f>
        <v>35</v>
      </c>
      <c r="DJ66" s="758">
        <f>VLOOKUP(DH66,'Ціни контур мережний'!$J$71:$M$71,4,0)</f>
        <v>3.3865201135922525</v>
      </c>
      <c r="DK66" s="759">
        <f t="shared" si="125"/>
        <v>118.52820397572884</v>
      </c>
      <c r="DL66" s="751">
        <f t="shared" si="10"/>
        <v>50</v>
      </c>
      <c r="DM66" s="746">
        <v>1</v>
      </c>
      <c r="DN66" s="747">
        <f>VLOOKUP(DL66,'Ціни контур теплопостачання'!$K$5:$M$17,3,0)</f>
        <v>26.284999999999997</v>
      </c>
      <c r="DO66" s="748">
        <f t="shared" si="126"/>
        <v>26.284999999999997</v>
      </c>
      <c r="DP66" s="745">
        <f t="shared" si="11"/>
        <v>32</v>
      </c>
      <c r="DQ66" s="749">
        <v>1</v>
      </c>
      <c r="DR66" s="747">
        <f>VLOOKUP(DP66,'Ціни контур теплопостачання'!$K$5:$M$17,3,0)</f>
        <v>9.48</v>
      </c>
      <c r="DS66" s="748">
        <f t="shared" si="127"/>
        <v>9.48</v>
      </c>
      <c r="DT66" s="745">
        <f t="shared" si="12"/>
        <v>20</v>
      </c>
      <c r="DU66" s="745">
        <v>1</v>
      </c>
      <c r="DV66" s="758">
        <f>VLOOKUP(DT66,'Ціни контур теплопостачання'!$K$5:$M$17,3,0)</f>
        <v>3.48</v>
      </c>
      <c r="DW66" s="759">
        <f t="shared" si="128"/>
        <v>3.48</v>
      </c>
      <c r="DX66" s="745">
        <f t="shared" si="63"/>
        <v>50</v>
      </c>
      <c r="DY66" s="745">
        <v>1</v>
      </c>
      <c r="DZ66" s="758">
        <f>VLOOKUP(DX66,'Ціни контур теплопостачання'!$Y$24:$AA$36,3,0)</f>
        <v>28.560999999999996</v>
      </c>
      <c r="EA66" s="759">
        <f t="shared" si="64"/>
        <v>28.560999999999996</v>
      </c>
      <c r="EB66" s="751">
        <f t="shared" si="13"/>
        <v>50</v>
      </c>
      <c r="EC66" s="746">
        <v>2</v>
      </c>
      <c r="ED66" s="747">
        <f>VLOOKUP(EB66,'Ціни контур теплопостачання'!$Y$24:$AA$36,3,0)</f>
        <v>28.560999999999996</v>
      </c>
      <c r="EE66" s="748">
        <f t="shared" si="129"/>
        <v>57.121999999999993</v>
      </c>
      <c r="EF66" s="745">
        <f t="shared" si="14"/>
        <v>32</v>
      </c>
      <c r="EG66" s="749">
        <v>1</v>
      </c>
      <c r="EH66" s="747">
        <f>VLOOKUP(EF66,'Ціни контур теплопостачання'!$AO$38:$AQ$50,3,0)</f>
        <v>10.773</v>
      </c>
      <c r="EI66" s="748">
        <f t="shared" si="130"/>
        <v>10.773</v>
      </c>
      <c r="EJ66" s="745">
        <f t="shared" si="15"/>
        <v>20</v>
      </c>
      <c r="EK66" s="745">
        <v>1</v>
      </c>
      <c r="EL66" s="758">
        <f>VLOOKUP(EJ66,'Ціни контур теплопостачання'!$AO$38:$AQ$50,3,0)</f>
        <v>4.5359999999999996</v>
      </c>
      <c r="EM66" s="759">
        <f t="shared" si="131"/>
        <v>4.5359999999999996</v>
      </c>
      <c r="EN66" s="745">
        <f t="shared" si="16"/>
        <v>50</v>
      </c>
      <c r="EO66" s="745">
        <f t="shared" si="102"/>
        <v>2</v>
      </c>
      <c r="EP66" s="758">
        <f>VLOOKUP(EN66,'Ціни контур теплопостачання'!$Y$76:$AA$88,3,0)</f>
        <v>20.6</v>
      </c>
      <c r="EQ66" s="759">
        <f t="shared" si="132"/>
        <v>41.2</v>
      </c>
      <c r="ER66" s="745">
        <f t="shared" si="18"/>
        <v>32</v>
      </c>
      <c r="ES66" s="745">
        <v>1</v>
      </c>
      <c r="ET66" s="758">
        <f>VLOOKUP(ER66,'Ціни контур теплопостачання'!$Y$76:$AA$88,3,0)</f>
        <v>13.15</v>
      </c>
      <c r="EU66" s="759">
        <f t="shared" si="133"/>
        <v>13.15</v>
      </c>
      <c r="EV66" s="745">
        <f t="shared" si="19"/>
        <v>20</v>
      </c>
      <c r="EW66" s="745">
        <v>1</v>
      </c>
      <c r="EX66" s="758">
        <f>VLOOKUP(EV66,'Ціни контур теплопостачання'!$Y$76:$AA$88,3,0)</f>
        <v>11.45</v>
      </c>
      <c r="EY66" s="759">
        <f t="shared" si="134"/>
        <v>11.45</v>
      </c>
      <c r="EZ66" s="758">
        <f t="shared" si="95"/>
        <v>21.489997673336308</v>
      </c>
      <c r="FA66" s="955">
        <v>25</v>
      </c>
      <c r="FB66" s="719">
        <v>2</v>
      </c>
      <c r="FC66" s="747">
        <f>VLOOKUP(FA66,'Ціни контур теплопостачання'!$K$74:$M$79,3,0)</f>
        <v>22.22</v>
      </c>
      <c r="FD66" s="761">
        <f t="shared" si="96"/>
        <v>44.44</v>
      </c>
      <c r="FE66" s="762">
        <f t="shared" si="71"/>
        <v>7.4428274428274426</v>
      </c>
      <c r="FF66" s="911">
        <v>5</v>
      </c>
      <c r="FG66" s="900">
        <v>8</v>
      </c>
      <c r="FH66" s="830" t="s">
        <v>1091</v>
      </c>
      <c r="FI66" s="708">
        <v>2</v>
      </c>
      <c r="FJ66" s="709">
        <f>VLOOKUP(FH66,'Ціни контур теплопостачання'!$C$89:$M$105,11,0)</f>
        <v>198.83999999999997</v>
      </c>
      <c r="FK66" s="764">
        <f t="shared" si="135"/>
        <v>397.67999999999995</v>
      </c>
      <c r="FL66" s="912">
        <f t="shared" si="73"/>
        <v>0.59634888438133871</v>
      </c>
      <c r="FM66" s="911">
        <v>5</v>
      </c>
      <c r="FN66" s="900">
        <v>6</v>
      </c>
      <c r="FO66" s="900" t="s">
        <v>1098</v>
      </c>
      <c r="FP66" s="749">
        <v>1</v>
      </c>
      <c r="FQ66" s="747">
        <f>VLOOKUP(FO66,'Ціни контур теплопостачання'!$C$89:$M$105,11,0)</f>
        <v>80.399999999999991</v>
      </c>
      <c r="FR66" s="904">
        <f t="shared" si="136"/>
        <v>80.399999999999991</v>
      </c>
      <c r="FS66" s="758">
        <f t="array" ref="FS66">MIN(IF('Ціни контур теплопостачання'!$AN$68:$AN$77&gt;(V66*1.2),'Ціни контур теплопостачання'!$AN$68:$AN$77))</f>
        <v>22.36</v>
      </c>
      <c r="FT66" s="749">
        <f>VLOOKUP(FS66,'Ціни контур теплопостачання'!$AN$68:$AO$77,2,0)</f>
        <v>40</v>
      </c>
      <c r="FU66" s="749">
        <v>0</v>
      </c>
      <c r="FV66" s="747">
        <f>VLOOKUP(FT66,'Ціни контур теплопостачання'!$AO$68:$AQ$77,3,0)</f>
        <v>43.225000000000001</v>
      </c>
      <c r="FW66" s="765">
        <f t="shared" si="137"/>
        <v>0</v>
      </c>
      <c r="FX66" s="750">
        <v>15</v>
      </c>
      <c r="FY66" s="746">
        <v>2</v>
      </c>
      <c r="FZ66" s="747">
        <f>VLOOKUP(FX66,'Ціни контур мережний'!$J$73:$M$73,4,0)</f>
        <v>3.4649999999999999</v>
      </c>
      <c r="GA66" s="748">
        <f t="shared" si="138"/>
        <v>6.93</v>
      </c>
      <c r="GB66" s="750">
        <f>VLOOKUP(GC66,'Ціни контур теплопостачання'!$AN$6:$AO$13,2,0)</f>
        <v>20</v>
      </c>
      <c r="GC66" s="751">
        <f t="array" ref="GC66">MIN(IF('Ціни контур теплопостачання'!$AN$6:$AN$13&gt;N66,'Ціни контур теплопостачання'!$AN$6:$AN$13))</f>
        <v>2.5</v>
      </c>
      <c r="GD66" s="751">
        <v>1</v>
      </c>
      <c r="GE66" s="747">
        <f>VLOOKUP(GB66,'Ціни контур теплопостачання'!$AO$6:$AQ$13,3,0)</f>
        <v>23.753519999999998</v>
      </c>
      <c r="GF66" s="748">
        <f t="shared" si="139"/>
        <v>23.753519999999998</v>
      </c>
      <c r="GG66" s="746">
        <f t="shared" si="23"/>
        <v>32</v>
      </c>
      <c r="GH66" s="746">
        <v>1</v>
      </c>
      <c r="GI66" s="747">
        <f>VLOOKUP(GG66,'Ціни контур теплопостачання'!$AO$55:$AQ$63,3,0)</f>
        <v>150.1</v>
      </c>
      <c r="GJ66" s="768">
        <f t="shared" si="140"/>
        <v>150.1</v>
      </c>
      <c r="GK66" s="655" t="str">
        <f t="shared" si="150"/>
        <v>0-150</v>
      </c>
      <c r="GL66" s="720">
        <v>1</v>
      </c>
      <c r="GM66" s="747">
        <f>VLOOKUP(GK66,'Ціни контур мережний'!$I$79:$M$80,5,0)</f>
        <v>15.050156291498967</v>
      </c>
      <c r="GN66" s="748">
        <f t="shared" si="141"/>
        <v>15.050156291498967</v>
      </c>
      <c r="GO66" s="758" t="s">
        <v>109</v>
      </c>
      <c r="GP66" s="749">
        <v>1</v>
      </c>
      <c r="GQ66" s="747">
        <f>VLOOKUP(GO66,'Ціни контур мережний'!$I$79:$M$80,5,0)</f>
        <v>15.050156291498967</v>
      </c>
      <c r="GR66" s="765">
        <f t="shared" si="142"/>
        <v>15.050156291498967</v>
      </c>
      <c r="GS66" s="655" t="s">
        <v>108</v>
      </c>
      <c r="GT66" s="720">
        <v>3</v>
      </c>
      <c r="GU66" s="747">
        <f>VLOOKUP(GS66,'Ціни контур мережний'!$I$67:$M$69,5,0)</f>
        <v>4.4537969640631703</v>
      </c>
      <c r="GV66" s="748">
        <f t="shared" si="143"/>
        <v>13.361390892189512</v>
      </c>
      <c r="GW66" s="655" t="s">
        <v>106</v>
      </c>
      <c r="GX66" s="720">
        <f>11</f>
        <v>11</v>
      </c>
      <c r="GY66" s="747">
        <f>VLOOKUP(GW66,'Ціни контур мережний'!$I$67:$M$69,5,0)</f>
        <v>4.4537969640631703</v>
      </c>
      <c r="GZ66" s="748">
        <f t="shared" si="144"/>
        <v>48.991766604694874</v>
      </c>
      <c r="HA66" s="655" t="s">
        <v>1013</v>
      </c>
      <c r="HB66" s="720">
        <v>4</v>
      </c>
      <c r="HC66" s="747">
        <f>VLOOKUP(HA66,'Ціни контур мережний'!$I$64:$M$64,5,0)</f>
        <v>29.1312</v>
      </c>
      <c r="HD66" s="748">
        <f t="shared" si="145"/>
        <v>116.5248</v>
      </c>
      <c r="HE66" s="766" t="s">
        <v>1015</v>
      </c>
      <c r="HF66" s="749">
        <v>6</v>
      </c>
      <c r="HG66" s="747">
        <f>VLOOKUP(HE66,'Ціни контур мережний'!$I$89:$M$89,5,0)</f>
        <v>79.523165325760516</v>
      </c>
      <c r="HH66" s="765">
        <f t="shared" si="146"/>
        <v>477.1389919545631</v>
      </c>
      <c r="HI66" s="917" t="s">
        <v>1016</v>
      </c>
      <c r="HJ66" s="720">
        <f t="shared" si="152"/>
        <v>7</v>
      </c>
      <c r="HK66" s="747">
        <f>VLOOKUP(HI66,'Ціни контур мережний'!$I$88:$M$88,5,0)</f>
        <v>13.211568975967202</v>
      </c>
      <c r="HL66" s="768">
        <f t="shared" si="147"/>
        <v>92.480982831770419</v>
      </c>
      <c r="HM66" s="917" t="s">
        <v>383</v>
      </c>
      <c r="HN66" s="720">
        <v>1</v>
      </c>
      <c r="HO66" s="747">
        <f>VLOOKUP(HM66,'Ціни контур мережний'!$I$87:$M$87,5,0)</f>
        <v>13.483972460007763</v>
      </c>
      <c r="HP66" s="748">
        <f t="shared" si="148"/>
        <v>13.483972460007763</v>
      </c>
      <c r="HQ66" s="769">
        <f t="shared" si="97"/>
        <v>96</v>
      </c>
      <c r="HR66" s="770">
        <f t="shared" si="87"/>
        <v>4086.9375358256275</v>
      </c>
      <c r="HS66" s="771">
        <v>0</v>
      </c>
      <c r="HT66" s="771">
        <f>'Таблиця цін схема №1'!$JE$44/'Ціни контур мережний'!$G$26</f>
        <v>476.70609707098151</v>
      </c>
      <c r="HU66" s="770">
        <f>'Таблиця цін схема №1'!$JG$8</f>
        <v>661.80181284518619</v>
      </c>
      <c r="HV66" s="770">
        <f>'Таблиця цін схема №1'!$JH$8</f>
        <v>487.81784379022207</v>
      </c>
      <c r="HW66" s="770">
        <f>'Таблиця цін схема №1'!$JI$8</f>
        <v>323.47913729816605</v>
      </c>
      <c r="HX66" s="770">
        <f>'Таблиця цін схема №1'!$JJ$8</f>
        <v>66.611999999999995</v>
      </c>
      <c r="HY66" s="770">
        <f>'Таблиця цін схема №1'!$JK$28</f>
        <v>0</v>
      </c>
      <c r="HZ66" s="772">
        <f>'Таблиця цін схема №1'!$JL$8</f>
        <v>62.86234247089866</v>
      </c>
      <c r="IA66" s="770">
        <f>'Таблиця цін схема №1'!$JM$28</f>
        <v>0</v>
      </c>
      <c r="IB66" s="770">
        <v>0</v>
      </c>
      <c r="IC66" s="913">
        <f t="shared" si="98"/>
        <v>431.63517385107582</v>
      </c>
      <c r="ID66" s="914">
        <f t="shared" si="99"/>
        <v>616.62167693010826</v>
      </c>
      <c r="IE66" s="915">
        <f t="shared" si="100"/>
        <v>106.07424728623209</v>
      </c>
      <c r="IF66" s="776">
        <f>'Таблиця цін схема №1'!$JR$8</f>
        <v>300.63036461094771</v>
      </c>
      <c r="IG66" s="777">
        <f t="shared" si="88"/>
        <v>7621.1782319794456</v>
      </c>
      <c r="II66" s="835"/>
      <c r="IJ66" s="835"/>
      <c r="IK66" s="835"/>
      <c r="IL66" s="835"/>
    </row>
    <row r="67" spans="2:246" s="780" customFormat="1" ht="12.6" customHeight="1">
      <c r="B67" s="905">
        <v>97</v>
      </c>
      <c r="C67" s="1056" t="s">
        <v>883</v>
      </c>
      <c r="D67" s="906">
        <v>8.9499999999999996E-2</v>
      </c>
      <c r="E67" s="907">
        <v>4.9000000000000002E-2</v>
      </c>
      <c r="F67" s="908">
        <f t="shared" si="28"/>
        <v>2.8513415176761203</v>
      </c>
      <c r="G67" s="599">
        <v>40</v>
      </c>
      <c r="H67" s="598">
        <f t="shared" si="29"/>
        <v>1.5987852804573062</v>
      </c>
      <c r="I67" s="599">
        <v>25</v>
      </c>
      <c r="J67" s="598">
        <f t="shared" si="30"/>
        <v>3.7214137214137213</v>
      </c>
      <c r="K67" s="599">
        <v>40</v>
      </c>
      <c r="L67" s="598">
        <f t="shared" si="31"/>
        <v>1.2525562372188139</v>
      </c>
      <c r="M67" s="599">
        <v>25</v>
      </c>
      <c r="N67" s="598">
        <f t="shared" si="32"/>
        <v>0.99391480730223125</v>
      </c>
      <c r="O67" s="599">
        <v>25</v>
      </c>
      <c r="P67" s="598">
        <f t="shared" si="153"/>
        <v>0.29817444219066935</v>
      </c>
      <c r="Q67" s="599">
        <v>20</v>
      </c>
      <c r="R67" s="598">
        <f t="shared" si="33"/>
        <v>2.2610238269451948</v>
      </c>
      <c r="S67" s="600">
        <f t="shared" si="104"/>
        <v>1.7713820183098583</v>
      </c>
      <c r="T67" s="910">
        <v>2</v>
      </c>
      <c r="U67" s="601">
        <f t="shared" si="35"/>
        <v>1.8607068607068606</v>
      </c>
      <c r="V67" s="601">
        <f t="shared" si="36"/>
        <v>2.6314368780123076</v>
      </c>
      <c r="W67" s="850">
        <v>32</v>
      </c>
      <c r="X67" s="751">
        <f t="shared" si="0"/>
        <v>40</v>
      </c>
      <c r="Y67" s="746">
        <v>2</v>
      </c>
      <c r="Z67" s="747">
        <f>VLOOKUP(X67,'Ціни контур мережний'!$Z$24:$AB$36,3,0)</f>
        <v>18.42400964308333</v>
      </c>
      <c r="AA67" s="748">
        <f t="shared" si="105"/>
        <v>36.848019286166661</v>
      </c>
      <c r="AB67" s="749">
        <f t="shared" si="1"/>
        <v>40</v>
      </c>
      <c r="AC67" s="749">
        <v>2</v>
      </c>
      <c r="AD67" s="747">
        <f>VLOOKUP(AB67,'Ціни контур мережний'!$Z$64:$AB$77,3,0)</f>
        <v>72.595528496809465</v>
      </c>
      <c r="AE67" s="748">
        <f t="shared" si="106"/>
        <v>145.19105699361893</v>
      </c>
      <c r="AF67" s="746">
        <f t="shared" si="2"/>
        <v>40</v>
      </c>
      <c r="AG67" s="746">
        <v>0</v>
      </c>
      <c r="AH67" s="747">
        <f>VLOOKUP(AF67,'Ціни контур мережний'!$Z$5:$AB$17,3,0)</f>
        <v>23.225999999999999</v>
      </c>
      <c r="AI67" s="748">
        <f t="shared" si="107"/>
        <v>0</v>
      </c>
      <c r="AJ67" s="746">
        <f t="shared" si="3"/>
        <v>25</v>
      </c>
      <c r="AK67" s="746">
        <v>1</v>
      </c>
      <c r="AL67" s="747">
        <f>VLOOKUP(AJ67,'Ціни контур мережний'!$Z$43:$AB$55,3,0)</f>
        <v>14.856886019572187</v>
      </c>
      <c r="AM67" s="748">
        <f t="shared" si="108"/>
        <v>14.856886019572187</v>
      </c>
      <c r="AN67" s="745">
        <f t="shared" si="4"/>
        <v>25</v>
      </c>
      <c r="AO67" s="749">
        <v>4</v>
      </c>
      <c r="AP67" s="747">
        <f>VLOOKUP(AN67,'Ціни контур мережний'!$Z$43:$AB$55,3,0)</f>
        <v>14.856886019572187</v>
      </c>
      <c r="AQ67" s="759">
        <f t="shared" si="109"/>
        <v>59.427544078288747</v>
      </c>
      <c r="AR67" s="751" t="str">
        <f t="shared" si="42"/>
        <v>AMV20</v>
      </c>
      <c r="AS67" s="751">
        <v>1</v>
      </c>
      <c r="AT67" s="747">
        <f>VLOOKUP(AR67,'Ціни контур мережний'!$I$53:$M$57,5,0)</f>
        <v>110.39869654932889</v>
      </c>
      <c r="AU67" s="748">
        <f t="shared" si="110"/>
        <v>110.39869654932889</v>
      </c>
      <c r="AV67" s="752">
        <f t="array" ref="AV67">MIN(IF('Ціни контур мережний'!$Y$83:$Y$92&gt;(R67*1.2),'Ціни контур мережний'!$Y$83:$Y$92))</f>
        <v>4</v>
      </c>
      <c r="AW67" s="746">
        <f>VLOOKUP(AV67,'Ціни контур мережний'!$Y$83:$Z$92,2,0)</f>
        <v>15</v>
      </c>
      <c r="AX67" s="746">
        <v>1</v>
      </c>
      <c r="AY67" s="747">
        <f>VLOOKUP(AV67,'Ціни контур мережний'!$Y$83:$AB$92,4,0)</f>
        <v>104.44472592804462</v>
      </c>
      <c r="AZ67" s="748">
        <f t="shared" si="111"/>
        <v>104.44472592804462</v>
      </c>
      <c r="BA67" s="1099">
        <f t="array" ref="BA67">MIN(IF('[1]Ціни контур мережний'!$Y$104:$Y$114&gt;(R67*1.2),'[1]Ціни контур мережний'!$Y$104:$Y$114))</f>
        <v>4</v>
      </c>
      <c r="BB67" s="1101">
        <f>VLOOKUP(BA67,'[1]Ціни контур мережний'!$Y$104:$Z$114,2,0)</f>
        <v>15</v>
      </c>
      <c r="BC67" s="753">
        <v>1</v>
      </c>
      <c r="BD67" s="754">
        <f>VLOOKUP(BA67,'Ціни контур мережний'!$Y$104:$AB$114,4,0)</f>
        <v>251.13923223078018</v>
      </c>
      <c r="BE67" s="755">
        <f t="shared" si="112"/>
        <v>251.13923223078018</v>
      </c>
      <c r="BF67" s="751" t="s">
        <v>67</v>
      </c>
      <c r="BG67" s="749">
        <v>1</v>
      </c>
      <c r="BH67" s="747">
        <f>VLOOKUP(BF67,'Ціни контур мережний'!$I$53:$M$57,5,0)</f>
        <v>157.67238032974441</v>
      </c>
      <c r="BI67" s="768">
        <f t="shared" si="113"/>
        <v>157.67238032974441</v>
      </c>
      <c r="BJ67" s="894">
        <f t="array" ref="BJ67">MIN(IF('Ціни контур мережний'!$Y$83:$Y$93&gt;(S67*1.2),'Ціни контур мережний'!$Y$83:$Y$93))</f>
        <v>2.5</v>
      </c>
      <c r="BK67" s="895">
        <f>VLOOKUP(BJ67,'Ціни контур мережний'!$Y$83:$Z$93,2,0)</f>
        <v>15</v>
      </c>
      <c r="BL67" s="895">
        <v>1</v>
      </c>
      <c r="BM67" s="896">
        <f>VLOOKUP(BJ67,'Ціни контур мережний'!$Y$83:$AB$93,4,0)</f>
        <v>104.44472592804462</v>
      </c>
      <c r="BN67" s="916">
        <f t="shared" si="114"/>
        <v>104.44472592804462</v>
      </c>
      <c r="BO67" s="896">
        <f t="array" ref="BO67">MIN(IF('Ціни контур мережний'!$Y$104:$Y$114&gt;(S67*1.2),'Ціни контур мережний'!$Y$104:$Y$114))</f>
        <v>4</v>
      </c>
      <c r="BP67" s="895">
        <f>VLOOKUP(BO67,'Ціни контур мережний'!$Y$104:$Z$114,2,0)</f>
        <v>15</v>
      </c>
      <c r="BQ67" s="895">
        <v>1</v>
      </c>
      <c r="BR67" s="896">
        <f>VLOOKUP(BO67,'Ціни контур мережний'!$Y$104:$AB$114,4,0)</f>
        <v>251.13923223078018</v>
      </c>
      <c r="BS67" s="897">
        <f t="shared" si="115"/>
        <v>251.13923223078018</v>
      </c>
      <c r="BT67" s="751" t="s">
        <v>115</v>
      </c>
      <c r="BU67" s="751" t="s">
        <v>115</v>
      </c>
      <c r="BV67" s="746" t="s">
        <v>1025</v>
      </c>
      <c r="BW67" s="756">
        <v>0</v>
      </c>
      <c r="BX67" s="747">
        <v>0</v>
      </c>
      <c r="BY67" s="748">
        <f t="shared" si="116"/>
        <v>0</v>
      </c>
      <c r="BZ67" s="745">
        <f>VLOOKUP(CA67,'Ціни контур мережний'!$J$5:$L$12,3,0)</f>
        <v>15</v>
      </c>
      <c r="CA67" s="747">
        <f t="array" ref="CA67">MIN(IF('Ціни контур мережний'!$J$5:$J$12&gt;L67,'Ціни контур мережний'!$J$5:$J$12))</f>
        <v>1.5</v>
      </c>
      <c r="CB67" s="746" t="s">
        <v>130</v>
      </c>
      <c r="CC67" s="749">
        <v>1</v>
      </c>
      <c r="CD67" s="747">
        <f>VLOOKUP(CA67,'Ціни контур мережний'!$J$5:$N$12,5,0)</f>
        <v>246.38399999999999</v>
      </c>
      <c r="CE67" s="748">
        <f t="shared" si="117"/>
        <v>246.38399999999999</v>
      </c>
      <c r="CF67" s="898" t="s">
        <v>1383</v>
      </c>
      <c r="CG67" s="899">
        <v>1</v>
      </c>
      <c r="CH67" s="900">
        <v>290</v>
      </c>
      <c r="CI67" s="901">
        <f t="shared" si="118"/>
        <v>290</v>
      </c>
      <c r="CJ67" s="751">
        <f t="shared" si="5"/>
        <v>40</v>
      </c>
      <c r="CK67" s="746">
        <v>4</v>
      </c>
      <c r="CL67" s="747">
        <f>VLOOKUP(CJ67,'Ціни контур теплопостачання'!$Y$5:$AA$17,3,0)</f>
        <v>18.42400964308333</v>
      </c>
      <c r="CM67" s="748">
        <f t="shared" si="119"/>
        <v>73.696038572333322</v>
      </c>
      <c r="CN67" s="746">
        <f t="shared" si="6"/>
        <v>25</v>
      </c>
      <c r="CO67" s="746">
        <v>6</v>
      </c>
      <c r="CP67" s="747">
        <f>VLOOKUP(CN67,'Ціни контур теплопостачання'!$AO$20:$AQ$29,3,0)</f>
        <v>6.3070000000000004</v>
      </c>
      <c r="CQ67" s="748">
        <f t="shared" si="120"/>
        <v>37.841999999999999</v>
      </c>
      <c r="CR67" s="746">
        <f t="shared" si="7"/>
        <v>20</v>
      </c>
      <c r="CS67" s="746">
        <v>3</v>
      </c>
      <c r="CT67" s="747">
        <f>VLOOKUP(CR67,'Ціни контур теплопостачання'!$AO$20:$AQ$29,3,0)</f>
        <v>3.577</v>
      </c>
      <c r="CU67" s="748">
        <f t="shared" si="121"/>
        <v>10.731</v>
      </c>
      <c r="CV67" s="746">
        <f t="shared" si="8"/>
        <v>32</v>
      </c>
      <c r="CW67" s="746">
        <f t="shared" si="101"/>
        <v>4</v>
      </c>
      <c r="CX67" s="747">
        <f>VLOOKUP(CV67,'Ціни контур теплопостачання'!$Y$5:$AA$17,3,0)</f>
        <v>10.381</v>
      </c>
      <c r="CY67" s="748">
        <f t="shared" si="122"/>
        <v>41.524000000000001</v>
      </c>
      <c r="CZ67" s="745">
        <v>20</v>
      </c>
      <c r="DA67" s="749">
        <v>2</v>
      </c>
      <c r="DB67" s="747">
        <f>VLOOKUP(CZ67,'Ціни контур теплопостачання'!$Y$5:$AA$17,3,0)</f>
        <v>3.577</v>
      </c>
      <c r="DC67" s="748">
        <f t="shared" si="123"/>
        <v>7.1539999999999999</v>
      </c>
      <c r="DD67" s="745">
        <v>15</v>
      </c>
      <c r="DE67" s="745">
        <v>8</v>
      </c>
      <c r="DF67" s="758">
        <f>VLOOKUP(DD67,'Ціни контур теплопостачання'!$Y$5:$AA$17,3,0)</f>
        <v>2.464</v>
      </c>
      <c r="DG67" s="759">
        <f t="shared" si="124"/>
        <v>19.712</v>
      </c>
      <c r="DH67" s="745">
        <v>15</v>
      </c>
      <c r="DI67" s="745">
        <f t="shared" si="58"/>
        <v>37</v>
      </c>
      <c r="DJ67" s="758">
        <f>VLOOKUP(DH67,'Ціни контур мережний'!$J$71:$M$71,4,0)</f>
        <v>3.3865201135922525</v>
      </c>
      <c r="DK67" s="759">
        <f t="shared" si="125"/>
        <v>125.30124420291334</v>
      </c>
      <c r="DL67" s="751">
        <f t="shared" si="10"/>
        <v>40</v>
      </c>
      <c r="DM67" s="746">
        <v>1</v>
      </c>
      <c r="DN67" s="747">
        <f>VLOOKUP(DL67,'Ціни контур теплопостачання'!$K$5:$M$17,3,0)</f>
        <v>23.225999999999999</v>
      </c>
      <c r="DO67" s="748">
        <f t="shared" si="126"/>
        <v>23.225999999999999</v>
      </c>
      <c r="DP67" s="745">
        <f t="shared" si="11"/>
        <v>25</v>
      </c>
      <c r="DQ67" s="749">
        <v>1</v>
      </c>
      <c r="DR67" s="747">
        <f>VLOOKUP(DP67,'Ціни контур теплопостачання'!$K$5:$M$17,3,0)</f>
        <v>4.78</v>
      </c>
      <c r="DS67" s="748">
        <f t="shared" si="127"/>
        <v>4.78</v>
      </c>
      <c r="DT67" s="745">
        <f t="shared" si="12"/>
        <v>20</v>
      </c>
      <c r="DU67" s="745">
        <v>1</v>
      </c>
      <c r="DV67" s="758">
        <f>VLOOKUP(DT67,'Ціни контур теплопостачання'!$K$5:$M$17,3,0)</f>
        <v>3.48</v>
      </c>
      <c r="DW67" s="759">
        <f t="shared" si="128"/>
        <v>3.48</v>
      </c>
      <c r="DX67" s="745">
        <f t="shared" si="63"/>
        <v>40</v>
      </c>
      <c r="DY67" s="745">
        <v>1</v>
      </c>
      <c r="DZ67" s="758">
        <f>VLOOKUP(DX67,'Ціни контур теплопостачання'!$Y$24:$AA$36,3,0)</f>
        <v>20.3645</v>
      </c>
      <c r="EA67" s="759">
        <f t="shared" si="64"/>
        <v>20.3645</v>
      </c>
      <c r="EB67" s="751">
        <f t="shared" si="13"/>
        <v>40</v>
      </c>
      <c r="EC67" s="746">
        <v>2</v>
      </c>
      <c r="ED67" s="747">
        <f>VLOOKUP(EB67,'Ціни контур теплопостачання'!$Y$24:$AA$36,3,0)</f>
        <v>20.3645</v>
      </c>
      <c r="EE67" s="748">
        <f t="shared" si="129"/>
        <v>40.728999999999999</v>
      </c>
      <c r="EF67" s="745">
        <f t="shared" si="14"/>
        <v>25</v>
      </c>
      <c r="EG67" s="749">
        <v>1</v>
      </c>
      <c r="EH67" s="747">
        <f>VLOOKUP(EF67,'Ціни контур теплопостачання'!$AO$38:$AQ$50,3,0)</f>
        <v>6.9659999999999993</v>
      </c>
      <c r="EI67" s="748">
        <f t="shared" si="130"/>
        <v>6.9659999999999993</v>
      </c>
      <c r="EJ67" s="745">
        <f t="shared" si="15"/>
        <v>20</v>
      </c>
      <c r="EK67" s="745">
        <v>1</v>
      </c>
      <c r="EL67" s="758">
        <f>VLOOKUP(EJ67,'Ціни контур теплопостачання'!$AO$38:$AQ$50,3,0)</f>
        <v>4.5359999999999996</v>
      </c>
      <c r="EM67" s="759">
        <f t="shared" si="131"/>
        <v>4.5359999999999996</v>
      </c>
      <c r="EN67" s="745">
        <f t="shared" si="16"/>
        <v>32</v>
      </c>
      <c r="EO67" s="745">
        <f t="shared" si="102"/>
        <v>4</v>
      </c>
      <c r="EP67" s="758">
        <f>VLOOKUP(EN67,'Ціни контур теплопостачання'!$Y$76:$AA$88,3,0)</f>
        <v>13.15</v>
      </c>
      <c r="EQ67" s="759">
        <f t="shared" si="132"/>
        <v>52.6</v>
      </c>
      <c r="ER67" s="745">
        <f t="shared" si="18"/>
        <v>25</v>
      </c>
      <c r="ES67" s="745">
        <v>1</v>
      </c>
      <c r="ET67" s="758">
        <f>VLOOKUP(ER67,'Ціни контур теплопостачання'!$Y$76:$AA$88,3,0)</f>
        <v>11.45</v>
      </c>
      <c r="EU67" s="759">
        <f t="shared" si="133"/>
        <v>11.45</v>
      </c>
      <c r="EV67" s="745">
        <f t="shared" si="19"/>
        <v>20</v>
      </c>
      <c r="EW67" s="745">
        <v>1</v>
      </c>
      <c r="EX67" s="758">
        <f>VLOOKUP(EV67,'Ціни контур теплопостачання'!$Y$76:$AA$88,3,0)</f>
        <v>11.45</v>
      </c>
      <c r="EY67" s="759">
        <f t="shared" si="134"/>
        <v>11.45</v>
      </c>
      <c r="EZ67" s="758">
        <f t="shared" si="95"/>
        <v>15.195723082499233</v>
      </c>
      <c r="FA67" s="955">
        <v>15</v>
      </c>
      <c r="FB67" s="719">
        <v>2</v>
      </c>
      <c r="FC67" s="747">
        <f>VLOOKUP(FA67,'Ціни контур теплопостачання'!$K$74:$M$79,3,0)</f>
        <v>13.33</v>
      </c>
      <c r="FD67" s="761">
        <f t="shared" si="96"/>
        <v>26.66</v>
      </c>
      <c r="FE67" s="762">
        <f t="shared" si="71"/>
        <v>3.7214137214137213</v>
      </c>
      <c r="FF67" s="911">
        <v>5</v>
      </c>
      <c r="FG67" s="900">
        <v>8</v>
      </c>
      <c r="FH67" s="830" t="s">
        <v>120</v>
      </c>
      <c r="FI67" s="708">
        <v>2</v>
      </c>
      <c r="FJ67" s="709">
        <f>VLOOKUP(FH67,'Ціни контур теплопостачання'!$C$89:$M$105,11,0)</f>
        <v>198.83999999999997</v>
      </c>
      <c r="FK67" s="764">
        <f t="shared" si="135"/>
        <v>397.67999999999995</v>
      </c>
      <c r="FL67" s="912">
        <f t="shared" si="73"/>
        <v>0.29817444219066935</v>
      </c>
      <c r="FM67" s="911">
        <v>5</v>
      </c>
      <c r="FN67" s="900">
        <v>6</v>
      </c>
      <c r="FO67" s="900" t="s">
        <v>1098</v>
      </c>
      <c r="FP67" s="749">
        <v>1</v>
      </c>
      <c r="FQ67" s="747">
        <f>VLOOKUP(FO67,'Ціни контур теплопостачання'!$C$89:$M$105,11,0)</f>
        <v>80.399999999999991</v>
      </c>
      <c r="FR67" s="904">
        <f t="shared" si="136"/>
        <v>80.399999999999991</v>
      </c>
      <c r="FS67" s="758">
        <f t="array" ref="FS67">MIN(IF('Ціни контур теплопостачання'!$AN$68:$AN$77&gt;(V67*1.2),'Ціни контур теплопостачання'!$AN$68:$AN$77))</f>
        <v>3.25</v>
      </c>
      <c r="FT67" s="749">
        <f>VLOOKUP(FS67,'Ціни контур теплопостачання'!$AN$68:$AO$77,2,0)</f>
        <v>20</v>
      </c>
      <c r="FU67" s="749">
        <f t="shared" si="103"/>
        <v>2</v>
      </c>
      <c r="FV67" s="747">
        <f>VLOOKUP(FT67,'Ціни контур теплопостачання'!$AO$68:$AQ$77,3,0)</f>
        <v>25.102</v>
      </c>
      <c r="FW67" s="765">
        <f t="shared" si="137"/>
        <v>50.204000000000001</v>
      </c>
      <c r="FX67" s="750">
        <v>15</v>
      </c>
      <c r="FY67" s="746">
        <v>2</v>
      </c>
      <c r="FZ67" s="747">
        <f>VLOOKUP(FX67,'Ціни контур мережний'!$J$73:$M$73,4,0)</f>
        <v>3.4649999999999999</v>
      </c>
      <c r="GA67" s="748">
        <f t="shared" si="138"/>
        <v>6.93</v>
      </c>
      <c r="GB67" s="750">
        <f>VLOOKUP(GC67,'Ціни контур теплопостачання'!$AN$6:$AO$13,2,0)</f>
        <v>15</v>
      </c>
      <c r="GC67" s="751">
        <f t="array" ref="GC67">MIN(IF('Ціни контур теплопостачання'!$AN$6:$AN$13&gt;N67,'Ціни контур теплопостачання'!$AN$6:$AN$13))</f>
        <v>1.5</v>
      </c>
      <c r="GD67" s="751">
        <v>1</v>
      </c>
      <c r="GE67" s="747">
        <f>VLOOKUP(GB67,'Ціни контур теплопостачання'!$AO$6:$AQ$13,3,0)</f>
        <v>19.51182</v>
      </c>
      <c r="GF67" s="748">
        <f t="shared" si="139"/>
        <v>19.51182</v>
      </c>
      <c r="GG67" s="746">
        <f t="shared" si="23"/>
        <v>25</v>
      </c>
      <c r="GH67" s="746">
        <v>1</v>
      </c>
      <c r="GI67" s="747">
        <f>VLOOKUP(GG67,'Ціни контур теплопостачання'!$AO$55:$AQ$63,3,0)</f>
        <v>122.45</v>
      </c>
      <c r="GJ67" s="768">
        <f t="shared" si="140"/>
        <v>122.45</v>
      </c>
      <c r="GK67" s="655" t="str">
        <f t="shared" si="150"/>
        <v>0-150</v>
      </c>
      <c r="GL67" s="720">
        <v>1</v>
      </c>
      <c r="GM67" s="747">
        <f>VLOOKUP(GK67,'Ціни контур мережний'!$I$79:$M$80,5,0)</f>
        <v>15.050156291498967</v>
      </c>
      <c r="GN67" s="748">
        <f t="shared" si="141"/>
        <v>15.050156291498967</v>
      </c>
      <c r="GO67" s="758" t="s">
        <v>109</v>
      </c>
      <c r="GP67" s="749">
        <v>1</v>
      </c>
      <c r="GQ67" s="747">
        <f>VLOOKUP(GO67,'Ціни контур мережний'!$I$79:$M$80,5,0)</f>
        <v>15.050156291498967</v>
      </c>
      <c r="GR67" s="765">
        <f t="shared" si="142"/>
        <v>15.050156291498967</v>
      </c>
      <c r="GS67" s="655" t="s">
        <v>108</v>
      </c>
      <c r="GT67" s="720">
        <v>3</v>
      </c>
      <c r="GU67" s="747">
        <f>VLOOKUP(GS67,'Ціни контур мережний'!$I$67:$M$69,5,0)</f>
        <v>4.4537969640631703</v>
      </c>
      <c r="GV67" s="748">
        <f t="shared" si="143"/>
        <v>13.361390892189512</v>
      </c>
      <c r="GW67" s="655" t="s">
        <v>106</v>
      </c>
      <c r="GX67" s="720">
        <f>11+T67</f>
        <v>13</v>
      </c>
      <c r="GY67" s="747">
        <f>VLOOKUP(GW67,'Ціни контур мережний'!$I$67:$M$69,5,0)</f>
        <v>4.4537969640631703</v>
      </c>
      <c r="GZ67" s="748">
        <f t="shared" si="144"/>
        <v>57.899360532821213</v>
      </c>
      <c r="HA67" s="655" t="s">
        <v>1013</v>
      </c>
      <c r="HB67" s="720">
        <v>4</v>
      </c>
      <c r="HC67" s="747">
        <f>VLOOKUP(HA67,'Ціни контур мережний'!$I$64:$M$64,5,0)</f>
        <v>29.1312</v>
      </c>
      <c r="HD67" s="748">
        <f t="shared" si="145"/>
        <v>116.5248</v>
      </c>
      <c r="HE67" s="766" t="s">
        <v>1015</v>
      </c>
      <c r="HF67" s="749">
        <v>6</v>
      </c>
      <c r="HG67" s="747">
        <f>VLOOKUP(HE67,'Ціни контур мережний'!$I$89:$M$89,5,0)</f>
        <v>79.523165325760516</v>
      </c>
      <c r="HH67" s="765">
        <f t="shared" si="146"/>
        <v>477.1389919545631</v>
      </c>
      <c r="HI67" s="778" t="s">
        <v>1016</v>
      </c>
      <c r="HJ67" s="720">
        <f t="shared" si="152"/>
        <v>7</v>
      </c>
      <c r="HK67" s="747">
        <f>VLOOKUP(HI67,'Ціни контур мережний'!$I$88:$M$88,5,0)</f>
        <v>13.211568975967202</v>
      </c>
      <c r="HL67" s="768">
        <f t="shared" si="147"/>
        <v>92.480982831770419</v>
      </c>
      <c r="HM67" s="757" t="s">
        <v>383</v>
      </c>
      <c r="HN67" s="720">
        <v>1</v>
      </c>
      <c r="HO67" s="747">
        <f>VLOOKUP(HM67,'Ціни контур мережний'!$I$87:$M$87,5,0)</f>
        <v>13.483972460007763</v>
      </c>
      <c r="HP67" s="748">
        <f t="shared" si="148"/>
        <v>13.483972460007763</v>
      </c>
      <c r="HQ67" s="769">
        <f t="shared" si="97"/>
        <v>97</v>
      </c>
      <c r="HR67" s="770">
        <f t="shared" si="87"/>
        <v>3772.3139136039649</v>
      </c>
      <c r="HS67" s="771">
        <v>0</v>
      </c>
      <c r="HT67" s="771">
        <f>'Таблиця цін схема №1'!$JE$43/'Ціни контур мережний'!$G$26</f>
        <v>340.50435505070107</v>
      </c>
      <c r="HU67" s="770">
        <f>'Таблиця цін схема №1'!$JG$8</f>
        <v>661.80181284518619</v>
      </c>
      <c r="HV67" s="770">
        <f>'Таблиця цін схема №1'!$JH$8</f>
        <v>487.81784379022207</v>
      </c>
      <c r="HW67" s="770">
        <f>'Таблиця цін схема №1'!$JI$8</f>
        <v>323.47913729816605</v>
      </c>
      <c r="HX67" s="770">
        <f>'Таблиця цін схема №1'!$JJ$8</f>
        <v>66.611999999999995</v>
      </c>
      <c r="HY67" s="770">
        <f>'Таблиця цін схема №1'!$JK$28</f>
        <v>0</v>
      </c>
      <c r="HZ67" s="772">
        <f>'Таблиця цін схема №1'!$JL$8</f>
        <v>62.86234247089866</v>
      </c>
      <c r="IA67" s="770">
        <f>'Таблиця цін схема №1'!$JM$28</f>
        <v>0</v>
      </c>
      <c r="IB67" s="770">
        <v>0</v>
      </c>
      <c r="IC67" s="913">
        <f t="shared" si="98"/>
        <v>400.0773983541398</v>
      </c>
      <c r="ID67" s="914">
        <f t="shared" si="99"/>
        <v>571.53914050591391</v>
      </c>
      <c r="IE67" s="915">
        <f t="shared" si="100"/>
        <v>98.318931026903556</v>
      </c>
      <c r="IF67" s="776">
        <f>'Таблиця цін схема №1'!$JR$8</f>
        <v>300.63036461094771</v>
      </c>
      <c r="IG67" s="777">
        <f t="shared" si="88"/>
        <v>7085.9572395570431</v>
      </c>
      <c r="II67" s="835"/>
      <c r="IJ67" s="835"/>
      <c r="IK67" s="835"/>
      <c r="IL67" s="835"/>
    </row>
    <row r="68" spans="2:246" s="780" customFormat="1" ht="12.6" customHeight="1">
      <c r="B68" s="905">
        <v>98</v>
      </c>
      <c r="C68" s="1056" t="s">
        <v>884</v>
      </c>
      <c r="D68" s="906">
        <v>5.1740000000000001E-2</v>
      </c>
      <c r="E68" s="907">
        <v>3.5000000000000003E-2</v>
      </c>
      <c r="F68" s="908">
        <f t="shared" si="28"/>
        <v>1.8189416903933702</v>
      </c>
      <c r="G68" s="599">
        <v>40</v>
      </c>
      <c r="H68" s="598">
        <f t="shared" si="29"/>
        <v>0.92425866380850297</v>
      </c>
      <c r="I68" s="599">
        <v>20</v>
      </c>
      <c r="J68" s="598">
        <f t="shared" si="30"/>
        <v>2.1513513513513516</v>
      </c>
      <c r="K68" s="599">
        <v>32</v>
      </c>
      <c r="L68" s="598">
        <f t="shared" si="31"/>
        <v>0.89468302658486709</v>
      </c>
      <c r="M68" s="599">
        <v>20</v>
      </c>
      <c r="N68" s="598">
        <f t="shared" si="32"/>
        <v>0.70993914807302239</v>
      </c>
      <c r="O68" s="599">
        <v>20</v>
      </c>
      <c r="P68" s="598">
        <f t="shared" si="153"/>
        <v>0.2129817444219067</v>
      </c>
      <c r="Q68" s="599">
        <v>20</v>
      </c>
      <c r="R68" s="598">
        <f t="shared" si="33"/>
        <v>1.3070991374988197</v>
      </c>
      <c r="S68" s="600">
        <f t="shared" si="104"/>
        <v>1.2652728702213274</v>
      </c>
      <c r="T68" s="910">
        <v>2</v>
      </c>
      <c r="U68" s="601">
        <f t="shared" si="35"/>
        <v>1.0756756756756758</v>
      </c>
      <c r="V68" s="601">
        <f t="shared" si="36"/>
        <v>1.5212351292553834</v>
      </c>
      <c r="W68" s="850">
        <v>20</v>
      </c>
      <c r="X68" s="751">
        <f t="shared" si="0"/>
        <v>40</v>
      </c>
      <c r="Y68" s="746">
        <v>2</v>
      </c>
      <c r="Z68" s="747">
        <f>VLOOKUP(X68,'Ціни контур мережний'!$Z$24:$AB$36,3,0)</f>
        <v>18.42400964308333</v>
      </c>
      <c r="AA68" s="748">
        <f t="shared" si="105"/>
        <v>36.848019286166661</v>
      </c>
      <c r="AB68" s="749">
        <f t="shared" si="1"/>
        <v>40</v>
      </c>
      <c r="AC68" s="749">
        <v>2</v>
      </c>
      <c r="AD68" s="747">
        <f>VLOOKUP(AB68,'Ціни контур мережний'!$Z$64:$AB$77,3,0)</f>
        <v>72.595528496809465</v>
      </c>
      <c r="AE68" s="748">
        <f t="shared" si="106"/>
        <v>145.19105699361893</v>
      </c>
      <c r="AF68" s="746">
        <f t="shared" si="2"/>
        <v>40</v>
      </c>
      <c r="AG68" s="746">
        <v>0</v>
      </c>
      <c r="AH68" s="747">
        <f>VLOOKUP(AF68,'Ціни контур мережний'!$Z$5:$AB$17,3,0)</f>
        <v>23.225999999999999</v>
      </c>
      <c r="AI68" s="748">
        <f t="shared" si="107"/>
        <v>0</v>
      </c>
      <c r="AJ68" s="746">
        <f t="shared" si="3"/>
        <v>20</v>
      </c>
      <c r="AK68" s="746">
        <v>1</v>
      </c>
      <c r="AL68" s="747">
        <f>VLOOKUP(AJ68,'Ціни контур мережний'!$Z$43:$AB$55,3,0)</f>
        <v>14.562690256808384</v>
      </c>
      <c r="AM68" s="748">
        <f t="shared" si="108"/>
        <v>14.562690256808384</v>
      </c>
      <c r="AN68" s="745">
        <f t="shared" si="4"/>
        <v>20</v>
      </c>
      <c r="AO68" s="749">
        <v>4</v>
      </c>
      <c r="AP68" s="747">
        <f>VLOOKUP(AN68,'Ціни контур мережний'!$Z$43:$AB$55,3,0)</f>
        <v>14.562690256808384</v>
      </c>
      <c r="AQ68" s="759">
        <f t="shared" si="109"/>
        <v>58.250761027233537</v>
      </c>
      <c r="AR68" s="751" t="str">
        <f t="shared" si="42"/>
        <v>AMV20</v>
      </c>
      <c r="AS68" s="751">
        <v>1</v>
      </c>
      <c r="AT68" s="747">
        <f>VLOOKUP(AR68,'Ціни контур мережний'!$I$53:$M$57,5,0)</f>
        <v>110.39869654932889</v>
      </c>
      <c r="AU68" s="748">
        <f t="shared" si="110"/>
        <v>110.39869654932889</v>
      </c>
      <c r="AV68" s="752">
        <f t="array" ref="AV68">MIN(IF('Ціни контур мережний'!$Y$83:$Y$92&gt;(R68*1.2),'Ціни контур мережний'!$Y$83:$Y$92))</f>
        <v>1.6</v>
      </c>
      <c r="AW68" s="746">
        <f>VLOOKUP(AV68,'Ціни контур мережний'!$Y$83:$Z$92,2,0)</f>
        <v>15</v>
      </c>
      <c r="AX68" s="746">
        <v>1</v>
      </c>
      <c r="AY68" s="747">
        <f>VLOOKUP(AV68,'Ціни контур мережний'!$Y$83:$AB$92,4,0)</f>
        <v>104.44472592804462</v>
      </c>
      <c r="AZ68" s="748">
        <f t="shared" si="111"/>
        <v>104.44472592804462</v>
      </c>
      <c r="BA68" s="1099">
        <f t="array" ref="BA68">MIN(IF('[1]Ціни контур мережний'!$Y$104:$Y$114&gt;(R68*1.2),'[1]Ціни контур мережний'!$Y$104:$Y$114))</f>
        <v>4</v>
      </c>
      <c r="BB68" s="1101">
        <f>VLOOKUP(BA68,'[1]Ціни контур мережний'!$Y$104:$Z$114,2,0)</f>
        <v>15</v>
      </c>
      <c r="BC68" s="753">
        <v>1</v>
      </c>
      <c r="BD68" s="754">
        <f>VLOOKUP(BA68,'Ціни контур мережний'!$Y$104:$AB$114,4,0)</f>
        <v>251.13923223078018</v>
      </c>
      <c r="BE68" s="755">
        <f t="shared" si="112"/>
        <v>251.13923223078018</v>
      </c>
      <c r="BF68" s="751" t="s">
        <v>67</v>
      </c>
      <c r="BG68" s="749">
        <v>1</v>
      </c>
      <c r="BH68" s="747">
        <f>VLOOKUP(BF68,'Ціни контур мережний'!$I$53:$M$57,5,0)</f>
        <v>157.67238032974441</v>
      </c>
      <c r="BI68" s="768">
        <f t="shared" si="113"/>
        <v>157.67238032974441</v>
      </c>
      <c r="BJ68" s="894">
        <f t="array" ref="BJ68">MIN(IF('Ціни контур мережний'!$Y$83:$Y$93&gt;(S68*1.2),'Ціни контур мережний'!$Y$83:$Y$93))</f>
        <v>1.6</v>
      </c>
      <c r="BK68" s="895">
        <f>VLOOKUP(BJ68,'Ціни контур мережний'!$Y$83:$Z$93,2,0)</f>
        <v>15</v>
      </c>
      <c r="BL68" s="895">
        <v>1</v>
      </c>
      <c r="BM68" s="896">
        <f>VLOOKUP(BJ68,'Ціни контур мережний'!$Y$83:$AB$93,4,0)</f>
        <v>104.44472592804462</v>
      </c>
      <c r="BN68" s="916">
        <f t="shared" si="114"/>
        <v>104.44472592804462</v>
      </c>
      <c r="BO68" s="896">
        <f t="array" ref="BO68">MIN(IF('Ціни контур мережний'!$Y$104:$Y$114&gt;(S68*1.2),'Ціни контур мережний'!$Y$104:$Y$114))</f>
        <v>4</v>
      </c>
      <c r="BP68" s="895">
        <f>VLOOKUP(BO68,'Ціни контур мережний'!$Y$104:$Z$114,2,0)</f>
        <v>15</v>
      </c>
      <c r="BQ68" s="895">
        <v>1</v>
      </c>
      <c r="BR68" s="896">
        <f>VLOOKUP(BO68,'Ціни контур мережний'!$Y$104:$AB$114,4,0)</f>
        <v>251.13923223078018</v>
      </c>
      <c r="BS68" s="897">
        <f t="shared" si="115"/>
        <v>251.13923223078018</v>
      </c>
      <c r="BT68" s="751" t="s">
        <v>115</v>
      </c>
      <c r="BU68" s="751" t="s">
        <v>115</v>
      </c>
      <c r="BV68" s="746" t="s">
        <v>1025</v>
      </c>
      <c r="BW68" s="756">
        <v>0</v>
      </c>
      <c r="BX68" s="747">
        <v>0</v>
      </c>
      <c r="BY68" s="748">
        <f t="shared" si="116"/>
        <v>0</v>
      </c>
      <c r="BZ68" s="745">
        <f>VLOOKUP(CA68,'Ціни контур мережний'!$J$5:$L$12,3,0)</f>
        <v>15</v>
      </c>
      <c r="CA68" s="747">
        <f t="array" ref="CA68">MIN(IF('Ціни контур мережний'!$J$5:$J$12&gt;L68,'Ціни контур мережний'!$J$5:$J$12))</f>
        <v>1.5</v>
      </c>
      <c r="CB68" s="746" t="s">
        <v>130</v>
      </c>
      <c r="CC68" s="749">
        <v>1</v>
      </c>
      <c r="CD68" s="747">
        <f>VLOOKUP(CA68,'Ціни контур мережний'!$J$5:$N$12,5,0)</f>
        <v>246.38399999999999</v>
      </c>
      <c r="CE68" s="748">
        <f t="shared" si="117"/>
        <v>246.38399999999999</v>
      </c>
      <c r="CF68" s="898" t="s">
        <v>1384</v>
      </c>
      <c r="CG68" s="899">
        <v>1</v>
      </c>
      <c r="CH68" s="900">
        <v>275</v>
      </c>
      <c r="CI68" s="901">
        <f t="shared" si="118"/>
        <v>275</v>
      </c>
      <c r="CJ68" s="751">
        <f t="shared" si="5"/>
        <v>32</v>
      </c>
      <c r="CK68" s="746">
        <v>4</v>
      </c>
      <c r="CL68" s="747">
        <f>VLOOKUP(CJ68,'Ціни контур теплопостачання'!$Y$5:$AA$17,3,0)</f>
        <v>10.381</v>
      </c>
      <c r="CM68" s="748">
        <f t="shared" si="119"/>
        <v>41.524000000000001</v>
      </c>
      <c r="CN68" s="746">
        <f t="shared" si="6"/>
        <v>20</v>
      </c>
      <c r="CO68" s="746">
        <v>6</v>
      </c>
      <c r="CP68" s="747">
        <f>VLOOKUP(CN68,'Ціни контур теплопостачання'!$AO$20:$AQ$29,3,0)</f>
        <v>3.577</v>
      </c>
      <c r="CQ68" s="748">
        <f t="shared" si="120"/>
        <v>21.462</v>
      </c>
      <c r="CR68" s="746">
        <f t="shared" si="7"/>
        <v>20</v>
      </c>
      <c r="CS68" s="746">
        <v>3</v>
      </c>
      <c r="CT68" s="747">
        <f>VLOOKUP(CR68,'Ціни контур теплопостачання'!$AO$20:$AQ$29,3,0)</f>
        <v>3.577</v>
      </c>
      <c r="CU68" s="748">
        <f t="shared" si="121"/>
        <v>10.731</v>
      </c>
      <c r="CV68" s="746">
        <f t="shared" si="8"/>
        <v>20</v>
      </c>
      <c r="CW68" s="746">
        <f t="shared" si="101"/>
        <v>4</v>
      </c>
      <c r="CX68" s="747">
        <f>VLOOKUP(CV68,'Ціни контур теплопостачання'!$Y$5:$AA$17,3,0)</f>
        <v>3.577</v>
      </c>
      <c r="CY68" s="748">
        <f t="shared" si="122"/>
        <v>14.308</v>
      </c>
      <c r="CZ68" s="745">
        <v>20</v>
      </c>
      <c r="DA68" s="749">
        <v>2</v>
      </c>
      <c r="DB68" s="747">
        <f>VLOOKUP(CZ68,'Ціни контур теплопостачання'!$Y$5:$AA$17,3,0)</f>
        <v>3.577</v>
      </c>
      <c r="DC68" s="748">
        <f t="shared" si="123"/>
        <v>7.1539999999999999</v>
      </c>
      <c r="DD68" s="745">
        <v>15</v>
      </c>
      <c r="DE68" s="745">
        <v>8</v>
      </c>
      <c r="DF68" s="758">
        <f>VLOOKUP(DD68,'Ціни контур теплопостачання'!$Y$5:$AA$17,3,0)</f>
        <v>2.464</v>
      </c>
      <c r="DG68" s="759">
        <f t="shared" si="124"/>
        <v>19.712</v>
      </c>
      <c r="DH68" s="745">
        <v>15</v>
      </c>
      <c r="DI68" s="745">
        <f t="shared" si="58"/>
        <v>37</v>
      </c>
      <c r="DJ68" s="758">
        <f>VLOOKUP(DH68,'Ціни контур мережний'!$J$71:$M$71,4,0)</f>
        <v>3.3865201135922525</v>
      </c>
      <c r="DK68" s="759">
        <f t="shared" si="125"/>
        <v>125.30124420291334</v>
      </c>
      <c r="DL68" s="751">
        <f t="shared" si="10"/>
        <v>32</v>
      </c>
      <c r="DM68" s="746">
        <v>1</v>
      </c>
      <c r="DN68" s="747">
        <f>VLOOKUP(DL68,'Ціни контур теплопостачання'!$K$5:$M$17,3,0)</f>
        <v>9.48</v>
      </c>
      <c r="DO68" s="748">
        <f t="shared" si="126"/>
        <v>9.48</v>
      </c>
      <c r="DP68" s="745">
        <f t="shared" si="11"/>
        <v>20</v>
      </c>
      <c r="DQ68" s="749">
        <v>1</v>
      </c>
      <c r="DR68" s="747">
        <f>VLOOKUP(DP68,'Ціни контур теплопостачання'!$K$5:$M$17,3,0)</f>
        <v>3.48</v>
      </c>
      <c r="DS68" s="748">
        <f t="shared" si="127"/>
        <v>3.48</v>
      </c>
      <c r="DT68" s="745">
        <f t="shared" si="12"/>
        <v>20</v>
      </c>
      <c r="DU68" s="745">
        <v>1</v>
      </c>
      <c r="DV68" s="758">
        <f>VLOOKUP(DT68,'Ціни контур теплопостачання'!$K$5:$M$17,3,0)</f>
        <v>3.48</v>
      </c>
      <c r="DW68" s="759">
        <f t="shared" si="128"/>
        <v>3.48</v>
      </c>
      <c r="DX68" s="745">
        <f t="shared" si="63"/>
        <v>32</v>
      </c>
      <c r="DY68" s="745">
        <v>1</v>
      </c>
      <c r="DZ68" s="758">
        <f>VLOOKUP(DX68,'Ціни контур теплопостачання'!$Y$24:$AA$36,3,0)</f>
        <v>10.773</v>
      </c>
      <c r="EA68" s="759">
        <f t="shared" si="64"/>
        <v>10.773</v>
      </c>
      <c r="EB68" s="751">
        <f t="shared" si="13"/>
        <v>32</v>
      </c>
      <c r="EC68" s="746">
        <v>2</v>
      </c>
      <c r="ED68" s="747">
        <f>VLOOKUP(EB68,'Ціни контур теплопостачання'!$Y$24:$AA$36,3,0)</f>
        <v>10.773</v>
      </c>
      <c r="EE68" s="748">
        <f t="shared" si="129"/>
        <v>21.545999999999999</v>
      </c>
      <c r="EF68" s="745">
        <f t="shared" si="14"/>
        <v>20</v>
      </c>
      <c r="EG68" s="749">
        <v>1</v>
      </c>
      <c r="EH68" s="747">
        <f>VLOOKUP(EF68,'Ціни контур теплопостачання'!$AO$38:$AQ$50,3,0)</f>
        <v>4.5359999999999996</v>
      </c>
      <c r="EI68" s="748">
        <f t="shared" si="130"/>
        <v>4.5359999999999996</v>
      </c>
      <c r="EJ68" s="745">
        <f t="shared" si="15"/>
        <v>20</v>
      </c>
      <c r="EK68" s="745">
        <v>1</v>
      </c>
      <c r="EL68" s="758">
        <f>VLOOKUP(EJ68,'Ціни контур теплопостачання'!$AO$38:$AQ$50,3,0)</f>
        <v>4.5359999999999996</v>
      </c>
      <c r="EM68" s="759">
        <f t="shared" si="131"/>
        <v>4.5359999999999996</v>
      </c>
      <c r="EN68" s="745">
        <f t="shared" si="16"/>
        <v>20</v>
      </c>
      <c r="EO68" s="745">
        <f t="shared" si="102"/>
        <v>4</v>
      </c>
      <c r="EP68" s="758">
        <f>VLOOKUP(EN68,'Ціни контур теплопостачання'!$Y$76:$AA$88,3,0)</f>
        <v>11.45</v>
      </c>
      <c r="EQ68" s="759">
        <f t="shared" si="132"/>
        <v>45.8</v>
      </c>
      <c r="ER68" s="745">
        <f t="shared" si="18"/>
        <v>20</v>
      </c>
      <c r="ES68" s="745">
        <v>1</v>
      </c>
      <c r="ET68" s="758">
        <f>VLOOKUP(ER68,'Ціни контур теплопостачання'!$Y$76:$AA$88,3,0)</f>
        <v>11.45</v>
      </c>
      <c r="EU68" s="759">
        <f t="shared" si="133"/>
        <v>11.45</v>
      </c>
      <c r="EV68" s="745">
        <f t="shared" si="19"/>
        <v>20</v>
      </c>
      <c r="EW68" s="745">
        <v>1</v>
      </c>
      <c r="EX68" s="758">
        <f>VLOOKUP(EV68,'Ціни контур теплопостачання'!$Y$76:$AA$88,3,0)</f>
        <v>11.45</v>
      </c>
      <c r="EY68" s="759">
        <f t="shared" si="134"/>
        <v>11.45</v>
      </c>
      <c r="EZ68" s="758">
        <f t="shared" si="95"/>
        <v>11.553752637130501</v>
      </c>
      <c r="FA68" s="955">
        <v>15</v>
      </c>
      <c r="FB68" s="719">
        <v>2</v>
      </c>
      <c r="FC68" s="747">
        <f>VLOOKUP(FA68,'Ціни контур теплопостачання'!$K$74:$M$79,3,0)</f>
        <v>13.33</v>
      </c>
      <c r="FD68" s="761">
        <f t="shared" si="96"/>
        <v>26.66</v>
      </c>
      <c r="FE68" s="762">
        <f t="shared" si="71"/>
        <v>2.1513513513513516</v>
      </c>
      <c r="FF68" s="911">
        <v>3</v>
      </c>
      <c r="FG68" s="900">
        <v>5</v>
      </c>
      <c r="FH68" s="830" t="s">
        <v>1094</v>
      </c>
      <c r="FI68" s="708">
        <v>2</v>
      </c>
      <c r="FJ68" s="709">
        <f>VLOOKUP(FH68,'Ціни контур теплопостачання'!$C$89:$M$105,11,0)</f>
        <v>80.399999999999991</v>
      </c>
      <c r="FK68" s="764">
        <f t="shared" si="135"/>
        <v>160.79999999999998</v>
      </c>
      <c r="FL68" s="912">
        <f t="shared" si="73"/>
        <v>0.2129817444219067</v>
      </c>
      <c r="FM68" s="911">
        <v>3</v>
      </c>
      <c r="FN68" s="900">
        <v>6</v>
      </c>
      <c r="FO68" s="900" t="s">
        <v>1098</v>
      </c>
      <c r="FP68" s="749">
        <v>1</v>
      </c>
      <c r="FQ68" s="747">
        <f>VLOOKUP(FO68,'Ціни контур теплопостачання'!$C$89:$M$105,11,0)</f>
        <v>80.399999999999991</v>
      </c>
      <c r="FR68" s="904">
        <f t="shared" si="136"/>
        <v>80.399999999999991</v>
      </c>
      <c r="FS68" s="758">
        <f t="array" ref="FS68">MIN(IF('Ціни контур теплопостачання'!$AN$68:$AN$77&gt;(V68*1.2),'Ціни контур теплопостачання'!$AN$68:$AN$77))</f>
        <v>3.25</v>
      </c>
      <c r="FT68" s="749">
        <f>VLOOKUP(FS68,'Ціни контур теплопостачання'!$AN$68:$AO$77,2,0)</f>
        <v>20</v>
      </c>
      <c r="FU68" s="749">
        <f t="shared" si="103"/>
        <v>2</v>
      </c>
      <c r="FV68" s="747">
        <f>VLOOKUP(FT68,'Ціни контур теплопостачання'!$AO$68:$AQ$77,3,0)</f>
        <v>25.102</v>
      </c>
      <c r="FW68" s="765">
        <f t="shared" si="137"/>
        <v>50.204000000000001</v>
      </c>
      <c r="FX68" s="750">
        <v>15</v>
      </c>
      <c r="FY68" s="746">
        <v>2</v>
      </c>
      <c r="FZ68" s="747">
        <f>VLOOKUP(FX68,'Ціни контур мережний'!$J$73:$M$73,4,0)</f>
        <v>3.4649999999999999</v>
      </c>
      <c r="GA68" s="748">
        <f t="shared" si="138"/>
        <v>6.93</v>
      </c>
      <c r="GB68" s="750">
        <f>VLOOKUP(GC68,'Ціни контур теплопостачання'!$AN$6:$AO$13,2,0)</f>
        <v>15</v>
      </c>
      <c r="GC68" s="751">
        <f t="array" ref="GC68">MIN(IF('Ціни контур теплопостачання'!$AN$6:$AN$13&gt;N68,'Ціни контур теплопостачання'!$AN$6:$AN$13))</f>
        <v>1.5</v>
      </c>
      <c r="GD68" s="751">
        <v>1</v>
      </c>
      <c r="GE68" s="747">
        <f>VLOOKUP(GB68,'Ціни контур теплопостачання'!$AO$6:$AQ$13,3,0)</f>
        <v>19.51182</v>
      </c>
      <c r="GF68" s="748">
        <f t="shared" si="139"/>
        <v>19.51182</v>
      </c>
      <c r="GG68" s="746">
        <f t="shared" si="23"/>
        <v>20</v>
      </c>
      <c r="GH68" s="746">
        <v>1</v>
      </c>
      <c r="GI68" s="747">
        <f>VLOOKUP(GG68,'Ціни контур теплопостачання'!$AO$55:$AQ$63,3,0)</f>
        <v>98.75</v>
      </c>
      <c r="GJ68" s="768">
        <f t="shared" si="140"/>
        <v>98.75</v>
      </c>
      <c r="GK68" s="655" t="str">
        <f t="shared" si="150"/>
        <v>0-150</v>
      </c>
      <c r="GL68" s="720">
        <v>1</v>
      </c>
      <c r="GM68" s="747">
        <f>VLOOKUP(GK68,'Ціни контур мережний'!$I$79:$M$80,5,0)</f>
        <v>15.050156291498967</v>
      </c>
      <c r="GN68" s="748">
        <f t="shared" si="141"/>
        <v>15.050156291498967</v>
      </c>
      <c r="GO68" s="758" t="s">
        <v>109</v>
      </c>
      <c r="GP68" s="749">
        <v>1</v>
      </c>
      <c r="GQ68" s="747">
        <f>VLOOKUP(GO68,'Ціни контур мережний'!$I$79:$M$80,5,0)</f>
        <v>15.050156291498967</v>
      </c>
      <c r="GR68" s="765">
        <f t="shared" si="142"/>
        <v>15.050156291498967</v>
      </c>
      <c r="GS68" s="655" t="s">
        <v>108</v>
      </c>
      <c r="GT68" s="720">
        <v>3</v>
      </c>
      <c r="GU68" s="747">
        <f>VLOOKUP(GS68,'Ціни контур мережний'!$I$67:$M$69,5,0)</f>
        <v>4.4537969640631703</v>
      </c>
      <c r="GV68" s="748">
        <f t="shared" si="143"/>
        <v>13.361390892189512</v>
      </c>
      <c r="GW68" s="655" t="s">
        <v>106</v>
      </c>
      <c r="GX68" s="720">
        <f>11+T68</f>
        <v>13</v>
      </c>
      <c r="GY68" s="747">
        <f>VLOOKUP(GW68,'Ціни контур мережний'!$I$67:$M$69,5,0)</f>
        <v>4.4537969640631703</v>
      </c>
      <c r="GZ68" s="748">
        <f t="shared" si="144"/>
        <v>57.899360532821213</v>
      </c>
      <c r="HA68" s="655" t="s">
        <v>1013</v>
      </c>
      <c r="HB68" s="720">
        <v>4</v>
      </c>
      <c r="HC68" s="747">
        <f>VLOOKUP(HA68,'Ціни контур мережний'!$I$64:$M$64,5,0)</f>
        <v>29.1312</v>
      </c>
      <c r="HD68" s="748">
        <f t="shared" si="145"/>
        <v>116.5248</v>
      </c>
      <c r="HE68" s="766" t="s">
        <v>1015</v>
      </c>
      <c r="HF68" s="749">
        <v>6</v>
      </c>
      <c r="HG68" s="747">
        <f>VLOOKUP(HE68,'Ціни контур мережний'!$I$89:$M$89,5,0)</f>
        <v>79.523165325760516</v>
      </c>
      <c r="HH68" s="765">
        <f t="shared" si="146"/>
        <v>477.1389919545631</v>
      </c>
      <c r="HI68" s="917" t="s">
        <v>1016</v>
      </c>
      <c r="HJ68" s="720">
        <f t="shared" si="152"/>
        <v>7</v>
      </c>
      <c r="HK68" s="747">
        <f>VLOOKUP(HI68,'Ціни контур мережний'!$I$88:$M$88,5,0)</f>
        <v>13.211568975967202</v>
      </c>
      <c r="HL68" s="768">
        <f t="shared" si="147"/>
        <v>92.480982831770419</v>
      </c>
      <c r="HM68" s="917" t="s">
        <v>383</v>
      </c>
      <c r="HN68" s="720">
        <v>1</v>
      </c>
      <c r="HO68" s="747">
        <f>VLOOKUP(HM68,'Ціни контур мережний'!$I$87:$M$87,5,0)</f>
        <v>13.483972460007763</v>
      </c>
      <c r="HP68" s="748">
        <f t="shared" si="148"/>
        <v>13.483972460007763</v>
      </c>
      <c r="HQ68" s="769">
        <f t="shared" si="97"/>
        <v>98</v>
      </c>
      <c r="HR68" s="770">
        <f t="shared" si="87"/>
        <v>3366.4443962178129</v>
      </c>
      <c r="HS68" s="771">
        <v>0</v>
      </c>
      <c r="HT68" s="771">
        <f>'Таблиця цін схема №1'!$JE$43/'Ціни контур мережний'!$G$26</f>
        <v>340.50435505070107</v>
      </c>
      <c r="HU68" s="770">
        <f>'Таблиця цін схема №1'!$JG$8</f>
        <v>661.80181284518619</v>
      </c>
      <c r="HV68" s="770">
        <f>'Таблиця цін схема №1'!$JH$8</f>
        <v>487.81784379022207</v>
      </c>
      <c r="HW68" s="770">
        <f>'Таблиця цін схема №1'!$JI$8</f>
        <v>323.47913729816605</v>
      </c>
      <c r="HX68" s="770">
        <f>'Таблиця цін схема №1'!$JJ$8</f>
        <v>66.611999999999995</v>
      </c>
      <c r="HY68" s="770">
        <f>'Таблиця цін схема №1'!$JK$28</f>
        <v>0</v>
      </c>
      <c r="HZ68" s="772">
        <f>'Таблиця цін схема №1'!$JL$8</f>
        <v>62.86234247089866</v>
      </c>
      <c r="IA68" s="770">
        <f>'Таблиця цін схема №1'!$JM$28</f>
        <v>0</v>
      </c>
      <c r="IB68" s="770">
        <v>0</v>
      </c>
      <c r="IC68" s="913">
        <f t="shared" si="98"/>
        <v>371.66653213710919</v>
      </c>
      <c r="ID68" s="914">
        <f t="shared" si="99"/>
        <v>530.95218876729882</v>
      </c>
      <c r="IE68" s="915">
        <f t="shared" si="100"/>
        <v>91.336967018193718</v>
      </c>
      <c r="IF68" s="776">
        <f>'Таблиця цін схема №1'!$JR$8</f>
        <v>300.63036461094771</v>
      </c>
      <c r="IG68" s="777">
        <f t="shared" si="88"/>
        <v>6604.107940206537</v>
      </c>
      <c r="II68" s="835"/>
      <c r="IJ68" s="835"/>
      <c r="IK68" s="835"/>
      <c r="IL68" s="835"/>
    </row>
    <row r="69" spans="2:246" s="780" customFormat="1" ht="12.6" customHeight="1">
      <c r="B69" s="740">
        <v>99</v>
      </c>
      <c r="C69" s="1056" t="s">
        <v>885</v>
      </c>
      <c r="D69" s="892">
        <v>5.3589999999999999E-2</v>
      </c>
      <c r="E69" s="918">
        <v>1.7999999999999999E-2</v>
      </c>
      <c r="F69" s="742">
        <f t="shared" si="28"/>
        <v>1.4174288801653525</v>
      </c>
      <c r="G69" s="599">
        <v>40</v>
      </c>
      <c r="H69" s="598">
        <f t="shared" si="29"/>
        <v>0.95730618077884944</v>
      </c>
      <c r="I69" s="599">
        <v>20</v>
      </c>
      <c r="J69" s="598">
        <f t="shared" si="30"/>
        <v>2.2282744282744282</v>
      </c>
      <c r="K69" s="599">
        <v>32</v>
      </c>
      <c r="L69" s="598">
        <f t="shared" si="31"/>
        <v>0.46012269938650308</v>
      </c>
      <c r="M69" s="599">
        <v>20</v>
      </c>
      <c r="N69" s="598">
        <f t="shared" si="32"/>
        <v>0.36511156186612576</v>
      </c>
      <c r="O69" s="599">
        <v>20</v>
      </c>
      <c r="P69" s="598">
        <f t="shared" si="153"/>
        <v>0.10953346855983773</v>
      </c>
      <c r="Q69" s="599">
        <v>20</v>
      </c>
      <c r="R69" s="598">
        <f t="shared" si="33"/>
        <v>1.3538353842010387</v>
      </c>
      <c r="S69" s="600">
        <f t="shared" si="104"/>
        <v>0.65071176182811119</v>
      </c>
      <c r="T69" s="744">
        <v>2</v>
      </c>
      <c r="U69" s="601">
        <f t="shared" si="35"/>
        <v>1.1141372141372141</v>
      </c>
      <c r="V69" s="601">
        <f t="shared" si="36"/>
        <v>1.5756279585774253</v>
      </c>
      <c r="W69" s="850">
        <v>20</v>
      </c>
      <c r="X69" s="751">
        <f t="shared" si="0"/>
        <v>40</v>
      </c>
      <c r="Y69" s="746">
        <v>2</v>
      </c>
      <c r="Z69" s="747">
        <f>VLOOKUP(X69,'Ціни контур мережний'!$Z$24:$AB$36,3,0)</f>
        <v>18.42400964308333</v>
      </c>
      <c r="AA69" s="748">
        <f t="shared" si="105"/>
        <v>36.848019286166661</v>
      </c>
      <c r="AB69" s="749">
        <f t="shared" si="1"/>
        <v>40</v>
      </c>
      <c r="AC69" s="749">
        <v>2</v>
      </c>
      <c r="AD69" s="747">
        <f>VLOOKUP(AB69,'Ціни контур мережний'!$Z$64:$AB$77,3,0)</f>
        <v>72.595528496809465</v>
      </c>
      <c r="AE69" s="748">
        <f t="shared" si="106"/>
        <v>145.19105699361893</v>
      </c>
      <c r="AF69" s="746">
        <f t="shared" si="2"/>
        <v>40</v>
      </c>
      <c r="AG69" s="746">
        <v>1</v>
      </c>
      <c r="AH69" s="747">
        <f>VLOOKUP(AF69,'Ціни контур мережний'!$Z$5:$AB$17,3,0)</f>
        <v>23.225999999999999</v>
      </c>
      <c r="AI69" s="748">
        <f t="shared" si="107"/>
        <v>23.225999999999999</v>
      </c>
      <c r="AJ69" s="746">
        <f t="shared" si="3"/>
        <v>20</v>
      </c>
      <c r="AK69" s="746">
        <v>3</v>
      </c>
      <c r="AL69" s="747">
        <f>VLOOKUP(AJ69,'Ціни контур мережний'!$Z$43:$AB$55,3,0)</f>
        <v>14.562690256808384</v>
      </c>
      <c r="AM69" s="748">
        <f t="shared" si="108"/>
        <v>43.688070770425156</v>
      </c>
      <c r="AN69" s="745">
        <f t="shared" si="4"/>
        <v>20</v>
      </c>
      <c r="AO69" s="749">
        <v>4</v>
      </c>
      <c r="AP69" s="747">
        <f>VLOOKUP(AN69,'Ціни контур мережний'!$Z$43:$AB$55,3,0)</f>
        <v>14.562690256808384</v>
      </c>
      <c r="AQ69" s="759">
        <f t="shared" si="109"/>
        <v>58.250761027233537</v>
      </c>
      <c r="AR69" s="751" t="str">
        <f t="shared" si="42"/>
        <v>AMV20</v>
      </c>
      <c r="AS69" s="751">
        <v>1</v>
      </c>
      <c r="AT69" s="747">
        <f>VLOOKUP(AR69,'Ціни контур мережний'!$I$53:$M$57,5,0)</f>
        <v>110.39869654932889</v>
      </c>
      <c r="AU69" s="748">
        <f t="shared" si="110"/>
        <v>110.39869654932889</v>
      </c>
      <c r="AV69" s="752">
        <f t="array" ref="AV69">MIN(IF('Ціни контур мережний'!$Y$83:$Y$92&gt;(R69*1.2),'Ціни контур мережний'!$Y$83:$Y$92))</f>
        <v>2.5</v>
      </c>
      <c r="AW69" s="746">
        <f>VLOOKUP(AV69,'Ціни контур мережний'!$Y$83:$Z$92,2,0)</f>
        <v>15</v>
      </c>
      <c r="AX69" s="746">
        <v>1</v>
      </c>
      <c r="AY69" s="747">
        <f>VLOOKUP(AV69,'Ціни контур мережний'!$Y$83:$AB$92,4,0)</f>
        <v>104.44472592804462</v>
      </c>
      <c r="AZ69" s="748">
        <f t="shared" si="111"/>
        <v>104.44472592804462</v>
      </c>
      <c r="BA69" s="1099">
        <f t="array" ref="BA69">MIN(IF('[1]Ціни контур мережний'!$Y$104:$Y$114&gt;(R69*1.2),'[1]Ціни контур мережний'!$Y$104:$Y$114))</f>
        <v>4</v>
      </c>
      <c r="BB69" s="1101">
        <f>VLOOKUP(BA69,'[1]Ціни контур мережний'!$Y$104:$Z$114,2,0)</f>
        <v>15</v>
      </c>
      <c r="BC69" s="753">
        <v>1</v>
      </c>
      <c r="BD69" s="754">
        <f>VLOOKUP(BA69,'Ціни контур мережний'!$Y$104:$AB$114,4,0)</f>
        <v>251.13923223078018</v>
      </c>
      <c r="BE69" s="755">
        <f t="shared" si="112"/>
        <v>251.13923223078018</v>
      </c>
      <c r="BF69" s="751" t="s">
        <v>67</v>
      </c>
      <c r="BG69" s="749">
        <v>1</v>
      </c>
      <c r="BH69" s="747">
        <f>VLOOKUP(BF69,'Ціни контур мережний'!$I$53:$M$57,5,0)</f>
        <v>157.67238032974441</v>
      </c>
      <c r="BI69" s="768">
        <f t="shared" si="113"/>
        <v>157.67238032974441</v>
      </c>
      <c r="BJ69" s="894">
        <f t="array" ref="BJ69">MIN(IF('Ціни контур мережний'!$Y$83:$Y$93&gt;(S69*1.2),'Ціни контур мережний'!$Y$83:$Y$93))</f>
        <v>1</v>
      </c>
      <c r="BK69" s="895">
        <f>VLOOKUP(BJ69,'Ціни контур мережний'!$Y$83:$Z$93,2,0)</f>
        <v>15</v>
      </c>
      <c r="BL69" s="895">
        <v>1</v>
      </c>
      <c r="BM69" s="896">
        <f>VLOOKUP(BJ69,'Ціни контур мережний'!$Y$83:$AB$93,4,0)</f>
        <v>104.44472592804462</v>
      </c>
      <c r="BN69" s="916">
        <f t="shared" si="114"/>
        <v>104.44472592804462</v>
      </c>
      <c r="BO69" s="896">
        <f t="array" ref="BO69">MIN(IF('Ціни контур мережний'!$Y$104:$Y$114&gt;(S69*1.2),'Ціни контур мережний'!$Y$104:$Y$114))</f>
        <v>4</v>
      </c>
      <c r="BP69" s="895">
        <f>VLOOKUP(BO69,'Ціни контур мережний'!$Y$104:$Z$114,2,0)</f>
        <v>15</v>
      </c>
      <c r="BQ69" s="895">
        <v>1</v>
      </c>
      <c r="BR69" s="896">
        <f>VLOOKUP(BO69,'Ціни контур мережний'!$Y$104:$AB$114,4,0)</f>
        <v>251.13923223078018</v>
      </c>
      <c r="BS69" s="897">
        <f t="shared" si="115"/>
        <v>251.13923223078018</v>
      </c>
      <c r="BT69" s="751">
        <f>VLOOKUP(BU69,'Ціни контур мережний'!$J$5:$L$12,3,0)</f>
        <v>15</v>
      </c>
      <c r="BU69" s="751">
        <f t="array" ref="BU69">MIN(IF('Ціни контур мережний'!$J$5:$J$12&gt;H69,'Ціни контур мережний'!$J$5:$J$12))</f>
        <v>1.5</v>
      </c>
      <c r="BV69" s="746" t="s">
        <v>130</v>
      </c>
      <c r="BW69" s="756">
        <v>1</v>
      </c>
      <c r="BX69" s="747">
        <f>VLOOKUP(BU69,'Ціни контур мережний'!$J$5:$N$12,5,0)</f>
        <v>246.38399999999999</v>
      </c>
      <c r="BY69" s="748">
        <f t="shared" si="116"/>
        <v>246.38399999999999</v>
      </c>
      <c r="BZ69" s="745">
        <f>VLOOKUP(CA69,'Ціни контур мережний'!$J$5:$L$12,3,0)</f>
        <v>15</v>
      </c>
      <c r="CA69" s="747">
        <f t="array" ref="CA69">MIN(IF('Ціни контур мережний'!$J$5:$J$12&gt;L69,'Ціни контур мережний'!$J$5:$J$12))</f>
        <v>1.5</v>
      </c>
      <c r="CB69" s="746" t="s">
        <v>130</v>
      </c>
      <c r="CC69" s="749">
        <v>1</v>
      </c>
      <c r="CD69" s="747">
        <f>VLOOKUP(CA69,'Ціни контур мережний'!$J$5:$N$12,5,0)</f>
        <v>246.38399999999999</v>
      </c>
      <c r="CE69" s="748">
        <f t="shared" si="117"/>
        <v>246.38399999999999</v>
      </c>
      <c r="CF69" s="898" t="s">
        <v>1385</v>
      </c>
      <c r="CG69" s="899">
        <v>1</v>
      </c>
      <c r="CH69" s="900">
        <v>243</v>
      </c>
      <c r="CI69" s="901">
        <f t="shared" si="118"/>
        <v>243</v>
      </c>
      <c r="CJ69" s="751">
        <f t="shared" si="5"/>
        <v>32</v>
      </c>
      <c r="CK69" s="746">
        <v>4</v>
      </c>
      <c r="CL69" s="747">
        <f>VLOOKUP(CJ69,'Ціни контур теплопостачання'!$Y$5:$AA$17,3,0)</f>
        <v>10.381</v>
      </c>
      <c r="CM69" s="748">
        <f t="shared" si="119"/>
        <v>41.524000000000001</v>
      </c>
      <c r="CN69" s="746">
        <f t="shared" si="6"/>
        <v>20</v>
      </c>
      <c r="CO69" s="746">
        <v>6</v>
      </c>
      <c r="CP69" s="747">
        <f>VLOOKUP(CN69,'Ціни контур теплопостачання'!$AO$20:$AQ$29,3,0)</f>
        <v>3.577</v>
      </c>
      <c r="CQ69" s="748">
        <f t="shared" si="120"/>
        <v>21.462</v>
      </c>
      <c r="CR69" s="746">
        <f t="shared" si="7"/>
        <v>20</v>
      </c>
      <c r="CS69" s="746">
        <v>3</v>
      </c>
      <c r="CT69" s="747">
        <f>VLOOKUP(CR69,'Ціни контур теплопостачання'!$AO$20:$AQ$29,3,0)</f>
        <v>3.577</v>
      </c>
      <c r="CU69" s="748">
        <f t="shared" si="121"/>
        <v>10.731</v>
      </c>
      <c r="CV69" s="746">
        <f t="shared" si="8"/>
        <v>20</v>
      </c>
      <c r="CW69" s="746">
        <f t="shared" si="101"/>
        <v>4</v>
      </c>
      <c r="CX69" s="747">
        <f>VLOOKUP(CV69,'Ціни контур теплопостачання'!$Y$5:$AA$17,3,0)</f>
        <v>3.577</v>
      </c>
      <c r="CY69" s="748">
        <f t="shared" si="122"/>
        <v>14.308</v>
      </c>
      <c r="CZ69" s="745">
        <v>20</v>
      </c>
      <c r="DA69" s="749">
        <v>2</v>
      </c>
      <c r="DB69" s="747">
        <f>VLOOKUP(CZ69,'Ціни контур теплопостачання'!$Y$5:$AA$17,3,0)</f>
        <v>3.577</v>
      </c>
      <c r="DC69" s="748">
        <f t="shared" si="123"/>
        <v>7.1539999999999999</v>
      </c>
      <c r="DD69" s="745">
        <v>15</v>
      </c>
      <c r="DE69" s="745">
        <v>8</v>
      </c>
      <c r="DF69" s="758">
        <f>VLOOKUP(DD69,'Ціни контур теплопостачання'!$Y$5:$AA$17,3,0)</f>
        <v>2.464</v>
      </c>
      <c r="DG69" s="759">
        <f t="shared" si="124"/>
        <v>19.712</v>
      </c>
      <c r="DH69" s="745">
        <v>15</v>
      </c>
      <c r="DI69" s="745">
        <f t="shared" si="58"/>
        <v>37</v>
      </c>
      <c r="DJ69" s="758">
        <f>VLOOKUP(DH69,'Ціни контур мережний'!$J$71:$M$71,4,0)</f>
        <v>3.3865201135922525</v>
      </c>
      <c r="DK69" s="759">
        <f t="shared" si="125"/>
        <v>125.30124420291334</v>
      </c>
      <c r="DL69" s="751">
        <f t="shared" si="10"/>
        <v>32</v>
      </c>
      <c r="DM69" s="746">
        <v>1</v>
      </c>
      <c r="DN69" s="747">
        <f>VLOOKUP(DL69,'Ціни контур теплопостачання'!$K$5:$M$17,3,0)</f>
        <v>9.48</v>
      </c>
      <c r="DO69" s="748">
        <f t="shared" si="126"/>
        <v>9.48</v>
      </c>
      <c r="DP69" s="745">
        <f t="shared" si="11"/>
        <v>20</v>
      </c>
      <c r="DQ69" s="749">
        <v>1</v>
      </c>
      <c r="DR69" s="747">
        <f>VLOOKUP(DP69,'Ціни контур теплопостачання'!$K$5:$M$17,3,0)</f>
        <v>3.48</v>
      </c>
      <c r="DS69" s="748">
        <f t="shared" si="127"/>
        <v>3.48</v>
      </c>
      <c r="DT69" s="745">
        <f t="shared" si="12"/>
        <v>20</v>
      </c>
      <c r="DU69" s="745">
        <v>1</v>
      </c>
      <c r="DV69" s="758">
        <f>VLOOKUP(DT69,'Ціни контур теплопостачання'!$K$5:$M$17,3,0)</f>
        <v>3.48</v>
      </c>
      <c r="DW69" s="759">
        <f t="shared" si="128"/>
        <v>3.48</v>
      </c>
      <c r="DX69" s="745">
        <f t="shared" si="63"/>
        <v>32</v>
      </c>
      <c r="DY69" s="745">
        <v>1</v>
      </c>
      <c r="DZ69" s="758">
        <f>VLOOKUP(DX69,'Ціни контур теплопостачання'!$Y$24:$AA$36,3,0)</f>
        <v>10.773</v>
      </c>
      <c r="EA69" s="759">
        <f t="shared" si="64"/>
        <v>10.773</v>
      </c>
      <c r="EB69" s="751">
        <f t="shared" si="13"/>
        <v>32</v>
      </c>
      <c r="EC69" s="746">
        <v>2</v>
      </c>
      <c r="ED69" s="747">
        <f>VLOOKUP(EB69,'Ціни контур теплопостачання'!$Y$24:$AA$36,3,0)</f>
        <v>10.773</v>
      </c>
      <c r="EE69" s="748">
        <f t="shared" si="129"/>
        <v>21.545999999999999</v>
      </c>
      <c r="EF69" s="745">
        <f t="shared" si="14"/>
        <v>20</v>
      </c>
      <c r="EG69" s="749">
        <v>1</v>
      </c>
      <c r="EH69" s="747">
        <f>VLOOKUP(EF69,'Ціни контур теплопостачання'!$AO$38:$AQ$50,3,0)</f>
        <v>4.5359999999999996</v>
      </c>
      <c r="EI69" s="748">
        <f t="shared" si="130"/>
        <v>4.5359999999999996</v>
      </c>
      <c r="EJ69" s="745">
        <f t="shared" si="15"/>
        <v>20</v>
      </c>
      <c r="EK69" s="745">
        <v>1</v>
      </c>
      <c r="EL69" s="758">
        <f>VLOOKUP(EJ69,'Ціни контур теплопостачання'!$AO$38:$AQ$50,3,0)</f>
        <v>4.5359999999999996</v>
      </c>
      <c r="EM69" s="759">
        <f t="shared" si="131"/>
        <v>4.5359999999999996</v>
      </c>
      <c r="EN69" s="745">
        <f t="shared" si="16"/>
        <v>20</v>
      </c>
      <c r="EO69" s="745">
        <f t="shared" si="102"/>
        <v>4</v>
      </c>
      <c r="EP69" s="758">
        <f>VLOOKUP(EN69,'Ціни контур теплопостачання'!$Y$76:$AA$88,3,0)</f>
        <v>11.45</v>
      </c>
      <c r="EQ69" s="759">
        <f t="shared" si="132"/>
        <v>45.8</v>
      </c>
      <c r="ER69" s="745">
        <f t="shared" si="18"/>
        <v>20</v>
      </c>
      <c r="ES69" s="745">
        <v>1</v>
      </c>
      <c r="ET69" s="758">
        <f>VLOOKUP(ER69,'Ціни контур теплопостачання'!$Y$76:$AA$88,3,0)</f>
        <v>11.45</v>
      </c>
      <c r="EU69" s="759">
        <f t="shared" si="133"/>
        <v>11.45</v>
      </c>
      <c r="EV69" s="745">
        <f t="shared" si="19"/>
        <v>20</v>
      </c>
      <c r="EW69" s="745">
        <v>1</v>
      </c>
      <c r="EX69" s="758">
        <f>VLOOKUP(EV69,'Ціни контур теплопостачання'!$Y$76:$AA$88,3,0)</f>
        <v>11.45</v>
      </c>
      <c r="EY69" s="759">
        <f t="shared" si="134"/>
        <v>11.45</v>
      </c>
      <c r="EZ69" s="758">
        <f t="shared" si="95"/>
        <v>11.758494801631711</v>
      </c>
      <c r="FA69" s="955">
        <v>15</v>
      </c>
      <c r="FB69" s="719">
        <v>2</v>
      </c>
      <c r="FC69" s="747">
        <f>VLOOKUP(FA69,'Ціни контур теплопостачання'!$K$74:$M$79,3,0)</f>
        <v>13.33</v>
      </c>
      <c r="FD69" s="761">
        <f t="shared" si="96"/>
        <v>26.66</v>
      </c>
      <c r="FE69" s="762">
        <f t="shared" si="71"/>
        <v>2.2282744282744282</v>
      </c>
      <c r="FF69" s="902">
        <v>3</v>
      </c>
      <c r="FG69" s="900">
        <v>5</v>
      </c>
      <c r="FH69" s="830" t="s">
        <v>1094</v>
      </c>
      <c r="FI69" s="708">
        <v>2</v>
      </c>
      <c r="FJ69" s="709">
        <f>VLOOKUP(FH69,'Ціни контур теплопостачання'!$C$89:$M$105,11,0)</f>
        <v>80.399999999999991</v>
      </c>
      <c r="FK69" s="764">
        <f t="shared" si="135"/>
        <v>160.79999999999998</v>
      </c>
      <c r="FL69" s="912">
        <f t="shared" si="73"/>
        <v>0.10953346855983773</v>
      </c>
      <c r="FM69" s="902">
        <v>3</v>
      </c>
      <c r="FN69" s="900">
        <v>6</v>
      </c>
      <c r="FO69" s="900" t="s">
        <v>1098</v>
      </c>
      <c r="FP69" s="749">
        <v>1</v>
      </c>
      <c r="FQ69" s="747">
        <f>VLOOKUP(FO69,'Ціни контур теплопостачання'!$C$89:$M$105,11,0)</f>
        <v>80.399999999999991</v>
      </c>
      <c r="FR69" s="904">
        <f t="shared" si="136"/>
        <v>80.399999999999991</v>
      </c>
      <c r="FS69" s="758">
        <f t="array" ref="FS69">MIN(IF('Ціни контур теплопостачання'!$AN$68:$AN$77&gt;(V69*1.2),'Ціни контур теплопостачання'!$AN$68:$AN$77))</f>
        <v>3.25</v>
      </c>
      <c r="FT69" s="749">
        <f>VLOOKUP(FS69,'Ціни контур теплопостачання'!$AN$68:$AO$77,2,0)</f>
        <v>20</v>
      </c>
      <c r="FU69" s="749">
        <f t="shared" si="103"/>
        <v>2</v>
      </c>
      <c r="FV69" s="747">
        <f>VLOOKUP(FT69,'Ціни контур теплопостачання'!$AO$68:$AQ$77,3,0)</f>
        <v>25.102</v>
      </c>
      <c r="FW69" s="765">
        <f t="shared" si="137"/>
        <v>50.204000000000001</v>
      </c>
      <c r="FX69" s="750">
        <v>15</v>
      </c>
      <c r="FY69" s="746">
        <v>2</v>
      </c>
      <c r="FZ69" s="747">
        <f>VLOOKUP(FX69,'Ціни контур мережний'!$J$73:$M$73,4,0)</f>
        <v>3.4649999999999999</v>
      </c>
      <c r="GA69" s="748">
        <f t="shared" si="138"/>
        <v>6.93</v>
      </c>
      <c r="GB69" s="750">
        <f>VLOOKUP(GC69,'Ціни контур теплопостачання'!$AN$6:$AO$13,2,0)</f>
        <v>15</v>
      </c>
      <c r="GC69" s="751">
        <f t="array" ref="GC69">MIN(IF('Ціни контур теплопостачання'!$AN$6:$AN$13&gt;N69,'Ціни контур теплопостачання'!$AN$6:$AN$13))</f>
        <v>1.5</v>
      </c>
      <c r="GD69" s="751">
        <v>1</v>
      </c>
      <c r="GE69" s="747">
        <f>VLOOKUP(GB69,'Ціни контур теплопостачання'!$AO$6:$AQ$13,3,0)</f>
        <v>19.51182</v>
      </c>
      <c r="GF69" s="748">
        <f t="shared" si="139"/>
        <v>19.51182</v>
      </c>
      <c r="GG69" s="746">
        <f t="shared" si="23"/>
        <v>20</v>
      </c>
      <c r="GH69" s="746">
        <v>1</v>
      </c>
      <c r="GI69" s="747">
        <f>VLOOKUP(GG69,'Ціни контур теплопостачання'!$AO$55:$AQ$63,3,0)</f>
        <v>98.75</v>
      </c>
      <c r="GJ69" s="768">
        <f t="shared" si="140"/>
        <v>98.75</v>
      </c>
      <c r="GK69" s="655" t="str">
        <f t="shared" si="150"/>
        <v>0-150</v>
      </c>
      <c r="GL69" s="720">
        <v>1</v>
      </c>
      <c r="GM69" s="747">
        <f>VLOOKUP(GK69,'Ціни контур мережний'!$I$79:$M$80,5,0)</f>
        <v>15.050156291498967</v>
      </c>
      <c r="GN69" s="748">
        <f t="shared" si="141"/>
        <v>15.050156291498967</v>
      </c>
      <c r="GO69" s="758" t="s">
        <v>109</v>
      </c>
      <c r="GP69" s="749">
        <v>5</v>
      </c>
      <c r="GQ69" s="747">
        <f>VLOOKUP(GO69,'Ціни контур мережний'!$I$79:$M$80,5,0)</f>
        <v>15.050156291498967</v>
      </c>
      <c r="GR69" s="765">
        <f t="shared" si="142"/>
        <v>75.250781457494838</v>
      </c>
      <c r="GS69" s="655" t="s">
        <v>108</v>
      </c>
      <c r="GT69" s="720">
        <v>5</v>
      </c>
      <c r="GU69" s="747">
        <f>VLOOKUP(GS69,'Ціни контур мережний'!$I$67:$M$69,5,0)</f>
        <v>4.4537969640631703</v>
      </c>
      <c r="GV69" s="748">
        <f t="shared" si="143"/>
        <v>22.26898482031585</v>
      </c>
      <c r="GW69" s="655" t="s">
        <v>106</v>
      </c>
      <c r="GX69" s="720">
        <f>11+T69</f>
        <v>13</v>
      </c>
      <c r="GY69" s="747">
        <f>VLOOKUP(GW69,'Ціни контур мережний'!$I$67:$M$69,5,0)</f>
        <v>4.4537969640631703</v>
      </c>
      <c r="GZ69" s="748">
        <f t="shared" si="144"/>
        <v>57.899360532821213</v>
      </c>
      <c r="HA69" s="655" t="s">
        <v>1013</v>
      </c>
      <c r="HB69" s="720">
        <v>4</v>
      </c>
      <c r="HC69" s="747">
        <f>VLOOKUP(HA69,'Ціни контур мережний'!$I$64:$M$64,5,0)</f>
        <v>29.1312</v>
      </c>
      <c r="HD69" s="748">
        <f t="shared" si="145"/>
        <v>116.5248</v>
      </c>
      <c r="HE69" s="766" t="s">
        <v>1015</v>
      </c>
      <c r="HF69" s="749">
        <v>6</v>
      </c>
      <c r="HG69" s="747">
        <f>VLOOKUP(HE69,'Ціни контур мережний'!$I$89:$M$89,5,0)</f>
        <v>79.523165325760516</v>
      </c>
      <c r="HH69" s="765">
        <f t="shared" si="146"/>
        <v>477.1389919545631</v>
      </c>
      <c r="HI69" s="778" t="s">
        <v>1016</v>
      </c>
      <c r="HJ69" s="720">
        <f t="shared" si="152"/>
        <v>7</v>
      </c>
      <c r="HK69" s="747">
        <f>VLOOKUP(HI69,'Ціни контур мережний'!$I$88:$M$88,5,0)</f>
        <v>13.211568975967202</v>
      </c>
      <c r="HL69" s="768">
        <f t="shared" si="147"/>
        <v>92.480982831770419</v>
      </c>
      <c r="HM69" s="779" t="s">
        <v>383</v>
      </c>
      <c r="HN69" s="720">
        <v>1</v>
      </c>
      <c r="HO69" s="747">
        <f>VLOOKUP(HM69,'Ціни контур мережний'!$I$87:$M$87,5,0)</f>
        <v>13.483972460007763</v>
      </c>
      <c r="HP69" s="748">
        <f t="shared" si="148"/>
        <v>13.483972460007763</v>
      </c>
      <c r="HQ69" s="769">
        <f t="shared" si="97"/>
        <v>99</v>
      </c>
      <c r="HR69" s="770">
        <f t="shared" si="87"/>
        <v>3702.287995825553</v>
      </c>
      <c r="HS69" s="771">
        <v>0</v>
      </c>
      <c r="HT69" s="771">
        <f>'Таблиця цін схема №1'!$JE$43/'Ціни контур мережний'!$G$26</f>
        <v>340.50435505070107</v>
      </c>
      <c r="HU69" s="770">
        <f>'Таблиця цін схема №1'!$JG$8</f>
        <v>661.80181284518619</v>
      </c>
      <c r="HV69" s="770">
        <f>'Таблиця цін схема №1'!$JH$8</f>
        <v>487.81784379022207</v>
      </c>
      <c r="HW69" s="770">
        <f>'Таблиця цін схема №1'!$JI$8</f>
        <v>323.47913729816605</v>
      </c>
      <c r="HX69" s="770">
        <f>'Таблиця цін схема №1'!$JJ$8</f>
        <v>66.611999999999995</v>
      </c>
      <c r="HY69" s="770">
        <f>'Таблиця цін схема №1'!$JK$28</f>
        <v>0</v>
      </c>
      <c r="HZ69" s="772">
        <f>'Таблиця цін схема №1'!$JL$8</f>
        <v>62.86234247089866</v>
      </c>
      <c r="IA69" s="770">
        <f>'Таблиця цін схема №1'!$JM$28</f>
        <v>0</v>
      </c>
      <c r="IB69" s="770">
        <v>0</v>
      </c>
      <c r="IC69" s="773">
        <f t="shared" si="98"/>
        <v>395.17558410965097</v>
      </c>
      <c r="ID69" s="774">
        <f t="shared" si="99"/>
        <v>564.53654872807272</v>
      </c>
      <c r="IE69" s="775">
        <f t="shared" si="100"/>
        <v>97.114311274342072</v>
      </c>
      <c r="IF69" s="776">
        <f>'Таблиця цін схема №1'!$JR$8</f>
        <v>300.63036461094771</v>
      </c>
      <c r="IG69" s="777">
        <f t="shared" si="88"/>
        <v>7002.8222960037401</v>
      </c>
      <c r="II69" s="826"/>
      <c r="IJ69" s="826"/>
      <c r="IK69" s="826"/>
      <c r="IL69" s="826"/>
    </row>
    <row r="70" spans="2:246" s="780" customFormat="1" ht="12.6" customHeight="1">
      <c r="B70" s="905">
        <v>100</v>
      </c>
      <c r="C70" s="1056" t="s">
        <v>942</v>
      </c>
      <c r="D70" s="906">
        <v>5.2699999999999997E-2</v>
      </c>
      <c r="E70" s="907">
        <v>0.03</v>
      </c>
      <c r="F70" s="908">
        <f t="shared" si="28"/>
        <v>1.7082788112318816</v>
      </c>
      <c r="G70" s="599">
        <v>40</v>
      </c>
      <c r="H70" s="598">
        <f t="shared" si="29"/>
        <v>0.94140764558770973</v>
      </c>
      <c r="I70" s="599">
        <v>20</v>
      </c>
      <c r="J70" s="598">
        <f t="shared" si="30"/>
        <v>2.1912681912681911</v>
      </c>
      <c r="K70" s="599">
        <v>32</v>
      </c>
      <c r="L70" s="598">
        <f t="shared" si="31"/>
        <v>0.76687116564417179</v>
      </c>
      <c r="M70" s="599">
        <v>20</v>
      </c>
      <c r="N70" s="598">
        <f t="shared" si="32"/>
        <v>0.60851926977687631</v>
      </c>
      <c r="O70" s="599">
        <v>20</v>
      </c>
      <c r="P70" s="598">
        <f t="shared" si="153"/>
        <v>0.18255578093306288</v>
      </c>
      <c r="Q70" s="599">
        <v>20</v>
      </c>
      <c r="R70" s="598">
        <f t="shared" si="33"/>
        <v>1.331351460111863</v>
      </c>
      <c r="S70" s="600">
        <f t="shared" si="104"/>
        <v>1.084519603046852</v>
      </c>
      <c r="T70" s="910">
        <v>1</v>
      </c>
      <c r="U70" s="601">
        <f t="shared" si="35"/>
        <v>2.1912681912681911</v>
      </c>
      <c r="V70" s="601">
        <f t="shared" si="36"/>
        <v>3.0989211948882369</v>
      </c>
      <c r="W70" s="850">
        <v>32</v>
      </c>
      <c r="X70" s="751">
        <f t="shared" si="0"/>
        <v>40</v>
      </c>
      <c r="Y70" s="746">
        <v>2</v>
      </c>
      <c r="Z70" s="747">
        <f>VLOOKUP(X70,'Ціни контур мережний'!$Z$24:$AB$36,3,0)</f>
        <v>18.42400964308333</v>
      </c>
      <c r="AA70" s="748">
        <f t="shared" si="105"/>
        <v>36.848019286166661</v>
      </c>
      <c r="AB70" s="749">
        <f t="shared" si="1"/>
        <v>40</v>
      </c>
      <c r="AC70" s="749">
        <v>2</v>
      </c>
      <c r="AD70" s="747">
        <f>VLOOKUP(AB70,'Ціни контур мережний'!$Z$64:$AB$77,3,0)</f>
        <v>72.595528496809465</v>
      </c>
      <c r="AE70" s="748">
        <f t="shared" si="106"/>
        <v>145.19105699361893</v>
      </c>
      <c r="AF70" s="746">
        <f t="shared" si="2"/>
        <v>40</v>
      </c>
      <c r="AG70" s="746">
        <v>0</v>
      </c>
      <c r="AH70" s="747">
        <f>VLOOKUP(AF70,'Ціни контур мережний'!$Z$5:$AB$17,3,0)</f>
        <v>23.225999999999999</v>
      </c>
      <c r="AI70" s="748">
        <f t="shared" si="107"/>
        <v>0</v>
      </c>
      <c r="AJ70" s="746">
        <f t="shared" si="3"/>
        <v>20</v>
      </c>
      <c r="AK70" s="746">
        <v>1</v>
      </c>
      <c r="AL70" s="747">
        <f>VLOOKUP(AJ70,'Ціни контур мережний'!$Z$43:$AB$55,3,0)</f>
        <v>14.562690256808384</v>
      </c>
      <c r="AM70" s="748">
        <f t="shared" si="108"/>
        <v>14.562690256808384</v>
      </c>
      <c r="AN70" s="745">
        <f t="shared" si="4"/>
        <v>20</v>
      </c>
      <c r="AO70" s="749">
        <v>4</v>
      </c>
      <c r="AP70" s="747">
        <f>VLOOKUP(AN70,'Ціни контур мережний'!$Z$43:$AB$55,3,0)</f>
        <v>14.562690256808384</v>
      </c>
      <c r="AQ70" s="759">
        <f t="shared" si="109"/>
        <v>58.250761027233537</v>
      </c>
      <c r="AR70" s="751" t="str">
        <f t="shared" si="42"/>
        <v>AMV20</v>
      </c>
      <c r="AS70" s="751">
        <v>1</v>
      </c>
      <c r="AT70" s="747">
        <f>VLOOKUP(AR70,'Ціни контур мережний'!$I$53:$M$57,5,0)</f>
        <v>110.39869654932889</v>
      </c>
      <c r="AU70" s="748">
        <f t="shared" si="110"/>
        <v>110.39869654932889</v>
      </c>
      <c r="AV70" s="752">
        <f t="array" ref="AV70">MIN(IF('Ціни контур мережний'!$Y$83:$Y$92&gt;(R70*1.2),'Ціни контур мережний'!$Y$83:$Y$92))</f>
        <v>1.6</v>
      </c>
      <c r="AW70" s="746">
        <f>VLOOKUP(AV70,'Ціни контур мережний'!$Y$83:$Z$92,2,0)</f>
        <v>15</v>
      </c>
      <c r="AX70" s="746">
        <v>1</v>
      </c>
      <c r="AY70" s="747">
        <f>VLOOKUP(AV70,'Ціни контур мережний'!$Y$83:$AB$92,4,0)</f>
        <v>104.44472592804462</v>
      </c>
      <c r="AZ70" s="748">
        <f t="shared" si="111"/>
        <v>104.44472592804462</v>
      </c>
      <c r="BA70" s="1099">
        <f t="array" ref="BA70">MIN(IF('[1]Ціни контур мережний'!$Y$104:$Y$114&gt;(R70*1.2),'[1]Ціни контур мережний'!$Y$104:$Y$114))</f>
        <v>4</v>
      </c>
      <c r="BB70" s="1101">
        <f>VLOOKUP(BA70,'[1]Ціни контур мережний'!$Y$104:$Z$114,2,0)</f>
        <v>15</v>
      </c>
      <c r="BC70" s="753">
        <v>1</v>
      </c>
      <c r="BD70" s="754">
        <f>VLOOKUP(BA70,'Ціни контур мережний'!$Y$104:$AB$114,4,0)</f>
        <v>251.13923223078018</v>
      </c>
      <c r="BE70" s="755">
        <f t="shared" si="112"/>
        <v>251.13923223078018</v>
      </c>
      <c r="BF70" s="751" t="s">
        <v>67</v>
      </c>
      <c r="BG70" s="749">
        <v>1</v>
      </c>
      <c r="BH70" s="747">
        <f>VLOOKUP(BF70,'Ціни контур мережний'!$I$53:$M$57,5,0)</f>
        <v>157.67238032974441</v>
      </c>
      <c r="BI70" s="768">
        <f t="shared" si="113"/>
        <v>157.67238032974441</v>
      </c>
      <c r="BJ70" s="894">
        <f t="array" ref="BJ70">MIN(IF('Ціни контур мережний'!$Y$83:$Y$93&gt;(S70*1.2),'Ціни контур мережний'!$Y$83:$Y$93))</f>
        <v>1.6</v>
      </c>
      <c r="BK70" s="895">
        <f>VLOOKUP(BJ70,'Ціни контур мережний'!$Y$83:$Z$93,2,0)</f>
        <v>15</v>
      </c>
      <c r="BL70" s="895">
        <v>1</v>
      </c>
      <c r="BM70" s="896">
        <f>VLOOKUP(BJ70,'Ціни контур мережний'!$Y$83:$AB$93,4,0)</f>
        <v>104.44472592804462</v>
      </c>
      <c r="BN70" s="916">
        <f t="shared" si="114"/>
        <v>104.44472592804462</v>
      </c>
      <c r="BO70" s="896">
        <f t="array" ref="BO70">MIN(IF('Ціни контур мережний'!$Y$104:$Y$114&gt;(S70*1.2),'Ціни контур мережний'!$Y$104:$Y$114))</f>
        <v>4</v>
      </c>
      <c r="BP70" s="895">
        <f>VLOOKUP(BO70,'Ціни контур мережний'!$Y$104:$Z$114,2,0)</f>
        <v>15</v>
      </c>
      <c r="BQ70" s="895">
        <v>1</v>
      </c>
      <c r="BR70" s="896">
        <f>VLOOKUP(BO70,'Ціни контур мережний'!$Y$104:$AB$114,4,0)</f>
        <v>251.13923223078018</v>
      </c>
      <c r="BS70" s="897">
        <f t="shared" si="115"/>
        <v>251.13923223078018</v>
      </c>
      <c r="BT70" s="751" t="s">
        <v>115</v>
      </c>
      <c r="BU70" s="751" t="s">
        <v>115</v>
      </c>
      <c r="BV70" s="746" t="s">
        <v>1025</v>
      </c>
      <c r="BW70" s="756">
        <v>0</v>
      </c>
      <c r="BX70" s="747">
        <v>0</v>
      </c>
      <c r="BY70" s="748">
        <f t="shared" si="116"/>
        <v>0</v>
      </c>
      <c r="BZ70" s="745">
        <f>VLOOKUP(CA70,'Ціни контур мережний'!$J$5:$L$12,3,0)</f>
        <v>15</v>
      </c>
      <c r="CA70" s="747">
        <f t="array" ref="CA70">MIN(IF('Ціни контур мережний'!$J$5:$J$12&gt;L70,'Ціни контур мережний'!$J$5:$J$12))</f>
        <v>1.5</v>
      </c>
      <c r="CB70" s="746" t="s">
        <v>130</v>
      </c>
      <c r="CC70" s="749">
        <v>1</v>
      </c>
      <c r="CD70" s="747">
        <f>VLOOKUP(CA70,'Ціни контур мережний'!$J$5:$N$12,5,0)</f>
        <v>246.38399999999999</v>
      </c>
      <c r="CE70" s="748">
        <f t="shared" si="117"/>
        <v>246.38399999999999</v>
      </c>
      <c r="CF70" s="898" t="s">
        <v>1386</v>
      </c>
      <c r="CG70" s="899">
        <v>1</v>
      </c>
      <c r="CH70" s="900">
        <v>259</v>
      </c>
      <c r="CI70" s="901">
        <f t="shared" si="118"/>
        <v>259</v>
      </c>
      <c r="CJ70" s="751">
        <f t="shared" si="5"/>
        <v>32</v>
      </c>
      <c r="CK70" s="746">
        <v>4</v>
      </c>
      <c r="CL70" s="747">
        <f>VLOOKUP(CJ70,'Ціни контур теплопостачання'!$Y$5:$AA$17,3,0)</f>
        <v>10.381</v>
      </c>
      <c r="CM70" s="748">
        <f t="shared" si="119"/>
        <v>41.524000000000001</v>
      </c>
      <c r="CN70" s="746">
        <f t="shared" si="6"/>
        <v>20</v>
      </c>
      <c r="CO70" s="746">
        <v>6</v>
      </c>
      <c r="CP70" s="747">
        <f>VLOOKUP(CN70,'Ціни контур теплопостачання'!$AO$20:$AQ$29,3,0)</f>
        <v>3.577</v>
      </c>
      <c r="CQ70" s="748">
        <f t="shared" si="120"/>
        <v>21.462</v>
      </c>
      <c r="CR70" s="746">
        <f t="shared" si="7"/>
        <v>20</v>
      </c>
      <c r="CS70" s="746">
        <v>3</v>
      </c>
      <c r="CT70" s="747">
        <f>VLOOKUP(CR70,'Ціни контур теплопостачання'!$AO$20:$AQ$29,3,0)</f>
        <v>3.577</v>
      </c>
      <c r="CU70" s="748">
        <f t="shared" si="121"/>
        <v>10.731</v>
      </c>
      <c r="CV70" s="746">
        <f t="shared" si="8"/>
        <v>32</v>
      </c>
      <c r="CW70" s="746">
        <f t="shared" si="101"/>
        <v>2</v>
      </c>
      <c r="CX70" s="747">
        <f>VLOOKUP(CV70,'Ціни контур теплопостачання'!$Y$5:$AA$17,3,0)</f>
        <v>10.381</v>
      </c>
      <c r="CY70" s="748">
        <f t="shared" si="122"/>
        <v>20.762</v>
      </c>
      <c r="CZ70" s="745">
        <v>20</v>
      </c>
      <c r="DA70" s="749">
        <v>2</v>
      </c>
      <c r="DB70" s="747">
        <f>VLOOKUP(CZ70,'Ціни контур теплопостачання'!$Y$5:$AA$17,3,0)</f>
        <v>3.577</v>
      </c>
      <c r="DC70" s="748">
        <f t="shared" si="123"/>
        <v>7.1539999999999999</v>
      </c>
      <c r="DD70" s="745">
        <v>15</v>
      </c>
      <c r="DE70" s="745">
        <v>8</v>
      </c>
      <c r="DF70" s="758">
        <f>VLOOKUP(DD70,'Ціни контур теплопостачання'!$Y$5:$AA$17,3,0)</f>
        <v>2.464</v>
      </c>
      <c r="DG70" s="759">
        <f t="shared" si="124"/>
        <v>19.712</v>
      </c>
      <c r="DH70" s="745">
        <v>15</v>
      </c>
      <c r="DI70" s="745">
        <f>35</f>
        <v>35</v>
      </c>
      <c r="DJ70" s="758">
        <f>VLOOKUP(DH70,'Ціни контур мережний'!$J$71:$M$71,4,0)</f>
        <v>3.3865201135922525</v>
      </c>
      <c r="DK70" s="759">
        <f t="shared" si="125"/>
        <v>118.52820397572884</v>
      </c>
      <c r="DL70" s="751">
        <f t="shared" si="10"/>
        <v>32</v>
      </c>
      <c r="DM70" s="746">
        <v>1</v>
      </c>
      <c r="DN70" s="747">
        <f>VLOOKUP(DL70,'Ціни контур теплопостачання'!$K$5:$M$17,3,0)</f>
        <v>9.48</v>
      </c>
      <c r="DO70" s="748">
        <f t="shared" si="126"/>
        <v>9.48</v>
      </c>
      <c r="DP70" s="745">
        <f t="shared" si="11"/>
        <v>20</v>
      </c>
      <c r="DQ70" s="749">
        <v>1</v>
      </c>
      <c r="DR70" s="747">
        <f>VLOOKUP(DP70,'Ціни контур теплопостачання'!$K$5:$M$17,3,0)</f>
        <v>3.48</v>
      </c>
      <c r="DS70" s="748">
        <f t="shared" si="127"/>
        <v>3.48</v>
      </c>
      <c r="DT70" s="745">
        <f t="shared" si="12"/>
        <v>20</v>
      </c>
      <c r="DU70" s="745">
        <v>1</v>
      </c>
      <c r="DV70" s="758">
        <f>VLOOKUP(DT70,'Ціни контур теплопостачання'!$K$5:$M$17,3,0)</f>
        <v>3.48</v>
      </c>
      <c r="DW70" s="759">
        <f t="shared" si="128"/>
        <v>3.48</v>
      </c>
      <c r="DX70" s="745">
        <f t="shared" si="63"/>
        <v>32</v>
      </c>
      <c r="DY70" s="745">
        <v>1</v>
      </c>
      <c r="DZ70" s="758">
        <f>VLOOKUP(DX70,'Ціни контур теплопостачання'!$Y$24:$AA$36,3,0)</f>
        <v>10.773</v>
      </c>
      <c r="EA70" s="759">
        <f t="shared" si="64"/>
        <v>10.773</v>
      </c>
      <c r="EB70" s="751">
        <f t="shared" si="13"/>
        <v>32</v>
      </c>
      <c r="EC70" s="746">
        <v>2</v>
      </c>
      <c r="ED70" s="747">
        <f>VLOOKUP(EB70,'Ціни контур теплопостачання'!$Y$24:$AA$36,3,0)</f>
        <v>10.773</v>
      </c>
      <c r="EE70" s="748">
        <f t="shared" si="129"/>
        <v>21.545999999999999</v>
      </c>
      <c r="EF70" s="745">
        <f t="shared" si="14"/>
        <v>20</v>
      </c>
      <c r="EG70" s="749">
        <v>1</v>
      </c>
      <c r="EH70" s="747">
        <f>VLOOKUP(EF70,'Ціни контур теплопостачання'!$AO$38:$AQ$50,3,0)</f>
        <v>4.5359999999999996</v>
      </c>
      <c r="EI70" s="748">
        <f t="shared" si="130"/>
        <v>4.5359999999999996</v>
      </c>
      <c r="EJ70" s="745">
        <f t="shared" si="15"/>
        <v>20</v>
      </c>
      <c r="EK70" s="745">
        <v>1</v>
      </c>
      <c r="EL70" s="758">
        <f>VLOOKUP(EJ70,'Ціни контур теплопостачання'!$AO$38:$AQ$50,3,0)</f>
        <v>4.5359999999999996</v>
      </c>
      <c r="EM70" s="759">
        <f t="shared" si="131"/>
        <v>4.5359999999999996</v>
      </c>
      <c r="EN70" s="745">
        <f t="shared" si="16"/>
        <v>32</v>
      </c>
      <c r="EO70" s="745">
        <f t="shared" si="102"/>
        <v>2</v>
      </c>
      <c r="EP70" s="758">
        <f>VLOOKUP(EN70,'Ціни контур теплопостачання'!$Y$76:$AA$88,3,0)</f>
        <v>13.15</v>
      </c>
      <c r="EQ70" s="759">
        <f t="shared" si="132"/>
        <v>26.3</v>
      </c>
      <c r="ER70" s="745">
        <f t="shared" si="18"/>
        <v>20</v>
      </c>
      <c r="ES70" s="745">
        <v>1</v>
      </c>
      <c r="ET70" s="758">
        <f>VLOOKUP(ER70,'Ціни контур теплопостачання'!$Y$76:$AA$88,3,0)</f>
        <v>11.45</v>
      </c>
      <c r="EU70" s="759">
        <f t="shared" si="133"/>
        <v>11.45</v>
      </c>
      <c r="EV70" s="745">
        <f t="shared" si="19"/>
        <v>20</v>
      </c>
      <c r="EW70" s="745">
        <v>1</v>
      </c>
      <c r="EX70" s="758">
        <f>VLOOKUP(EV70,'Ціни контур теплопостачання'!$Y$76:$AA$88,3,0)</f>
        <v>11.45</v>
      </c>
      <c r="EY70" s="759">
        <f t="shared" si="134"/>
        <v>11.45</v>
      </c>
      <c r="EZ70" s="758">
        <f t="shared" si="95"/>
        <v>11.660445960596874</v>
      </c>
      <c r="FA70" s="955">
        <v>15</v>
      </c>
      <c r="FB70" s="719">
        <v>2</v>
      </c>
      <c r="FC70" s="747">
        <f>VLOOKUP(FA70,'Ціни контур теплопостачання'!$K$74:$M$79,3,0)</f>
        <v>13.33</v>
      </c>
      <c r="FD70" s="761">
        <f t="shared" si="96"/>
        <v>26.66</v>
      </c>
      <c r="FE70" s="762">
        <f t="shared" si="71"/>
        <v>2.1912681912681911</v>
      </c>
      <c r="FF70" s="911">
        <v>2</v>
      </c>
      <c r="FG70" s="900">
        <v>5</v>
      </c>
      <c r="FH70" s="830" t="s">
        <v>1094</v>
      </c>
      <c r="FI70" s="708">
        <v>2</v>
      </c>
      <c r="FJ70" s="709">
        <f>VLOOKUP(FH70,'Ціни контур теплопостачання'!$C$89:$M$105,11,0)</f>
        <v>80.399999999999991</v>
      </c>
      <c r="FK70" s="764">
        <f t="shared" si="135"/>
        <v>160.79999999999998</v>
      </c>
      <c r="FL70" s="912">
        <f t="shared" si="73"/>
        <v>0.18255578093306288</v>
      </c>
      <c r="FM70" s="911">
        <v>2</v>
      </c>
      <c r="FN70" s="900">
        <v>6</v>
      </c>
      <c r="FO70" s="900" t="s">
        <v>1098</v>
      </c>
      <c r="FP70" s="749">
        <v>1</v>
      </c>
      <c r="FQ70" s="747">
        <f>VLOOKUP(FO70,'Ціни контур теплопостачання'!$C$89:$M$105,11,0)</f>
        <v>80.399999999999991</v>
      </c>
      <c r="FR70" s="904">
        <f t="shared" si="136"/>
        <v>80.399999999999991</v>
      </c>
      <c r="FS70" s="758">
        <f t="array" ref="FS70">MIN(IF('Ціни контур теплопостачання'!$AN$68:$AN$77&gt;(V70*1.2),'Ціни контур теплопостачання'!$AN$68:$AN$77))</f>
        <v>5.83</v>
      </c>
      <c r="FT70" s="749">
        <f>VLOOKUP(FS70,'Ціни контур теплопостачання'!$AN$68:$AO$77,2,0)</f>
        <v>25</v>
      </c>
      <c r="FU70" s="749">
        <v>0</v>
      </c>
      <c r="FV70" s="747">
        <f>VLOOKUP(FT70,'Ціни контур теплопостачання'!$AO$68:$AQ$77,3,0)</f>
        <v>26.495000000000001</v>
      </c>
      <c r="FW70" s="765">
        <f t="shared" si="137"/>
        <v>0</v>
      </c>
      <c r="FX70" s="750">
        <v>15</v>
      </c>
      <c r="FY70" s="746">
        <v>2</v>
      </c>
      <c r="FZ70" s="747">
        <f>VLOOKUP(FX70,'Ціни контур мережний'!$J$73:$M$73,4,0)</f>
        <v>3.4649999999999999</v>
      </c>
      <c r="GA70" s="748">
        <f t="shared" si="138"/>
        <v>6.93</v>
      </c>
      <c r="GB70" s="750">
        <f>VLOOKUP(GC70,'Ціни контур теплопостачання'!$AN$6:$AO$13,2,0)</f>
        <v>15</v>
      </c>
      <c r="GC70" s="751">
        <f t="array" ref="GC70">MIN(IF('Ціни контур теплопостачання'!$AN$6:$AN$13&gt;N70,'Ціни контур теплопостачання'!$AN$6:$AN$13))</f>
        <v>1.5</v>
      </c>
      <c r="GD70" s="751">
        <v>1</v>
      </c>
      <c r="GE70" s="747">
        <f>VLOOKUP(GB70,'Ціни контур теплопостачання'!$AO$6:$AQ$13,3,0)</f>
        <v>19.51182</v>
      </c>
      <c r="GF70" s="748">
        <f t="shared" si="139"/>
        <v>19.51182</v>
      </c>
      <c r="GG70" s="746">
        <f t="shared" si="23"/>
        <v>20</v>
      </c>
      <c r="GH70" s="746">
        <v>1</v>
      </c>
      <c r="GI70" s="747">
        <f>VLOOKUP(GG70,'Ціни контур теплопостачання'!$AO$55:$AQ$63,3,0)</f>
        <v>98.75</v>
      </c>
      <c r="GJ70" s="768">
        <f t="shared" si="140"/>
        <v>98.75</v>
      </c>
      <c r="GK70" s="655" t="str">
        <f t="shared" si="150"/>
        <v>0-150</v>
      </c>
      <c r="GL70" s="720">
        <v>1</v>
      </c>
      <c r="GM70" s="747">
        <f>VLOOKUP(GK70,'Ціни контур мережний'!$I$79:$M$80,5,0)</f>
        <v>15.050156291498967</v>
      </c>
      <c r="GN70" s="748">
        <f t="shared" si="141"/>
        <v>15.050156291498967</v>
      </c>
      <c r="GO70" s="758" t="s">
        <v>109</v>
      </c>
      <c r="GP70" s="749">
        <v>1</v>
      </c>
      <c r="GQ70" s="747">
        <f>VLOOKUP(GO70,'Ціни контур мережний'!$I$79:$M$80,5,0)</f>
        <v>15.050156291498967</v>
      </c>
      <c r="GR70" s="765">
        <f t="shared" si="142"/>
        <v>15.050156291498967</v>
      </c>
      <c r="GS70" s="655" t="s">
        <v>108</v>
      </c>
      <c r="GT70" s="720">
        <v>3</v>
      </c>
      <c r="GU70" s="747">
        <f>VLOOKUP(GS70,'Ціни контур мережний'!$I$67:$M$69,5,0)</f>
        <v>4.4537969640631703</v>
      </c>
      <c r="GV70" s="748">
        <f t="shared" si="143"/>
        <v>13.361390892189512</v>
      </c>
      <c r="GW70" s="655" t="s">
        <v>106</v>
      </c>
      <c r="GX70" s="720">
        <f>11</f>
        <v>11</v>
      </c>
      <c r="GY70" s="747">
        <f>VLOOKUP(GW70,'Ціни контур мережний'!$I$67:$M$69,5,0)</f>
        <v>4.4537969640631703</v>
      </c>
      <c r="GZ70" s="748">
        <f t="shared" si="144"/>
        <v>48.991766604694874</v>
      </c>
      <c r="HA70" s="655" t="s">
        <v>1013</v>
      </c>
      <c r="HB70" s="720">
        <v>4</v>
      </c>
      <c r="HC70" s="747">
        <f>VLOOKUP(HA70,'Ціни контур мережний'!$I$64:$M$64,5,0)</f>
        <v>29.1312</v>
      </c>
      <c r="HD70" s="748">
        <f t="shared" si="145"/>
        <v>116.5248</v>
      </c>
      <c r="HE70" s="766" t="s">
        <v>1015</v>
      </c>
      <c r="HF70" s="749">
        <v>6</v>
      </c>
      <c r="HG70" s="747">
        <f>VLOOKUP(HE70,'Ціни контур мережний'!$I$89:$M$89,5,0)</f>
        <v>79.523165325760516</v>
      </c>
      <c r="HH70" s="765">
        <f t="shared" si="146"/>
        <v>477.1389919545631</v>
      </c>
      <c r="HI70" s="917" t="s">
        <v>1016</v>
      </c>
      <c r="HJ70" s="720">
        <f t="shared" si="152"/>
        <v>7</v>
      </c>
      <c r="HK70" s="747">
        <f>VLOOKUP(HI70,'Ціни контур мережний'!$I$88:$M$88,5,0)</f>
        <v>13.211568975967202</v>
      </c>
      <c r="HL70" s="768">
        <f t="shared" si="147"/>
        <v>92.480982831770419</v>
      </c>
      <c r="HM70" s="917" t="s">
        <v>383</v>
      </c>
      <c r="HN70" s="720">
        <v>1</v>
      </c>
      <c r="HO70" s="747">
        <f>VLOOKUP(HM70,'Ціни контур мережний'!$I$87:$M$87,5,0)</f>
        <v>13.483972460007763</v>
      </c>
      <c r="HP70" s="748">
        <f t="shared" si="148"/>
        <v>13.483972460007763</v>
      </c>
      <c r="HQ70" s="769">
        <f t="shared" si="97"/>
        <v>100</v>
      </c>
      <c r="HR70" s="770">
        <f t="shared" si="87"/>
        <v>3271.5137620625023</v>
      </c>
      <c r="HS70" s="771">
        <v>0</v>
      </c>
      <c r="HT70" s="771">
        <f>'Таблиця цін схема №1'!$JE$43/'Ціни контур мережний'!$G$26</f>
        <v>340.50435505070107</v>
      </c>
      <c r="HU70" s="770">
        <f>'Таблиця цін схема №1'!$JG$8</f>
        <v>661.80181284518619</v>
      </c>
      <c r="HV70" s="770">
        <f>'Таблиця цін схема №1'!$JH$8</f>
        <v>487.81784379022207</v>
      </c>
      <c r="HW70" s="770">
        <f>'Таблиця цін схема №1'!$JI$8</f>
        <v>323.47913729816605</v>
      </c>
      <c r="HX70" s="770">
        <f>'Таблиця цін схема №1'!$JJ$8</f>
        <v>66.611999999999995</v>
      </c>
      <c r="HY70" s="770">
        <f>'Таблиця цін схема №1'!$JK$28</f>
        <v>0</v>
      </c>
      <c r="HZ70" s="772">
        <f>'Таблиця цін схема №1'!$JL$8</f>
        <v>62.86234247089866</v>
      </c>
      <c r="IA70" s="770">
        <f>'Таблиця цін схема №1'!$JM$28</f>
        <v>0</v>
      </c>
      <c r="IB70" s="770">
        <v>0</v>
      </c>
      <c r="IC70" s="913">
        <f t="shared" si="98"/>
        <v>365.02138774623739</v>
      </c>
      <c r="ID70" s="914">
        <f t="shared" si="99"/>
        <v>521.45912535176774</v>
      </c>
      <c r="IE70" s="915">
        <f t="shared" si="100"/>
        <v>89.70392427267052</v>
      </c>
      <c r="IF70" s="776">
        <f>'Таблиця цін схема №1'!$JR$8</f>
        <v>300.63036461094771</v>
      </c>
      <c r="IG70" s="777">
        <f t="shared" si="88"/>
        <v>6491.4060554992993</v>
      </c>
      <c r="II70" s="835"/>
      <c r="IJ70" s="835"/>
      <c r="IK70" s="835"/>
      <c r="IL70" s="835"/>
    </row>
    <row r="71" spans="2:246" s="780" customFormat="1" ht="12.6" customHeight="1">
      <c r="B71" s="905">
        <v>101</v>
      </c>
      <c r="C71" s="1056" t="s">
        <v>943</v>
      </c>
      <c r="D71" s="906">
        <v>4.7300000000000002E-2</v>
      </c>
      <c r="E71" s="907">
        <v>0.03</v>
      </c>
      <c r="F71" s="908">
        <f t="shared" si="28"/>
        <v>1.6118157887238431</v>
      </c>
      <c r="G71" s="599">
        <v>40</v>
      </c>
      <c r="H71" s="598">
        <f t="shared" si="29"/>
        <v>0.84494462307967133</v>
      </c>
      <c r="I71" s="599">
        <v>20</v>
      </c>
      <c r="J71" s="598">
        <f t="shared" si="30"/>
        <v>1.966735966735967</v>
      </c>
      <c r="K71" s="599">
        <v>32</v>
      </c>
      <c r="L71" s="598">
        <f t="shared" si="31"/>
        <v>0.76687116564417179</v>
      </c>
      <c r="M71" s="599">
        <v>20</v>
      </c>
      <c r="N71" s="598">
        <f t="shared" si="32"/>
        <v>0.60851926977687631</v>
      </c>
      <c r="O71" s="599">
        <v>20</v>
      </c>
      <c r="P71" s="598">
        <f t="shared" si="153"/>
        <v>0.18255578093306288</v>
      </c>
      <c r="Q71" s="599">
        <v>20</v>
      </c>
      <c r="R71" s="598">
        <f t="shared" si="33"/>
        <v>1.194932145413494</v>
      </c>
      <c r="S71" s="600">
        <f t="shared" si="104"/>
        <v>1.084519603046852</v>
      </c>
      <c r="T71" s="910">
        <v>1</v>
      </c>
      <c r="U71" s="601">
        <f t="shared" si="35"/>
        <v>1.966735966735967</v>
      </c>
      <c r="V71" s="601">
        <f t="shared" si="36"/>
        <v>2.7813846777649647</v>
      </c>
      <c r="W71" s="850">
        <v>32</v>
      </c>
      <c r="X71" s="751">
        <f t="shared" si="0"/>
        <v>40</v>
      </c>
      <c r="Y71" s="746">
        <v>2</v>
      </c>
      <c r="Z71" s="747">
        <f>VLOOKUP(X71,'Ціни контур мережний'!$Z$24:$AB$36,3,0)</f>
        <v>18.42400964308333</v>
      </c>
      <c r="AA71" s="748">
        <f t="shared" si="105"/>
        <v>36.848019286166661</v>
      </c>
      <c r="AB71" s="749">
        <f t="shared" si="1"/>
        <v>40</v>
      </c>
      <c r="AC71" s="749">
        <v>2</v>
      </c>
      <c r="AD71" s="747">
        <f>VLOOKUP(AB71,'Ціни контур мережний'!$Z$64:$AB$77,3,0)</f>
        <v>72.595528496809465</v>
      </c>
      <c r="AE71" s="748">
        <f t="shared" si="106"/>
        <v>145.19105699361893</v>
      </c>
      <c r="AF71" s="746">
        <f t="shared" si="2"/>
        <v>40</v>
      </c>
      <c r="AG71" s="746">
        <v>0</v>
      </c>
      <c r="AH71" s="747">
        <f>VLOOKUP(AF71,'Ціни контур мережний'!$Z$5:$AB$17,3,0)</f>
        <v>23.225999999999999</v>
      </c>
      <c r="AI71" s="748">
        <f t="shared" si="107"/>
        <v>0</v>
      </c>
      <c r="AJ71" s="746">
        <f t="shared" si="3"/>
        <v>20</v>
      </c>
      <c r="AK71" s="746">
        <v>1</v>
      </c>
      <c r="AL71" s="747">
        <f>VLOOKUP(AJ71,'Ціни контур мережний'!$Z$43:$AB$55,3,0)</f>
        <v>14.562690256808384</v>
      </c>
      <c r="AM71" s="748">
        <f t="shared" si="108"/>
        <v>14.562690256808384</v>
      </c>
      <c r="AN71" s="745">
        <f t="shared" si="4"/>
        <v>20</v>
      </c>
      <c r="AO71" s="749">
        <v>4</v>
      </c>
      <c r="AP71" s="747">
        <f>VLOOKUP(AN71,'Ціни контур мережний'!$Z$43:$AB$55,3,0)</f>
        <v>14.562690256808384</v>
      </c>
      <c r="AQ71" s="759">
        <f t="shared" si="109"/>
        <v>58.250761027233537</v>
      </c>
      <c r="AR71" s="751" t="str">
        <f t="shared" si="42"/>
        <v>AMV20</v>
      </c>
      <c r="AS71" s="751">
        <v>1</v>
      </c>
      <c r="AT71" s="747">
        <f>VLOOKUP(AR71,'Ціни контур мережний'!$I$53:$M$57,5,0)</f>
        <v>110.39869654932889</v>
      </c>
      <c r="AU71" s="748">
        <f t="shared" si="110"/>
        <v>110.39869654932889</v>
      </c>
      <c r="AV71" s="752">
        <f t="array" ref="AV71">MIN(IF('Ціни контур мережний'!$Y$83:$Y$92&gt;(R71*1.2),'Ціни контур мережний'!$Y$83:$Y$92))</f>
        <v>1.6</v>
      </c>
      <c r="AW71" s="746">
        <f>VLOOKUP(AV71,'Ціни контур мережний'!$Y$83:$Z$92,2,0)</f>
        <v>15</v>
      </c>
      <c r="AX71" s="746">
        <v>1</v>
      </c>
      <c r="AY71" s="747">
        <f>VLOOKUP(AV71,'Ціни контур мережний'!$Y$83:$AB$92,4,0)</f>
        <v>104.44472592804462</v>
      </c>
      <c r="AZ71" s="748">
        <f t="shared" si="111"/>
        <v>104.44472592804462</v>
      </c>
      <c r="BA71" s="1099">
        <f t="array" ref="BA71">MIN(IF('[1]Ціни контур мережний'!$Y$104:$Y$114&gt;(R71*1.2),'[1]Ціни контур мережний'!$Y$104:$Y$114))</f>
        <v>4</v>
      </c>
      <c r="BB71" s="1101">
        <f>VLOOKUP(BA71,'[1]Ціни контур мережний'!$Y$104:$Z$114,2,0)</f>
        <v>15</v>
      </c>
      <c r="BC71" s="753">
        <v>1</v>
      </c>
      <c r="BD71" s="754">
        <f>VLOOKUP(BA71,'Ціни контур мережний'!$Y$104:$AB$114,4,0)</f>
        <v>251.13923223078018</v>
      </c>
      <c r="BE71" s="755">
        <f t="shared" si="112"/>
        <v>251.13923223078018</v>
      </c>
      <c r="BF71" s="751" t="s">
        <v>67</v>
      </c>
      <c r="BG71" s="749">
        <v>1</v>
      </c>
      <c r="BH71" s="747">
        <f>VLOOKUP(BF71,'Ціни контур мережний'!$I$53:$M$57,5,0)</f>
        <v>157.67238032974441</v>
      </c>
      <c r="BI71" s="768">
        <f t="shared" si="113"/>
        <v>157.67238032974441</v>
      </c>
      <c r="BJ71" s="894">
        <f t="array" ref="BJ71">MIN(IF('Ціни контур мережний'!$Y$83:$Y$93&gt;(S71*1.2),'Ціни контур мережний'!$Y$83:$Y$93))</f>
        <v>1.6</v>
      </c>
      <c r="BK71" s="895">
        <f>VLOOKUP(BJ71,'Ціни контур мережний'!$Y$83:$Z$93,2,0)</f>
        <v>15</v>
      </c>
      <c r="BL71" s="895">
        <v>1</v>
      </c>
      <c r="BM71" s="896">
        <f>VLOOKUP(BJ71,'Ціни контур мережний'!$Y$83:$AB$93,4,0)</f>
        <v>104.44472592804462</v>
      </c>
      <c r="BN71" s="916">
        <f t="shared" si="114"/>
        <v>104.44472592804462</v>
      </c>
      <c r="BO71" s="896">
        <f t="array" ref="BO71">MIN(IF('Ціни контур мережний'!$Y$104:$Y$114&gt;(S71*1.2),'Ціни контур мережний'!$Y$104:$Y$114))</f>
        <v>4</v>
      </c>
      <c r="BP71" s="895">
        <f>VLOOKUP(BO71,'Ціни контур мережний'!$Y$104:$Z$114,2,0)</f>
        <v>15</v>
      </c>
      <c r="BQ71" s="895">
        <v>1</v>
      </c>
      <c r="BR71" s="896">
        <f>VLOOKUP(BO71,'Ціни контур мережний'!$Y$104:$AB$114,4,0)</f>
        <v>251.13923223078018</v>
      </c>
      <c r="BS71" s="897">
        <f t="shared" si="115"/>
        <v>251.13923223078018</v>
      </c>
      <c r="BT71" s="751" t="s">
        <v>115</v>
      </c>
      <c r="BU71" s="751" t="s">
        <v>115</v>
      </c>
      <c r="BV71" s="746" t="s">
        <v>1025</v>
      </c>
      <c r="BW71" s="756">
        <v>0</v>
      </c>
      <c r="BX71" s="747">
        <v>0</v>
      </c>
      <c r="BY71" s="748">
        <f t="shared" si="116"/>
        <v>0</v>
      </c>
      <c r="BZ71" s="745">
        <f>VLOOKUP(CA71,'Ціни контур мережний'!$J$5:$L$12,3,0)</f>
        <v>15</v>
      </c>
      <c r="CA71" s="747">
        <f t="array" ref="CA71">MIN(IF('Ціни контур мережний'!$J$5:$J$12&gt;L71,'Ціни контур мережний'!$J$5:$J$12))</f>
        <v>1.5</v>
      </c>
      <c r="CB71" s="746" t="s">
        <v>130</v>
      </c>
      <c r="CC71" s="749">
        <v>1</v>
      </c>
      <c r="CD71" s="747">
        <f>VLOOKUP(CA71,'Ціни контур мережний'!$J$5:$N$12,5,0)</f>
        <v>246.38399999999999</v>
      </c>
      <c r="CE71" s="748">
        <f t="shared" si="117"/>
        <v>246.38399999999999</v>
      </c>
      <c r="CF71" s="898" t="s">
        <v>1386</v>
      </c>
      <c r="CG71" s="899">
        <v>1</v>
      </c>
      <c r="CH71" s="900">
        <v>259</v>
      </c>
      <c r="CI71" s="901">
        <f t="shared" si="118"/>
        <v>259</v>
      </c>
      <c r="CJ71" s="751">
        <f t="shared" si="5"/>
        <v>32</v>
      </c>
      <c r="CK71" s="746">
        <v>4</v>
      </c>
      <c r="CL71" s="747">
        <f>VLOOKUP(CJ71,'Ціни контур теплопостачання'!$Y$5:$AA$17,3,0)</f>
        <v>10.381</v>
      </c>
      <c r="CM71" s="748">
        <f t="shared" si="119"/>
        <v>41.524000000000001</v>
      </c>
      <c r="CN71" s="746">
        <f t="shared" si="6"/>
        <v>20</v>
      </c>
      <c r="CO71" s="746">
        <v>6</v>
      </c>
      <c r="CP71" s="747">
        <f>VLOOKUP(CN71,'Ціни контур теплопостачання'!$AO$20:$AQ$29,3,0)</f>
        <v>3.577</v>
      </c>
      <c r="CQ71" s="748">
        <f t="shared" si="120"/>
        <v>21.462</v>
      </c>
      <c r="CR71" s="746">
        <f t="shared" si="7"/>
        <v>20</v>
      </c>
      <c r="CS71" s="746">
        <v>3</v>
      </c>
      <c r="CT71" s="747">
        <f>VLOOKUP(CR71,'Ціни контур теплопостачання'!$AO$20:$AQ$29,3,0)</f>
        <v>3.577</v>
      </c>
      <c r="CU71" s="748">
        <f t="shared" si="121"/>
        <v>10.731</v>
      </c>
      <c r="CV71" s="746">
        <f t="shared" si="8"/>
        <v>32</v>
      </c>
      <c r="CW71" s="746">
        <f t="shared" si="101"/>
        <v>2</v>
      </c>
      <c r="CX71" s="747">
        <f>VLOOKUP(CV71,'Ціни контур теплопостачання'!$Y$5:$AA$17,3,0)</f>
        <v>10.381</v>
      </c>
      <c r="CY71" s="748">
        <f t="shared" si="122"/>
        <v>20.762</v>
      </c>
      <c r="CZ71" s="745">
        <v>20</v>
      </c>
      <c r="DA71" s="749">
        <v>2</v>
      </c>
      <c r="DB71" s="747">
        <f>VLOOKUP(CZ71,'Ціни контур теплопостачання'!$Y$5:$AA$17,3,0)</f>
        <v>3.577</v>
      </c>
      <c r="DC71" s="748">
        <f t="shared" si="123"/>
        <v>7.1539999999999999</v>
      </c>
      <c r="DD71" s="745">
        <v>15</v>
      </c>
      <c r="DE71" s="745">
        <v>8</v>
      </c>
      <c r="DF71" s="758">
        <f>VLOOKUP(DD71,'Ціни контур теплопостачання'!$Y$5:$AA$17,3,0)</f>
        <v>2.464</v>
      </c>
      <c r="DG71" s="759">
        <f t="shared" si="124"/>
        <v>19.712</v>
      </c>
      <c r="DH71" s="745">
        <v>15</v>
      </c>
      <c r="DI71" s="745">
        <f>35</f>
        <v>35</v>
      </c>
      <c r="DJ71" s="758">
        <f>VLOOKUP(DH71,'Ціни контур мережний'!$J$71:$M$71,4,0)</f>
        <v>3.3865201135922525</v>
      </c>
      <c r="DK71" s="759">
        <f t="shared" si="125"/>
        <v>118.52820397572884</v>
      </c>
      <c r="DL71" s="751">
        <f t="shared" si="10"/>
        <v>32</v>
      </c>
      <c r="DM71" s="746">
        <v>1</v>
      </c>
      <c r="DN71" s="747">
        <f>VLOOKUP(DL71,'Ціни контур теплопостачання'!$K$5:$M$17,3,0)</f>
        <v>9.48</v>
      </c>
      <c r="DO71" s="748">
        <f t="shared" si="126"/>
        <v>9.48</v>
      </c>
      <c r="DP71" s="745">
        <f t="shared" si="11"/>
        <v>20</v>
      </c>
      <c r="DQ71" s="749">
        <v>1</v>
      </c>
      <c r="DR71" s="747">
        <f>VLOOKUP(DP71,'Ціни контур теплопостачання'!$K$5:$M$17,3,0)</f>
        <v>3.48</v>
      </c>
      <c r="DS71" s="748">
        <f t="shared" si="127"/>
        <v>3.48</v>
      </c>
      <c r="DT71" s="745">
        <f t="shared" si="12"/>
        <v>20</v>
      </c>
      <c r="DU71" s="745">
        <v>1</v>
      </c>
      <c r="DV71" s="758">
        <f>VLOOKUP(DT71,'Ціни контур теплопостачання'!$K$5:$M$17,3,0)</f>
        <v>3.48</v>
      </c>
      <c r="DW71" s="759">
        <f t="shared" si="128"/>
        <v>3.48</v>
      </c>
      <c r="DX71" s="745">
        <f t="shared" si="63"/>
        <v>32</v>
      </c>
      <c r="DY71" s="745">
        <v>1</v>
      </c>
      <c r="DZ71" s="758">
        <f>VLOOKUP(DX71,'Ціни контур теплопостачання'!$Y$24:$AA$36,3,0)</f>
        <v>10.773</v>
      </c>
      <c r="EA71" s="759">
        <f t="shared" si="64"/>
        <v>10.773</v>
      </c>
      <c r="EB71" s="751">
        <f t="shared" si="13"/>
        <v>32</v>
      </c>
      <c r="EC71" s="746">
        <v>2</v>
      </c>
      <c r="ED71" s="747">
        <f>VLOOKUP(EB71,'Ціни контур теплопостачання'!$Y$24:$AA$36,3,0)</f>
        <v>10.773</v>
      </c>
      <c r="EE71" s="748">
        <f t="shared" si="129"/>
        <v>21.545999999999999</v>
      </c>
      <c r="EF71" s="745">
        <f t="shared" si="14"/>
        <v>20</v>
      </c>
      <c r="EG71" s="749">
        <v>1</v>
      </c>
      <c r="EH71" s="747">
        <f>VLOOKUP(EF71,'Ціни контур теплопостачання'!$AO$38:$AQ$50,3,0)</f>
        <v>4.5359999999999996</v>
      </c>
      <c r="EI71" s="748">
        <f t="shared" si="130"/>
        <v>4.5359999999999996</v>
      </c>
      <c r="EJ71" s="745">
        <f t="shared" si="15"/>
        <v>20</v>
      </c>
      <c r="EK71" s="745">
        <v>1</v>
      </c>
      <c r="EL71" s="758">
        <f>VLOOKUP(EJ71,'Ціни контур теплопостачання'!$AO$38:$AQ$50,3,0)</f>
        <v>4.5359999999999996</v>
      </c>
      <c r="EM71" s="759">
        <f t="shared" si="131"/>
        <v>4.5359999999999996</v>
      </c>
      <c r="EN71" s="745">
        <f t="shared" si="16"/>
        <v>32</v>
      </c>
      <c r="EO71" s="745">
        <f t="shared" si="102"/>
        <v>2</v>
      </c>
      <c r="EP71" s="758">
        <f>VLOOKUP(EN71,'Ціни контур теплопостачання'!$Y$76:$AA$88,3,0)</f>
        <v>13.15</v>
      </c>
      <c r="EQ71" s="759">
        <f t="shared" si="132"/>
        <v>26.3</v>
      </c>
      <c r="ER71" s="745">
        <f t="shared" si="18"/>
        <v>20</v>
      </c>
      <c r="ES71" s="745">
        <v>1</v>
      </c>
      <c r="ET71" s="758">
        <f>VLOOKUP(ER71,'Ціни контур теплопостачання'!$Y$76:$AA$88,3,0)</f>
        <v>11.45</v>
      </c>
      <c r="EU71" s="759">
        <f t="shared" si="133"/>
        <v>11.45</v>
      </c>
      <c r="EV71" s="745">
        <f t="shared" si="19"/>
        <v>20</v>
      </c>
      <c r="EW71" s="745">
        <v>1</v>
      </c>
      <c r="EX71" s="758">
        <f>VLOOKUP(EV71,'Ціни контур теплопостачання'!$Y$76:$AA$88,3,0)</f>
        <v>11.45</v>
      </c>
      <c r="EY71" s="759">
        <f t="shared" si="134"/>
        <v>11.45</v>
      </c>
      <c r="EZ71" s="758">
        <f t="shared" si="95"/>
        <v>11.046900017652012</v>
      </c>
      <c r="FA71" s="955">
        <v>15</v>
      </c>
      <c r="FB71" s="719">
        <v>2</v>
      </c>
      <c r="FC71" s="747">
        <f>VLOOKUP(FA71,'Ціни контур теплопостачання'!$K$74:$M$79,3,0)</f>
        <v>13.33</v>
      </c>
      <c r="FD71" s="761">
        <f t="shared" si="96"/>
        <v>26.66</v>
      </c>
      <c r="FE71" s="762">
        <f t="shared" si="71"/>
        <v>1.966735966735967</v>
      </c>
      <c r="FF71" s="911">
        <v>2</v>
      </c>
      <c r="FG71" s="900">
        <v>5</v>
      </c>
      <c r="FH71" s="830" t="s">
        <v>1094</v>
      </c>
      <c r="FI71" s="708">
        <v>2</v>
      </c>
      <c r="FJ71" s="709">
        <f>VLOOKUP(FH71,'Ціни контур теплопостачання'!$C$89:$M$105,11,0)</f>
        <v>80.399999999999991</v>
      </c>
      <c r="FK71" s="764">
        <f t="shared" si="135"/>
        <v>160.79999999999998</v>
      </c>
      <c r="FL71" s="912">
        <f t="shared" si="73"/>
        <v>0.18255578093306288</v>
      </c>
      <c r="FM71" s="911">
        <v>2</v>
      </c>
      <c r="FN71" s="900">
        <v>6</v>
      </c>
      <c r="FO71" s="900" t="s">
        <v>1098</v>
      </c>
      <c r="FP71" s="749">
        <v>1</v>
      </c>
      <c r="FQ71" s="747">
        <f>VLOOKUP(FO71,'Ціни контур теплопостачання'!$C$89:$M$105,11,0)</f>
        <v>80.399999999999991</v>
      </c>
      <c r="FR71" s="904">
        <f t="shared" si="136"/>
        <v>80.399999999999991</v>
      </c>
      <c r="FS71" s="758">
        <f t="array" ref="FS71">MIN(IF('Ціни контур теплопостачання'!$AN$68:$AN$77&gt;(V71*1.2),'Ціни контур теплопостачання'!$AN$68:$AN$77))</f>
        <v>5.83</v>
      </c>
      <c r="FT71" s="749">
        <f>VLOOKUP(FS71,'Ціни контур теплопостачання'!$AN$68:$AO$77,2,0)</f>
        <v>25</v>
      </c>
      <c r="FU71" s="749">
        <v>0</v>
      </c>
      <c r="FV71" s="747">
        <f>VLOOKUP(FT71,'Ціни контур теплопостачання'!$AO$68:$AQ$77,3,0)</f>
        <v>26.495000000000001</v>
      </c>
      <c r="FW71" s="765">
        <f t="shared" si="137"/>
        <v>0</v>
      </c>
      <c r="FX71" s="750">
        <v>15</v>
      </c>
      <c r="FY71" s="746">
        <v>2</v>
      </c>
      <c r="FZ71" s="747">
        <f>VLOOKUP(FX71,'Ціни контур мережний'!$J$73:$M$73,4,0)</f>
        <v>3.4649999999999999</v>
      </c>
      <c r="GA71" s="748">
        <f t="shared" si="138"/>
        <v>6.93</v>
      </c>
      <c r="GB71" s="750">
        <f>VLOOKUP(GC71,'Ціни контур теплопостачання'!$AN$6:$AO$13,2,0)</f>
        <v>15</v>
      </c>
      <c r="GC71" s="751">
        <f t="array" ref="GC71">MIN(IF('Ціни контур теплопостачання'!$AN$6:$AN$13&gt;N71,'Ціни контур теплопостачання'!$AN$6:$AN$13))</f>
        <v>1.5</v>
      </c>
      <c r="GD71" s="751">
        <v>1</v>
      </c>
      <c r="GE71" s="747">
        <f>VLOOKUP(GB71,'Ціни контур теплопостачання'!$AO$6:$AQ$13,3,0)</f>
        <v>19.51182</v>
      </c>
      <c r="GF71" s="748">
        <f t="shared" si="139"/>
        <v>19.51182</v>
      </c>
      <c r="GG71" s="746">
        <f t="shared" si="23"/>
        <v>20</v>
      </c>
      <c r="GH71" s="746">
        <v>1</v>
      </c>
      <c r="GI71" s="747">
        <f>VLOOKUP(GG71,'Ціни контур теплопостачання'!$AO$55:$AQ$63,3,0)</f>
        <v>98.75</v>
      </c>
      <c r="GJ71" s="768">
        <f t="shared" si="140"/>
        <v>98.75</v>
      </c>
      <c r="GK71" s="655" t="str">
        <f t="shared" si="150"/>
        <v>0-150</v>
      </c>
      <c r="GL71" s="720">
        <v>1</v>
      </c>
      <c r="GM71" s="747">
        <f>VLOOKUP(GK71,'Ціни контур мережний'!$I$79:$M$80,5,0)</f>
        <v>15.050156291498967</v>
      </c>
      <c r="GN71" s="748">
        <f t="shared" si="141"/>
        <v>15.050156291498967</v>
      </c>
      <c r="GO71" s="758" t="s">
        <v>109</v>
      </c>
      <c r="GP71" s="749">
        <v>1</v>
      </c>
      <c r="GQ71" s="747">
        <f>VLOOKUP(GO71,'Ціни контур мережний'!$I$79:$M$80,5,0)</f>
        <v>15.050156291498967</v>
      </c>
      <c r="GR71" s="765">
        <f t="shared" si="142"/>
        <v>15.050156291498967</v>
      </c>
      <c r="GS71" s="655" t="s">
        <v>108</v>
      </c>
      <c r="GT71" s="720">
        <v>3</v>
      </c>
      <c r="GU71" s="747">
        <f>VLOOKUP(GS71,'Ціни контур мережний'!$I$67:$M$69,5,0)</f>
        <v>4.4537969640631703</v>
      </c>
      <c r="GV71" s="748">
        <f t="shared" si="143"/>
        <v>13.361390892189512</v>
      </c>
      <c r="GW71" s="655" t="s">
        <v>106</v>
      </c>
      <c r="GX71" s="720">
        <f>11</f>
        <v>11</v>
      </c>
      <c r="GY71" s="747">
        <f>VLOOKUP(GW71,'Ціни контур мережний'!$I$67:$M$69,5,0)</f>
        <v>4.4537969640631703</v>
      </c>
      <c r="GZ71" s="748">
        <f t="shared" si="144"/>
        <v>48.991766604694874</v>
      </c>
      <c r="HA71" s="655" t="s">
        <v>1013</v>
      </c>
      <c r="HB71" s="720">
        <v>4</v>
      </c>
      <c r="HC71" s="747">
        <f>VLOOKUP(HA71,'Ціни контур мережний'!$I$64:$M$64,5,0)</f>
        <v>29.1312</v>
      </c>
      <c r="HD71" s="748">
        <f t="shared" si="145"/>
        <v>116.5248</v>
      </c>
      <c r="HE71" s="766" t="s">
        <v>1015</v>
      </c>
      <c r="HF71" s="749">
        <v>6</v>
      </c>
      <c r="HG71" s="747">
        <f>VLOOKUP(HE71,'Ціни контур мережний'!$I$89:$M$89,5,0)</f>
        <v>79.523165325760516</v>
      </c>
      <c r="HH71" s="765">
        <f t="shared" si="146"/>
        <v>477.1389919545631</v>
      </c>
      <c r="HI71" s="778" t="s">
        <v>1016</v>
      </c>
      <c r="HJ71" s="720">
        <f t="shared" si="152"/>
        <v>7</v>
      </c>
      <c r="HK71" s="747">
        <f>VLOOKUP(HI71,'Ціни контур мережний'!$I$88:$M$88,5,0)</f>
        <v>13.211568975967202</v>
      </c>
      <c r="HL71" s="768">
        <f t="shared" si="147"/>
        <v>92.480982831770419</v>
      </c>
      <c r="HM71" s="757" t="s">
        <v>383</v>
      </c>
      <c r="HN71" s="720">
        <v>1</v>
      </c>
      <c r="HO71" s="747">
        <f>VLOOKUP(HM71,'Ціни контур мережний'!$I$87:$M$87,5,0)</f>
        <v>13.483972460007763</v>
      </c>
      <c r="HP71" s="748">
        <f t="shared" si="148"/>
        <v>13.483972460007763</v>
      </c>
      <c r="HQ71" s="769">
        <f t="shared" si="97"/>
        <v>101</v>
      </c>
      <c r="HR71" s="770">
        <f t="shared" si="87"/>
        <v>3271.5137620625023</v>
      </c>
      <c r="HS71" s="771">
        <v>0</v>
      </c>
      <c r="HT71" s="771">
        <f>'Таблиця цін схема №1'!$JE$43/'Ціни контур мережний'!$G$26</f>
        <v>340.50435505070107</v>
      </c>
      <c r="HU71" s="770">
        <f>'Таблиця цін схема №1'!$JG$8</f>
        <v>661.80181284518619</v>
      </c>
      <c r="HV71" s="770">
        <f>'Таблиця цін схема №1'!$JH$8</f>
        <v>487.81784379022207</v>
      </c>
      <c r="HW71" s="770">
        <f>'Таблиця цін схема №1'!$JI$8</f>
        <v>323.47913729816605</v>
      </c>
      <c r="HX71" s="770">
        <f>'Таблиця цін схема №1'!$JJ$8</f>
        <v>66.611999999999995</v>
      </c>
      <c r="HY71" s="770">
        <f>'Таблиця цін схема №1'!$JK$28</f>
        <v>0</v>
      </c>
      <c r="HZ71" s="772">
        <f>'Таблиця цін схема №1'!$JL$8</f>
        <v>62.86234247089866</v>
      </c>
      <c r="IA71" s="770">
        <f>'Таблиця цін схема №1'!$JM$28</f>
        <v>0</v>
      </c>
      <c r="IB71" s="770">
        <v>0</v>
      </c>
      <c r="IC71" s="913">
        <f t="shared" si="98"/>
        <v>365.02138774623739</v>
      </c>
      <c r="ID71" s="914">
        <f t="shared" si="99"/>
        <v>521.45912535176774</v>
      </c>
      <c r="IE71" s="915">
        <f t="shared" si="100"/>
        <v>89.70392427267052</v>
      </c>
      <c r="IF71" s="776">
        <f>'Таблиця цін схема №1'!$JR$8</f>
        <v>300.63036461094771</v>
      </c>
      <c r="IG71" s="777">
        <f t="shared" si="88"/>
        <v>6491.4060554992993</v>
      </c>
      <c r="II71" s="835"/>
      <c r="IJ71" s="835"/>
      <c r="IK71" s="835"/>
      <c r="IL71" s="835"/>
    </row>
    <row r="72" spans="2:246" s="780" customFormat="1" ht="12.6" customHeight="1">
      <c r="B72" s="905">
        <v>102</v>
      </c>
      <c r="C72" s="1056" t="s">
        <v>944</v>
      </c>
      <c r="D72" s="906">
        <v>0.12361</v>
      </c>
      <c r="E72" s="907">
        <v>7.1999999999999995E-2</v>
      </c>
      <c r="F72" s="908">
        <f t="shared" si="28"/>
        <v>4.048600836845762</v>
      </c>
      <c r="G72" s="599">
        <v>40</v>
      </c>
      <c r="H72" s="598">
        <f t="shared" si="29"/>
        <v>2.2081100392997497</v>
      </c>
      <c r="I72" s="599">
        <v>32</v>
      </c>
      <c r="J72" s="845">
        <f t="shared" si="30"/>
        <v>5.1397089397089397</v>
      </c>
      <c r="K72" s="846">
        <v>50</v>
      </c>
      <c r="L72" s="845">
        <f t="shared" si="31"/>
        <v>1.8404907975460123</v>
      </c>
      <c r="M72" s="846">
        <v>25</v>
      </c>
      <c r="N72" s="845">
        <f t="shared" si="32"/>
        <v>1.460446247464503</v>
      </c>
      <c r="O72" s="846">
        <v>25</v>
      </c>
      <c r="P72" s="845">
        <f t="shared" si="153"/>
        <v>0.43813387423935091</v>
      </c>
      <c r="Q72" s="846">
        <v>20</v>
      </c>
      <c r="R72" s="845">
        <f t="shared" si="33"/>
        <v>3.1227391647898939</v>
      </c>
      <c r="S72" s="847">
        <f t="shared" si="104"/>
        <v>2.6028470473124448</v>
      </c>
      <c r="T72" s="956">
        <v>2</v>
      </c>
      <c r="U72" s="848">
        <f t="shared" si="35"/>
        <v>2.5698544698544699</v>
      </c>
      <c r="V72" s="848">
        <f t="shared" si="36"/>
        <v>3.634323044593311</v>
      </c>
      <c r="W72" s="850">
        <v>32</v>
      </c>
      <c r="X72" s="751">
        <f t="shared" si="0"/>
        <v>40</v>
      </c>
      <c r="Y72" s="746">
        <v>2</v>
      </c>
      <c r="Z72" s="747">
        <f>VLOOKUP(X72,'Ціни контур мережний'!$Z$24:$AB$36,3,0)</f>
        <v>18.42400964308333</v>
      </c>
      <c r="AA72" s="748">
        <f t="shared" si="105"/>
        <v>36.848019286166661</v>
      </c>
      <c r="AB72" s="749">
        <f t="shared" si="1"/>
        <v>40</v>
      </c>
      <c r="AC72" s="749">
        <v>2</v>
      </c>
      <c r="AD72" s="747">
        <f>VLOOKUP(AB72,'Ціни контур мережний'!$Z$64:$AB$77,3,0)</f>
        <v>72.595528496809465</v>
      </c>
      <c r="AE72" s="748">
        <f t="shared" si="106"/>
        <v>145.19105699361893</v>
      </c>
      <c r="AF72" s="746">
        <f t="shared" si="2"/>
        <v>40</v>
      </c>
      <c r="AG72" s="746">
        <v>0</v>
      </c>
      <c r="AH72" s="747">
        <f>VLOOKUP(AF72,'Ціни контур мережний'!$Z$5:$AB$17,3,0)</f>
        <v>23.225999999999999</v>
      </c>
      <c r="AI72" s="748">
        <f t="shared" si="107"/>
        <v>0</v>
      </c>
      <c r="AJ72" s="746">
        <f t="shared" si="3"/>
        <v>32</v>
      </c>
      <c r="AK72" s="746">
        <v>1</v>
      </c>
      <c r="AL72" s="747">
        <f>VLOOKUP(AJ72,'Ціни контур мережний'!$Z$43:$AB$55,3,0)</f>
        <v>16.107218011318363</v>
      </c>
      <c r="AM72" s="748">
        <f t="shared" si="108"/>
        <v>16.107218011318363</v>
      </c>
      <c r="AN72" s="745">
        <f t="shared" si="4"/>
        <v>25</v>
      </c>
      <c r="AO72" s="749">
        <v>4</v>
      </c>
      <c r="AP72" s="747">
        <f>VLOOKUP(AN72,'Ціни контур мережний'!$Z$43:$AB$55,3,0)</f>
        <v>14.856886019572187</v>
      </c>
      <c r="AQ72" s="759">
        <f t="shared" si="109"/>
        <v>59.427544078288747</v>
      </c>
      <c r="AR72" s="751" t="str">
        <f t="shared" si="42"/>
        <v>AMV20</v>
      </c>
      <c r="AS72" s="751">
        <v>1</v>
      </c>
      <c r="AT72" s="747">
        <f>VLOOKUP(AR72,'Ціни контур мережний'!$I$53:$M$57,5,0)</f>
        <v>110.39869654932889</v>
      </c>
      <c r="AU72" s="748">
        <f t="shared" si="110"/>
        <v>110.39869654932889</v>
      </c>
      <c r="AV72" s="752">
        <f t="array" ref="AV72">MIN(IF('Ціни контур мережний'!$Y$83:$Y$92&gt;(R72*1.2),'Ціни контур мережний'!$Y$83:$Y$92))</f>
        <v>4</v>
      </c>
      <c r="AW72" s="746">
        <f>VLOOKUP(AV72,'Ціни контур мережний'!$Y$83:$Z$92,2,0)</f>
        <v>15</v>
      </c>
      <c r="AX72" s="746">
        <v>1</v>
      </c>
      <c r="AY72" s="747">
        <f>VLOOKUP(AV72,'Ціни контур мережний'!$Y$83:$AB$92,4,0)</f>
        <v>104.44472592804462</v>
      </c>
      <c r="AZ72" s="748">
        <f t="shared" si="111"/>
        <v>104.44472592804462</v>
      </c>
      <c r="BA72" s="1099">
        <f t="array" ref="BA72">MIN(IF('[1]Ціни контур мережний'!$Y$104:$Y$114&gt;(R72*1.2),'[1]Ціни контур мережний'!$Y$104:$Y$114))</f>
        <v>4</v>
      </c>
      <c r="BB72" s="1101">
        <f>VLOOKUP(BA72,'[1]Ціни контур мережний'!$Y$104:$Z$114,2,0)</f>
        <v>15</v>
      </c>
      <c r="BC72" s="753">
        <v>1</v>
      </c>
      <c r="BD72" s="754">
        <f>VLOOKUP(BA72,'Ціни контур мережний'!$Y$104:$AB$114,4,0)</f>
        <v>251.13923223078018</v>
      </c>
      <c r="BE72" s="755">
        <f t="shared" si="112"/>
        <v>251.13923223078018</v>
      </c>
      <c r="BF72" s="751" t="s">
        <v>67</v>
      </c>
      <c r="BG72" s="749">
        <v>1</v>
      </c>
      <c r="BH72" s="747">
        <f>VLOOKUP(BF72,'Ціни контур мережний'!$I$53:$M$57,5,0)</f>
        <v>157.67238032974441</v>
      </c>
      <c r="BI72" s="768">
        <f t="shared" si="113"/>
        <v>157.67238032974441</v>
      </c>
      <c r="BJ72" s="894">
        <f t="array" ref="BJ72">MIN(IF('Ціни контур мережний'!$Y$83:$Y$93&gt;(S72*1.2),'Ціни контур мережний'!$Y$83:$Y$93))</f>
        <v>4</v>
      </c>
      <c r="BK72" s="895">
        <f>VLOOKUP(BJ72,'Ціни контур мережний'!$Y$83:$Z$93,2,0)</f>
        <v>15</v>
      </c>
      <c r="BL72" s="895">
        <v>1</v>
      </c>
      <c r="BM72" s="896">
        <f>VLOOKUP(BJ72,'Ціни контур мережний'!$Y$83:$AB$93,4,0)</f>
        <v>104.44472592804462</v>
      </c>
      <c r="BN72" s="916">
        <f t="shared" si="114"/>
        <v>104.44472592804462</v>
      </c>
      <c r="BO72" s="896">
        <f t="array" ref="BO72">MIN(IF('Ціни контур мережний'!$Y$104:$Y$114&gt;(S72*1.2),'Ціни контур мережний'!$Y$104:$Y$114))</f>
        <v>4</v>
      </c>
      <c r="BP72" s="895">
        <f>VLOOKUP(BO72,'Ціни контур мережний'!$Y$104:$Z$114,2,0)</f>
        <v>15</v>
      </c>
      <c r="BQ72" s="895">
        <v>1</v>
      </c>
      <c r="BR72" s="896">
        <f>VLOOKUP(BO72,'Ціни контур мережний'!$Y$104:$AB$114,4,0)</f>
        <v>251.13923223078018</v>
      </c>
      <c r="BS72" s="897">
        <f t="shared" si="115"/>
        <v>251.13923223078018</v>
      </c>
      <c r="BT72" s="751" t="s">
        <v>115</v>
      </c>
      <c r="BU72" s="751" t="s">
        <v>115</v>
      </c>
      <c r="BV72" s="746" t="s">
        <v>1025</v>
      </c>
      <c r="BW72" s="756">
        <v>0</v>
      </c>
      <c r="BX72" s="747">
        <v>0</v>
      </c>
      <c r="BY72" s="748">
        <f t="shared" si="116"/>
        <v>0</v>
      </c>
      <c r="BZ72" s="745">
        <f>VLOOKUP(CA72,'Ціни контур мережний'!$J$5:$L$12,3,0)</f>
        <v>20</v>
      </c>
      <c r="CA72" s="747">
        <f t="array" ref="CA72">MIN(IF('Ціни контур мережний'!$J$5:$J$12&gt;L72,'Ціни контур мережний'!$J$5:$J$12))</f>
        <v>2.5</v>
      </c>
      <c r="CB72" s="746" t="s">
        <v>130</v>
      </c>
      <c r="CC72" s="749">
        <v>1</v>
      </c>
      <c r="CD72" s="747">
        <f>VLOOKUP(CA72,'Ціни контур мережний'!$J$5:$N$12,5,0)</f>
        <v>277.536</v>
      </c>
      <c r="CE72" s="748">
        <f t="shared" si="117"/>
        <v>277.536</v>
      </c>
      <c r="CF72" s="898" t="s">
        <v>1387</v>
      </c>
      <c r="CG72" s="899">
        <v>1</v>
      </c>
      <c r="CH72" s="900">
        <v>338</v>
      </c>
      <c r="CI72" s="901">
        <f t="shared" si="118"/>
        <v>338</v>
      </c>
      <c r="CJ72" s="751">
        <f t="shared" si="5"/>
        <v>50</v>
      </c>
      <c r="CK72" s="746">
        <v>4</v>
      </c>
      <c r="CL72" s="747">
        <f>VLOOKUP(CJ72,'Ціни контур теплопостачання'!$Y$5:$AA$17,3,0)</f>
        <v>23.2782130224622</v>
      </c>
      <c r="CM72" s="748">
        <f t="shared" si="119"/>
        <v>93.112852089848801</v>
      </c>
      <c r="CN72" s="746">
        <f t="shared" si="6"/>
        <v>25</v>
      </c>
      <c r="CO72" s="746">
        <v>6</v>
      </c>
      <c r="CP72" s="747">
        <f>VLOOKUP(CN72,'Ціни контур теплопостачання'!$AO$20:$AQ$29,3,0)</f>
        <v>6.3070000000000004</v>
      </c>
      <c r="CQ72" s="748">
        <f t="shared" si="120"/>
        <v>37.841999999999999</v>
      </c>
      <c r="CR72" s="746">
        <f t="shared" si="7"/>
        <v>20</v>
      </c>
      <c r="CS72" s="746">
        <v>3</v>
      </c>
      <c r="CT72" s="747">
        <f>VLOOKUP(CR72,'Ціни контур теплопостачання'!$AO$20:$AQ$29,3,0)</f>
        <v>3.577</v>
      </c>
      <c r="CU72" s="748">
        <f t="shared" si="121"/>
        <v>10.731</v>
      </c>
      <c r="CV72" s="746">
        <f t="shared" si="8"/>
        <v>32</v>
      </c>
      <c r="CW72" s="746">
        <f t="shared" si="101"/>
        <v>4</v>
      </c>
      <c r="CX72" s="747">
        <f>VLOOKUP(CV72,'Ціни контур теплопостачання'!$Y$5:$AA$17,3,0)</f>
        <v>10.381</v>
      </c>
      <c r="CY72" s="748">
        <f t="shared" si="122"/>
        <v>41.524000000000001</v>
      </c>
      <c r="CZ72" s="745">
        <v>20</v>
      </c>
      <c r="DA72" s="749">
        <v>2</v>
      </c>
      <c r="DB72" s="747">
        <f>VLOOKUP(CZ72,'Ціни контур теплопостачання'!$Y$5:$AA$17,3,0)</f>
        <v>3.577</v>
      </c>
      <c r="DC72" s="748">
        <f t="shared" si="123"/>
        <v>7.1539999999999999</v>
      </c>
      <c r="DD72" s="745">
        <v>15</v>
      </c>
      <c r="DE72" s="745">
        <v>8</v>
      </c>
      <c r="DF72" s="758">
        <f>VLOOKUP(DD72,'Ціни контур теплопостачання'!$Y$5:$AA$17,3,0)</f>
        <v>2.464</v>
      </c>
      <c r="DG72" s="759">
        <f t="shared" si="124"/>
        <v>19.712</v>
      </c>
      <c r="DH72" s="745">
        <v>15</v>
      </c>
      <c r="DI72" s="745">
        <f t="shared" si="58"/>
        <v>37</v>
      </c>
      <c r="DJ72" s="758">
        <f>VLOOKUP(DH72,'Ціни контур мережний'!$J$71:$M$71,4,0)</f>
        <v>3.3865201135922525</v>
      </c>
      <c r="DK72" s="759">
        <f t="shared" si="125"/>
        <v>125.30124420291334</v>
      </c>
      <c r="DL72" s="751">
        <f t="shared" si="10"/>
        <v>50</v>
      </c>
      <c r="DM72" s="746">
        <v>1</v>
      </c>
      <c r="DN72" s="747">
        <f>VLOOKUP(DL72,'Ціни контур теплопостачання'!$K$5:$M$17,3,0)</f>
        <v>26.284999999999997</v>
      </c>
      <c r="DO72" s="748">
        <f t="shared" si="126"/>
        <v>26.284999999999997</v>
      </c>
      <c r="DP72" s="745">
        <f t="shared" si="11"/>
        <v>25</v>
      </c>
      <c r="DQ72" s="749">
        <v>1</v>
      </c>
      <c r="DR72" s="747">
        <f>VLOOKUP(DP72,'Ціни контур теплопостачання'!$K$5:$M$17,3,0)</f>
        <v>4.78</v>
      </c>
      <c r="DS72" s="748">
        <f t="shared" si="127"/>
        <v>4.78</v>
      </c>
      <c r="DT72" s="745">
        <f t="shared" si="12"/>
        <v>20</v>
      </c>
      <c r="DU72" s="745">
        <v>1</v>
      </c>
      <c r="DV72" s="758">
        <f>VLOOKUP(DT72,'Ціни контур теплопостачання'!$K$5:$M$17,3,0)</f>
        <v>3.48</v>
      </c>
      <c r="DW72" s="759">
        <f t="shared" si="128"/>
        <v>3.48</v>
      </c>
      <c r="DX72" s="745">
        <f t="shared" si="63"/>
        <v>50</v>
      </c>
      <c r="DY72" s="745">
        <v>1</v>
      </c>
      <c r="DZ72" s="758">
        <f>VLOOKUP(DX72,'Ціни контур теплопостачання'!$Y$24:$AA$36,3,0)</f>
        <v>28.560999999999996</v>
      </c>
      <c r="EA72" s="759">
        <f t="shared" si="64"/>
        <v>28.560999999999996</v>
      </c>
      <c r="EB72" s="751">
        <f t="shared" si="13"/>
        <v>50</v>
      </c>
      <c r="EC72" s="746">
        <v>2</v>
      </c>
      <c r="ED72" s="747">
        <f>VLOOKUP(EB72,'Ціни контур теплопостачання'!$Y$24:$AA$36,3,0)</f>
        <v>28.560999999999996</v>
      </c>
      <c r="EE72" s="748">
        <f t="shared" si="129"/>
        <v>57.121999999999993</v>
      </c>
      <c r="EF72" s="745">
        <f t="shared" si="14"/>
        <v>25</v>
      </c>
      <c r="EG72" s="749">
        <v>1</v>
      </c>
      <c r="EH72" s="747">
        <f>VLOOKUP(EF72,'Ціни контур теплопостачання'!$AO$38:$AQ$50,3,0)</f>
        <v>6.9659999999999993</v>
      </c>
      <c r="EI72" s="748">
        <f t="shared" si="130"/>
        <v>6.9659999999999993</v>
      </c>
      <c r="EJ72" s="745">
        <f t="shared" si="15"/>
        <v>20</v>
      </c>
      <c r="EK72" s="745">
        <v>1</v>
      </c>
      <c r="EL72" s="758">
        <f>VLOOKUP(EJ72,'Ціни контур теплопостачання'!$AO$38:$AQ$50,3,0)</f>
        <v>4.5359999999999996</v>
      </c>
      <c r="EM72" s="759">
        <f t="shared" si="131"/>
        <v>4.5359999999999996</v>
      </c>
      <c r="EN72" s="745">
        <f t="shared" si="16"/>
        <v>32</v>
      </c>
      <c r="EO72" s="745">
        <f t="shared" si="102"/>
        <v>4</v>
      </c>
      <c r="EP72" s="758">
        <f>VLOOKUP(EN72,'Ціни контур теплопостачання'!$Y$76:$AA$88,3,0)</f>
        <v>13.15</v>
      </c>
      <c r="EQ72" s="759">
        <f t="shared" si="132"/>
        <v>52.6</v>
      </c>
      <c r="ER72" s="745">
        <f t="shared" si="18"/>
        <v>25</v>
      </c>
      <c r="ES72" s="745">
        <v>1</v>
      </c>
      <c r="ET72" s="758">
        <f>VLOOKUP(ER72,'Ціни контур теплопостачання'!$Y$76:$AA$88,3,0)</f>
        <v>11.45</v>
      </c>
      <c r="EU72" s="759">
        <f t="shared" si="133"/>
        <v>11.45</v>
      </c>
      <c r="EV72" s="745">
        <f t="shared" si="19"/>
        <v>20</v>
      </c>
      <c r="EW72" s="745">
        <v>1</v>
      </c>
      <c r="EX72" s="758">
        <f>VLOOKUP(EV72,'Ціни контур теплопостачання'!$Y$76:$AA$88,3,0)</f>
        <v>11.45</v>
      </c>
      <c r="EY72" s="759">
        <f t="shared" si="134"/>
        <v>11.45</v>
      </c>
      <c r="EZ72" s="758">
        <f t="shared" si="95"/>
        <v>17.858157799728392</v>
      </c>
      <c r="FA72" s="955">
        <v>20</v>
      </c>
      <c r="FB72" s="719">
        <v>2</v>
      </c>
      <c r="FC72" s="747">
        <f>VLOOKUP(FA72,'Ціни контур теплопостачання'!$K$74:$M$79,3,0)</f>
        <v>16.440000000000001</v>
      </c>
      <c r="FD72" s="761">
        <f t="shared" ref="FD72:FD73" si="154">FB72*FC72</f>
        <v>32.880000000000003</v>
      </c>
      <c r="FE72" s="762">
        <f t="shared" si="71"/>
        <v>5.1397089397089397</v>
      </c>
      <c r="FF72" s="911">
        <v>5</v>
      </c>
      <c r="FG72" s="900">
        <v>5</v>
      </c>
      <c r="FH72" s="830" t="s">
        <v>1093</v>
      </c>
      <c r="FI72" s="708">
        <v>2</v>
      </c>
      <c r="FJ72" s="709">
        <f>VLOOKUP(FH72,'Ціни контур теплопостачання'!$C$89:$M$105,11,0)</f>
        <v>198.83999999999997</v>
      </c>
      <c r="FK72" s="764">
        <f t="shared" si="135"/>
        <v>397.67999999999995</v>
      </c>
      <c r="FL72" s="912">
        <f t="shared" si="73"/>
        <v>0.43813387423935091</v>
      </c>
      <c r="FM72" s="911">
        <v>5</v>
      </c>
      <c r="FN72" s="900">
        <v>6</v>
      </c>
      <c r="FO72" s="900" t="s">
        <v>1098</v>
      </c>
      <c r="FP72" s="749">
        <v>1</v>
      </c>
      <c r="FQ72" s="747">
        <f>VLOOKUP(FO72,'Ціни контур теплопостачання'!$C$89:$M$105,11,0)</f>
        <v>80.399999999999991</v>
      </c>
      <c r="FR72" s="904">
        <f t="shared" si="136"/>
        <v>80.399999999999991</v>
      </c>
      <c r="FS72" s="758">
        <f t="array" ref="FS72">MIN(IF('Ціни контур теплопостачання'!$AN$68:$AN$77&gt;(V72*1.2),'Ціни контур теплопостачання'!$AN$68:$AN$77))</f>
        <v>5.83</v>
      </c>
      <c r="FT72" s="749">
        <f>VLOOKUP(FS72,'Ціни контур теплопостачання'!$AN$68:$AO$77,2,0)</f>
        <v>25</v>
      </c>
      <c r="FU72" s="749">
        <f t="shared" si="103"/>
        <v>2</v>
      </c>
      <c r="FV72" s="747">
        <f>VLOOKUP(FT72,'Ціни контур теплопостачання'!$AO$68:$AQ$77,3,0)</f>
        <v>26.495000000000001</v>
      </c>
      <c r="FW72" s="765">
        <f t="shared" si="137"/>
        <v>52.99</v>
      </c>
      <c r="FX72" s="750">
        <v>15</v>
      </c>
      <c r="FY72" s="746">
        <v>2</v>
      </c>
      <c r="FZ72" s="747">
        <f>VLOOKUP(FX72,'Ціни контур мережний'!$J$73:$M$73,4,0)</f>
        <v>3.4649999999999999</v>
      </c>
      <c r="GA72" s="748">
        <f t="shared" si="138"/>
        <v>6.93</v>
      </c>
      <c r="GB72" s="750">
        <f>VLOOKUP(GC72,'Ціни контур теплопостачання'!$AN$6:$AO$13,2,0)</f>
        <v>15</v>
      </c>
      <c r="GC72" s="751">
        <f t="array" ref="GC72">MIN(IF('Ціни контур теплопостачання'!$AN$6:$AN$13&gt;N72,'Ціни контур теплопостачання'!$AN$6:$AN$13))</f>
        <v>1.5</v>
      </c>
      <c r="GD72" s="751">
        <v>1</v>
      </c>
      <c r="GE72" s="747">
        <f>VLOOKUP(GB72,'Ціни контур теплопостачання'!$AO$6:$AQ$13,3,0)</f>
        <v>19.51182</v>
      </c>
      <c r="GF72" s="748">
        <f t="shared" si="139"/>
        <v>19.51182</v>
      </c>
      <c r="GG72" s="746">
        <f t="shared" si="23"/>
        <v>25</v>
      </c>
      <c r="GH72" s="746">
        <v>1</v>
      </c>
      <c r="GI72" s="747">
        <f>VLOOKUP(GG72,'Ціни контур теплопостачання'!$AO$55:$AQ$63,3,0)</f>
        <v>122.45</v>
      </c>
      <c r="GJ72" s="768">
        <f t="shared" si="140"/>
        <v>122.45</v>
      </c>
      <c r="GK72" s="655" t="str">
        <f t="shared" si="150"/>
        <v>0-150</v>
      </c>
      <c r="GL72" s="720">
        <v>1</v>
      </c>
      <c r="GM72" s="747">
        <f>VLOOKUP(GK72,'Ціни контур мережний'!$I$79:$M$80,5,0)</f>
        <v>15.050156291498967</v>
      </c>
      <c r="GN72" s="748">
        <f t="shared" si="141"/>
        <v>15.050156291498967</v>
      </c>
      <c r="GO72" s="758" t="s">
        <v>109</v>
      </c>
      <c r="GP72" s="749">
        <v>1</v>
      </c>
      <c r="GQ72" s="747">
        <f>VLOOKUP(GO72,'Ціни контур мережний'!$I$79:$M$80,5,0)</f>
        <v>15.050156291498967</v>
      </c>
      <c r="GR72" s="765">
        <f t="shared" si="142"/>
        <v>15.050156291498967</v>
      </c>
      <c r="GS72" s="655" t="s">
        <v>108</v>
      </c>
      <c r="GT72" s="720">
        <v>3</v>
      </c>
      <c r="GU72" s="747">
        <f>VLOOKUP(GS72,'Ціни контур мережний'!$I$67:$M$69,5,0)</f>
        <v>4.4537969640631703</v>
      </c>
      <c r="GV72" s="748">
        <f t="shared" si="143"/>
        <v>13.361390892189512</v>
      </c>
      <c r="GW72" s="655" t="s">
        <v>106</v>
      </c>
      <c r="GX72" s="720">
        <f>11+T72</f>
        <v>13</v>
      </c>
      <c r="GY72" s="747">
        <f>VLOOKUP(GW72,'Ціни контур мережний'!$I$67:$M$69,5,0)</f>
        <v>4.4537969640631703</v>
      </c>
      <c r="GZ72" s="748">
        <f t="shared" si="144"/>
        <v>57.899360532821213</v>
      </c>
      <c r="HA72" s="655" t="s">
        <v>1013</v>
      </c>
      <c r="HB72" s="720">
        <v>4</v>
      </c>
      <c r="HC72" s="747">
        <f>VLOOKUP(HA72,'Ціни контур мережний'!$I$64:$M$64,5,0)</f>
        <v>29.1312</v>
      </c>
      <c r="HD72" s="748">
        <f t="shared" si="145"/>
        <v>116.5248</v>
      </c>
      <c r="HE72" s="766" t="s">
        <v>1015</v>
      </c>
      <c r="HF72" s="749">
        <v>6</v>
      </c>
      <c r="HG72" s="747">
        <f>VLOOKUP(HE72,'Ціни контур мережний'!$I$89:$M$89,5,0)</f>
        <v>79.523165325760516</v>
      </c>
      <c r="HH72" s="765">
        <f t="shared" si="146"/>
        <v>477.1389919545631</v>
      </c>
      <c r="HI72" s="917" t="s">
        <v>1016</v>
      </c>
      <c r="HJ72" s="720">
        <f t="shared" si="152"/>
        <v>7</v>
      </c>
      <c r="HK72" s="747">
        <f>VLOOKUP(HI72,'Ціни контур мережний'!$I$88:$M$88,5,0)</f>
        <v>13.211568975967202</v>
      </c>
      <c r="HL72" s="768">
        <f t="shared" si="147"/>
        <v>92.480982831770419</v>
      </c>
      <c r="HM72" s="917" t="s">
        <v>383</v>
      </c>
      <c r="HN72" s="720">
        <v>1</v>
      </c>
      <c r="HO72" s="747">
        <f>VLOOKUP(HM72,'Ціни контур мережний'!$I$87:$M$87,5,0)</f>
        <v>13.483972460007763</v>
      </c>
      <c r="HP72" s="748">
        <f t="shared" si="148"/>
        <v>13.483972460007763</v>
      </c>
      <c r="HQ72" s="769">
        <f t="shared" si="97"/>
        <v>102</v>
      </c>
      <c r="HR72" s="770">
        <f t="shared" si="87"/>
        <v>3908.7875591132265</v>
      </c>
      <c r="HS72" s="771">
        <v>0</v>
      </c>
      <c r="HT72" s="771">
        <f>'Таблиця цін схема №1'!$JE$43/'Ціни контур мережний'!$G$26</f>
        <v>340.50435505070107</v>
      </c>
      <c r="HU72" s="770">
        <f>'Таблиця цін схема №1'!$JG$8</f>
        <v>661.80181284518619</v>
      </c>
      <c r="HV72" s="770">
        <f>'Таблиця цін схема №1'!$JH$8</f>
        <v>487.81784379022207</v>
      </c>
      <c r="HW72" s="770">
        <f>'Таблиця цін схема №1'!$JI$8</f>
        <v>323.47913729816605</v>
      </c>
      <c r="HX72" s="770">
        <f>'Таблиця цін схема №1'!$JJ$8</f>
        <v>66.611999999999995</v>
      </c>
      <c r="HY72" s="770">
        <f>'Таблиця цін схема №1'!$JK$28</f>
        <v>0</v>
      </c>
      <c r="HZ72" s="772">
        <f>'Таблиця цін схема №1'!$JL$8</f>
        <v>62.86234247089866</v>
      </c>
      <c r="IA72" s="770">
        <f>'Таблиця цін схема №1'!$JM$28</f>
        <v>0</v>
      </c>
      <c r="IB72" s="770">
        <v>0</v>
      </c>
      <c r="IC72" s="913">
        <f t="shared" ref="IC72:IC73" si="155">SUM(HR72:IB72)*$IC$1</f>
        <v>409.63055353978808</v>
      </c>
      <c r="ID72" s="914">
        <f t="shared" si="99"/>
        <v>585.18650505684013</v>
      </c>
      <c r="IE72" s="915">
        <f t="shared" ref="IE72:IE73" si="156">ABS(SUM(HR72:ID72)*$IE$1-SUM(HR72:ID72))</f>
        <v>100.66661677383854</v>
      </c>
      <c r="IF72" s="776">
        <f>'Таблиця цін схема №1'!$JR$8</f>
        <v>300.63036461094771</v>
      </c>
      <c r="IG72" s="777">
        <f t="shared" si="88"/>
        <v>7247.9790905498157</v>
      </c>
      <c r="II72" s="835"/>
      <c r="IJ72" s="835"/>
      <c r="IK72" s="835"/>
      <c r="IL72" s="835"/>
    </row>
    <row r="73" spans="2:246" s="780" customFormat="1" ht="12.6" customHeight="1" thickBot="1">
      <c r="B73" s="957">
        <v>103</v>
      </c>
      <c r="C73" s="1057" t="s">
        <v>945</v>
      </c>
      <c r="D73" s="958">
        <v>4.9070000000000003E-2</v>
      </c>
      <c r="E73" s="959">
        <v>1.8E-3</v>
      </c>
      <c r="F73" s="960">
        <f t="shared" ref="F73" si="157">H73+L73</f>
        <v>0.92257532817373411</v>
      </c>
      <c r="G73" s="605">
        <v>40</v>
      </c>
      <c r="H73" s="604">
        <f t="shared" ref="H73" si="158">D73*1000/((130-70)*0.933)</f>
        <v>0.87656305823508385</v>
      </c>
      <c r="I73" s="605">
        <v>20</v>
      </c>
      <c r="J73" s="604">
        <f t="shared" ref="J73" si="159">D73*1000/((95-70)*0.962)</f>
        <v>2.0403326403326405</v>
      </c>
      <c r="K73" s="605">
        <v>32</v>
      </c>
      <c r="L73" s="604">
        <f t="shared" ref="L73" si="160">E73*1000/((70-30)*0.978)</f>
        <v>4.6012269938650312E-2</v>
      </c>
      <c r="M73" s="605">
        <v>20</v>
      </c>
      <c r="N73" s="604">
        <f t="shared" ref="N73" si="161">E73*1000/((55-5)*0.986)</f>
        <v>3.6511156186612582E-2</v>
      </c>
      <c r="O73" s="605">
        <v>20</v>
      </c>
      <c r="P73" s="604">
        <f t="shared" si="153"/>
        <v>1.0953346855983774E-2</v>
      </c>
      <c r="Q73" s="605">
        <v>20</v>
      </c>
      <c r="R73" s="604">
        <f t="shared" ref="R73" si="162">H73/SQRT(0.5)</f>
        <v>1.2396473652312927</v>
      </c>
      <c r="S73" s="606">
        <f>L73/SQRT(0.6)</f>
        <v>5.9401585064530936E-2</v>
      </c>
      <c r="T73" s="961">
        <v>1</v>
      </c>
      <c r="U73" s="604">
        <f t="shared" ref="U73" si="163">J73/T73</f>
        <v>2.0403326403326405</v>
      </c>
      <c r="V73" s="604">
        <f t="shared" ref="V73" si="164">U73/SQRT(0.5)</f>
        <v>2.8854660917109261</v>
      </c>
      <c r="W73" s="851">
        <v>32</v>
      </c>
      <c r="X73" s="793">
        <f t="shared" si="0"/>
        <v>40</v>
      </c>
      <c r="Y73" s="787">
        <v>2</v>
      </c>
      <c r="Z73" s="788">
        <f>VLOOKUP(X73,'Ціни контур мережний'!$Z$24:$AB$36,3,0)</f>
        <v>18.42400964308333</v>
      </c>
      <c r="AA73" s="814">
        <f t="shared" si="105"/>
        <v>36.848019286166661</v>
      </c>
      <c r="AB73" s="790">
        <f t="shared" si="1"/>
        <v>40</v>
      </c>
      <c r="AC73" s="791">
        <v>2</v>
      </c>
      <c r="AD73" s="788">
        <f>VLOOKUP(AB73,'Ціни контур мережний'!$Z$64:$AB$77,3,0)</f>
        <v>72.595528496809465</v>
      </c>
      <c r="AE73" s="814">
        <f t="shared" si="106"/>
        <v>145.19105699361893</v>
      </c>
      <c r="AF73" s="792">
        <f t="shared" si="2"/>
        <v>40</v>
      </c>
      <c r="AG73" s="787">
        <v>1</v>
      </c>
      <c r="AH73" s="788">
        <f>VLOOKUP(AF73,'Ціни контур мережний'!$Z$5:$AB$17,3,0)</f>
        <v>23.225999999999999</v>
      </c>
      <c r="AI73" s="814">
        <f t="shared" si="107"/>
        <v>23.225999999999999</v>
      </c>
      <c r="AJ73" s="792">
        <f t="shared" si="3"/>
        <v>20</v>
      </c>
      <c r="AK73" s="787">
        <v>3</v>
      </c>
      <c r="AL73" s="788">
        <f>VLOOKUP(AJ73,'Ціни контур мережний'!$Z$43:$AB$55,3,0)</f>
        <v>14.562690256808384</v>
      </c>
      <c r="AM73" s="789">
        <f t="shared" si="108"/>
        <v>43.688070770425156</v>
      </c>
      <c r="AN73" s="786">
        <f t="shared" si="4"/>
        <v>20</v>
      </c>
      <c r="AO73" s="791">
        <v>4</v>
      </c>
      <c r="AP73" s="788">
        <f>VLOOKUP(AN73,'Ціни контур мережний'!$Z$43:$AB$55,3,0)</f>
        <v>14.562690256808384</v>
      </c>
      <c r="AQ73" s="801">
        <f t="shared" si="109"/>
        <v>58.250761027233537</v>
      </c>
      <c r="AR73" s="793" t="str">
        <f t="shared" ref="AR73" si="165">AR72</f>
        <v>AMV20</v>
      </c>
      <c r="AS73" s="793">
        <v>1</v>
      </c>
      <c r="AT73" s="788">
        <f>VLOOKUP(AR73,'Ціни контур мережний'!$I$53:$M$57,5,0)</f>
        <v>110.39869654932889</v>
      </c>
      <c r="AU73" s="789">
        <f t="shared" si="110"/>
        <v>110.39869654932889</v>
      </c>
      <c r="AV73" s="794">
        <f t="array" ref="AV73">MIN(IF('Ціни контур мережний'!$Y$83:$Y$92&gt;(R73*1.2),'Ціни контур мережний'!$Y$83:$Y$92))</f>
        <v>1.6</v>
      </c>
      <c r="AW73" s="787">
        <f>VLOOKUP(AV73,'Ціни контур мережний'!$Y$83:$Z$92,2,0)</f>
        <v>15</v>
      </c>
      <c r="AX73" s="787">
        <v>1</v>
      </c>
      <c r="AY73" s="788">
        <f>VLOOKUP(AV73,'Ціни контур мережний'!$Y$83:$AB$92,4,0)</f>
        <v>104.44472592804462</v>
      </c>
      <c r="AZ73" s="789">
        <f t="shared" si="111"/>
        <v>104.44472592804462</v>
      </c>
      <c r="BA73" s="1109">
        <f t="array" ref="BA73">MIN(IF('[1]Ціни контур мережний'!$Y$104:$Y$114&gt;(R73*1.2),'[1]Ціни контур мережний'!$Y$104:$Y$114))</f>
        <v>4</v>
      </c>
      <c r="BB73" s="1102">
        <f>VLOOKUP(BA73,'[1]Ціни контур мережний'!$Y$104:$Z$114,2,0)</f>
        <v>15</v>
      </c>
      <c r="BC73" s="795">
        <v>1</v>
      </c>
      <c r="BD73" s="796">
        <f>VLOOKUP(BA73,'Ціни контур мережний'!$Y$104:$AB$114,4,0)</f>
        <v>251.13923223078018</v>
      </c>
      <c r="BE73" s="797">
        <f t="shared" si="112"/>
        <v>251.13923223078018</v>
      </c>
      <c r="BF73" s="793" t="s">
        <v>67</v>
      </c>
      <c r="BG73" s="791">
        <v>1</v>
      </c>
      <c r="BH73" s="788">
        <f>VLOOKUP(BF73,'Ціни контур мережний'!$I$53:$M$57,5,0)</f>
        <v>157.67238032974441</v>
      </c>
      <c r="BI73" s="814">
        <f t="shared" si="113"/>
        <v>157.67238032974441</v>
      </c>
      <c r="BJ73" s="962">
        <f t="array" ref="BJ73">MIN(IF('Ціни контур мережний'!$Y$83:$Y$93&gt;(S73*1.2),'Ціни контур мережний'!$Y$83:$Y$93))</f>
        <v>0.63</v>
      </c>
      <c r="BK73" s="963">
        <f>VLOOKUP(BJ73,'Ціни контур мережний'!$Y$83:$Z$93,2,0)</f>
        <v>15</v>
      </c>
      <c r="BL73" s="964">
        <v>1</v>
      </c>
      <c r="BM73" s="965">
        <f>VLOOKUP(BJ73,'Ціни контур мережний'!$Y$83:$AB$93,4,0)</f>
        <v>104.44472592804462</v>
      </c>
      <c r="BN73" s="966">
        <f t="shared" si="114"/>
        <v>104.44472592804462</v>
      </c>
      <c r="BO73" s="965">
        <f t="array" ref="BO73">MIN(IF('Ціни контур мережний'!$Y$104:$Y$114&gt;S73,'Ціни контур мережний'!$Y$104:$Y$114))</f>
        <v>4</v>
      </c>
      <c r="BP73" s="963">
        <f>VLOOKUP(BO73,'Ціни контур мережний'!$Y$104:$Z$114,2,0)</f>
        <v>15</v>
      </c>
      <c r="BQ73" s="963">
        <v>1</v>
      </c>
      <c r="BR73" s="965">
        <f>VLOOKUP(BO73,'Ціни контур мережний'!$Y$104:$AB$114,4,0)</f>
        <v>251.13923223078018</v>
      </c>
      <c r="BS73" s="967">
        <f t="shared" si="115"/>
        <v>251.13923223078018</v>
      </c>
      <c r="BT73" s="793">
        <f>VLOOKUP(BU73,'Ціни контур мережний'!$J$5:$L$12,3,0)</f>
        <v>15</v>
      </c>
      <c r="BU73" s="793">
        <f t="array" ref="BU73">MIN(IF('Ціни контур мережний'!$J$5:$J$12&gt;H73,'Ціни контур мережний'!$J$5:$J$12))</f>
        <v>1.5</v>
      </c>
      <c r="BV73" s="746" t="s">
        <v>130</v>
      </c>
      <c r="BW73" s="798">
        <v>1</v>
      </c>
      <c r="BX73" s="788">
        <f>VLOOKUP(BU73,'Ціни контур мережний'!$J$5:$N$12,5,0)</f>
        <v>246.38399999999999</v>
      </c>
      <c r="BY73" s="789">
        <f t="shared" si="116"/>
        <v>246.38399999999999</v>
      </c>
      <c r="BZ73" s="786">
        <f>VLOOKUP(CA73,'Ціни контур мережний'!$J$5:$L$12,3,0)</f>
        <v>15</v>
      </c>
      <c r="CA73" s="788">
        <f t="array" ref="CA73">MIN(IF('Ціни контур мережний'!$J$5:$J$12&gt;L73,'Ціни контур мережний'!$J$5:$J$12))</f>
        <v>1.5</v>
      </c>
      <c r="CB73" s="787" t="s">
        <v>130</v>
      </c>
      <c r="CC73" s="791">
        <v>1</v>
      </c>
      <c r="CD73" s="788">
        <f>VLOOKUP(CA73,'Ціни контур мережний'!$J$5:$N$12,5,0)</f>
        <v>246.38399999999999</v>
      </c>
      <c r="CE73" s="789">
        <f t="shared" si="117"/>
        <v>246.38399999999999</v>
      </c>
      <c r="CF73" s="1093" t="s">
        <v>1390</v>
      </c>
      <c r="CG73" s="969">
        <v>1</v>
      </c>
      <c r="CH73" s="970">
        <v>211</v>
      </c>
      <c r="CI73" s="971">
        <f t="shared" si="118"/>
        <v>211</v>
      </c>
      <c r="CJ73" s="793">
        <f t="shared" si="5"/>
        <v>32</v>
      </c>
      <c r="CK73" s="787">
        <v>4</v>
      </c>
      <c r="CL73" s="788">
        <f>VLOOKUP(CJ73,'Ціни контур теплопостачання'!$Y$5:$AA$17,3,0)</f>
        <v>10.381</v>
      </c>
      <c r="CM73" s="789">
        <f t="shared" si="119"/>
        <v>41.524000000000001</v>
      </c>
      <c r="CN73" s="787">
        <f t="shared" si="6"/>
        <v>20</v>
      </c>
      <c r="CO73" s="787">
        <v>6</v>
      </c>
      <c r="CP73" s="788">
        <f>VLOOKUP(CN73,'Ціни контур теплопостачання'!$AO$20:$AQ$29,3,0)</f>
        <v>3.577</v>
      </c>
      <c r="CQ73" s="789">
        <f t="shared" si="120"/>
        <v>21.462</v>
      </c>
      <c r="CR73" s="787">
        <f t="shared" si="7"/>
        <v>20</v>
      </c>
      <c r="CS73" s="787">
        <v>3</v>
      </c>
      <c r="CT73" s="788">
        <f>VLOOKUP(CR73,'Ціни контур теплопостачання'!$AO$20:$AQ$29,3,0)</f>
        <v>3.577</v>
      </c>
      <c r="CU73" s="789">
        <f t="shared" si="121"/>
        <v>10.731</v>
      </c>
      <c r="CV73" s="787">
        <f t="shared" si="8"/>
        <v>32</v>
      </c>
      <c r="CW73" s="787">
        <f t="shared" si="101"/>
        <v>2</v>
      </c>
      <c r="CX73" s="788">
        <f>VLOOKUP(CV73,'Ціни контур теплопостачання'!$Y$5:$AA$17,3,0)</f>
        <v>10.381</v>
      </c>
      <c r="CY73" s="789">
        <f t="shared" si="122"/>
        <v>20.762</v>
      </c>
      <c r="CZ73" s="786">
        <v>20</v>
      </c>
      <c r="DA73" s="791">
        <v>2</v>
      </c>
      <c r="DB73" s="788">
        <f>VLOOKUP(CZ73,'Ціни контур теплопостачання'!$Y$5:$AA$17,3,0)</f>
        <v>3.577</v>
      </c>
      <c r="DC73" s="789">
        <f t="shared" si="123"/>
        <v>7.1539999999999999</v>
      </c>
      <c r="DD73" s="786">
        <v>15</v>
      </c>
      <c r="DE73" s="786">
        <v>8</v>
      </c>
      <c r="DF73" s="800">
        <f>VLOOKUP(DD73,'Ціни контур теплопостачання'!$Y$5:$AA$17,3,0)</f>
        <v>2.464</v>
      </c>
      <c r="DG73" s="801">
        <f t="shared" si="124"/>
        <v>19.712</v>
      </c>
      <c r="DH73" s="786">
        <v>15</v>
      </c>
      <c r="DI73" s="786">
        <f>35</f>
        <v>35</v>
      </c>
      <c r="DJ73" s="800">
        <f>VLOOKUP(DH73,'Ціни контур мережний'!$J$71:$M$71,4,0)</f>
        <v>3.3865201135922525</v>
      </c>
      <c r="DK73" s="801">
        <f t="shared" si="125"/>
        <v>118.52820397572884</v>
      </c>
      <c r="DL73" s="793">
        <f t="shared" si="10"/>
        <v>32</v>
      </c>
      <c r="DM73" s="787">
        <v>1</v>
      </c>
      <c r="DN73" s="788">
        <f>VLOOKUP(DL73,'Ціни контур теплопостачання'!$K$5:$M$17,3,0)</f>
        <v>9.48</v>
      </c>
      <c r="DO73" s="789">
        <f t="shared" si="126"/>
        <v>9.48</v>
      </c>
      <c r="DP73" s="786">
        <f t="shared" si="11"/>
        <v>20</v>
      </c>
      <c r="DQ73" s="791">
        <v>1</v>
      </c>
      <c r="DR73" s="788">
        <f>VLOOKUP(DP73,'Ціни контур теплопостачання'!$K$5:$M$17,3,0)</f>
        <v>3.48</v>
      </c>
      <c r="DS73" s="789">
        <f t="shared" si="127"/>
        <v>3.48</v>
      </c>
      <c r="DT73" s="786">
        <f t="shared" si="12"/>
        <v>20</v>
      </c>
      <c r="DU73" s="786">
        <v>1</v>
      </c>
      <c r="DV73" s="800">
        <f>VLOOKUP(DT73,'Ціни контур теплопостачання'!$K$5:$M$17,3,0)</f>
        <v>3.48</v>
      </c>
      <c r="DW73" s="801">
        <f t="shared" si="128"/>
        <v>3.48</v>
      </c>
      <c r="DX73" s="786">
        <f t="shared" ref="DX73" si="166">K73</f>
        <v>32</v>
      </c>
      <c r="DY73" s="786">
        <v>1</v>
      </c>
      <c r="DZ73" s="800">
        <f>VLOOKUP(DX73,'Ціни контур теплопостачання'!$Y$24:$AA$36,3,0)</f>
        <v>10.773</v>
      </c>
      <c r="EA73" s="801">
        <f t="shared" ref="EA73" si="167">DY73*DZ73</f>
        <v>10.773</v>
      </c>
      <c r="EB73" s="793">
        <f t="shared" si="13"/>
        <v>32</v>
      </c>
      <c r="EC73" s="787">
        <v>2</v>
      </c>
      <c r="ED73" s="788">
        <f>VLOOKUP(EB73,'Ціни контур теплопостачання'!$Y$24:$AA$36,3,0)</f>
        <v>10.773</v>
      </c>
      <c r="EE73" s="789">
        <f t="shared" si="129"/>
        <v>21.545999999999999</v>
      </c>
      <c r="EF73" s="786">
        <f t="shared" si="14"/>
        <v>20</v>
      </c>
      <c r="EG73" s="791">
        <v>1</v>
      </c>
      <c r="EH73" s="788">
        <f>VLOOKUP(EF73,'Ціни контур теплопостачання'!$AO$38:$AQ$50,3,0)</f>
        <v>4.5359999999999996</v>
      </c>
      <c r="EI73" s="789">
        <f t="shared" si="130"/>
        <v>4.5359999999999996</v>
      </c>
      <c r="EJ73" s="786">
        <f t="shared" si="15"/>
        <v>20</v>
      </c>
      <c r="EK73" s="786">
        <v>1</v>
      </c>
      <c r="EL73" s="800">
        <f>VLOOKUP(EJ73,'Ціни контур теплопостачання'!$AO$38:$AQ$50,3,0)</f>
        <v>4.5359999999999996</v>
      </c>
      <c r="EM73" s="801">
        <f t="shared" si="131"/>
        <v>4.5359999999999996</v>
      </c>
      <c r="EN73" s="786">
        <f t="shared" si="16"/>
        <v>32</v>
      </c>
      <c r="EO73" s="786">
        <f t="shared" si="102"/>
        <v>2</v>
      </c>
      <c r="EP73" s="800">
        <f>VLOOKUP(EN73,'Ціни контур теплопостачання'!$Y$76:$AA$88,3,0)</f>
        <v>13.15</v>
      </c>
      <c r="EQ73" s="801">
        <f t="shared" si="132"/>
        <v>26.3</v>
      </c>
      <c r="ER73" s="786">
        <f t="shared" si="18"/>
        <v>20</v>
      </c>
      <c r="ES73" s="786">
        <v>1</v>
      </c>
      <c r="ET73" s="800">
        <f>VLOOKUP(ER73,'Ціни контур теплопостачання'!$Y$76:$AA$88,3,0)</f>
        <v>11.45</v>
      </c>
      <c r="EU73" s="801">
        <f t="shared" si="133"/>
        <v>11.45</v>
      </c>
      <c r="EV73" s="786">
        <f t="shared" si="19"/>
        <v>20</v>
      </c>
      <c r="EW73" s="786">
        <v>1</v>
      </c>
      <c r="EX73" s="800">
        <f>VLOOKUP(EV73,'Ціни контур теплопостачання'!$Y$76:$AA$88,3,0)</f>
        <v>11.45</v>
      </c>
      <c r="EY73" s="801">
        <f t="shared" si="134"/>
        <v>11.45</v>
      </c>
      <c r="EZ73" s="800">
        <f t="shared" si="95"/>
        <v>11.251693205913501</v>
      </c>
      <c r="FA73" s="972">
        <v>15</v>
      </c>
      <c r="FB73" s="973">
        <v>2</v>
      </c>
      <c r="FC73" s="788">
        <f>VLOOKUP(FA73,'Ціни контур теплопостачання'!$K$74:$M$79,3,0)</f>
        <v>13.33</v>
      </c>
      <c r="FD73" s="971">
        <f t="shared" si="154"/>
        <v>26.66</v>
      </c>
      <c r="FE73" s="805">
        <f t="shared" ref="FE73" si="168">J73</f>
        <v>2.0403326403326405</v>
      </c>
      <c r="FF73" s="974">
        <v>3</v>
      </c>
      <c r="FG73" s="970">
        <v>5</v>
      </c>
      <c r="FH73" s="975" t="s">
        <v>1094</v>
      </c>
      <c r="FI73" s="687">
        <v>2</v>
      </c>
      <c r="FJ73" s="709">
        <f>VLOOKUP(FH73,'Ціни контур теплопостачання'!$C$89:$M$105,11,0)</f>
        <v>80.399999999999991</v>
      </c>
      <c r="FK73" s="789">
        <f t="shared" si="135"/>
        <v>160.79999999999998</v>
      </c>
      <c r="FL73" s="976">
        <f t="shared" ref="FL73" si="169">P73</f>
        <v>1.0953346855983774E-2</v>
      </c>
      <c r="FM73" s="974">
        <v>3</v>
      </c>
      <c r="FN73" s="970">
        <v>6</v>
      </c>
      <c r="FO73" s="944" t="s">
        <v>1098</v>
      </c>
      <c r="FP73" s="791">
        <v>1</v>
      </c>
      <c r="FQ73" s="747">
        <f>VLOOKUP(FO73,'Ціни контур теплопостачання'!$C$89:$M$105,11,0)</f>
        <v>80.399999999999991</v>
      </c>
      <c r="FR73" s="977">
        <f t="shared" si="136"/>
        <v>80.399999999999991</v>
      </c>
      <c r="FS73" s="800">
        <f t="array" ref="FS73">MIN(IF('Ціни контур теплопостачання'!$AN$68:$AN$77&gt;(V73*1.2),'Ціни контур теплопостачання'!$AN$68:$AN$77))</f>
        <v>5.83</v>
      </c>
      <c r="FT73" s="791">
        <f>VLOOKUP(FS73,'Ціни контур теплопостачання'!$AN$68:$AO$77,2,0)</f>
        <v>25</v>
      </c>
      <c r="FU73" s="791">
        <v>0</v>
      </c>
      <c r="FV73" s="788">
        <f>VLOOKUP(FT73,'Ціни контур теплопостачання'!$AO$68:$AQ$77,3,0)</f>
        <v>26.495000000000001</v>
      </c>
      <c r="FW73" s="810">
        <f t="shared" si="137"/>
        <v>0</v>
      </c>
      <c r="FX73" s="792">
        <v>15</v>
      </c>
      <c r="FY73" s="787">
        <v>2</v>
      </c>
      <c r="FZ73" s="788">
        <f>VLOOKUP(FX73,'Ціни контур мережний'!$J$73:$M$73,4,0)</f>
        <v>3.4649999999999999</v>
      </c>
      <c r="GA73" s="789">
        <f t="shared" si="138"/>
        <v>6.93</v>
      </c>
      <c r="GB73" s="792">
        <f>VLOOKUP(GC73,'Ціни контур теплопостачання'!$AN$6:$AO$13,2,0)</f>
        <v>15</v>
      </c>
      <c r="GC73" s="793">
        <f t="array" ref="GC73">MIN(IF('Ціни контур теплопостачання'!$AN$6:$AN$13&gt;N73,'Ціни контур теплопостачання'!$AN$6:$AN$13))</f>
        <v>1.5</v>
      </c>
      <c r="GD73" s="793">
        <v>1</v>
      </c>
      <c r="GE73" s="788">
        <f>VLOOKUP(GB73,'Ціни контур теплопостачання'!$AO$6:$AQ$13,3,0)</f>
        <v>19.51182</v>
      </c>
      <c r="GF73" s="789">
        <f t="shared" si="139"/>
        <v>19.51182</v>
      </c>
      <c r="GG73" s="787">
        <f t="shared" si="23"/>
        <v>20</v>
      </c>
      <c r="GH73" s="787">
        <v>1</v>
      </c>
      <c r="GI73" s="788">
        <f>VLOOKUP(GG73,'Ціни контур теплопостачання'!$AO$55:$AQ$63,3,0)</f>
        <v>98.75</v>
      </c>
      <c r="GJ73" s="814">
        <f t="shared" si="140"/>
        <v>98.75</v>
      </c>
      <c r="GK73" s="811" t="str">
        <f t="shared" si="150"/>
        <v>0-150</v>
      </c>
      <c r="GL73" s="687">
        <v>1</v>
      </c>
      <c r="GM73" s="788">
        <f>VLOOKUP(GK73,'Ціни контур мережний'!$I$79:$M$80,5,0)</f>
        <v>15.050156291498967</v>
      </c>
      <c r="GN73" s="789">
        <f t="shared" si="141"/>
        <v>15.050156291498967</v>
      </c>
      <c r="GO73" s="800" t="s">
        <v>109</v>
      </c>
      <c r="GP73" s="791">
        <v>5</v>
      </c>
      <c r="GQ73" s="788">
        <f>VLOOKUP(GO73,'Ціни контур мережний'!$I$79:$M$80,5,0)</f>
        <v>15.050156291498967</v>
      </c>
      <c r="GR73" s="810">
        <f t="shared" si="142"/>
        <v>75.250781457494838</v>
      </c>
      <c r="GS73" s="811" t="s">
        <v>108</v>
      </c>
      <c r="GT73" s="687">
        <v>5</v>
      </c>
      <c r="GU73" s="788">
        <f>VLOOKUP(GS73,'Ціни контур мережний'!$I$67:$M$69,5,0)</f>
        <v>4.4537969640631703</v>
      </c>
      <c r="GV73" s="789">
        <f t="shared" si="143"/>
        <v>22.26898482031585</v>
      </c>
      <c r="GW73" s="811" t="s">
        <v>106</v>
      </c>
      <c r="GX73" s="687">
        <f>11</f>
        <v>11</v>
      </c>
      <c r="GY73" s="788">
        <f>VLOOKUP(GW73,'Ціни контур мережний'!$I$67:$M$69,5,0)</f>
        <v>4.4537969640631703</v>
      </c>
      <c r="GZ73" s="789">
        <f t="shared" si="144"/>
        <v>48.991766604694874</v>
      </c>
      <c r="HA73" s="875" t="s">
        <v>1013</v>
      </c>
      <c r="HB73" s="687">
        <v>4</v>
      </c>
      <c r="HC73" s="788">
        <f>VLOOKUP(HA73,'Ціни контур мережний'!$I$64:$M$64,5,0)</f>
        <v>29.1312</v>
      </c>
      <c r="HD73" s="789">
        <f t="shared" si="145"/>
        <v>116.5248</v>
      </c>
      <c r="HE73" s="978" t="s">
        <v>1015</v>
      </c>
      <c r="HF73" s="791">
        <v>6</v>
      </c>
      <c r="HG73" s="924">
        <f>VLOOKUP(HE73,'Ціни контур мережний'!$I$89:$M$89,5,0)</f>
        <v>79.523165325760516</v>
      </c>
      <c r="HH73" s="810">
        <f t="shared" si="146"/>
        <v>477.1389919545631</v>
      </c>
      <c r="HI73" s="979" t="s">
        <v>1016</v>
      </c>
      <c r="HJ73" s="687">
        <f t="shared" si="152"/>
        <v>7</v>
      </c>
      <c r="HK73" s="788">
        <f>VLOOKUP(HI73,'Ціни контур мережний'!$I$88:$M$88,5,0)</f>
        <v>13.211568975967202</v>
      </c>
      <c r="HL73" s="814">
        <f t="shared" si="147"/>
        <v>92.480982831770419</v>
      </c>
      <c r="HM73" s="980" t="s">
        <v>383</v>
      </c>
      <c r="HN73" s="687">
        <v>1</v>
      </c>
      <c r="HO73" s="788">
        <f>VLOOKUP(HM73,'Ціни контур мережний'!$I$87:$M$87,5,0)</f>
        <v>13.483972460007763</v>
      </c>
      <c r="HP73" s="789">
        <f t="shared" si="148"/>
        <v>13.483972460007763</v>
      </c>
      <c r="HQ73" s="981">
        <f t="shared" si="97"/>
        <v>103</v>
      </c>
      <c r="HR73" s="982">
        <f t="shared" ref="HR73" si="170">AA73+AE73+AI73+AM73+AQ73+AU73+AZ73+BE73+BI73+BN73+BS73+BY73+CE73+CI73+CM73+CQ73+CU73+CY73+DC73+DG73+DK73+DO73+DS73+DW73+EA73+EE73+EI73+EM73+EQ73+EU73+EY73+FD73+FK73+FR73+FW73+GA73+GF73+GJ73+GN73+GR73+GV73+GZ73+HD73+HH73+HL73+HP73</f>
        <v>3591.3573616702424</v>
      </c>
      <c r="HS73" s="771">
        <v>0</v>
      </c>
      <c r="HT73" s="771">
        <f>'Таблиця цін схема №1'!$JE$43/'Ціни контур мережний'!$G$26</f>
        <v>340.50435505070107</v>
      </c>
      <c r="HU73" s="770">
        <f>'Таблиця цін схема №1'!$JG$8</f>
        <v>661.80181284518619</v>
      </c>
      <c r="HV73" s="770">
        <f>'Таблиця цін схема №1'!$JH$8</f>
        <v>487.81784379022207</v>
      </c>
      <c r="HW73" s="770">
        <f>'Таблиця цін схема №1'!$JI$8</f>
        <v>323.47913729816605</v>
      </c>
      <c r="HX73" s="770">
        <f>'Таблиця цін схема №1'!$JJ$8</f>
        <v>66.611999999999995</v>
      </c>
      <c r="HY73" s="770">
        <f>'Таблиця цін схема №1'!$JK$28</f>
        <v>0</v>
      </c>
      <c r="HZ73" s="772">
        <f>'Таблиця цін схема №1'!$JL$8</f>
        <v>62.86234247089866</v>
      </c>
      <c r="IA73" s="770">
        <f>'Таблиця цін схема №1'!$JM$28</f>
        <v>0</v>
      </c>
      <c r="IB73" s="770">
        <v>0</v>
      </c>
      <c r="IC73" s="983">
        <f t="shared" si="155"/>
        <v>387.41043971877923</v>
      </c>
      <c r="ID73" s="984">
        <f t="shared" si="99"/>
        <v>553.44348531254172</v>
      </c>
      <c r="IE73" s="985">
        <f t="shared" si="156"/>
        <v>95.206028779703047</v>
      </c>
      <c r="IF73" s="776">
        <f>'Таблиця цін схема №1'!$JR$8</f>
        <v>300.63036461094771</v>
      </c>
      <c r="IG73" s="777">
        <f t="shared" ref="IG73" si="171">SUM(HR73:IF73)</f>
        <v>6871.12517154739</v>
      </c>
      <c r="II73" s="835"/>
      <c r="IJ73" s="835"/>
      <c r="IK73" s="835"/>
      <c r="IL73" s="835"/>
    </row>
    <row r="74" spans="2:246" s="780" customFormat="1">
      <c r="B74" s="609"/>
      <c r="C74" s="609"/>
      <c r="D74" s="609"/>
      <c r="E74" s="609"/>
      <c r="F74" s="852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09"/>
      <c r="T74" s="609"/>
      <c r="U74" s="609"/>
      <c r="V74" s="609"/>
      <c r="W74" s="609"/>
      <c r="X74" s="609"/>
      <c r="Y74" s="609"/>
      <c r="Z74" s="816"/>
      <c r="AA74" s="816"/>
      <c r="AB74" s="816"/>
      <c r="AC74" s="816"/>
      <c r="AD74" s="816"/>
      <c r="AE74" s="816"/>
      <c r="AF74" s="609"/>
      <c r="AG74" s="609"/>
      <c r="AH74" s="816"/>
      <c r="AI74" s="816"/>
      <c r="AJ74" s="609"/>
      <c r="AK74" s="609"/>
      <c r="AL74" s="816"/>
      <c r="AM74" s="816"/>
      <c r="AN74" s="816"/>
      <c r="AO74" s="816"/>
      <c r="AP74" s="816"/>
      <c r="AQ74" s="816"/>
      <c r="AR74" s="609"/>
      <c r="AS74" s="609"/>
      <c r="AT74" s="816"/>
      <c r="AU74" s="816"/>
      <c r="AV74" s="817"/>
      <c r="AW74" s="609"/>
      <c r="AX74" s="609"/>
      <c r="AY74" s="816"/>
      <c r="AZ74" s="816"/>
      <c r="BA74" s="816"/>
      <c r="BB74" s="816"/>
      <c r="BC74" s="816"/>
      <c r="BD74" s="816"/>
      <c r="BE74" s="816"/>
      <c r="BF74" s="816"/>
      <c r="BG74" s="816"/>
      <c r="BH74" s="816"/>
      <c r="BI74" s="816"/>
      <c r="BJ74" s="816"/>
      <c r="BK74" s="816"/>
      <c r="BL74" s="816"/>
      <c r="BM74" s="816"/>
      <c r="BN74" s="816"/>
      <c r="BO74" s="816"/>
      <c r="BP74" s="816"/>
      <c r="BQ74" s="816"/>
      <c r="BR74" s="816"/>
      <c r="BS74" s="816"/>
      <c r="BT74" s="609"/>
      <c r="BU74" s="609"/>
      <c r="BV74" s="609"/>
      <c r="BW74" s="818"/>
      <c r="BX74" s="816"/>
      <c r="BY74" s="816"/>
      <c r="BZ74" s="816"/>
      <c r="CA74" s="816"/>
      <c r="CB74" s="816"/>
      <c r="CC74" s="816"/>
      <c r="CD74" s="816"/>
      <c r="CE74" s="816"/>
      <c r="CF74" s="820"/>
      <c r="CG74" s="820"/>
      <c r="CH74" s="820"/>
      <c r="CI74" s="820"/>
      <c r="CJ74" s="609"/>
      <c r="CK74" s="609"/>
      <c r="CL74" s="816"/>
      <c r="CM74" s="816"/>
      <c r="CN74" s="609"/>
      <c r="CO74" s="609"/>
      <c r="CP74" s="816"/>
      <c r="CQ74" s="816"/>
      <c r="CR74" s="609"/>
      <c r="CS74" s="609"/>
      <c r="CT74" s="816"/>
      <c r="CU74" s="816"/>
      <c r="CV74" s="609"/>
      <c r="CW74" s="609"/>
      <c r="CX74" s="816"/>
      <c r="CY74" s="816"/>
      <c r="CZ74" s="816"/>
      <c r="DA74" s="816"/>
      <c r="DB74" s="816"/>
      <c r="DC74" s="816"/>
      <c r="DD74" s="816"/>
      <c r="DE74" s="816"/>
      <c r="DF74" s="816"/>
      <c r="DG74" s="816"/>
      <c r="DH74" s="816"/>
      <c r="DI74" s="816"/>
      <c r="DJ74" s="816"/>
      <c r="DK74" s="816"/>
      <c r="DL74" s="609"/>
      <c r="DM74" s="609"/>
      <c r="DN74" s="816"/>
      <c r="DO74" s="816"/>
      <c r="DP74" s="816"/>
      <c r="DQ74" s="816"/>
      <c r="DR74" s="816"/>
      <c r="DS74" s="816"/>
      <c r="DT74" s="816"/>
      <c r="DU74" s="816"/>
      <c r="DV74" s="816"/>
      <c r="DW74" s="816"/>
      <c r="DX74" s="816"/>
      <c r="DY74" s="816"/>
      <c r="DZ74" s="816"/>
      <c r="EA74" s="816"/>
      <c r="EB74" s="609"/>
      <c r="EC74" s="609"/>
      <c r="ED74" s="816"/>
      <c r="EE74" s="816"/>
      <c r="EF74" s="816"/>
      <c r="EG74" s="816"/>
      <c r="EH74" s="816"/>
      <c r="EI74" s="816"/>
      <c r="EJ74" s="816"/>
      <c r="EK74" s="816"/>
      <c r="EL74" s="816"/>
      <c r="EM74" s="816"/>
      <c r="EN74" s="816"/>
      <c r="EO74" s="816"/>
      <c r="EP74" s="816"/>
      <c r="EQ74" s="816"/>
      <c r="ER74" s="816"/>
      <c r="ES74" s="816"/>
      <c r="ET74" s="816"/>
      <c r="EU74" s="816"/>
      <c r="EV74" s="816"/>
      <c r="EW74" s="816"/>
      <c r="EX74" s="816"/>
      <c r="EY74" s="816"/>
      <c r="EZ74" s="816"/>
      <c r="FA74" s="816"/>
      <c r="FB74" s="819"/>
      <c r="FC74" s="816"/>
      <c r="FD74" s="820"/>
      <c r="FE74" s="820"/>
      <c r="FF74" s="820"/>
      <c r="FG74" s="820"/>
      <c r="FH74" s="817"/>
      <c r="FI74" s="609"/>
      <c r="FJ74" s="816"/>
      <c r="FK74" s="816"/>
      <c r="FL74" s="816"/>
      <c r="FM74" s="816"/>
      <c r="FN74" s="816"/>
      <c r="FO74" s="986"/>
      <c r="FP74" s="816"/>
      <c r="FQ74" s="816"/>
      <c r="FR74" s="816"/>
      <c r="FS74" s="816"/>
      <c r="FT74" s="816"/>
      <c r="FU74" s="816"/>
      <c r="FV74" s="816"/>
      <c r="FW74" s="816"/>
      <c r="FX74" s="609"/>
      <c r="FY74" s="609"/>
      <c r="FZ74" s="816"/>
      <c r="GA74" s="816"/>
      <c r="GB74" s="609"/>
      <c r="GC74" s="609"/>
      <c r="GD74" s="609"/>
      <c r="GE74" s="816"/>
      <c r="GF74" s="816"/>
      <c r="GG74" s="609"/>
      <c r="GH74" s="609"/>
      <c r="GI74" s="816"/>
      <c r="GJ74" s="816"/>
      <c r="GK74" s="609"/>
      <c r="GL74" s="609"/>
      <c r="GM74" s="816"/>
      <c r="GN74" s="816"/>
      <c r="GO74" s="816"/>
      <c r="GP74" s="816"/>
      <c r="GQ74" s="816"/>
      <c r="GR74" s="816"/>
      <c r="GS74" s="609"/>
      <c r="GT74" s="609"/>
      <c r="GU74" s="816"/>
      <c r="GV74" s="816"/>
      <c r="GW74" s="609"/>
      <c r="GX74" s="609"/>
      <c r="GY74" s="816"/>
      <c r="GZ74" s="816"/>
      <c r="HA74" s="852"/>
      <c r="HB74" s="609"/>
      <c r="HC74" s="816"/>
      <c r="HD74" s="816"/>
      <c r="HE74" s="816"/>
      <c r="HF74" s="816"/>
      <c r="HG74" s="986"/>
      <c r="HH74" s="816"/>
      <c r="HI74" s="987"/>
      <c r="HJ74" s="609"/>
      <c r="HK74" s="816"/>
      <c r="HL74" s="816"/>
      <c r="HM74" s="988"/>
      <c r="HN74" s="609"/>
      <c r="HO74" s="816"/>
      <c r="HP74" s="816"/>
      <c r="HQ74" s="609"/>
      <c r="HR74" s="816">
        <f>SUM(HR8:HR73)</f>
        <v>389727.41494287795</v>
      </c>
      <c r="HS74" s="816">
        <f t="shared" ref="HS74:IG74" si="172">SUM(HS8:HS73)</f>
        <v>0</v>
      </c>
      <c r="HT74" s="816">
        <f t="shared" si="172"/>
        <v>32824.619826887589</v>
      </c>
      <c r="HU74" s="816">
        <f t="shared" si="172"/>
        <v>43678.919647782343</v>
      </c>
      <c r="HV74" s="816">
        <f t="shared" si="172"/>
        <v>32195.977690154621</v>
      </c>
      <c r="HW74" s="816">
        <f t="shared" si="172"/>
        <v>21349.623061678965</v>
      </c>
      <c r="HX74" s="816">
        <f t="shared" si="172"/>
        <v>4396.3920000000035</v>
      </c>
      <c r="HY74" s="816">
        <f t="shared" si="172"/>
        <v>0</v>
      </c>
      <c r="HZ74" s="816">
        <f t="shared" si="172"/>
        <v>4148.9146030793081</v>
      </c>
      <c r="IA74" s="816">
        <f t="shared" si="172"/>
        <v>0</v>
      </c>
      <c r="IB74" s="816">
        <f t="shared" si="172"/>
        <v>0</v>
      </c>
      <c r="IC74" s="816">
        <f t="shared" si="172"/>
        <v>36982.530324072257</v>
      </c>
      <c r="ID74" s="816">
        <f t="shared" si="172"/>
        <v>52832.186177246069</v>
      </c>
      <c r="IE74" s="816">
        <f t="shared" si="172"/>
        <v>9088.4485429347715</v>
      </c>
      <c r="IF74" s="816">
        <f t="shared" si="172"/>
        <v>19841.604064322572</v>
      </c>
      <c r="IG74" s="816">
        <f t="shared" si="172"/>
        <v>647066.63088103652</v>
      </c>
      <c r="II74" s="826"/>
      <c r="IJ74" s="826"/>
      <c r="IK74" s="826"/>
      <c r="IL74" s="826"/>
    </row>
    <row r="75" spans="2:246" s="780" customFormat="1">
      <c r="B75" s="609"/>
      <c r="C75" s="609"/>
      <c r="D75" s="609"/>
      <c r="E75" s="609"/>
      <c r="F75" s="609"/>
      <c r="G75" s="609"/>
      <c r="H75" s="609"/>
      <c r="I75" s="609"/>
      <c r="J75" s="609"/>
      <c r="K75" s="609"/>
      <c r="L75" s="609"/>
      <c r="M75" s="609"/>
      <c r="N75" s="609"/>
      <c r="O75" s="609"/>
      <c r="P75" s="609"/>
      <c r="Q75" s="609"/>
      <c r="R75" s="609"/>
      <c r="S75" s="609"/>
      <c r="T75" s="609"/>
      <c r="U75" s="609"/>
      <c r="V75" s="609"/>
      <c r="W75" s="609"/>
      <c r="X75" s="609"/>
      <c r="Y75" s="609"/>
      <c r="Z75" s="816"/>
      <c r="AA75" s="816"/>
      <c r="AB75" s="816"/>
      <c r="AC75" s="816"/>
      <c r="AD75" s="816"/>
      <c r="AE75" s="816"/>
      <c r="AF75" s="609"/>
      <c r="AG75" s="609"/>
      <c r="AH75" s="816"/>
      <c r="AI75" s="816"/>
      <c r="AJ75" s="609"/>
      <c r="AK75" s="609"/>
      <c r="AL75" s="816"/>
      <c r="AM75" s="816"/>
      <c r="AN75" s="816"/>
      <c r="AO75" s="816"/>
      <c r="AP75" s="816"/>
      <c r="AQ75" s="816"/>
      <c r="AR75" s="609"/>
      <c r="AS75" s="609"/>
      <c r="AT75" s="816"/>
      <c r="AU75" s="816"/>
      <c r="AV75" s="817"/>
      <c r="AW75" s="609"/>
      <c r="AX75" s="609"/>
      <c r="AY75" s="816"/>
      <c r="AZ75" s="816"/>
      <c r="BA75" s="816"/>
      <c r="BB75" s="816"/>
      <c r="BC75" s="816"/>
      <c r="BD75" s="816"/>
      <c r="BE75" s="816"/>
      <c r="BF75" s="816"/>
      <c r="BG75" s="816"/>
      <c r="BH75" s="816"/>
      <c r="BI75" s="816"/>
      <c r="BJ75" s="816"/>
      <c r="BK75" s="816"/>
      <c r="BL75" s="816"/>
      <c r="BM75" s="816"/>
      <c r="BN75" s="816"/>
      <c r="BO75" s="816"/>
      <c r="BP75" s="816"/>
      <c r="BQ75" s="816"/>
      <c r="BR75" s="816"/>
      <c r="BS75" s="816"/>
      <c r="BT75" s="609"/>
      <c r="BU75" s="609"/>
      <c r="BV75" s="609"/>
      <c r="BW75" s="818"/>
      <c r="BX75" s="816"/>
      <c r="BY75" s="816"/>
      <c r="BZ75" s="816"/>
      <c r="CA75" s="816"/>
      <c r="CB75" s="816"/>
      <c r="CC75" s="816"/>
      <c r="CD75" s="816"/>
      <c r="CE75" s="816"/>
      <c r="CF75" s="820"/>
      <c r="CG75" s="820"/>
      <c r="CH75" s="820"/>
      <c r="CI75" s="820"/>
      <c r="CJ75" s="609"/>
      <c r="CK75" s="609"/>
      <c r="CL75" s="816"/>
      <c r="CM75" s="816"/>
      <c r="CN75" s="609"/>
      <c r="CO75" s="609"/>
      <c r="CP75" s="816"/>
      <c r="CQ75" s="816"/>
      <c r="CR75" s="609"/>
      <c r="CS75" s="609"/>
      <c r="CT75" s="816"/>
      <c r="CU75" s="816"/>
      <c r="CV75" s="609"/>
      <c r="CW75" s="609"/>
      <c r="CX75" s="816"/>
      <c r="CY75" s="816"/>
      <c r="CZ75" s="816"/>
      <c r="DA75" s="816"/>
      <c r="DB75" s="816"/>
      <c r="DC75" s="816"/>
      <c r="DD75" s="816"/>
      <c r="DE75" s="816"/>
      <c r="DF75" s="816"/>
      <c r="DG75" s="816"/>
      <c r="DH75" s="816"/>
      <c r="DI75" s="816"/>
      <c r="DJ75" s="816"/>
      <c r="DK75" s="816"/>
      <c r="DL75" s="609"/>
      <c r="DM75" s="609"/>
      <c r="DN75" s="816"/>
      <c r="DO75" s="816"/>
      <c r="DP75" s="816"/>
      <c r="DQ75" s="816"/>
      <c r="DR75" s="816"/>
      <c r="DS75" s="816"/>
      <c r="DT75" s="816"/>
      <c r="DU75" s="816"/>
      <c r="DV75" s="816"/>
      <c r="DW75" s="816"/>
      <c r="DX75" s="816"/>
      <c r="DY75" s="816"/>
      <c r="DZ75" s="816"/>
      <c r="EA75" s="816"/>
      <c r="EB75" s="609"/>
      <c r="EC75" s="609"/>
      <c r="ED75" s="816"/>
      <c r="EE75" s="816"/>
      <c r="EF75" s="816"/>
      <c r="EG75" s="816"/>
      <c r="EH75" s="816"/>
      <c r="EI75" s="816"/>
      <c r="EJ75" s="816"/>
      <c r="EK75" s="816"/>
      <c r="EL75" s="816"/>
      <c r="EM75" s="816"/>
      <c r="EN75" s="816"/>
      <c r="EO75" s="816"/>
      <c r="EP75" s="816"/>
      <c r="EQ75" s="816"/>
      <c r="ER75" s="816"/>
      <c r="ES75" s="816"/>
      <c r="ET75" s="816"/>
      <c r="EU75" s="816"/>
      <c r="EV75" s="816"/>
      <c r="EW75" s="816"/>
      <c r="EX75" s="816"/>
      <c r="EY75" s="816"/>
      <c r="EZ75" s="816"/>
      <c r="FA75" s="816"/>
      <c r="FB75" s="819"/>
      <c r="FC75" s="816"/>
      <c r="FD75" s="820"/>
      <c r="FE75" s="820"/>
      <c r="FF75" s="820"/>
      <c r="FG75" s="820"/>
      <c r="FH75" s="609"/>
      <c r="FI75" s="609"/>
      <c r="FJ75" s="816"/>
      <c r="FK75" s="816"/>
      <c r="FL75" s="816"/>
      <c r="FM75" s="816"/>
      <c r="FN75" s="816"/>
      <c r="FO75" s="816"/>
      <c r="FP75" s="816"/>
      <c r="FQ75" s="816"/>
      <c r="FR75" s="816"/>
      <c r="FS75" s="816"/>
      <c r="FT75" s="816"/>
      <c r="FU75" s="816"/>
      <c r="FV75" s="816"/>
      <c r="FW75" s="816"/>
      <c r="FX75" s="609"/>
      <c r="FY75" s="609"/>
      <c r="FZ75" s="816"/>
      <c r="GA75" s="816"/>
      <c r="GB75" s="609"/>
      <c r="GC75" s="609"/>
      <c r="GD75" s="609"/>
      <c r="GE75" s="816"/>
      <c r="GF75" s="816"/>
      <c r="GG75" s="609"/>
      <c r="GH75" s="609"/>
      <c r="GI75" s="816"/>
      <c r="GJ75" s="816"/>
      <c r="GK75" s="609"/>
      <c r="GL75" s="609"/>
      <c r="GM75" s="816"/>
      <c r="GN75" s="816"/>
      <c r="GO75" s="816"/>
      <c r="GP75" s="816"/>
      <c r="GQ75" s="816"/>
      <c r="GR75" s="816"/>
      <c r="GS75" s="609"/>
      <c r="GT75" s="609"/>
      <c r="GU75" s="816"/>
      <c r="GV75" s="816"/>
      <c r="GW75" s="609"/>
      <c r="GX75" s="609"/>
      <c r="GY75" s="816"/>
      <c r="GZ75" s="816"/>
      <c r="HA75" s="609"/>
      <c r="HB75" s="609"/>
      <c r="HC75" s="816"/>
      <c r="HD75" s="816"/>
      <c r="HE75" s="816"/>
      <c r="HF75" s="816"/>
      <c r="HG75" s="816"/>
      <c r="HH75" s="816"/>
      <c r="HI75" s="821"/>
      <c r="HJ75" s="609"/>
      <c r="HK75" s="816"/>
      <c r="HL75" s="816"/>
      <c r="HM75" s="822"/>
      <c r="HN75" s="609"/>
      <c r="HO75" s="816"/>
      <c r="HP75" s="816"/>
      <c r="HQ75" s="609"/>
      <c r="HR75" s="816"/>
      <c r="HS75" s="816"/>
      <c r="HT75" s="816"/>
      <c r="HU75" s="816"/>
      <c r="HV75" s="816"/>
      <c r="HW75" s="816"/>
      <c r="HX75" s="816"/>
      <c r="HY75" s="816"/>
      <c r="HZ75" s="816"/>
      <c r="IA75" s="816"/>
      <c r="IB75" s="816"/>
      <c r="IC75" s="823"/>
      <c r="ID75" s="824"/>
      <c r="IE75" s="825"/>
      <c r="IF75" s="825"/>
      <c r="IG75" s="816"/>
      <c r="II75" s="826"/>
      <c r="IJ75" s="826"/>
      <c r="IK75" s="826"/>
      <c r="IL75" s="826"/>
    </row>
    <row r="76" spans="2:246" s="780" customFormat="1" ht="13.5" customHeight="1">
      <c r="B76" s="609"/>
      <c r="C76" s="609"/>
      <c r="D76" s="609"/>
      <c r="E76" s="609"/>
      <c r="F76" s="609"/>
      <c r="G76" s="609"/>
      <c r="H76" s="609"/>
      <c r="I76" s="609"/>
      <c r="J76" s="609"/>
      <c r="K76" s="609"/>
      <c r="L76" s="609"/>
      <c r="M76" s="609"/>
      <c r="N76" s="609"/>
      <c r="O76" s="609"/>
      <c r="P76" s="609"/>
      <c r="Q76" s="609"/>
      <c r="R76" s="609"/>
      <c r="S76" s="609"/>
      <c r="T76" s="609"/>
      <c r="U76" s="609"/>
      <c r="V76" s="609"/>
      <c r="W76" s="609"/>
      <c r="X76" s="746">
        <v>40</v>
      </c>
      <c r="Y76" s="746">
        <f>COUNTIF($X$8:$X$73,X76)*2</f>
        <v>24</v>
      </c>
      <c r="Z76" s="816"/>
      <c r="AA76" s="816"/>
      <c r="AB76" s="746">
        <v>40</v>
      </c>
      <c r="AC76" s="746">
        <f>COUNTIF($AB$8:$AB$73,AB76)*2</f>
        <v>24</v>
      </c>
      <c r="AD76" s="816"/>
      <c r="AE76" s="816"/>
      <c r="AF76" s="746">
        <v>40</v>
      </c>
      <c r="AG76" s="746">
        <v>2</v>
      </c>
      <c r="AH76" s="816"/>
      <c r="AI76" s="816"/>
      <c r="AJ76" s="746">
        <v>15</v>
      </c>
      <c r="AK76" s="746">
        <v>0</v>
      </c>
      <c r="AL76" s="816"/>
      <c r="AM76" s="816"/>
      <c r="AN76" s="746">
        <v>15</v>
      </c>
      <c r="AO76" s="746">
        <f>COUNTIF($AN$8:$AN$73,AN76)*4</f>
        <v>0</v>
      </c>
      <c r="AP76" s="816"/>
      <c r="AQ76" s="816"/>
      <c r="AR76" s="746" t="s">
        <v>1017</v>
      </c>
      <c r="AS76" s="746">
        <f>SUM(AS8:AS73)</f>
        <v>66</v>
      </c>
      <c r="AT76" s="816"/>
      <c r="AU76" s="816"/>
      <c r="AV76" s="827">
        <v>0.63</v>
      </c>
      <c r="AW76" s="746">
        <f>COUNTIF($AV$8:$AV$73,AV76)</f>
        <v>0</v>
      </c>
      <c r="AX76" s="609"/>
      <c r="AY76" s="816"/>
      <c r="AZ76" s="816"/>
      <c r="BA76" s="1110">
        <v>0.63</v>
      </c>
      <c r="BB76" s="1111">
        <f>COUNTIF($BA$8:$BA$73,BA76)</f>
        <v>0</v>
      </c>
      <c r="BC76" s="816"/>
      <c r="BD76" s="816"/>
      <c r="BE76" s="816"/>
      <c r="BF76" s="747" t="s">
        <v>1017</v>
      </c>
      <c r="BG76" s="749">
        <f>SUM(BG8:BG73)</f>
        <v>66</v>
      </c>
      <c r="BH76" s="816"/>
      <c r="BI76" s="816"/>
      <c r="BJ76" s="827">
        <v>0.63</v>
      </c>
      <c r="BK76" s="746">
        <f>COUNTIF($BJ$8:$BJ$73,BJ76)</f>
        <v>2</v>
      </c>
      <c r="BL76" s="816"/>
      <c r="BM76" s="816"/>
      <c r="BN76" s="816"/>
      <c r="BO76" s="827">
        <v>0.63</v>
      </c>
      <c r="BP76" s="749">
        <f>COUNTIF($BO$8:$BO$73,BO76)</f>
        <v>0</v>
      </c>
      <c r="BQ76" s="816"/>
      <c r="BR76" s="816"/>
      <c r="BS76" s="816"/>
      <c r="BT76" s="828">
        <v>1.5</v>
      </c>
      <c r="BU76" s="746">
        <f>COUNTIF($BU$8:$BU$73,BT76)</f>
        <v>2</v>
      </c>
      <c r="BV76" s="609"/>
      <c r="BW76" s="818"/>
      <c r="BX76" s="816"/>
      <c r="BY76" s="816"/>
      <c r="BZ76" s="828">
        <v>1.5</v>
      </c>
      <c r="CA76" s="746">
        <f>COUNTIF($CA$8:$CA$73,BZ76)</f>
        <v>10</v>
      </c>
      <c r="CB76" s="816"/>
      <c r="CC76" s="816"/>
      <c r="CD76" s="816"/>
      <c r="CE76" s="816"/>
      <c r="CF76" s="820"/>
      <c r="CG76" s="820"/>
      <c r="CH76" s="820"/>
      <c r="CI76" s="820"/>
      <c r="CJ76" s="829">
        <v>15</v>
      </c>
      <c r="CK76" s="746">
        <f>COUNTIF($CJ$8:$CJ$73,CJ76)*4</f>
        <v>0</v>
      </c>
      <c r="CL76" s="816"/>
      <c r="CM76" s="816"/>
      <c r="CN76" s="829">
        <v>15</v>
      </c>
      <c r="CO76" s="746">
        <f>COUNTIF($CN$8:$CN$73,CN76)*6</f>
        <v>0</v>
      </c>
      <c r="CP76" s="816"/>
      <c r="CQ76" s="816"/>
      <c r="CR76" s="829">
        <v>15</v>
      </c>
      <c r="CS76" s="746">
        <f>COUNTIF($CR$8:$CR$73,CR76)*3</f>
        <v>0</v>
      </c>
      <c r="CT76" s="816"/>
      <c r="CU76" s="816"/>
      <c r="CV76" s="829">
        <v>15</v>
      </c>
      <c r="CW76" s="746">
        <v>0</v>
      </c>
      <c r="CX76" s="816"/>
      <c r="CY76" s="816"/>
      <c r="CZ76" s="747" t="s">
        <v>1017</v>
      </c>
      <c r="DA76" s="749">
        <f>SUM(DA8:DA73)</f>
        <v>132</v>
      </c>
      <c r="DB76" s="816"/>
      <c r="DC76" s="816"/>
      <c r="DD76" s="747" t="s">
        <v>1017</v>
      </c>
      <c r="DE76" s="749">
        <f>SUM(DE8:DE73)</f>
        <v>528</v>
      </c>
      <c r="DF76" s="816"/>
      <c r="DG76" s="816"/>
      <c r="DH76" s="747" t="s">
        <v>1017</v>
      </c>
      <c r="DI76" s="749">
        <f>SUM(DI8:DI73)</f>
        <v>2477</v>
      </c>
      <c r="DJ76" s="816"/>
      <c r="DK76" s="816"/>
      <c r="DL76" s="829">
        <v>15</v>
      </c>
      <c r="DM76" s="746">
        <f>COUNTIF($DL$8:$DL$73,DL76)</f>
        <v>0</v>
      </c>
      <c r="DN76" s="816"/>
      <c r="DO76" s="816"/>
      <c r="DP76" s="829">
        <v>15</v>
      </c>
      <c r="DQ76" s="746">
        <f>COUNTIF($DP$8:$DP$73,DP76)</f>
        <v>0</v>
      </c>
      <c r="DR76" s="816"/>
      <c r="DS76" s="816"/>
      <c r="DT76" s="829">
        <v>15</v>
      </c>
      <c r="DU76" s="746">
        <f>COUNTIF($DT$8:$DT$73,DT76)</f>
        <v>0</v>
      </c>
      <c r="DV76" s="816"/>
      <c r="DW76" s="816"/>
      <c r="DX76" s="829">
        <v>15</v>
      </c>
      <c r="DY76" s="829">
        <f>COUNTIF($DX$8:$DX$73,DX76)</f>
        <v>0</v>
      </c>
      <c r="DZ76" s="816"/>
      <c r="EA76" s="816"/>
      <c r="EB76" s="829">
        <v>15</v>
      </c>
      <c r="EC76" s="829">
        <f>COUNTIF($EB$8:$EB$73,EB76)*2</f>
        <v>0</v>
      </c>
      <c r="ED76" s="816"/>
      <c r="EE76" s="816"/>
      <c r="EF76" s="829">
        <v>15</v>
      </c>
      <c r="EG76" s="829">
        <f>COUNTIF($EF$8:$EF$73,EF76)</f>
        <v>0</v>
      </c>
      <c r="EH76" s="816"/>
      <c r="EI76" s="816"/>
      <c r="EJ76" s="829">
        <v>15</v>
      </c>
      <c r="EK76" s="829">
        <f>COUNTIF($EJ$8:$EJ$73,EJ76)</f>
        <v>0</v>
      </c>
      <c r="EL76" s="816"/>
      <c r="EM76" s="816"/>
      <c r="EN76" s="829">
        <v>15</v>
      </c>
      <c r="EO76" s="749">
        <v>0</v>
      </c>
      <c r="EP76" s="816"/>
      <c r="EQ76" s="816"/>
      <c r="ER76" s="829">
        <v>15</v>
      </c>
      <c r="ES76" s="829">
        <f>COUNTIF($ER$8:$ER$73,ER76)</f>
        <v>0</v>
      </c>
      <c r="ET76" s="816"/>
      <c r="EU76" s="816"/>
      <c r="EV76" s="829">
        <v>15</v>
      </c>
      <c r="EW76" s="829">
        <f>COUNTIF($EV$8:$EV$73,EV76)</f>
        <v>0</v>
      </c>
      <c r="EX76" s="816"/>
      <c r="EY76" s="816"/>
      <c r="EZ76" s="816"/>
      <c r="FA76" s="829">
        <v>15</v>
      </c>
      <c r="FB76" s="830">
        <f>COUNTIF($FA$8:$FA$73,FA76)*2</f>
        <v>16</v>
      </c>
      <c r="FC76" s="816"/>
      <c r="FD76" s="820"/>
      <c r="FE76" s="820"/>
      <c r="FF76" s="820"/>
      <c r="FG76" s="820"/>
      <c r="FH76" s="666" t="s">
        <v>1094</v>
      </c>
      <c r="FI76" s="746">
        <f>COUNTIF($FH$8:$FH$73,FH76)*2</f>
        <v>12</v>
      </c>
      <c r="FJ76" s="816"/>
      <c r="FK76" s="816"/>
      <c r="FL76" s="816"/>
      <c r="FM76" s="816"/>
      <c r="FN76" s="816"/>
      <c r="FO76" s="989" t="s">
        <v>1096</v>
      </c>
      <c r="FP76" s="926">
        <f>COUNTIF($FO$8:$FO$73,FO76)</f>
        <v>4</v>
      </c>
      <c r="FQ76" s="816"/>
      <c r="FR76" s="816"/>
      <c r="FS76" s="816"/>
      <c r="FT76" s="829">
        <v>15</v>
      </c>
      <c r="FU76" s="749">
        <v>2</v>
      </c>
      <c r="FV76" s="816"/>
      <c r="FW76" s="816"/>
      <c r="FX76" s="746" t="s">
        <v>1017</v>
      </c>
      <c r="FY76" s="746">
        <f>SUM(FY8:FY73)</f>
        <v>132</v>
      </c>
      <c r="FZ76" s="816"/>
      <c r="GA76" s="816"/>
      <c r="GB76" s="829">
        <v>15</v>
      </c>
      <c r="GC76" s="746">
        <f>COUNTIF($GB$8:$GB$73,GB76)</f>
        <v>11</v>
      </c>
      <c r="GD76" s="609"/>
      <c r="GE76" s="816"/>
      <c r="GF76" s="816"/>
      <c r="GG76" s="829">
        <v>15</v>
      </c>
      <c r="GH76" s="746">
        <f>COUNTIF($GG$8:$GG$73,GG76)</f>
        <v>0</v>
      </c>
      <c r="GI76" s="816"/>
      <c r="GJ76" s="816"/>
      <c r="GK76" s="746" t="s">
        <v>1017</v>
      </c>
      <c r="GL76" s="746">
        <f>SUM(GL8:GL73)</f>
        <v>66</v>
      </c>
      <c r="GM76" s="816"/>
      <c r="GN76" s="816"/>
      <c r="GO76" s="746" t="s">
        <v>1017</v>
      </c>
      <c r="GP76" s="749">
        <f>SUM(GP8:GP73)</f>
        <v>210</v>
      </c>
      <c r="GQ76" s="816"/>
      <c r="GR76" s="816"/>
      <c r="GS76" s="746" t="s">
        <v>1017</v>
      </c>
      <c r="GT76" s="746">
        <f>SUM(GT8:GT73)</f>
        <v>270</v>
      </c>
      <c r="GU76" s="816"/>
      <c r="GV76" s="816"/>
      <c r="GW76" s="746" t="s">
        <v>1017</v>
      </c>
      <c r="GX76" s="746">
        <f>SUM(GX8:GX73)</f>
        <v>893</v>
      </c>
      <c r="GY76" s="816"/>
      <c r="GZ76" s="816"/>
      <c r="HA76" s="746" t="s">
        <v>1017</v>
      </c>
      <c r="HB76" s="746">
        <f>SUM(HB8:HB73)</f>
        <v>264</v>
      </c>
      <c r="HC76" s="816"/>
      <c r="HD76" s="816"/>
      <c r="HE76" s="746" t="s">
        <v>1017</v>
      </c>
      <c r="HF76" s="749">
        <f>SUM(HF8:HF73)</f>
        <v>396</v>
      </c>
      <c r="HG76" s="816"/>
      <c r="HH76" s="816"/>
      <c r="HI76" s="746" t="s">
        <v>1017</v>
      </c>
      <c r="HJ76" s="746">
        <f>SUM(HJ8:HJ73)</f>
        <v>462</v>
      </c>
      <c r="HK76" s="816"/>
      <c r="HL76" s="816"/>
      <c r="HM76" s="746" t="s">
        <v>1017</v>
      </c>
      <c r="HN76" s="746">
        <f>SUM(HN8:HN73)</f>
        <v>66</v>
      </c>
      <c r="HO76" s="816"/>
      <c r="HP76" s="816"/>
      <c r="HQ76" s="609"/>
      <c r="HR76" s="816"/>
      <c r="HS76" s="816"/>
      <c r="HT76" s="816"/>
      <c r="HU76" s="816"/>
      <c r="HV76" s="816"/>
      <c r="HW76" s="816"/>
      <c r="HX76" s="816"/>
      <c r="HY76" s="816"/>
      <c r="HZ76" s="816"/>
      <c r="IA76" s="816"/>
      <c r="IB76" s="816"/>
      <c r="IC76" s="823"/>
      <c r="ID76" s="824"/>
      <c r="IE76" s="825"/>
      <c r="IF76" s="825"/>
      <c r="IG76" s="816"/>
      <c r="II76" s="826"/>
      <c r="IJ76" s="826"/>
      <c r="IK76" s="826"/>
      <c r="IL76" s="826"/>
    </row>
    <row r="77" spans="2:246" s="780" customFormat="1" ht="13.5" customHeight="1">
      <c r="B77" s="609"/>
      <c r="C77" s="609"/>
      <c r="D77" s="609"/>
      <c r="E77" s="609"/>
      <c r="F77" s="609"/>
      <c r="G77" s="609"/>
      <c r="H77" s="609"/>
      <c r="I77" s="609"/>
      <c r="J77" s="609"/>
      <c r="K77" s="609"/>
      <c r="L77" s="609"/>
      <c r="M77" s="609"/>
      <c r="N77" s="609"/>
      <c r="O77" s="609"/>
      <c r="P77" s="609"/>
      <c r="Q77" s="609"/>
      <c r="R77" s="609"/>
      <c r="S77" s="609"/>
      <c r="T77" s="609"/>
      <c r="U77" s="609"/>
      <c r="V77" s="609"/>
      <c r="W77" s="609"/>
      <c r="X77" s="746">
        <v>50</v>
      </c>
      <c r="Y77" s="746">
        <f t="shared" ref="Y77:Y82" si="173">COUNTIF($X$8:$X$73,X77)*2</f>
        <v>34</v>
      </c>
      <c r="Z77" s="816"/>
      <c r="AA77" s="816"/>
      <c r="AB77" s="746">
        <v>50</v>
      </c>
      <c r="AC77" s="746">
        <f t="shared" ref="AC77:AC82" si="174">COUNTIF($AB$8:$AB$73,AB77)*2</f>
        <v>34</v>
      </c>
      <c r="AD77" s="816"/>
      <c r="AE77" s="816"/>
      <c r="AF77" s="746">
        <v>50</v>
      </c>
      <c r="AG77" s="746">
        <v>8</v>
      </c>
      <c r="AH77" s="816"/>
      <c r="AI77" s="816"/>
      <c r="AJ77" s="746">
        <v>20</v>
      </c>
      <c r="AK77" s="746">
        <v>10</v>
      </c>
      <c r="AL77" s="816"/>
      <c r="AM77" s="816"/>
      <c r="AN77" s="746">
        <v>20</v>
      </c>
      <c r="AO77" s="746">
        <f t="shared" ref="AO77:AO85" si="175">COUNTIF($AN$8:$AN$73,AN77)*4</f>
        <v>28</v>
      </c>
      <c r="AP77" s="816"/>
      <c r="AQ77" s="816"/>
      <c r="AR77" s="609"/>
      <c r="AS77" s="609"/>
      <c r="AT77" s="816"/>
      <c r="AU77" s="816"/>
      <c r="AV77" s="827">
        <v>1</v>
      </c>
      <c r="AW77" s="746">
        <f t="shared" ref="AW77:AW86" si="176">COUNTIF($AV$8:$AV$73,AV77)</f>
        <v>1</v>
      </c>
      <c r="AX77" s="609"/>
      <c r="AY77" s="816"/>
      <c r="AZ77" s="816"/>
      <c r="BA77" s="1110">
        <v>1</v>
      </c>
      <c r="BB77" s="1111">
        <f t="shared" ref="BB77:BB86" si="177">COUNTIF($BA$8:$BA$73,BA77)</f>
        <v>0</v>
      </c>
      <c r="BC77" s="816"/>
      <c r="BD77" s="816"/>
      <c r="BE77" s="816"/>
      <c r="BF77" s="816"/>
      <c r="BG77" s="816"/>
      <c r="BH77" s="816"/>
      <c r="BI77" s="816"/>
      <c r="BJ77" s="827">
        <v>1</v>
      </c>
      <c r="BK77" s="746">
        <f t="shared" ref="BK77:BK86" si="178">COUNTIF($BJ$8:$BJ$73,BJ77)</f>
        <v>1</v>
      </c>
      <c r="BL77" s="816"/>
      <c r="BM77" s="816"/>
      <c r="BN77" s="816"/>
      <c r="BO77" s="827">
        <v>1</v>
      </c>
      <c r="BP77" s="749">
        <f t="shared" ref="BP77:BP86" si="179">COUNTIF($BO$8:$BO$73,BO77)</f>
        <v>0</v>
      </c>
      <c r="BQ77" s="816"/>
      <c r="BR77" s="816"/>
      <c r="BS77" s="816"/>
      <c r="BT77" s="828">
        <v>2.5</v>
      </c>
      <c r="BU77" s="746">
        <f t="shared" ref="BU77:BU83" si="180">COUNTIF($BU$8:$BU$73,BT77)</f>
        <v>1</v>
      </c>
      <c r="BV77" s="609"/>
      <c r="BW77" s="818"/>
      <c r="BX77" s="816"/>
      <c r="BY77" s="816"/>
      <c r="BZ77" s="828">
        <v>2.5</v>
      </c>
      <c r="CA77" s="746">
        <f t="shared" ref="CA77:CA83" si="181">COUNTIF($CA$8:$CA$73,BZ77)</f>
        <v>2</v>
      </c>
      <c r="CB77" s="816"/>
      <c r="CC77" s="816"/>
      <c r="CD77" s="816"/>
      <c r="CE77" s="816"/>
      <c r="CF77" s="820"/>
      <c r="CG77" s="820"/>
      <c r="CH77" s="820"/>
      <c r="CI77" s="820"/>
      <c r="CJ77" s="829">
        <v>20</v>
      </c>
      <c r="CK77" s="746">
        <f t="shared" ref="CK77:CK85" si="182">COUNTIF($CJ$8:$CJ$73,CJ77)*4</f>
        <v>0</v>
      </c>
      <c r="CL77" s="816"/>
      <c r="CM77" s="816"/>
      <c r="CN77" s="829">
        <v>20</v>
      </c>
      <c r="CO77" s="746">
        <f t="shared" ref="CO77:CO85" si="183">COUNTIF($CN$8:$CN$73,CN77)*6</f>
        <v>42</v>
      </c>
      <c r="CP77" s="816"/>
      <c r="CQ77" s="816"/>
      <c r="CR77" s="829">
        <v>20</v>
      </c>
      <c r="CS77" s="746">
        <f t="shared" ref="CS77:CS85" si="184">COUNTIF($CR$8:$CR$73,CR77)*3</f>
        <v>93</v>
      </c>
      <c r="CT77" s="816"/>
      <c r="CU77" s="816"/>
      <c r="CV77" s="829">
        <v>20</v>
      </c>
      <c r="CW77" s="746">
        <v>12</v>
      </c>
      <c r="CX77" s="816"/>
      <c r="CY77" s="816"/>
      <c r="CZ77" s="816"/>
      <c r="DA77" s="816"/>
      <c r="DB77" s="816"/>
      <c r="DC77" s="816"/>
      <c r="DD77" s="816"/>
      <c r="DE77" s="816"/>
      <c r="DF77" s="816"/>
      <c r="DG77" s="816"/>
      <c r="DH77" s="816"/>
      <c r="DI77" s="816"/>
      <c r="DJ77" s="816"/>
      <c r="DK77" s="816"/>
      <c r="DL77" s="829">
        <v>20</v>
      </c>
      <c r="DM77" s="746">
        <f t="shared" ref="DM77:DM85" si="185">COUNTIF($DL$8:$DL$73,DL77)</f>
        <v>0</v>
      </c>
      <c r="DN77" s="816"/>
      <c r="DO77" s="816"/>
      <c r="DP77" s="829">
        <v>20</v>
      </c>
      <c r="DQ77" s="746">
        <f t="shared" ref="DQ77:DQ85" si="186">COUNTIF($DP$8:$DP$73,DP77)</f>
        <v>7</v>
      </c>
      <c r="DR77" s="816"/>
      <c r="DS77" s="816"/>
      <c r="DT77" s="829">
        <v>20</v>
      </c>
      <c r="DU77" s="746">
        <f t="shared" ref="DU77:DU85" si="187">COUNTIF($DT$8:$DT$73,DT77)</f>
        <v>31</v>
      </c>
      <c r="DV77" s="816"/>
      <c r="DW77" s="816"/>
      <c r="DX77" s="829">
        <v>20</v>
      </c>
      <c r="DY77" s="829">
        <f t="shared" ref="DY77:DY85" si="188">COUNTIF($DX$8:$DX$73,DX77)</f>
        <v>0</v>
      </c>
      <c r="DZ77" s="816"/>
      <c r="EA77" s="816"/>
      <c r="EB77" s="829">
        <v>20</v>
      </c>
      <c r="EC77" s="829">
        <f t="shared" ref="EC77:EC85" si="189">COUNTIF($EB$8:$EB$73,EB77)*2</f>
        <v>0</v>
      </c>
      <c r="ED77" s="816"/>
      <c r="EE77" s="816"/>
      <c r="EF77" s="829">
        <v>20</v>
      </c>
      <c r="EG77" s="829">
        <f t="shared" ref="EG77:EG85" si="190">COUNTIF($EF$8:$EF$73,EF77)</f>
        <v>7</v>
      </c>
      <c r="EH77" s="816"/>
      <c r="EI77" s="816"/>
      <c r="EJ77" s="829">
        <v>20</v>
      </c>
      <c r="EK77" s="829">
        <f t="shared" ref="EK77:EK85" si="191">COUNTIF($EJ$8:$EJ$73,EJ77)</f>
        <v>31</v>
      </c>
      <c r="EL77" s="816"/>
      <c r="EM77" s="816"/>
      <c r="EN77" s="829">
        <v>20</v>
      </c>
      <c r="EO77" s="749">
        <v>12</v>
      </c>
      <c r="EP77" s="816"/>
      <c r="EQ77" s="816"/>
      <c r="ER77" s="829">
        <v>20</v>
      </c>
      <c r="ES77" s="829">
        <f t="shared" ref="ES77:ES85" si="192">COUNTIF($ER$8:$ER$73,ER77)</f>
        <v>7</v>
      </c>
      <c r="ET77" s="816"/>
      <c r="EU77" s="816"/>
      <c r="EV77" s="829">
        <v>20</v>
      </c>
      <c r="EW77" s="829">
        <f t="shared" ref="EW77:EW85" si="193">COUNTIF($EV$8:$EV$73,EV77)</f>
        <v>31</v>
      </c>
      <c r="EX77" s="816"/>
      <c r="EY77" s="816"/>
      <c r="EZ77" s="816"/>
      <c r="FA77" s="829">
        <v>20</v>
      </c>
      <c r="FB77" s="830">
        <f t="shared" ref="FB77:FB81" si="194">COUNTIF($FA$8:$FA$73,FA77)*2</f>
        <v>24</v>
      </c>
      <c r="FC77" s="816"/>
      <c r="FD77" s="820"/>
      <c r="FE77" s="820"/>
      <c r="FF77" s="820"/>
      <c r="FG77" s="820"/>
      <c r="FH77" s="666" t="s">
        <v>1093</v>
      </c>
      <c r="FI77" s="746">
        <f>COUNTIF($FH$8:$FH$73,FH77)*2</f>
        <v>6</v>
      </c>
      <c r="FJ77" s="816"/>
      <c r="FK77" s="816"/>
      <c r="FL77" s="816"/>
      <c r="FM77" s="816"/>
      <c r="FN77" s="816"/>
      <c r="FO77" s="989" t="s">
        <v>1097</v>
      </c>
      <c r="FP77" s="926">
        <f>COUNTIF($FO$8:$FO$73,FO77)</f>
        <v>52</v>
      </c>
      <c r="FQ77" s="816"/>
      <c r="FR77" s="816"/>
      <c r="FS77" s="816"/>
      <c r="FT77" s="829">
        <v>20</v>
      </c>
      <c r="FU77" s="749">
        <v>6</v>
      </c>
      <c r="FV77" s="816"/>
      <c r="FW77" s="816"/>
      <c r="FX77" s="609"/>
      <c r="FY77" s="609"/>
      <c r="FZ77" s="816"/>
      <c r="GA77" s="816"/>
      <c r="GB77" s="829">
        <v>20</v>
      </c>
      <c r="GC77" s="746">
        <f t="shared" ref="GC77:GC83" si="195">COUNTIF($GB$8:$GB$73,GB77)</f>
        <v>6</v>
      </c>
      <c r="GD77" s="609"/>
      <c r="GE77" s="816"/>
      <c r="GF77" s="816"/>
      <c r="GG77" s="829">
        <v>20</v>
      </c>
      <c r="GH77" s="746">
        <f t="shared" ref="GH77:GH84" si="196">COUNTIF($GG$8:$GG$73,GG77)</f>
        <v>7</v>
      </c>
      <c r="GI77" s="816"/>
      <c r="GJ77" s="816"/>
      <c r="GK77" s="609"/>
      <c r="GL77" s="609"/>
      <c r="GM77" s="816"/>
      <c r="GN77" s="816"/>
      <c r="GO77" s="816"/>
      <c r="GP77" s="816"/>
      <c r="GQ77" s="816"/>
      <c r="GR77" s="816"/>
      <c r="GS77" s="609"/>
      <c r="GT77" s="609"/>
      <c r="GU77" s="816"/>
      <c r="GV77" s="816"/>
      <c r="GW77" s="609"/>
      <c r="GX77" s="609"/>
      <c r="GY77" s="816"/>
      <c r="GZ77" s="816"/>
      <c r="HA77" s="609"/>
      <c r="HB77" s="609"/>
      <c r="HC77" s="816"/>
      <c r="HD77" s="816"/>
      <c r="HE77" s="816"/>
      <c r="HF77" s="816"/>
      <c r="HG77" s="816"/>
      <c r="HH77" s="816"/>
      <c r="HI77" s="821"/>
      <c r="HJ77" s="609"/>
      <c r="HK77" s="816"/>
      <c r="HL77" s="816"/>
      <c r="HM77" s="822"/>
      <c r="HN77" s="609"/>
      <c r="HO77" s="816"/>
      <c r="HP77" s="816"/>
      <c r="HQ77" s="609"/>
      <c r="HR77" s="816">
        <f>SUM(HR8:HR73)+SUM(HU8:HU73)+SUM(HX8:HX73)</f>
        <v>437802.72659066028</v>
      </c>
      <c r="HS77" s="816"/>
      <c r="HT77" s="816"/>
      <c r="HU77" s="816"/>
      <c r="HV77" s="816"/>
      <c r="HW77" s="816"/>
      <c r="HX77" s="816"/>
      <c r="HY77" s="816"/>
      <c r="HZ77" s="816"/>
      <c r="IA77" s="816"/>
      <c r="IB77" s="816"/>
      <c r="IC77" s="823"/>
      <c r="ID77" s="824"/>
      <c r="IE77" s="825"/>
      <c r="IF77" s="825"/>
      <c r="IG77" s="816"/>
      <c r="II77" s="826"/>
      <c r="IJ77" s="826"/>
      <c r="IK77" s="826"/>
      <c r="IL77" s="826"/>
    </row>
    <row r="78" spans="2:246" s="780" customFormat="1" ht="13.5" customHeight="1">
      <c r="B78" s="609"/>
      <c r="C78" s="609"/>
      <c r="D78" s="609"/>
      <c r="E78" s="609"/>
      <c r="F78" s="609"/>
      <c r="G78" s="609"/>
      <c r="H78" s="609"/>
      <c r="I78" s="609"/>
      <c r="J78" s="609"/>
      <c r="K78" s="609"/>
      <c r="L78" s="609"/>
      <c r="M78" s="609"/>
      <c r="N78" s="609"/>
      <c r="O78" s="609"/>
      <c r="P78" s="609"/>
      <c r="Q78" s="609"/>
      <c r="R78" s="609"/>
      <c r="S78" s="609"/>
      <c r="T78" s="609"/>
      <c r="U78" s="609"/>
      <c r="V78" s="609"/>
      <c r="W78" s="609"/>
      <c r="X78" s="746">
        <v>65</v>
      </c>
      <c r="Y78" s="746">
        <f t="shared" si="173"/>
        <v>42</v>
      </c>
      <c r="Z78" s="816"/>
      <c r="AA78" s="816"/>
      <c r="AB78" s="746">
        <v>65</v>
      </c>
      <c r="AC78" s="746">
        <f t="shared" si="174"/>
        <v>42</v>
      </c>
      <c r="AD78" s="816"/>
      <c r="AE78" s="816"/>
      <c r="AF78" s="746">
        <v>65</v>
      </c>
      <c r="AG78" s="746">
        <v>13</v>
      </c>
      <c r="AH78" s="816"/>
      <c r="AI78" s="816"/>
      <c r="AJ78" s="746">
        <v>25</v>
      </c>
      <c r="AK78" s="746">
        <v>5</v>
      </c>
      <c r="AL78" s="816"/>
      <c r="AM78" s="816"/>
      <c r="AN78" s="746">
        <v>25</v>
      </c>
      <c r="AO78" s="746">
        <f t="shared" si="175"/>
        <v>16</v>
      </c>
      <c r="AP78" s="816"/>
      <c r="AQ78" s="816"/>
      <c r="AR78" s="609"/>
      <c r="AS78" s="609"/>
      <c r="AT78" s="816"/>
      <c r="AU78" s="816"/>
      <c r="AV78" s="827">
        <v>1.6</v>
      </c>
      <c r="AW78" s="746">
        <f t="shared" si="176"/>
        <v>4</v>
      </c>
      <c r="AX78" s="609"/>
      <c r="AY78" s="816"/>
      <c r="AZ78" s="816"/>
      <c r="BA78" s="1110">
        <v>1.6</v>
      </c>
      <c r="BB78" s="1111">
        <f t="shared" si="177"/>
        <v>0</v>
      </c>
      <c r="BC78" s="816"/>
      <c r="BD78" s="816"/>
      <c r="BE78" s="816"/>
      <c r="BF78" s="816"/>
      <c r="BG78" s="816"/>
      <c r="BH78" s="816"/>
      <c r="BI78" s="816"/>
      <c r="BJ78" s="827">
        <v>1.6</v>
      </c>
      <c r="BK78" s="746">
        <f t="shared" si="178"/>
        <v>4</v>
      </c>
      <c r="BL78" s="816"/>
      <c r="BM78" s="816"/>
      <c r="BN78" s="816"/>
      <c r="BO78" s="827">
        <v>1.6</v>
      </c>
      <c r="BP78" s="749">
        <f t="shared" si="179"/>
        <v>0</v>
      </c>
      <c r="BQ78" s="816"/>
      <c r="BR78" s="816"/>
      <c r="BS78" s="816"/>
      <c r="BT78" s="828">
        <v>3.5</v>
      </c>
      <c r="BU78" s="746">
        <f t="shared" si="180"/>
        <v>1</v>
      </c>
      <c r="BV78" s="609"/>
      <c r="BW78" s="818"/>
      <c r="BX78" s="816"/>
      <c r="BY78" s="816"/>
      <c r="BZ78" s="828">
        <v>3.5</v>
      </c>
      <c r="CA78" s="746">
        <f t="shared" si="181"/>
        <v>16</v>
      </c>
      <c r="CB78" s="816"/>
      <c r="CC78" s="816"/>
      <c r="CD78" s="816"/>
      <c r="CE78" s="816"/>
      <c r="CF78" s="820"/>
      <c r="CG78" s="820"/>
      <c r="CH78" s="820"/>
      <c r="CI78" s="820"/>
      <c r="CJ78" s="829">
        <v>25</v>
      </c>
      <c r="CK78" s="746">
        <f t="shared" si="182"/>
        <v>4</v>
      </c>
      <c r="CL78" s="816"/>
      <c r="CM78" s="816"/>
      <c r="CN78" s="829">
        <v>25</v>
      </c>
      <c r="CO78" s="746">
        <f t="shared" si="183"/>
        <v>30</v>
      </c>
      <c r="CP78" s="816"/>
      <c r="CQ78" s="816"/>
      <c r="CR78" s="829">
        <v>25</v>
      </c>
      <c r="CS78" s="746">
        <f t="shared" si="184"/>
        <v>30</v>
      </c>
      <c r="CT78" s="816"/>
      <c r="CU78" s="816"/>
      <c r="CV78" s="829">
        <v>25</v>
      </c>
      <c r="CW78" s="746">
        <v>0</v>
      </c>
      <c r="CX78" s="816"/>
      <c r="CY78" s="816"/>
      <c r="CZ78" s="816"/>
      <c r="DA78" s="816"/>
      <c r="DB78" s="816"/>
      <c r="DC78" s="816"/>
      <c r="DD78" s="816"/>
      <c r="DE78" s="816"/>
      <c r="DF78" s="816"/>
      <c r="DG78" s="816"/>
      <c r="DH78" s="816"/>
      <c r="DI78" s="816"/>
      <c r="DJ78" s="816"/>
      <c r="DK78" s="816"/>
      <c r="DL78" s="829">
        <v>25</v>
      </c>
      <c r="DM78" s="746">
        <f t="shared" si="185"/>
        <v>1</v>
      </c>
      <c r="DN78" s="816"/>
      <c r="DO78" s="816"/>
      <c r="DP78" s="829">
        <v>25</v>
      </c>
      <c r="DQ78" s="746">
        <f t="shared" si="186"/>
        <v>5</v>
      </c>
      <c r="DR78" s="816"/>
      <c r="DS78" s="816"/>
      <c r="DT78" s="829">
        <v>25</v>
      </c>
      <c r="DU78" s="746">
        <f t="shared" si="187"/>
        <v>10</v>
      </c>
      <c r="DV78" s="816"/>
      <c r="DW78" s="816"/>
      <c r="DX78" s="829">
        <v>25</v>
      </c>
      <c r="DY78" s="829">
        <f t="shared" si="188"/>
        <v>1</v>
      </c>
      <c r="DZ78" s="816"/>
      <c r="EA78" s="816"/>
      <c r="EB78" s="829">
        <v>25</v>
      </c>
      <c r="EC78" s="829">
        <f t="shared" si="189"/>
        <v>2</v>
      </c>
      <c r="ED78" s="816"/>
      <c r="EE78" s="816"/>
      <c r="EF78" s="829">
        <v>25</v>
      </c>
      <c r="EG78" s="829">
        <f t="shared" si="190"/>
        <v>5</v>
      </c>
      <c r="EH78" s="816"/>
      <c r="EI78" s="816"/>
      <c r="EJ78" s="829">
        <v>25</v>
      </c>
      <c r="EK78" s="829">
        <f t="shared" si="191"/>
        <v>10</v>
      </c>
      <c r="EL78" s="816"/>
      <c r="EM78" s="816"/>
      <c r="EN78" s="829">
        <v>25</v>
      </c>
      <c r="EO78" s="749">
        <v>0</v>
      </c>
      <c r="EP78" s="816"/>
      <c r="EQ78" s="816"/>
      <c r="ER78" s="829">
        <v>25</v>
      </c>
      <c r="ES78" s="829">
        <f t="shared" si="192"/>
        <v>5</v>
      </c>
      <c r="ET78" s="816"/>
      <c r="EU78" s="816"/>
      <c r="EV78" s="829">
        <v>25</v>
      </c>
      <c r="EW78" s="829">
        <f t="shared" si="193"/>
        <v>10</v>
      </c>
      <c r="EX78" s="816"/>
      <c r="EY78" s="816"/>
      <c r="EZ78" s="816"/>
      <c r="FA78" s="829">
        <v>25</v>
      </c>
      <c r="FB78" s="830">
        <f t="shared" si="194"/>
        <v>24</v>
      </c>
      <c r="FC78" s="816"/>
      <c r="FD78" s="820"/>
      <c r="FE78" s="820"/>
      <c r="FF78" s="820"/>
      <c r="FG78" s="820"/>
      <c r="FH78" s="666" t="s">
        <v>120</v>
      </c>
      <c r="FI78" s="746">
        <f>COUNTIF($FH$8:$FH$73,FH78)*2</f>
        <v>6</v>
      </c>
      <c r="FJ78" s="816"/>
      <c r="FK78" s="816"/>
      <c r="FL78" s="816"/>
      <c r="FM78" s="816"/>
      <c r="FN78" s="816"/>
      <c r="FO78" s="989" t="s">
        <v>1098</v>
      </c>
      <c r="FP78" s="749">
        <f>COUNTIF($FO$8:$FO$73,FO78)</f>
        <v>10</v>
      </c>
      <c r="FQ78" s="816"/>
      <c r="FR78" s="816"/>
      <c r="FS78" s="816"/>
      <c r="FT78" s="829">
        <v>25</v>
      </c>
      <c r="FU78" s="749">
        <f>FU9+FU11+FU16+FU19+FU47+FU48+FU49+FU50+FU51+FU52+FU54+FU56+FU57+FU58+FU60+FU65+FU70+FU71+FU72+FU73</f>
        <v>64</v>
      </c>
      <c r="FV78" s="816"/>
      <c r="FW78" s="816"/>
      <c r="FX78" s="609"/>
      <c r="FY78" s="609"/>
      <c r="FZ78" s="816"/>
      <c r="GA78" s="816"/>
      <c r="GB78" s="829">
        <v>25</v>
      </c>
      <c r="GC78" s="746">
        <f t="shared" si="195"/>
        <v>15</v>
      </c>
      <c r="GD78" s="609"/>
      <c r="GE78" s="816"/>
      <c r="GF78" s="816"/>
      <c r="GG78" s="829">
        <v>25</v>
      </c>
      <c r="GH78" s="746">
        <f t="shared" si="196"/>
        <v>5</v>
      </c>
      <c r="GI78" s="816"/>
      <c r="GJ78" s="816"/>
      <c r="GK78" s="609"/>
      <c r="GL78" s="609"/>
      <c r="GM78" s="816"/>
      <c r="GN78" s="816"/>
      <c r="GO78" s="816"/>
      <c r="GP78" s="816"/>
      <c r="GQ78" s="816"/>
      <c r="GR78" s="816"/>
      <c r="GS78" s="609"/>
      <c r="GT78" s="609"/>
      <c r="GU78" s="816"/>
      <c r="GV78" s="816"/>
      <c r="GW78" s="609"/>
      <c r="GX78" s="609"/>
      <c r="GY78" s="816"/>
      <c r="GZ78" s="816"/>
      <c r="HA78" s="609"/>
      <c r="HB78" s="609"/>
      <c r="HC78" s="816"/>
      <c r="HD78" s="816"/>
      <c r="HE78" s="816"/>
      <c r="HF78" s="816"/>
      <c r="HG78" s="816"/>
      <c r="HH78" s="816"/>
      <c r="HI78" s="821"/>
      <c r="HJ78" s="609"/>
      <c r="HK78" s="816"/>
      <c r="HL78" s="816"/>
      <c r="HM78" s="822"/>
      <c r="HN78" s="609"/>
      <c r="HO78" s="816"/>
      <c r="HP78" s="816"/>
      <c r="HQ78" s="609"/>
      <c r="HR78" s="816"/>
      <c r="HS78" s="816"/>
      <c r="HT78" s="816"/>
      <c r="HU78" s="816"/>
      <c r="HV78" s="816"/>
      <c r="HW78" s="816"/>
      <c r="HX78" s="816"/>
      <c r="HY78" s="816"/>
      <c r="HZ78" s="816"/>
      <c r="IA78" s="816"/>
      <c r="IB78" s="816"/>
      <c r="IC78" s="823"/>
      <c r="ID78" s="816">
        <f>SUM(ID8:ID73)</f>
        <v>52832.186177246069</v>
      </c>
      <c r="IE78" s="825"/>
      <c r="IF78" s="825"/>
      <c r="IG78" s="816">
        <f>SUM(IG8:IG73)</f>
        <v>647066.63088103652</v>
      </c>
      <c r="II78" s="826"/>
      <c r="IJ78" s="826"/>
      <c r="IK78" s="826"/>
      <c r="IL78" s="826"/>
    </row>
    <row r="79" spans="2:246" s="780" customFormat="1" ht="13.5" customHeight="1">
      <c r="B79" s="609"/>
      <c r="C79" s="609"/>
      <c r="D79" s="609"/>
      <c r="E79" s="609"/>
      <c r="F79" s="609"/>
      <c r="G79" s="609"/>
      <c r="H79" s="609"/>
      <c r="I79" s="609"/>
      <c r="J79" s="609"/>
      <c r="K79" s="609"/>
      <c r="L79" s="609"/>
      <c r="M79" s="609"/>
      <c r="N79" s="609"/>
      <c r="O79" s="609"/>
      <c r="P79" s="609"/>
      <c r="Q79" s="609"/>
      <c r="R79" s="609"/>
      <c r="S79" s="609"/>
      <c r="T79" s="609"/>
      <c r="U79" s="609"/>
      <c r="V79" s="609"/>
      <c r="W79" s="609"/>
      <c r="X79" s="746">
        <v>80</v>
      </c>
      <c r="Y79" s="746">
        <f t="shared" si="173"/>
        <v>24</v>
      </c>
      <c r="Z79" s="816"/>
      <c r="AA79" s="816"/>
      <c r="AB79" s="746">
        <v>80</v>
      </c>
      <c r="AC79" s="746">
        <f t="shared" si="174"/>
        <v>24</v>
      </c>
      <c r="AD79" s="816"/>
      <c r="AE79" s="816"/>
      <c r="AF79" s="746">
        <v>80</v>
      </c>
      <c r="AG79" s="746">
        <v>9</v>
      </c>
      <c r="AH79" s="816"/>
      <c r="AI79" s="816"/>
      <c r="AJ79" s="746">
        <v>32</v>
      </c>
      <c r="AK79" s="746">
        <v>17</v>
      </c>
      <c r="AL79" s="816"/>
      <c r="AM79" s="816"/>
      <c r="AN79" s="746">
        <v>32</v>
      </c>
      <c r="AO79" s="746">
        <f t="shared" si="175"/>
        <v>36</v>
      </c>
      <c r="AP79" s="816"/>
      <c r="AQ79" s="816"/>
      <c r="AR79" s="609"/>
      <c r="AS79" s="609"/>
      <c r="AT79" s="816"/>
      <c r="AU79" s="816"/>
      <c r="AV79" s="827">
        <v>2.5</v>
      </c>
      <c r="AW79" s="746">
        <f t="shared" si="176"/>
        <v>2</v>
      </c>
      <c r="AX79" s="609"/>
      <c r="AY79" s="816"/>
      <c r="AZ79" s="816"/>
      <c r="BA79" s="1110">
        <v>2.5</v>
      </c>
      <c r="BB79" s="1111">
        <f t="shared" si="177"/>
        <v>0</v>
      </c>
      <c r="BC79" s="816"/>
      <c r="BD79" s="816"/>
      <c r="BE79" s="816"/>
      <c r="BF79" s="816"/>
      <c r="BG79" s="816"/>
      <c r="BH79" s="816"/>
      <c r="BI79" s="816"/>
      <c r="BJ79" s="827">
        <v>2.5</v>
      </c>
      <c r="BK79" s="746">
        <f t="shared" si="178"/>
        <v>2</v>
      </c>
      <c r="BL79" s="816"/>
      <c r="BM79" s="816"/>
      <c r="BN79" s="816"/>
      <c r="BO79" s="827">
        <v>2.5</v>
      </c>
      <c r="BP79" s="749">
        <f t="shared" si="179"/>
        <v>0</v>
      </c>
      <c r="BQ79" s="816"/>
      <c r="BR79" s="816"/>
      <c r="BS79" s="816"/>
      <c r="BT79" s="828">
        <v>6</v>
      </c>
      <c r="BU79" s="746">
        <f t="shared" si="180"/>
        <v>8</v>
      </c>
      <c r="BV79" s="609"/>
      <c r="BW79" s="818"/>
      <c r="BX79" s="816"/>
      <c r="BY79" s="816"/>
      <c r="BZ79" s="828">
        <v>6</v>
      </c>
      <c r="CA79" s="746">
        <f t="shared" si="181"/>
        <v>12</v>
      </c>
      <c r="CB79" s="816"/>
      <c r="CC79" s="816"/>
      <c r="CD79" s="816"/>
      <c r="CE79" s="816"/>
      <c r="CF79" s="820"/>
      <c r="CG79" s="820"/>
      <c r="CH79" s="820"/>
      <c r="CI79" s="820"/>
      <c r="CJ79" s="829">
        <v>32</v>
      </c>
      <c r="CK79" s="746">
        <f t="shared" si="182"/>
        <v>24</v>
      </c>
      <c r="CL79" s="816"/>
      <c r="CM79" s="816"/>
      <c r="CN79" s="829">
        <v>32</v>
      </c>
      <c r="CO79" s="746">
        <f t="shared" si="183"/>
        <v>102</v>
      </c>
      <c r="CP79" s="816"/>
      <c r="CQ79" s="816"/>
      <c r="CR79" s="829">
        <v>32</v>
      </c>
      <c r="CS79" s="746">
        <f t="shared" si="184"/>
        <v>45</v>
      </c>
      <c r="CT79" s="816"/>
      <c r="CU79" s="816"/>
      <c r="CV79" s="829">
        <v>32</v>
      </c>
      <c r="CW79" s="746">
        <f>CW9+CW11+CW16+CW19+CW47+CW48+CW49+CW50+CW51+CW52+CW54+CW56+CW57+CW58+CW60+CW65+CW67+CW70+CW71+CW72+CW73</f>
        <v>140</v>
      </c>
      <c r="CX79" s="816"/>
      <c r="CY79" s="816"/>
      <c r="CZ79" s="816"/>
      <c r="DA79" s="816"/>
      <c r="DB79" s="816"/>
      <c r="DC79" s="816"/>
      <c r="DD79" s="816"/>
      <c r="DE79" s="816"/>
      <c r="DF79" s="816"/>
      <c r="DG79" s="816"/>
      <c r="DH79" s="816"/>
      <c r="DI79" s="816"/>
      <c r="DJ79" s="816"/>
      <c r="DK79" s="816"/>
      <c r="DL79" s="829">
        <v>32</v>
      </c>
      <c r="DM79" s="746">
        <f t="shared" si="185"/>
        <v>6</v>
      </c>
      <c r="DN79" s="816"/>
      <c r="DO79" s="816"/>
      <c r="DP79" s="829">
        <v>32</v>
      </c>
      <c r="DQ79" s="746">
        <f t="shared" si="186"/>
        <v>17</v>
      </c>
      <c r="DR79" s="816"/>
      <c r="DS79" s="816"/>
      <c r="DT79" s="829">
        <v>32</v>
      </c>
      <c r="DU79" s="746">
        <f t="shared" si="187"/>
        <v>15</v>
      </c>
      <c r="DV79" s="816"/>
      <c r="DW79" s="816"/>
      <c r="DX79" s="829">
        <v>32</v>
      </c>
      <c r="DY79" s="829">
        <f t="shared" si="188"/>
        <v>6</v>
      </c>
      <c r="DZ79" s="816"/>
      <c r="EA79" s="816"/>
      <c r="EB79" s="829">
        <v>32</v>
      </c>
      <c r="EC79" s="829">
        <f t="shared" si="189"/>
        <v>12</v>
      </c>
      <c r="ED79" s="816"/>
      <c r="EE79" s="816"/>
      <c r="EF79" s="829">
        <v>32</v>
      </c>
      <c r="EG79" s="829">
        <f t="shared" si="190"/>
        <v>17</v>
      </c>
      <c r="EH79" s="816"/>
      <c r="EI79" s="816"/>
      <c r="EJ79" s="829">
        <v>32</v>
      </c>
      <c r="EK79" s="829">
        <f t="shared" si="191"/>
        <v>15</v>
      </c>
      <c r="EL79" s="816"/>
      <c r="EM79" s="816"/>
      <c r="EN79" s="829">
        <v>32</v>
      </c>
      <c r="EO79" s="749">
        <f>EO9+EO11+EO16+EO19+EO47+EO48+EO49+EO50+EO51+EO52+EO54+EO56+EO57+EO58+EO60+EO65+EO67+EO70+EO71+EO72+EO73</f>
        <v>140</v>
      </c>
      <c r="EP79" s="816"/>
      <c r="EQ79" s="816"/>
      <c r="ER79" s="829">
        <v>32</v>
      </c>
      <c r="ES79" s="829">
        <f t="shared" si="192"/>
        <v>17</v>
      </c>
      <c r="ET79" s="816"/>
      <c r="EU79" s="816"/>
      <c r="EV79" s="829">
        <v>32</v>
      </c>
      <c r="EW79" s="829">
        <f t="shared" si="193"/>
        <v>15</v>
      </c>
      <c r="EX79" s="816"/>
      <c r="EY79" s="816"/>
      <c r="EZ79" s="816"/>
      <c r="FA79" s="829">
        <v>32</v>
      </c>
      <c r="FB79" s="830">
        <f t="shared" si="194"/>
        <v>40</v>
      </c>
      <c r="FC79" s="816"/>
      <c r="FD79" s="820"/>
      <c r="FE79" s="820"/>
      <c r="FF79" s="820"/>
      <c r="FG79" s="820"/>
      <c r="FH79" s="666" t="s">
        <v>1091</v>
      </c>
      <c r="FI79" s="746">
        <f>COUNTIF($FH$8:$FH$73,FH79)*2</f>
        <v>20</v>
      </c>
      <c r="FJ79" s="816"/>
      <c r="FK79" s="816"/>
      <c r="FL79" s="816"/>
      <c r="FM79" s="816"/>
      <c r="FN79" s="816"/>
      <c r="FO79" s="816"/>
      <c r="FP79" s="990"/>
      <c r="FQ79" s="816"/>
      <c r="FR79" s="816"/>
      <c r="FS79" s="816"/>
      <c r="FT79" s="829">
        <v>32</v>
      </c>
      <c r="FU79" s="749">
        <f>FU15+FU20+FU21+FU22+FU23+FU24+FU25+FU26+FU27+FU28+FU30+FU31+FU32+FU33+FU34+FU35+FU36+FU37+FU38+FU39+FU41+FU43+FU44+FU45+FU46+FU53+FU55+FU59+FU61</f>
        <v>85</v>
      </c>
      <c r="FV79" s="816"/>
      <c r="FW79" s="816"/>
      <c r="FX79" s="609"/>
      <c r="FY79" s="609"/>
      <c r="FZ79" s="816"/>
      <c r="GA79" s="816"/>
      <c r="GB79" s="829">
        <v>32</v>
      </c>
      <c r="GC79" s="746">
        <f t="shared" si="195"/>
        <v>16</v>
      </c>
      <c r="GD79" s="609"/>
      <c r="GE79" s="816"/>
      <c r="GF79" s="816"/>
      <c r="GG79" s="829">
        <v>32</v>
      </c>
      <c r="GH79" s="746">
        <f t="shared" si="196"/>
        <v>17</v>
      </c>
      <c r="GI79" s="816"/>
      <c r="GJ79" s="816"/>
      <c r="GK79" s="609"/>
      <c r="GL79" s="609"/>
      <c r="GM79" s="816"/>
      <c r="GN79" s="816"/>
      <c r="GO79" s="816"/>
      <c r="GP79" s="816"/>
      <c r="GQ79" s="816"/>
      <c r="GR79" s="816"/>
      <c r="GS79" s="609"/>
      <c r="GT79" s="609"/>
      <c r="GU79" s="816"/>
      <c r="GV79" s="816"/>
      <c r="GW79" s="609"/>
      <c r="GX79" s="609"/>
      <c r="GY79" s="816"/>
      <c r="GZ79" s="816"/>
      <c r="HA79" s="609"/>
      <c r="HB79" s="609"/>
      <c r="HC79" s="816"/>
      <c r="HD79" s="816"/>
      <c r="HE79" s="816"/>
      <c r="HF79" s="816"/>
      <c r="HG79" s="816"/>
      <c r="HH79" s="816"/>
      <c r="HI79" s="821"/>
      <c r="HJ79" s="609"/>
      <c r="HK79" s="816"/>
      <c r="HL79" s="816"/>
      <c r="HM79" s="822"/>
      <c r="HN79" s="609"/>
      <c r="HO79" s="816"/>
      <c r="HP79" s="816"/>
      <c r="HQ79" s="609"/>
      <c r="HR79" s="816"/>
      <c r="HS79" s="816"/>
      <c r="HT79" s="816"/>
      <c r="HU79" s="816"/>
      <c r="HV79" s="816"/>
      <c r="HW79" s="816"/>
      <c r="HX79" s="816"/>
      <c r="HY79" s="816"/>
      <c r="HZ79" s="816"/>
      <c r="IA79" s="816"/>
      <c r="IB79" s="816"/>
      <c r="IC79" s="823"/>
      <c r="ID79" s="824"/>
      <c r="IE79" s="825"/>
      <c r="IF79" s="825"/>
      <c r="IG79" s="816"/>
      <c r="II79" s="826"/>
      <c r="IJ79" s="826"/>
      <c r="IK79" s="826"/>
      <c r="IL79" s="826"/>
    </row>
    <row r="80" spans="2:246" s="780" customFormat="1" ht="13.5" customHeight="1">
      <c r="B80" s="609"/>
      <c r="C80" s="609"/>
      <c r="D80" s="609"/>
      <c r="E80" s="609"/>
      <c r="F80" s="609"/>
      <c r="G80" s="609"/>
      <c r="H80" s="609"/>
      <c r="I80" s="609"/>
      <c r="J80" s="609"/>
      <c r="K80" s="609"/>
      <c r="L80" s="609"/>
      <c r="M80" s="609"/>
      <c r="N80" s="609"/>
      <c r="O80" s="609"/>
      <c r="P80" s="609"/>
      <c r="Q80" s="609"/>
      <c r="R80" s="609"/>
      <c r="S80" s="609"/>
      <c r="T80" s="609"/>
      <c r="U80" s="609"/>
      <c r="V80" s="609"/>
      <c r="W80" s="609"/>
      <c r="X80" s="746">
        <v>100</v>
      </c>
      <c r="Y80" s="746">
        <f t="shared" si="173"/>
        <v>8</v>
      </c>
      <c r="Z80" s="816"/>
      <c r="AA80" s="816"/>
      <c r="AB80" s="746">
        <v>100</v>
      </c>
      <c r="AC80" s="746">
        <f t="shared" si="174"/>
        <v>8</v>
      </c>
      <c r="AD80" s="816"/>
      <c r="AE80" s="816"/>
      <c r="AF80" s="746">
        <v>100</v>
      </c>
      <c r="AG80" s="746">
        <v>3</v>
      </c>
      <c r="AH80" s="816"/>
      <c r="AI80" s="816"/>
      <c r="AJ80" s="746">
        <v>40</v>
      </c>
      <c r="AK80" s="746">
        <v>39</v>
      </c>
      <c r="AL80" s="816"/>
      <c r="AM80" s="816"/>
      <c r="AN80" s="746">
        <v>40</v>
      </c>
      <c r="AO80" s="746">
        <f t="shared" si="175"/>
        <v>60</v>
      </c>
      <c r="AP80" s="816"/>
      <c r="AQ80" s="816"/>
      <c r="AR80" s="609"/>
      <c r="AS80" s="609"/>
      <c r="AT80" s="816"/>
      <c r="AU80" s="816"/>
      <c r="AV80" s="827">
        <v>4</v>
      </c>
      <c r="AW80" s="746">
        <f t="shared" si="176"/>
        <v>6</v>
      </c>
      <c r="AX80" s="609"/>
      <c r="AY80" s="816"/>
      <c r="AZ80" s="816"/>
      <c r="BA80" s="1110">
        <v>4</v>
      </c>
      <c r="BB80" s="1111">
        <f t="shared" si="177"/>
        <v>13</v>
      </c>
      <c r="BC80" s="816"/>
      <c r="BD80" s="816"/>
      <c r="BE80" s="816"/>
      <c r="BF80" s="816"/>
      <c r="BG80" s="816"/>
      <c r="BH80" s="816"/>
      <c r="BI80" s="816"/>
      <c r="BJ80" s="827">
        <v>4</v>
      </c>
      <c r="BK80" s="746">
        <f t="shared" si="178"/>
        <v>3</v>
      </c>
      <c r="BL80" s="816"/>
      <c r="BM80" s="816"/>
      <c r="BN80" s="816"/>
      <c r="BO80" s="827">
        <v>4</v>
      </c>
      <c r="BP80" s="749">
        <f t="shared" si="179"/>
        <v>12</v>
      </c>
      <c r="BQ80" s="816"/>
      <c r="BR80" s="816"/>
      <c r="BS80" s="816"/>
      <c r="BT80" s="828">
        <v>10</v>
      </c>
      <c r="BU80" s="746">
        <f t="shared" si="180"/>
        <v>9</v>
      </c>
      <c r="BV80" s="609"/>
      <c r="BW80" s="818"/>
      <c r="BX80" s="816"/>
      <c r="BY80" s="816"/>
      <c r="BZ80" s="828">
        <v>10</v>
      </c>
      <c r="CA80" s="746">
        <f t="shared" si="181"/>
        <v>16</v>
      </c>
      <c r="CB80" s="816"/>
      <c r="CC80" s="816"/>
      <c r="CD80" s="816"/>
      <c r="CE80" s="816"/>
      <c r="CF80" s="820"/>
      <c r="CG80" s="820"/>
      <c r="CH80" s="820"/>
      <c r="CI80" s="820"/>
      <c r="CJ80" s="829">
        <v>40</v>
      </c>
      <c r="CK80" s="746">
        <f t="shared" si="182"/>
        <v>12</v>
      </c>
      <c r="CL80" s="816"/>
      <c r="CM80" s="816"/>
      <c r="CN80" s="829">
        <v>40</v>
      </c>
      <c r="CO80" s="746">
        <f t="shared" si="183"/>
        <v>72</v>
      </c>
      <c r="CP80" s="816"/>
      <c r="CQ80" s="816"/>
      <c r="CR80" s="829">
        <v>40</v>
      </c>
      <c r="CS80" s="746">
        <f t="shared" si="184"/>
        <v>24</v>
      </c>
      <c r="CT80" s="816"/>
      <c r="CU80" s="816"/>
      <c r="CV80" s="829">
        <v>40</v>
      </c>
      <c r="CW80" s="746">
        <f>CW15+CW20+CW21+CW24+CW25+CW37+CW38+CW39+CW44+CW45+CW46+CW55+CW61</f>
        <v>110</v>
      </c>
      <c r="CX80" s="816"/>
      <c r="CY80" s="816"/>
      <c r="CZ80" s="816"/>
      <c r="DA80" s="816"/>
      <c r="DB80" s="816"/>
      <c r="DC80" s="816"/>
      <c r="DD80" s="816"/>
      <c r="DE80" s="816"/>
      <c r="DF80" s="816"/>
      <c r="DG80" s="816"/>
      <c r="DH80" s="816"/>
      <c r="DI80" s="816"/>
      <c r="DJ80" s="816"/>
      <c r="DK80" s="816"/>
      <c r="DL80" s="829">
        <v>40</v>
      </c>
      <c r="DM80" s="746">
        <f t="shared" si="185"/>
        <v>3</v>
      </c>
      <c r="DN80" s="816"/>
      <c r="DO80" s="816"/>
      <c r="DP80" s="829">
        <v>40</v>
      </c>
      <c r="DQ80" s="746">
        <f t="shared" si="186"/>
        <v>12</v>
      </c>
      <c r="DR80" s="816"/>
      <c r="DS80" s="816"/>
      <c r="DT80" s="829">
        <v>40</v>
      </c>
      <c r="DU80" s="746">
        <f t="shared" si="187"/>
        <v>8</v>
      </c>
      <c r="DV80" s="816"/>
      <c r="DW80" s="816"/>
      <c r="DX80" s="829">
        <v>40</v>
      </c>
      <c r="DY80" s="829">
        <f t="shared" si="188"/>
        <v>3</v>
      </c>
      <c r="DZ80" s="816"/>
      <c r="EA80" s="816"/>
      <c r="EB80" s="829">
        <v>40</v>
      </c>
      <c r="EC80" s="829">
        <f t="shared" si="189"/>
        <v>6</v>
      </c>
      <c r="ED80" s="816"/>
      <c r="EE80" s="816"/>
      <c r="EF80" s="829">
        <v>40</v>
      </c>
      <c r="EG80" s="829">
        <f t="shared" si="190"/>
        <v>12</v>
      </c>
      <c r="EH80" s="816"/>
      <c r="EI80" s="816"/>
      <c r="EJ80" s="829">
        <v>40</v>
      </c>
      <c r="EK80" s="829">
        <f t="shared" si="191"/>
        <v>8</v>
      </c>
      <c r="EL80" s="816"/>
      <c r="EM80" s="816"/>
      <c r="EN80" s="829">
        <v>40</v>
      </c>
      <c r="EO80" s="749">
        <f>EO15+EO20+EO21+EO24+EO25+EO37+EO38+EO39+EO44+EO45+EO46+EO55+EO61</f>
        <v>110</v>
      </c>
      <c r="EP80" s="816"/>
      <c r="EQ80" s="816"/>
      <c r="ER80" s="829">
        <v>40</v>
      </c>
      <c r="ES80" s="829">
        <f t="shared" si="192"/>
        <v>12</v>
      </c>
      <c r="ET80" s="816"/>
      <c r="EU80" s="816"/>
      <c r="EV80" s="829">
        <v>40</v>
      </c>
      <c r="EW80" s="829">
        <f t="shared" si="193"/>
        <v>8</v>
      </c>
      <c r="EX80" s="816"/>
      <c r="EY80" s="816"/>
      <c r="EZ80" s="816"/>
      <c r="FA80" s="829">
        <v>40</v>
      </c>
      <c r="FB80" s="830">
        <f t="shared" si="194"/>
        <v>22</v>
      </c>
      <c r="FC80" s="816"/>
      <c r="FD80" s="820"/>
      <c r="FE80" s="820"/>
      <c r="FF80" s="820"/>
      <c r="FG80" s="820"/>
      <c r="FH80" s="666" t="s">
        <v>1092</v>
      </c>
      <c r="FI80" s="746">
        <f t="shared" ref="FI80:FI85" si="197">COUNTIF($FH$8:$FH$73,FH80)*2</f>
        <v>4</v>
      </c>
      <c r="FJ80" s="816"/>
      <c r="FK80" s="816"/>
      <c r="FL80" s="816"/>
      <c r="FM80" s="816"/>
      <c r="FN80" s="816"/>
      <c r="FO80" s="816"/>
      <c r="FP80" s="990"/>
      <c r="FQ80" s="816"/>
      <c r="FR80" s="816"/>
      <c r="FS80" s="816"/>
      <c r="FT80" s="829">
        <v>40</v>
      </c>
      <c r="FU80" s="749">
        <f>FU8+FU10+FU13+FU14+FU17+FU18+FU29+FU62+FU63+FU66</f>
        <v>10</v>
      </c>
      <c r="FV80" s="816"/>
      <c r="FW80" s="816"/>
      <c r="FX80" s="609"/>
      <c r="FY80" s="609"/>
      <c r="FZ80" s="816"/>
      <c r="GA80" s="816"/>
      <c r="GB80" s="829">
        <v>40</v>
      </c>
      <c r="GC80" s="746">
        <f t="shared" si="195"/>
        <v>18</v>
      </c>
      <c r="GD80" s="609"/>
      <c r="GE80" s="816"/>
      <c r="GF80" s="816"/>
      <c r="GG80" s="829">
        <v>40</v>
      </c>
      <c r="GH80" s="746">
        <f t="shared" si="196"/>
        <v>12</v>
      </c>
      <c r="GI80" s="816"/>
      <c r="GJ80" s="816"/>
      <c r="GK80" s="609"/>
      <c r="GL80" s="609"/>
      <c r="GM80" s="816"/>
      <c r="GN80" s="816"/>
      <c r="GO80" s="816"/>
      <c r="GP80" s="816"/>
      <c r="GQ80" s="816"/>
      <c r="GR80" s="816"/>
      <c r="GS80" s="609"/>
      <c r="GT80" s="609"/>
      <c r="GU80" s="816"/>
      <c r="GV80" s="816"/>
      <c r="GW80" s="609"/>
      <c r="GX80" s="609"/>
      <c r="GY80" s="816"/>
      <c r="GZ80" s="816"/>
      <c r="HA80" s="609"/>
      <c r="HB80" s="609"/>
      <c r="HC80" s="816"/>
      <c r="HD80" s="816"/>
      <c r="HE80" s="816"/>
      <c r="HF80" s="816"/>
      <c r="HG80" s="816"/>
      <c r="HH80" s="816"/>
      <c r="HI80" s="821"/>
      <c r="HJ80" s="609"/>
      <c r="HK80" s="816"/>
      <c r="HL80" s="816"/>
      <c r="HM80" s="822"/>
      <c r="HN80" s="609"/>
      <c r="HO80" s="816"/>
      <c r="HP80" s="816"/>
      <c r="HQ80" s="609"/>
      <c r="HR80" s="816"/>
      <c r="HS80" s="816"/>
      <c r="HT80" s="816"/>
      <c r="HU80" s="816"/>
      <c r="HV80" s="816"/>
      <c r="HW80" s="816"/>
      <c r="HX80" s="816"/>
      <c r="HY80" s="816"/>
      <c r="HZ80" s="816"/>
      <c r="IA80" s="816"/>
      <c r="IB80" s="816"/>
      <c r="IC80" s="823"/>
      <c r="ID80" s="824"/>
      <c r="IE80" s="825"/>
      <c r="IF80" s="825"/>
      <c r="IG80" s="816"/>
      <c r="II80" s="826"/>
      <c r="IJ80" s="826"/>
      <c r="IK80" s="826"/>
      <c r="IL80" s="826"/>
    </row>
    <row r="81" spans="2:246" s="780" customFormat="1" ht="13.5" customHeight="1">
      <c r="B81" s="609"/>
      <c r="C81" s="609"/>
      <c r="D81" s="609"/>
      <c r="E81" s="609"/>
      <c r="F81" s="609"/>
      <c r="G81" s="609"/>
      <c r="H81" s="609"/>
      <c r="I81" s="609"/>
      <c r="J81" s="609"/>
      <c r="K81" s="609"/>
      <c r="L81" s="609"/>
      <c r="M81" s="609"/>
      <c r="N81" s="609"/>
      <c r="O81" s="609"/>
      <c r="P81" s="609"/>
      <c r="Q81" s="609"/>
      <c r="R81" s="609"/>
      <c r="S81" s="609"/>
      <c r="T81" s="609"/>
      <c r="U81" s="609"/>
      <c r="V81" s="609"/>
      <c r="W81" s="609"/>
      <c r="X81" s="746">
        <v>125</v>
      </c>
      <c r="Y81" s="746">
        <f t="shared" si="173"/>
        <v>0</v>
      </c>
      <c r="Z81" s="816"/>
      <c r="AA81" s="816"/>
      <c r="AB81" s="746">
        <v>125</v>
      </c>
      <c r="AC81" s="746">
        <f t="shared" si="174"/>
        <v>0</v>
      </c>
      <c r="AD81" s="816"/>
      <c r="AE81" s="816"/>
      <c r="AF81" s="746">
        <v>125</v>
      </c>
      <c r="AG81" s="746">
        <v>0</v>
      </c>
      <c r="AH81" s="816"/>
      <c r="AI81" s="816"/>
      <c r="AJ81" s="746">
        <v>50</v>
      </c>
      <c r="AK81" s="746">
        <f>AK8+AK12+AK14+AK17+AK21+AK22+AK24+AK25+AK30+AK32+AK33+AK34+AK37+AK39+AK40+AK42+AK44+AK45+AK46+AK55+AK62+AK63</f>
        <v>54</v>
      </c>
      <c r="AL81" s="816"/>
      <c r="AM81" s="816"/>
      <c r="AN81" s="746">
        <v>50</v>
      </c>
      <c r="AO81" s="746">
        <f t="shared" si="175"/>
        <v>68</v>
      </c>
      <c r="AP81" s="816"/>
      <c r="AQ81" s="816"/>
      <c r="AR81" s="609"/>
      <c r="AS81" s="609"/>
      <c r="AT81" s="816"/>
      <c r="AU81" s="816"/>
      <c r="AV81" s="827">
        <v>6.3</v>
      </c>
      <c r="AW81" s="746">
        <f t="shared" si="176"/>
        <v>9</v>
      </c>
      <c r="AX81" s="609"/>
      <c r="AY81" s="816"/>
      <c r="AZ81" s="816"/>
      <c r="BA81" s="1110">
        <v>6.3</v>
      </c>
      <c r="BB81" s="1111">
        <f t="shared" si="177"/>
        <v>9</v>
      </c>
      <c r="BC81" s="816"/>
      <c r="BD81" s="816"/>
      <c r="BE81" s="816"/>
      <c r="BF81" s="816"/>
      <c r="BG81" s="816"/>
      <c r="BH81" s="816"/>
      <c r="BI81" s="816"/>
      <c r="BJ81" s="827">
        <v>6.3</v>
      </c>
      <c r="BK81" s="746">
        <f t="shared" si="178"/>
        <v>17</v>
      </c>
      <c r="BL81" s="816"/>
      <c r="BM81" s="816"/>
      <c r="BN81" s="816"/>
      <c r="BO81" s="827">
        <v>6.3</v>
      </c>
      <c r="BP81" s="749">
        <f t="shared" si="179"/>
        <v>17</v>
      </c>
      <c r="BQ81" s="816"/>
      <c r="BR81" s="816"/>
      <c r="BS81" s="816"/>
      <c r="BT81" s="831">
        <v>15</v>
      </c>
      <c r="BU81" s="746">
        <f t="shared" si="180"/>
        <v>2</v>
      </c>
      <c r="BV81" s="609"/>
      <c r="BW81" s="818"/>
      <c r="BX81" s="816"/>
      <c r="BY81" s="816"/>
      <c r="BZ81" s="831">
        <v>15</v>
      </c>
      <c r="CA81" s="746">
        <f t="shared" si="181"/>
        <v>8</v>
      </c>
      <c r="CB81" s="816"/>
      <c r="CC81" s="816"/>
      <c r="CD81" s="816"/>
      <c r="CE81" s="816"/>
      <c r="CF81" s="820"/>
      <c r="CG81" s="820"/>
      <c r="CH81" s="820"/>
      <c r="CI81" s="820"/>
      <c r="CJ81" s="829">
        <v>50</v>
      </c>
      <c r="CK81" s="746">
        <f t="shared" si="182"/>
        <v>48</v>
      </c>
      <c r="CL81" s="816"/>
      <c r="CM81" s="816"/>
      <c r="CN81" s="829">
        <v>50</v>
      </c>
      <c r="CO81" s="746">
        <f t="shared" si="183"/>
        <v>90</v>
      </c>
      <c r="CP81" s="816"/>
      <c r="CQ81" s="816"/>
      <c r="CR81" s="829">
        <v>50</v>
      </c>
      <c r="CS81" s="746">
        <f t="shared" si="184"/>
        <v>6</v>
      </c>
      <c r="CT81" s="816"/>
      <c r="CU81" s="816"/>
      <c r="CV81" s="829">
        <v>50</v>
      </c>
      <c r="CW81" s="746">
        <f>CW10+CW17+CW18+CW22+CW23+CW26+CW27+CW28+CW29+CW30+CW31+CW32+CW33+CW34+CW35+CW36+CW41+CW43+CW53+CW59+CW62+CW66</f>
        <v>84</v>
      </c>
      <c r="CX81" s="816"/>
      <c r="CY81" s="816"/>
      <c r="CZ81" s="816"/>
      <c r="DA81" s="816"/>
      <c r="DB81" s="816"/>
      <c r="DC81" s="816"/>
      <c r="DD81" s="816"/>
      <c r="DE81" s="816"/>
      <c r="DF81" s="816"/>
      <c r="DG81" s="816"/>
      <c r="DH81" s="816"/>
      <c r="DI81" s="816"/>
      <c r="DJ81" s="816"/>
      <c r="DK81" s="816"/>
      <c r="DL81" s="829">
        <v>50</v>
      </c>
      <c r="DM81" s="746">
        <f t="shared" si="185"/>
        <v>12</v>
      </c>
      <c r="DN81" s="816"/>
      <c r="DO81" s="816"/>
      <c r="DP81" s="829">
        <v>50</v>
      </c>
      <c r="DQ81" s="746">
        <f t="shared" si="186"/>
        <v>15</v>
      </c>
      <c r="DR81" s="816"/>
      <c r="DS81" s="816"/>
      <c r="DT81" s="829">
        <v>50</v>
      </c>
      <c r="DU81" s="746">
        <f t="shared" si="187"/>
        <v>2</v>
      </c>
      <c r="DV81" s="816"/>
      <c r="DW81" s="816"/>
      <c r="DX81" s="829">
        <v>50</v>
      </c>
      <c r="DY81" s="829">
        <f t="shared" si="188"/>
        <v>12</v>
      </c>
      <c r="DZ81" s="816"/>
      <c r="EA81" s="816"/>
      <c r="EB81" s="829">
        <v>50</v>
      </c>
      <c r="EC81" s="829">
        <f t="shared" si="189"/>
        <v>24</v>
      </c>
      <c r="ED81" s="816"/>
      <c r="EE81" s="816"/>
      <c r="EF81" s="829">
        <v>50</v>
      </c>
      <c r="EG81" s="829">
        <f t="shared" si="190"/>
        <v>15</v>
      </c>
      <c r="EH81" s="816"/>
      <c r="EI81" s="816"/>
      <c r="EJ81" s="829">
        <v>50</v>
      </c>
      <c r="EK81" s="829">
        <f t="shared" si="191"/>
        <v>2</v>
      </c>
      <c r="EL81" s="816"/>
      <c r="EM81" s="816"/>
      <c r="EN81" s="829">
        <v>50</v>
      </c>
      <c r="EO81" s="749">
        <f>EO10+EO17+EO18+EO22+EO23+EO26+EO27+EO28+EO29+EO30+EO31+EO32+EO33+EO34+EO35+EO36+EO41+EO43+EO53+EO59+EO62+EO66</f>
        <v>84</v>
      </c>
      <c r="EP81" s="816"/>
      <c r="EQ81" s="816"/>
      <c r="ER81" s="829">
        <v>50</v>
      </c>
      <c r="ES81" s="829">
        <f t="shared" si="192"/>
        <v>15</v>
      </c>
      <c r="ET81" s="816"/>
      <c r="EU81" s="816"/>
      <c r="EV81" s="829">
        <v>50</v>
      </c>
      <c r="EW81" s="829">
        <f t="shared" si="193"/>
        <v>2</v>
      </c>
      <c r="EX81" s="816"/>
      <c r="EY81" s="816"/>
      <c r="EZ81" s="816"/>
      <c r="FA81" s="829">
        <v>50</v>
      </c>
      <c r="FB81" s="830">
        <f t="shared" si="194"/>
        <v>6</v>
      </c>
      <c r="FC81" s="816"/>
      <c r="FD81" s="820"/>
      <c r="FE81" s="820"/>
      <c r="FF81" s="820"/>
      <c r="FG81" s="820"/>
      <c r="FH81" s="666" t="s">
        <v>123</v>
      </c>
      <c r="FI81" s="746">
        <f t="shared" si="197"/>
        <v>34</v>
      </c>
      <c r="FJ81" s="816"/>
      <c r="FK81" s="816"/>
      <c r="FL81" s="816"/>
      <c r="FM81" s="816"/>
      <c r="FN81" s="816"/>
      <c r="FO81" s="816"/>
      <c r="FP81" s="990"/>
      <c r="FQ81" s="816"/>
      <c r="FR81" s="816"/>
      <c r="FS81" s="816"/>
      <c r="FT81" s="829">
        <v>50</v>
      </c>
      <c r="FU81" s="749">
        <v>0</v>
      </c>
      <c r="FV81" s="816"/>
      <c r="FW81" s="816"/>
      <c r="FX81" s="609"/>
      <c r="FY81" s="609"/>
      <c r="FZ81" s="816"/>
      <c r="GA81" s="816"/>
      <c r="GB81" s="829">
        <v>50</v>
      </c>
      <c r="GC81" s="746">
        <f t="shared" si="195"/>
        <v>0</v>
      </c>
      <c r="GD81" s="609"/>
      <c r="GE81" s="816"/>
      <c r="GF81" s="816"/>
      <c r="GG81" s="829">
        <v>50</v>
      </c>
      <c r="GH81" s="746">
        <f t="shared" si="196"/>
        <v>15</v>
      </c>
      <c r="GI81" s="816"/>
      <c r="GJ81" s="816"/>
      <c r="GK81" s="609"/>
      <c r="GL81" s="609"/>
      <c r="GM81" s="816"/>
      <c r="GN81" s="816"/>
      <c r="GO81" s="816"/>
      <c r="GP81" s="816"/>
      <c r="GQ81" s="816"/>
      <c r="GR81" s="816"/>
      <c r="GS81" s="609"/>
      <c r="GT81" s="609"/>
      <c r="GU81" s="816"/>
      <c r="GV81" s="816"/>
      <c r="GW81" s="609"/>
      <c r="GX81" s="609"/>
      <c r="GY81" s="816"/>
      <c r="GZ81" s="816"/>
      <c r="HA81" s="609"/>
      <c r="HB81" s="609"/>
      <c r="HC81" s="816"/>
      <c r="HD81" s="816"/>
      <c r="HE81" s="816"/>
      <c r="HF81" s="816"/>
      <c r="HG81" s="816"/>
      <c r="HH81" s="816"/>
      <c r="HI81" s="821"/>
      <c r="HJ81" s="609"/>
      <c r="HK81" s="816"/>
      <c r="HL81" s="816"/>
      <c r="HM81" s="822"/>
      <c r="HN81" s="609"/>
      <c r="HO81" s="816"/>
      <c r="HP81" s="816"/>
      <c r="HQ81" s="609"/>
      <c r="HR81" s="816"/>
      <c r="HS81" s="816"/>
      <c r="HT81" s="816"/>
      <c r="HU81" s="816"/>
      <c r="HV81" s="816"/>
      <c r="HW81" s="816"/>
      <c r="HX81" s="816"/>
      <c r="HY81" s="816"/>
      <c r="HZ81" s="816"/>
      <c r="IA81" s="816"/>
      <c r="IB81" s="816"/>
      <c r="IC81" s="823"/>
      <c r="ID81" s="824"/>
      <c r="IE81" s="825"/>
      <c r="IF81" s="825"/>
      <c r="IG81" s="816"/>
      <c r="II81" s="826"/>
      <c r="IJ81" s="826"/>
      <c r="IK81" s="826"/>
      <c r="IL81" s="826"/>
    </row>
    <row r="82" spans="2:246" s="780" customFormat="1" ht="13.5" customHeight="1"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09"/>
      <c r="T82" s="609"/>
      <c r="U82" s="609"/>
      <c r="V82" s="609"/>
      <c r="W82" s="609"/>
      <c r="X82" s="746">
        <v>150</v>
      </c>
      <c r="Y82" s="746">
        <f t="shared" si="173"/>
        <v>0</v>
      </c>
      <c r="Z82" s="816"/>
      <c r="AA82" s="816"/>
      <c r="AB82" s="746">
        <v>150</v>
      </c>
      <c r="AC82" s="746">
        <f t="shared" si="174"/>
        <v>0</v>
      </c>
      <c r="AD82" s="816"/>
      <c r="AE82" s="816"/>
      <c r="AF82" s="746">
        <v>150</v>
      </c>
      <c r="AG82" s="746">
        <v>0</v>
      </c>
      <c r="AH82" s="816"/>
      <c r="AI82" s="816"/>
      <c r="AJ82" s="746">
        <v>65</v>
      </c>
      <c r="AK82" s="746">
        <v>13</v>
      </c>
      <c r="AL82" s="816"/>
      <c r="AM82" s="816"/>
      <c r="AN82" s="746">
        <v>65</v>
      </c>
      <c r="AO82" s="746">
        <f t="shared" si="175"/>
        <v>48</v>
      </c>
      <c r="AP82" s="816"/>
      <c r="AQ82" s="816"/>
      <c r="AR82" s="609"/>
      <c r="AS82" s="609"/>
      <c r="AT82" s="816"/>
      <c r="AU82" s="816"/>
      <c r="AV82" s="827">
        <v>10</v>
      </c>
      <c r="AW82" s="746">
        <f t="shared" si="176"/>
        <v>19</v>
      </c>
      <c r="AX82" s="609"/>
      <c r="AY82" s="816"/>
      <c r="AZ82" s="816"/>
      <c r="BA82" s="1110">
        <v>10</v>
      </c>
      <c r="BB82" s="1111">
        <f t="shared" si="177"/>
        <v>0</v>
      </c>
      <c r="BC82" s="816"/>
      <c r="BD82" s="816"/>
      <c r="BE82" s="816"/>
      <c r="BF82" s="816"/>
      <c r="BG82" s="816"/>
      <c r="BH82" s="816"/>
      <c r="BI82" s="816"/>
      <c r="BJ82" s="827">
        <v>10</v>
      </c>
      <c r="BK82" s="746">
        <f t="shared" si="178"/>
        <v>11</v>
      </c>
      <c r="BL82" s="816"/>
      <c r="BM82" s="816"/>
      <c r="BN82" s="816"/>
      <c r="BO82" s="827">
        <v>10</v>
      </c>
      <c r="BP82" s="749">
        <f t="shared" si="179"/>
        <v>0</v>
      </c>
      <c r="BQ82" s="816"/>
      <c r="BR82" s="816"/>
      <c r="BS82" s="816"/>
      <c r="BT82" s="828">
        <v>25</v>
      </c>
      <c r="BU82" s="746">
        <f t="shared" si="180"/>
        <v>0</v>
      </c>
      <c r="BV82" s="609"/>
      <c r="BW82" s="818"/>
      <c r="BX82" s="816"/>
      <c r="BY82" s="816"/>
      <c r="BZ82" s="828">
        <v>25</v>
      </c>
      <c r="CA82" s="746">
        <f t="shared" si="181"/>
        <v>2</v>
      </c>
      <c r="CB82" s="816"/>
      <c r="CC82" s="816"/>
      <c r="CD82" s="816"/>
      <c r="CE82" s="816"/>
      <c r="CF82" s="820"/>
      <c r="CG82" s="820"/>
      <c r="CH82" s="820"/>
      <c r="CI82" s="820"/>
      <c r="CJ82" s="829">
        <v>65</v>
      </c>
      <c r="CK82" s="746">
        <f t="shared" si="182"/>
        <v>76</v>
      </c>
      <c r="CL82" s="816"/>
      <c r="CM82" s="816"/>
      <c r="CN82" s="829">
        <v>65</v>
      </c>
      <c r="CO82" s="746">
        <f t="shared" si="183"/>
        <v>48</v>
      </c>
      <c r="CP82" s="816"/>
      <c r="CQ82" s="816"/>
      <c r="CR82" s="829">
        <v>65</v>
      </c>
      <c r="CS82" s="746">
        <f t="shared" si="184"/>
        <v>0</v>
      </c>
      <c r="CT82" s="816"/>
      <c r="CU82" s="816"/>
      <c r="CV82" s="829">
        <v>65</v>
      </c>
      <c r="CW82" s="746">
        <f>CW63+CW14+CW13+CW8</f>
        <v>14</v>
      </c>
      <c r="CX82" s="816"/>
      <c r="CY82" s="816"/>
      <c r="CZ82" s="816"/>
      <c r="DA82" s="816"/>
      <c r="DB82" s="816"/>
      <c r="DC82" s="816"/>
      <c r="DD82" s="816"/>
      <c r="DE82" s="816"/>
      <c r="DF82" s="816"/>
      <c r="DG82" s="816"/>
      <c r="DH82" s="816"/>
      <c r="DI82" s="816"/>
      <c r="DJ82" s="816"/>
      <c r="DK82" s="816"/>
      <c r="DL82" s="829">
        <v>65</v>
      </c>
      <c r="DM82" s="746">
        <f t="shared" si="185"/>
        <v>19</v>
      </c>
      <c r="DN82" s="816"/>
      <c r="DO82" s="816"/>
      <c r="DP82" s="829">
        <v>65</v>
      </c>
      <c r="DQ82" s="746">
        <f t="shared" si="186"/>
        <v>8</v>
      </c>
      <c r="DR82" s="816"/>
      <c r="DS82" s="816"/>
      <c r="DT82" s="829">
        <v>65</v>
      </c>
      <c r="DU82" s="746">
        <f t="shared" si="187"/>
        <v>0</v>
      </c>
      <c r="DV82" s="816"/>
      <c r="DW82" s="816"/>
      <c r="DX82" s="829">
        <v>65</v>
      </c>
      <c r="DY82" s="829">
        <f t="shared" si="188"/>
        <v>19</v>
      </c>
      <c r="DZ82" s="816"/>
      <c r="EA82" s="816"/>
      <c r="EB82" s="829">
        <v>65</v>
      </c>
      <c r="EC82" s="829">
        <f t="shared" si="189"/>
        <v>38</v>
      </c>
      <c r="ED82" s="816"/>
      <c r="EE82" s="816"/>
      <c r="EF82" s="829">
        <v>65</v>
      </c>
      <c r="EG82" s="829">
        <f t="shared" si="190"/>
        <v>8</v>
      </c>
      <c r="EH82" s="816"/>
      <c r="EI82" s="816"/>
      <c r="EJ82" s="829">
        <v>65</v>
      </c>
      <c r="EK82" s="829">
        <f t="shared" si="191"/>
        <v>0</v>
      </c>
      <c r="EL82" s="816"/>
      <c r="EM82" s="816"/>
      <c r="EN82" s="829">
        <v>65</v>
      </c>
      <c r="EO82" s="749">
        <f>EO8+EO13+EO14+EO63</f>
        <v>14</v>
      </c>
      <c r="EP82" s="816"/>
      <c r="EQ82" s="816"/>
      <c r="ER82" s="829">
        <v>65</v>
      </c>
      <c r="ES82" s="829">
        <f t="shared" si="192"/>
        <v>8</v>
      </c>
      <c r="ET82" s="816"/>
      <c r="EU82" s="816"/>
      <c r="EV82" s="829">
        <v>65</v>
      </c>
      <c r="EW82" s="829">
        <f t="shared" si="193"/>
        <v>0</v>
      </c>
      <c r="EX82" s="816"/>
      <c r="EY82" s="816"/>
      <c r="EZ82" s="816"/>
      <c r="FA82" s="816"/>
      <c r="FB82" s="819"/>
      <c r="FC82" s="816"/>
      <c r="FD82" s="820"/>
      <c r="FE82" s="820"/>
      <c r="FF82" s="820"/>
      <c r="FG82" s="820"/>
      <c r="FH82" s="666" t="s">
        <v>1090</v>
      </c>
      <c r="FI82" s="746">
        <f t="shared" si="197"/>
        <v>36</v>
      </c>
      <c r="FJ82" s="816"/>
      <c r="FK82" s="816"/>
      <c r="FL82" s="816"/>
      <c r="FM82" s="816"/>
      <c r="FN82" s="816"/>
      <c r="FO82" s="816"/>
      <c r="FP82" s="990"/>
      <c r="FQ82" s="816"/>
      <c r="FR82" s="816"/>
      <c r="FS82" s="816"/>
      <c r="FT82" s="829">
        <v>65</v>
      </c>
      <c r="FU82" s="749">
        <v>0</v>
      </c>
      <c r="FV82" s="816"/>
      <c r="FW82" s="816"/>
      <c r="FX82" s="609"/>
      <c r="FY82" s="609"/>
      <c r="FZ82" s="816"/>
      <c r="GA82" s="816"/>
      <c r="GB82" s="829">
        <v>65</v>
      </c>
      <c r="GC82" s="746">
        <f t="shared" si="195"/>
        <v>0</v>
      </c>
      <c r="GD82" s="609"/>
      <c r="GE82" s="816"/>
      <c r="GF82" s="816"/>
      <c r="GG82" s="991">
        <v>65</v>
      </c>
      <c r="GH82" s="746">
        <f t="shared" si="196"/>
        <v>8</v>
      </c>
      <c r="GI82" s="816"/>
      <c r="GJ82" s="816"/>
      <c r="GK82" s="609"/>
      <c r="GL82" s="609"/>
      <c r="GM82" s="816"/>
      <c r="GN82" s="816"/>
      <c r="GO82" s="816"/>
      <c r="GP82" s="816"/>
      <c r="GQ82" s="816"/>
      <c r="GR82" s="816"/>
      <c r="GS82" s="609"/>
      <c r="GT82" s="609"/>
      <c r="GU82" s="816"/>
      <c r="GV82" s="816"/>
      <c r="GW82" s="609"/>
      <c r="GX82" s="609"/>
      <c r="GY82" s="816"/>
      <c r="GZ82" s="816"/>
      <c r="HA82" s="609"/>
      <c r="HB82" s="609"/>
      <c r="HC82" s="816"/>
      <c r="HD82" s="816"/>
      <c r="HE82" s="816"/>
      <c r="HF82" s="816"/>
      <c r="HG82" s="816"/>
      <c r="HH82" s="816"/>
      <c r="HI82" s="821"/>
      <c r="HJ82" s="609"/>
      <c r="HK82" s="816"/>
      <c r="HL82" s="816"/>
      <c r="HM82" s="822"/>
      <c r="HN82" s="609"/>
      <c r="HO82" s="816"/>
      <c r="HP82" s="816"/>
      <c r="HQ82" s="609"/>
      <c r="HR82" s="816"/>
      <c r="HS82" s="816"/>
      <c r="HT82" s="816"/>
      <c r="HU82" s="816"/>
      <c r="HV82" s="816"/>
      <c r="HW82" s="816"/>
      <c r="HX82" s="816"/>
      <c r="HY82" s="816"/>
      <c r="HZ82" s="816"/>
      <c r="IA82" s="816"/>
      <c r="IB82" s="816"/>
      <c r="IC82" s="823"/>
      <c r="ID82" s="824"/>
      <c r="IE82" s="825"/>
      <c r="IF82" s="825"/>
      <c r="IG82" s="816"/>
      <c r="II82" s="826"/>
      <c r="IJ82" s="826"/>
      <c r="IK82" s="826"/>
      <c r="IL82" s="826"/>
    </row>
    <row r="83" spans="2:246" s="780" customFormat="1" ht="13.5" customHeight="1">
      <c r="B83" s="609"/>
      <c r="C83" s="609"/>
      <c r="D83" s="609"/>
      <c r="E83" s="609"/>
      <c r="F83" s="609"/>
      <c r="G83" s="609"/>
      <c r="H83" s="609"/>
      <c r="I83" s="609"/>
      <c r="J83" s="609"/>
      <c r="K83" s="609"/>
      <c r="L83" s="609"/>
      <c r="M83" s="609"/>
      <c r="N83" s="609"/>
      <c r="O83" s="609"/>
      <c r="P83" s="609"/>
      <c r="Q83" s="609"/>
      <c r="R83" s="609"/>
      <c r="S83" s="609"/>
      <c r="T83" s="609"/>
      <c r="U83" s="609"/>
      <c r="V83" s="609"/>
      <c r="W83" s="609"/>
      <c r="X83" s="609"/>
      <c r="Y83" s="609"/>
      <c r="Z83" s="816"/>
      <c r="AA83" s="816"/>
      <c r="AB83" s="816"/>
      <c r="AC83" s="816"/>
      <c r="AD83" s="816"/>
      <c r="AE83" s="816"/>
      <c r="AF83" s="609"/>
      <c r="AG83" s="609"/>
      <c r="AH83" s="816"/>
      <c r="AI83" s="816"/>
      <c r="AJ83" s="746">
        <v>80</v>
      </c>
      <c r="AK83" s="746">
        <v>0</v>
      </c>
      <c r="AL83" s="816"/>
      <c r="AM83" s="816"/>
      <c r="AN83" s="746">
        <v>80</v>
      </c>
      <c r="AO83" s="746">
        <f t="shared" si="175"/>
        <v>8</v>
      </c>
      <c r="AP83" s="816"/>
      <c r="AQ83" s="816"/>
      <c r="AR83" s="609"/>
      <c r="AS83" s="609"/>
      <c r="AT83" s="816"/>
      <c r="AU83" s="816"/>
      <c r="AV83" s="827">
        <v>16</v>
      </c>
      <c r="AW83" s="746">
        <f t="shared" si="176"/>
        <v>21</v>
      </c>
      <c r="AX83" s="609"/>
      <c r="AY83" s="816"/>
      <c r="AZ83" s="816"/>
      <c r="BA83" s="1110">
        <v>16</v>
      </c>
      <c r="BB83" s="1111">
        <f t="shared" si="177"/>
        <v>0</v>
      </c>
      <c r="BC83" s="816"/>
      <c r="BD83" s="816"/>
      <c r="BE83" s="816"/>
      <c r="BF83" s="816"/>
      <c r="BG83" s="816"/>
      <c r="BH83" s="816"/>
      <c r="BI83" s="816"/>
      <c r="BJ83" s="827">
        <v>16</v>
      </c>
      <c r="BK83" s="746">
        <f t="shared" si="178"/>
        <v>15</v>
      </c>
      <c r="BL83" s="816"/>
      <c r="BM83" s="816"/>
      <c r="BN83" s="816"/>
      <c r="BO83" s="827">
        <v>16</v>
      </c>
      <c r="BP83" s="749">
        <f t="shared" si="179"/>
        <v>0</v>
      </c>
      <c r="BQ83" s="816"/>
      <c r="BR83" s="816"/>
      <c r="BS83" s="816"/>
      <c r="BT83" s="828">
        <v>40</v>
      </c>
      <c r="BU83" s="746">
        <f t="shared" si="180"/>
        <v>0</v>
      </c>
      <c r="BV83" s="609"/>
      <c r="BW83" s="818"/>
      <c r="BX83" s="816"/>
      <c r="BY83" s="816"/>
      <c r="BZ83" s="828">
        <v>40</v>
      </c>
      <c r="CA83" s="746">
        <f t="shared" si="181"/>
        <v>0</v>
      </c>
      <c r="CB83" s="816"/>
      <c r="CC83" s="816"/>
      <c r="CD83" s="816"/>
      <c r="CE83" s="816"/>
      <c r="CF83" s="820"/>
      <c r="CG83" s="820"/>
      <c r="CH83" s="820"/>
      <c r="CI83" s="820"/>
      <c r="CJ83" s="829">
        <v>80</v>
      </c>
      <c r="CK83" s="746">
        <f t="shared" si="182"/>
        <v>80</v>
      </c>
      <c r="CL83" s="816"/>
      <c r="CM83" s="816"/>
      <c r="CN83" s="829">
        <v>80</v>
      </c>
      <c r="CO83" s="746">
        <f t="shared" si="183"/>
        <v>12</v>
      </c>
      <c r="CP83" s="816"/>
      <c r="CQ83" s="816"/>
      <c r="CR83" s="829">
        <v>80</v>
      </c>
      <c r="CS83" s="746">
        <f t="shared" si="184"/>
        <v>0</v>
      </c>
      <c r="CT83" s="816"/>
      <c r="CU83" s="816"/>
      <c r="CV83" s="829">
        <v>80</v>
      </c>
      <c r="CW83" s="746">
        <v>6</v>
      </c>
      <c r="CX83" s="816"/>
      <c r="CY83" s="816"/>
      <c r="CZ83" s="816"/>
      <c r="DA83" s="816"/>
      <c r="DB83" s="816"/>
      <c r="DC83" s="816"/>
      <c r="DD83" s="816"/>
      <c r="DE83" s="816"/>
      <c r="DF83" s="816"/>
      <c r="DG83" s="816"/>
      <c r="DH83" s="816"/>
      <c r="DI83" s="816"/>
      <c r="DJ83" s="816"/>
      <c r="DK83" s="816"/>
      <c r="DL83" s="829">
        <v>80</v>
      </c>
      <c r="DM83" s="746">
        <f t="shared" si="185"/>
        <v>20</v>
      </c>
      <c r="DN83" s="816"/>
      <c r="DO83" s="816"/>
      <c r="DP83" s="829">
        <v>80</v>
      </c>
      <c r="DQ83" s="746">
        <f t="shared" si="186"/>
        <v>2</v>
      </c>
      <c r="DR83" s="816"/>
      <c r="DS83" s="816"/>
      <c r="DT83" s="829">
        <v>80</v>
      </c>
      <c r="DU83" s="746">
        <f t="shared" si="187"/>
        <v>0</v>
      </c>
      <c r="DV83" s="816"/>
      <c r="DW83" s="816"/>
      <c r="DX83" s="829">
        <v>80</v>
      </c>
      <c r="DY83" s="829">
        <f t="shared" si="188"/>
        <v>20</v>
      </c>
      <c r="DZ83" s="816"/>
      <c r="EA83" s="816"/>
      <c r="EB83" s="829">
        <v>80</v>
      </c>
      <c r="EC83" s="829">
        <f t="shared" si="189"/>
        <v>40</v>
      </c>
      <c r="ED83" s="816"/>
      <c r="EE83" s="816"/>
      <c r="EF83" s="829">
        <v>80</v>
      </c>
      <c r="EG83" s="829">
        <f t="shared" si="190"/>
        <v>2</v>
      </c>
      <c r="EH83" s="816"/>
      <c r="EI83" s="816"/>
      <c r="EJ83" s="829">
        <v>80</v>
      </c>
      <c r="EK83" s="829">
        <f t="shared" si="191"/>
        <v>0</v>
      </c>
      <c r="EL83" s="816"/>
      <c r="EM83" s="816"/>
      <c r="EN83" s="829">
        <v>80</v>
      </c>
      <c r="EO83" s="749">
        <v>6</v>
      </c>
      <c r="EP83" s="816"/>
      <c r="EQ83" s="816"/>
      <c r="ER83" s="829">
        <v>80</v>
      </c>
      <c r="ES83" s="829">
        <f t="shared" si="192"/>
        <v>2</v>
      </c>
      <c r="ET83" s="816"/>
      <c r="EU83" s="816"/>
      <c r="EV83" s="829">
        <v>80</v>
      </c>
      <c r="EW83" s="829">
        <f t="shared" si="193"/>
        <v>0</v>
      </c>
      <c r="EX83" s="816"/>
      <c r="EY83" s="816"/>
      <c r="EZ83" s="816"/>
      <c r="FA83" s="816"/>
      <c r="FB83" s="819"/>
      <c r="FC83" s="816"/>
      <c r="FD83" s="820"/>
      <c r="FE83" s="820"/>
      <c r="FF83" s="820"/>
      <c r="FG83" s="820"/>
      <c r="FH83" s="666" t="s">
        <v>119</v>
      </c>
      <c r="FI83" s="746">
        <f t="shared" si="197"/>
        <v>8</v>
      </c>
      <c r="FJ83" s="816"/>
      <c r="FK83" s="816"/>
      <c r="FL83" s="816"/>
      <c r="FM83" s="816"/>
      <c r="FN83" s="816"/>
      <c r="FO83" s="816"/>
      <c r="FP83" s="990"/>
      <c r="FQ83" s="816"/>
      <c r="FR83" s="816"/>
      <c r="FS83" s="816"/>
      <c r="FT83" s="829">
        <v>80</v>
      </c>
      <c r="FU83" s="749">
        <v>0</v>
      </c>
      <c r="FV83" s="816"/>
      <c r="FW83" s="816"/>
      <c r="FX83" s="609"/>
      <c r="FY83" s="609"/>
      <c r="FZ83" s="816"/>
      <c r="GA83" s="816"/>
      <c r="GB83" s="829">
        <v>80</v>
      </c>
      <c r="GC83" s="746">
        <f t="shared" si="195"/>
        <v>0</v>
      </c>
      <c r="GD83" s="609"/>
      <c r="GE83" s="816"/>
      <c r="GF83" s="816"/>
      <c r="GG83" s="666">
        <v>80</v>
      </c>
      <c r="GH83" s="746">
        <f t="shared" si="196"/>
        <v>2</v>
      </c>
      <c r="GI83" s="816"/>
      <c r="GJ83" s="816"/>
      <c r="GK83" s="609"/>
      <c r="GL83" s="609"/>
      <c r="GM83" s="816"/>
      <c r="GN83" s="816"/>
      <c r="GO83" s="816"/>
      <c r="GP83" s="816"/>
      <c r="GQ83" s="816"/>
      <c r="GR83" s="816"/>
      <c r="GS83" s="609"/>
      <c r="GT83" s="609"/>
      <c r="GU83" s="816"/>
      <c r="GV83" s="816"/>
      <c r="GW83" s="609"/>
      <c r="GX83" s="609"/>
      <c r="GY83" s="816"/>
      <c r="GZ83" s="816"/>
      <c r="HA83" s="609"/>
      <c r="HB83" s="609"/>
      <c r="HC83" s="816"/>
      <c r="HD83" s="816"/>
      <c r="HE83" s="816"/>
      <c r="HF83" s="816"/>
      <c r="HG83" s="816"/>
      <c r="HH83" s="816"/>
      <c r="HI83" s="821"/>
      <c r="HJ83" s="609"/>
      <c r="HK83" s="816"/>
      <c r="HL83" s="816"/>
      <c r="HM83" s="822"/>
      <c r="HN83" s="609"/>
      <c r="HO83" s="816"/>
      <c r="HP83" s="816"/>
      <c r="HQ83" s="609"/>
      <c r="HR83" s="816"/>
      <c r="HS83" s="816"/>
      <c r="HT83" s="816"/>
      <c r="HU83" s="816"/>
      <c r="HV83" s="816"/>
      <c r="HW83" s="816"/>
      <c r="HX83" s="816"/>
      <c r="HY83" s="816"/>
      <c r="HZ83" s="816"/>
      <c r="IA83" s="816"/>
      <c r="IB83" s="816"/>
      <c r="IC83" s="823"/>
      <c r="ID83" s="824"/>
      <c r="IE83" s="825"/>
      <c r="IF83" s="825"/>
      <c r="IG83" s="816"/>
      <c r="II83" s="826"/>
      <c r="IJ83" s="826"/>
      <c r="IK83" s="826"/>
      <c r="IL83" s="826"/>
    </row>
    <row r="84" spans="2:246" s="780" customFormat="1" ht="13.5" customHeight="1">
      <c r="B84" s="609"/>
      <c r="C84" s="609"/>
      <c r="D84" s="609"/>
      <c r="E84" s="609"/>
      <c r="F84" s="609"/>
      <c r="G84" s="609"/>
      <c r="H84" s="609"/>
      <c r="I84" s="609"/>
      <c r="J84" s="609"/>
      <c r="K84" s="609"/>
      <c r="L84" s="609"/>
      <c r="M84" s="609"/>
      <c r="N84" s="609"/>
      <c r="O84" s="609"/>
      <c r="P84" s="609"/>
      <c r="Q84" s="609"/>
      <c r="R84" s="609"/>
      <c r="S84" s="609"/>
      <c r="T84" s="609"/>
      <c r="U84" s="609"/>
      <c r="V84" s="609"/>
      <c r="W84" s="609"/>
      <c r="X84" s="609"/>
      <c r="Y84" s="609"/>
      <c r="Z84" s="816"/>
      <c r="AA84" s="816"/>
      <c r="AB84" s="816"/>
      <c r="AC84" s="816"/>
      <c r="AD84" s="816"/>
      <c r="AE84" s="816"/>
      <c r="AF84" s="609"/>
      <c r="AG84" s="609"/>
      <c r="AH84" s="816"/>
      <c r="AI84" s="816"/>
      <c r="AJ84" s="746">
        <v>100</v>
      </c>
      <c r="AK84" s="746">
        <v>0</v>
      </c>
      <c r="AL84" s="816"/>
      <c r="AM84" s="816"/>
      <c r="AN84" s="746">
        <v>100</v>
      </c>
      <c r="AO84" s="746">
        <f t="shared" si="175"/>
        <v>0</v>
      </c>
      <c r="AP84" s="816"/>
      <c r="AQ84" s="816"/>
      <c r="AR84" s="609"/>
      <c r="AS84" s="609"/>
      <c r="AT84" s="816"/>
      <c r="AU84" s="816"/>
      <c r="AV84" s="827">
        <v>25</v>
      </c>
      <c r="AW84" s="746">
        <f t="shared" si="176"/>
        <v>4</v>
      </c>
      <c r="AX84" s="609"/>
      <c r="AY84" s="816"/>
      <c r="AZ84" s="816"/>
      <c r="BA84" s="1110">
        <v>25</v>
      </c>
      <c r="BB84" s="1111">
        <f t="shared" si="177"/>
        <v>0</v>
      </c>
      <c r="BC84" s="816"/>
      <c r="BD84" s="816"/>
      <c r="BE84" s="816"/>
      <c r="BF84" s="816"/>
      <c r="BG84" s="816"/>
      <c r="BH84" s="816"/>
      <c r="BI84" s="816"/>
      <c r="BJ84" s="827">
        <v>25</v>
      </c>
      <c r="BK84" s="746">
        <f t="shared" si="178"/>
        <v>9</v>
      </c>
      <c r="BL84" s="816"/>
      <c r="BM84" s="816"/>
      <c r="BN84" s="816"/>
      <c r="BO84" s="827">
        <v>25</v>
      </c>
      <c r="BP84" s="749">
        <f t="shared" si="179"/>
        <v>2</v>
      </c>
      <c r="BQ84" s="816"/>
      <c r="BR84" s="816"/>
      <c r="BS84" s="816"/>
      <c r="BT84" s="609"/>
      <c r="BU84" s="609"/>
      <c r="BV84" s="609"/>
      <c r="BW84" s="818"/>
      <c r="BX84" s="816"/>
      <c r="BY84" s="816"/>
      <c r="BZ84" s="816"/>
      <c r="CA84" s="816"/>
      <c r="CB84" s="816"/>
      <c r="CC84" s="816"/>
      <c r="CD84" s="816"/>
      <c r="CE84" s="816"/>
      <c r="CF84" s="820"/>
      <c r="CG84" s="820"/>
      <c r="CH84" s="820"/>
      <c r="CI84" s="820"/>
      <c r="CJ84" s="829">
        <v>100</v>
      </c>
      <c r="CK84" s="746">
        <f t="shared" si="182"/>
        <v>20</v>
      </c>
      <c r="CL84" s="816"/>
      <c r="CM84" s="816"/>
      <c r="CN84" s="829">
        <v>100</v>
      </c>
      <c r="CO84" s="746">
        <f t="shared" si="183"/>
        <v>0</v>
      </c>
      <c r="CP84" s="816"/>
      <c r="CQ84" s="816"/>
      <c r="CR84" s="829">
        <v>100</v>
      </c>
      <c r="CS84" s="746">
        <f t="shared" si="184"/>
        <v>0</v>
      </c>
      <c r="CT84" s="816"/>
      <c r="CU84" s="816"/>
      <c r="CV84" s="829">
        <v>100</v>
      </c>
      <c r="CW84" s="746">
        <v>0</v>
      </c>
      <c r="CX84" s="816"/>
      <c r="CY84" s="816"/>
      <c r="CZ84" s="816"/>
      <c r="DA84" s="816"/>
      <c r="DB84" s="816"/>
      <c r="DC84" s="816"/>
      <c r="DD84" s="816"/>
      <c r="DE84" s="816"/>
      <c r="DF84" s="816"/>
      <c r="DG84" s="816"/>
      <c r="DH84" s="816"/>
      <c r="DI84" s="816"/>
      <c r="DJ84" s="816"/>
      <c r="DK84" s="816"/>
      <c r="DL84" s="829">
        <v>100</v>
      </c>
      <c r="DM84" s="746">
        <f t="shared" si="185"/>
        <v>5</v>
      </c>
      <c r="DN84" s="816"/>
      <c r="DO84" s="816"/>
      <c r="DP84" s="829">
        <v>100</v>
      </c>
      <c r="DQ84" s="746">
        <f t="shared" si="186"/>
        <v>0</v>
      </c>
      <c r="DR84" s="816"/>
      <c r="DS84" s="816"/>
      <c r="DT84" s="829">
        <v>100</v>
      </c>
      <c r="DU84" s="746">
        <f t="shared" si="187"/>
        <v>0</v>
      </c>
      <c r="DV84" s="816"/>
      <c r="DW84" s="816"/>
      <c r="DX84" s="829">
        <v>100</v>
      </c>
      <c r="DY84" s="829">
        <f t="shared" si="188"/>
        <v>5</v>
      </c>
      <c r="DZ84" s="816"/>
      <c r="EA84" s="816"/>
      <c r="EB84" s="829">
        <v>100</v>
      </c>
      <c r="EC84" s="829">
        <f t="shared" si="189"/>
        <v>10</v>
      </c>
      <c r="ED84" s="816"/>
      <c r="EE84" s="816"/>
      <c r="EF84" s="829">
        <v>100</v>
      </c>
      <c r="EG84" s="829">
        <f t="shared" si="190"/>
        <v>0</v>
      </c>
      <c r="EH84" s="816"/>
      <c r="EI84" s="816"/>
      <c r="EJ84" s="829">
        <v>100</v>
      </c>
      <c r="EK84" s="829">
        <f t="shared" si="191"/>
        <v>0</v>
      </c>
      <c r="EL84" s="816"/>
      <c r="EM84" s="816"/>
      <c r="EN84" s="829">
        <v>100</v>
      </c>
      <c r="EO84" s="749">
        <v>0</v>
      </c>
      <c r="EP84" s="816"/>
      <c r="EQ84" s="816"/>
      <c r="ER84" s="829">
        <v>100</v>
      </c>
      <c r="ES84" s="829">
        <f t="shared" si="192"/>
        <v>0</v>
      </c>
      <c r="ET84" s="816"/>
      <c r="EU84" s="816"/>
      <c r="EV84" s="829">
        <v>100</v>
      </c>
      <c r="EW84" s="829">
        <f t="shared" si="193"/>
        <v>0</v>
      </c>
      <c r="EX84" s="816"/>
      <c r="EY84" s="816"/>
      <c r="EZ84" s="816"/>
      <c r="FA84" s="816"/>
      <c r="FB84" s="819"/>
      <c r="FC84" s="816"/>
      <c r="FD84" s="820"/>
      <c r="FE84" s="820"/>
      <c r="FF84" s="820"/>
      <c r="FG84" s="820"/>
      <c r="FH84" s="666" t="s">
        <v>124</v>
      </c>
      <c r="FI84" s="746">
        <f t="shared" si="197"/>
        <v>4</v>
      </c>
      <c r="FJ84" s="816"/>
      <c r="FK84" s="816"/>
      <c r="FL84" s="816"/>
      <c r="FM84" s="816"/>
      <c r="FN84" s="816"/>
      <c r="FO84" s="816"/>
      <c r="FP84" s="990"/>
      <c r="FQ84" s="816"/>
      <c r="FR84" s="816"/>
      <c r="FS84" s="816"/>
      <c r="FT84" s="829">
        <v>100</v>
      </c>
      <c r="FU84" s="749">
        <v>0</v>
      </c>
      <c r="FV84" s="816"/>
      <c r="FW84" s="816"/>
      <c r="FX84" s="609"/>
      <c r="FY84" s="609"/>
      <c r="FZ84" s="816"/>
      <c r="GA84" s="816"/>
      <c r="GB84" s="609"/>
      <c r="GC84" s="609"/>
      <c r="GD84" s="609"/>
      <c r="GE84" s="816"/>
      <c r="GF84" s="816"/>
      <c r="GG84" s="666">
        <v>100</v>
      </c>
      <c r="GH84" s="746">
        <f t="shared" si="196"/>
        <v>0</v>
      </c>
      <c r="GI84" s="816"/>
      <c r="GJ84" s="816"/>
      <c r="GK84" s="609"/>
      <c r="GL84" s="609"/>
      <c r="GM84" s="816"/>
      <c r="GN84" s="816"/>
      <c r="GO84" s="816"/>
      <c r="GP84" s="816"/>
      <c r="GQ84" s="816"/>
      <c r="GR84" s="816"/>
      <c r="GS84" s="609"/>
      <c r="GT84" s="609"/>
      <c r="GU84" s="816"/>
      <c r="GV84" s="816"/>
      <c r="GW84" s="609"/>
      <c r="GX84" s="609"/>
      <c r="GY84" s="816"/>
      <c r="GZ84" s="816"/>
      <c r="HA84" s="609"/>
      <c r="HB84" s="609"/>
      <c r="HC84" s="816"/>
      <c r="HD84" s="816"/>
      <c r="HE84" s="816"/>
      <c r="HF84" s="816"/>
      <c r="HG84" s="816"/>
      <c r="HH84" s="816"/>
      <c r="HI84" s="821"/>
      <c r="HJ84" s="609"/>
      <c r="HK84" s="816"/>
      <c r="HL84" s="816"/>
      <c r="HM84" s="822"/>
      <c r="HN84" s="609"/>
      <c r="HO84" s="816"/>
      <c r="HP84" s="816"/>
      <c r="HQ84" s="609"/>
      <c r="HR84" s="816"/>
      <c r="HS84" s="816"/>
      <c r="HT84" s="816"/>
      <c r="HU84" s="816"/>
      <c r="HV84" s="816"/>
      <c r="HW84" s="816"/>
      <c r="HX84" s="816"/>
      <c r="HY84" s="816"/>
      <c r="HZ84" s="816"/>
      <c r="IA84" s="816"/>
      <c r="IB84" s="816"/>
      <c r="IC84" s="823"/>
      <c r="ID84" s="824"/>
      <c r="IE84" s="825"/>
      <c r="IF84" s="825"/>
      <c r="IG84" s="816"/>
      <c r="II84" s="826"/>
      <c r="IJ84" s="826"/>
      <c r="IK84" s="826"/>
      <c r="IL84" s="826"/>
    </row>
    <row r="85" spans="2:246" s="780" customFormat="1" ht="13.5" customHeight="1"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609"/>
      <c r="T85" s="609"/>
      <c r="U85" s="609"/>
      <c r="V85" s="609"/>
      <c r="W85" s="609"/>
      <c r="X85" s="609"/>
      <c r="Y85" s="609"/>
      <c r="Z85" s="816"/>
      <c r="AA85" s="816"/>
      <c r="AB85" s="816"/>
      <c r="AC85" s="816"/>
      <c r="AD85" s="816"/>
      <c r="AE85" s="816"/>
      <c r="AF85" s="609"/>
      <c r="AG85" s="609"/>
      <c r="AH85" s="816"/>
      <c r="AI85" s="816"/>
      <c r="AJ85" s="746">
        <v>125</v>
      </c>
      <c r="AK85" s="746">
        <v>0</v>
      </c>
      <c r="AL85" s="816"/>
      <c r="AM85" s="816"/>
      <c r="AN85" s="746">
        <v>125</v>
      </c>
      <c r="AO85" s="746">
        <f t="shared" si="175"/>
        <v>0</v>
      </c>
      <c r="AP85" s="816"/>
      <c r="AQ85" s="816"/>
      <c r="AR85" s="609"/>
      <c r="AS85" s="609"/>
      <c r="AT85" s="816"/>
      <c r="AU85" s="816"/>
      <c r="AV85" s="827">
        <v>40</v>
      </c>
      <c r="AW85" s="746">
        <f t="shared" si="176"/>
        <v>0</v>
      </c>
      <c r="AX85" s="609"/>
      <c r="AY85" s="816"/>
      <c r="AZ85" s="816"/>
      <c r="BA85" s="1110">
        <v>40</v>
      </c>
      <c r="BB85" s="1111">
        <f t="shared" si="177"/>
        <v>0</v>
      </c>
      <c r="BC85" s="816"/>
      <c r="BD85" s="816"/>
      <c r="BE85" s="816"/>
      <c r="BF85" s="816"/>
      <c r="BG85" s="816"/>
      <c r="BH85" s="816"/>
      <c r="BI85" s="816"/>
      <c r="BJ85" s="827">
        <v>40</v>
      </c>
      <c r="BK85" s="746">
        <f t="shared" si="178"/>
        <v>2</v>
      </c>
      <c r="BL85" s="816"/>
      <c r="BM85" s="816"/>
      <c r="BN85" s="816"/>
      <c r="BO85" s="827">
        <v>40</v>
      </c>
      <c r="BP85" s="749">
        <f t="shared" si="179"/>
        <v>0</v>
      </c>
      <c r="BQ85" s="816"/>
      <c r="BR85" s="816"/>
      <c r="BS85" s="816"/>
      <c r="BT85" s="609"/>
      <c r="BU85" s="609"/>
      <c r="BV85" s="609"/>
      <c r="BW85" s="818"/>
      <c r="BX85" s="816"/>
      <c r="BY85" s="816"/>
      <c r="BZ85" s="816"/>
      <c r="CA85" s="816"/>
      <c r="CB85" s="816"/>
      <c r="CC85" s="816"/>
      <c r="CD85" s="816"/>
      <c r="CE85" s="816"/>
      <c r="CF85" s="820"/>
      <c r="CG85" s="820"/>
      <c r="CH85" s="820"/>
      <c r="CI85" s="820"/>
      <c r="CJ85" s="829">
        <v>125</v>
      </c>
      <c r="CK85" s="746">
        <f t="shared" si="182"/>
        <v>0</v>
      </c>
      <c r="CL85" s="816"/>
      <c r="CM85" s="816"/>
      <c r="CN85" s="829">
        <v>125</v>
      </c>
      <c r="CO85" s="746">
        <f t="shared" si="183"/>
        <v>0</v>
      </c>
      <c r="CP85" s="816"/>
      <c r="CQ85" s="816"/>
      <c r="CR85" s="829">
        <v>125</v>
      </c>
      <c r="CS85" s="746">
        <f t="shared" si="184"/>
        <v>0</v>
      </c>
      <c r="CT85" s="816"/>
      <c r="CU85" s="816"/>
      <c r="CV85" s="829">
        <v>125</v>
      </c>
      <c r="CW85" s="746">
        <v>0</v>
      </c>
      <c r="CX85" s="816"/>
      <c r="CY85" s="816"/>
      <c r="CZ85" s="816"/>
      <c r="DA85" s="816"/>
      <c r="DB85" s="816"/>
      <c r="DC85" s="816"/>
      <c r="DD85" s="816"/>
      <c r="DE85" s="816"/>
      <c r="DF85" s="816"/>
      <c r="DG85" s="816"/>
      <c r="DH85" s="816"/>
      <c r="DI85" s="816"/>
      <c r="DJ85" s="816"/>
      <c r="DK85" s="816"/>
      <c r="DL85" s="829">
        <v>125</v>
      </c>
      <c r="DM85" s="746">
        <f t="shared" si="185"/>
        <v>0</v>
      </c>
      <c r="DN85" s="816"/>
      <c r="DO85" s="816"/>
      <c r="DP85" s="829">
        <v>125</v>
      </c>
      <c r="DQ85" s="746">
        <f t="shared" si="186"/>
        <v>0</v>
      </c>
      <c r="DR85" s="816"/>
      <c r="DS85" s="816"/>
      <c r="DT85" s="829">
        <v>125</v>
      </c>
      <c r="DU85" s="746">
        <f t="shared" si="187"/>
        <v>0</v>
      </c>
      <c r="DV85" s="816"/>
      <c r="DW85" s="816"/>
      <c r="DX85" s="829">
        <v>125</v>
      </c>
      <c r="DY85" s="829">
        <f t="shared" si="188"/>
        <v>0</v>
      </c>
      <c r="DZ85" s="816"/>
      <c r="EA85" s="816"/>
      <c r="EB85" s="829">
        <v>125</v>
      </c>
      <c r="EC85" s="829">
        <f t="shared" si="189"/>
        <v>0</v>
      </c>
      <c r="ED85" s="816"/>
      <c r="EE85" s="816"/>
      <c r="EF85" s="829">
        <v>125</v>
      </c>
      <c r="EG85" s="829">
        <f t="shared" si="190"/>
        <v>0</v>
      </c>
      <c r="EH85" s="816"/>
      <c r="EI85" s="816"/>
      <c r="EJ85" s="829">
        <v>125</v>
      </c>
      <c r="EK85" s="829">
        <f t="shared" si="191"/>
        <v>0</v>
      </c>
      <c r="EL85" s="816"/>
      <c r="EM85" s="816"/>
      <c r="EN85" s="829">
        <v>125</v>
      </c>
      <c r="EO85" s="749">
        <v>0</v>
      </c>
      <c r="EP85" s="816"/>
      <c r="EQ85" s="816"/>
      <c r="ER85" s="829">
        <v>125</v>
      </c>
      <c r="ES85" s="829">
        <f t="shared" si="192"/>
        <v>0</v>
      </c>
      <c r="ET85" s="816"/>
      <c r="EU85" s="816"/>
      <c r="EV85" s="829">
        <v>125</v>
      </c>
      <c r="EW85" s="829">
        <f t="shared" si="193"/>
        <v>0</v>
      </c>
      <c r="EX85" s="816"/>
      <c r="EY85" s="816"/>
      <c r="EZ85" s="816"/>
      <c r="FA85" s="816"/>
      <c r="FB85" s="819"/>
      <c r="FC85" s="816"/>
      <c r="FD85" s="820"/>
      <c r="FE85" s="820"/>
      <c r="FF85" s="820"/>
      <c r="FG85" s="820"/>
      <c r="FH85" s="666" t="s">
        <v>125</v>
      </c>
      <c r="FI85" s="746">
        <f t="shared" si="197"/>
        <v>2</v>
      </c>
      <c r="FJ85" s="816"/>
      <c r="FK85" s="816"/>
      <c r="FL85" s="816"/>
      <c r="FM85" s="816"/>
      <c r="FN85" s="816"/>
      <c r="FO85" s="816"/>
      <c r="FP85" s="990"/>
      <c r="FQ85" s="816"/>
      <c r="FR85" s="816"/>
      <c r="FS85" s="816"/>
      <c r="FT85" s="829">
        <v>125</v>
      </c>
      <c r="FU85" s="749">
        <v>0</v>
      </c>
      <c r="FV85" s="816"/>
      <c r="FW85" s="816"/>
      <c r="FX85" s="609"/>
      <c r="FY85" s="609"/>
      <c r="FZ85" s="816"/>
      <c r="GA85" s="816"/>
      <c r="GB85" s="609"/>
      <c r="GC85" s="609"/>
      <c r="GD85" s="609"/>
      <c r="GE85" s="816"/>
      <c r="GF85" s="816"/>
      <c r="GG85" s="609"/>
      <c r="GH85" s="609"/>
      <c r="GI85" s="816"/>
      <c r="GJ85" s="816"/>
      <c r="GK85" s="609"/>
      <c r="GL85" s="609"/>
      <c r="GM85" s="816"/>
      <c r="GN85" s="816"/>
      <c r="GO85" s="816"/>
      <c r="GP85" s="816"/>
      <c r="GQ85" s="816"/>
      <c r="GR85" s="816"/>
      <c r="GS85" s="609"/>
      <c r="GT85" s="609"/>
      <c r="GU85" s="816"/>
      <c r="GV85" s="816"/>
      <c r="GW85" s="609"/>
      <c r="GX85" s="609"/>
      <c r="GY85" s="816"/>
      <c r="GZ85" s="816"/>
      <c r="HA85" s="609"/>
      <c r="HB85" s="609"/>
      <c r="HC85" s="816"/>
      <c r="HD85" s="816"/>
      <c r="HE85" s="816"/>
      <c r="HF85" s="816"/>
      <c r="HG85" s="816"/>
      <c r="HH85" s="816"/>
      <c r="HI85" s="821"/>
      <c r="HJ85" s="609"/>
      <c r="HK85" s="816"/>
      <c r="HL85" s="816"/>
      <c r="HM85" s="822"/>
      <c r="HN85" s="609"/>
      <c r="HO85" s="816"/>
      <c r="HP85" s="816"/>
      <c r="HQ85" s="609"/>
      <c r="HR85" s="816"/>
      <c r="HS85" s="816"/>
      <c r="HT85" s="816"/>
      <c r="HU85" s="816"/>
      <c r="HV85" s="816"/>
      <c r="HW85" s="816"/>
      <c r="HX85" s="816"/>
      <c r="HY85" s="816"/>
      <c r="HZ85" s="816"/>
      <c r="IA85" s="816"/>
      <c r="IB85" s="816"/>
      <c r="IC85" s="823"/>
      <c r="ID85" s="824"/>
      <c r="IE85" s="825"/>
      <c r="IF85" s="825"/>
      <c r="IG85" s="816"/>
      <c r="II85" s="826"/>
      <c r="IJ85" s="826"/>
      <c r="IK85" s="826"/>
      <c r="IL85" s="826"/>
    </row>
    <row r="86" spans="2:246" s="780" customFormat="1" ht="13.5" customHeight="1"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609"/>
      <c r="T86" s="609"/>
      <c r="U86" s="609"/>
      <c r="V86" s="609"/>
      <c r="W86" s="609"/>
      <c r="X86" s="609"/>
      <c r="Y86" s="609"/>
      <c r="Z86" s="816"/>
      <c r="AA86" s="816"/>
      <c r="AB86" s="816"/>
      <c r="AC86" s="816"/>
      <c r="AD86" s="816"/>
      <c r="AE86" s="816"/>
      <c r="AF86" s="609"/>
      <c r="AG86" s="609"/>
      <c r="AH86" s="816"/>
      <c r="AI86" s="816"/>
      <c r="AJ86" s="609"/>
      <c r="AK86" s="609"/>
      <c r="AL86" s="816"/>
      <c r="AM86" s="816"/>
      <c r="AN86" s="816"/>
      <c r="AO86" s="816"/>
      <c r="AP86" s="816"/>
      <c r="AQ86" s="816"/>
      <c r="AR86" s="609"/>
      <c r="AS86" s="609"/>
      <c r="AT86" s="816"/>
      <c r="AU86" s="816"/>
      <c r="AV86" s="832">
        <v>63</v>
      </c>
      <c r="AW86" s="746">
        <f t="shared" si="176"/>
        <v>0</v>
      </c>
      <c r="AX86" s="609"/>
      <c r="AY86" s="816"/>
      <c r="AZ86" s="816"/>
      <c r="BA86" s="1112">
        <v>50</v>
      </c>
      <c r="BB86" s="1111">
        <f t="shared" si="177"/>
        <v>0</v>
      </c>
      <c r="BC86" s="816"/>
      <c r="BD86" s="816"/>
      <c r="BE86" s="816"/>
      <c r="BF86" s="816"/>
      <c r="BG86" s="816"/>
      <c r="BH86" s="816"/>
      <c r="BI86" s="816"/>
      <c r="BJ86" s="832">
        <v>63</v>
      </c>
      <c r="BK86" s="746">
        <f t="shared" si="178"/>
        <v>0</v>
      </c>
      <c r="BL86" s="816"/>
      <c r="BM86" s="816"/>
      <c r="BN86" s="816"/>
      <c r="BO86" s="832">
        <v>50</v>
      </c>
      <c r="BP86" s="749">
        <f t="shared" si="179"/>
        <v>0</v>
      </c>
      <c r="BQ86" s="816"/>
      <c r="BR86" s="816"/>
      <c r="BS86" s="816"/>
      <c r="BT86" s="609"/>
      <c r="BU86" s="609"/>
      <c r="BV86" s="609"/>
      <c r="BW86" s="818"/>
      <c r="BX86" s="816"/>
      <c r="BY86" s="816"/>
      <c r="BZ86" s="816"/>
      <c r="CA86" s="816"/>
      <c r="CB86" s="816"/>
      <c r="CC86" s="816"/>
      <c r="CD86" s="816"/>
      <c r="CE86" s="816"/>
      <c r="CF86" s="820"/>
      <c r="CG86" s="820"/>
      <c r="CH86" s="820"/>
      <c r="CI86" s="820"/>
      <c r="CJ86" s="609"/>
      <c r="CK86" s="609"/>
      <c r="CL86" s="816"/>
      <c r="CM86" s="816"/>
      <c r="CN86" s="609"/>
      <c r="CO86" s="609"/>
      <c r="CP86" s="816"/>
      <c r="CQ86" s="816"/>
      <c r="CR86" s="609"/>
      <c r="CS86" s="609"/>
      <c r="CT86" s="816"/>
      <c r="CU86" s="816"/>
      <c r="CV86" s="609"/>
      <c r="CW86" s="609"/>
      <c r="CX86" s="816"/>
      <c r="CY86" s="816"/>
      <c r="CZ86" s="816"/>
      <c r="DA86" s="816"/>
      <c r="DB86" s="816"/>
      <c r="DC86" s="816"/>
      <c r="DD86" s="816"/>
      <c r="DE86" s="816"/>
      <c r="DF86" s="816"/>
      <c r="DG86" s="816"/>
      <c r="DH86" s="816"/>
      <c r="DI86" s="816"/>
      <c r="DJ86" s="816"/>
      <c r="DK86" s="816"/>
      <c r="DL86" s="609"/>
      <c r="DM86" s="609"/>
      <c r="DN86" s="816"/>
      <c r="DO86" s="816"/>
      <c r="DP86" s="816"/>
      <c r="DQ86" s="816"/>
      <c r="DR86" s="816"/>
      <c r="DS86" s="816"/>
      <c r="DT86" s="816"/>
      <c r="DU86" s="816"/>
      <c r="DV86" s="816"/>
      <c r="DW86" s="816"/>
      <c r="DX86" s="816"/>
      <c r="DY86" s="816"/>
      <c r="DZ86" s="816"/>
      <c r="EA86" s="816"/>
      <c r="EB86" s="609"/>
      <c r="EC86" s="609"/>
      <c r="ED86" s="816"/>
      <c r="EE86" s="816"/>
      <c r="EF86" s="816"/>
      <c r="EG86" s="816"/>
      <c r="EH86" s="816"/>
      <c r="EI86" s="816"/>
      <c r="EJ86" s="816"/>
      <c r="EK86" s="816"/>
      <c r="EL86" s="816"/>
      <c r="EM86" s="816"/>
      <c r="EN86" s="816"/>
      <c r="EO86" s="816"/>
      <c r="EP86" s="816"/>
      <c r="EQ86" s="816"/>
      <c r="ER86" s="816"/>
      <c r="ES86" s="816"/>
      <c r="ET86" s="816"/>
      <c r="EU86" s="816"/>
      <c r="EV86" s="816"/>
      <c r="EW86" s="816"/>
      <c r="EX86" s="816"/>
      <c r="EY86" s="816"/>
      <c r="EZ86" s="816"/>
      <c r="FA86" s="816"/>
      <c r="FB86" s="819"/>
      <c r="FC86" s="816"/>
      <c r="FD86" s="820"/>
      <c r="FE86" s="820"/>
      <c r="FF86" s="820"/>
      <c r="FG86" s="820"/>
      <c r="FH86" s="817"/>
      <c r="FI86" s="609"/>
      <c r="FJ86" s="816"/>
      <c r="FK86" s="816"/>
      <c r="FL86" s="816"/>
      <c r="FM86" s="816"/>
      <c r="FN86" s="816"/>
      <c r="FO86" s="816"/>
      <c r="FP86" s="990"/>
      <c r="FQ86" s="816"/>
      <c r="FR86" s="816"/>
      <c r="FS86" s="816"/>
      <c r="FT86" s="816"/>
      <c r="FU86" s="816"/>
      <c r="FV86" s="816"/>
      <c r="FW86" s="816"/>
      <c r="FX86" s="609"/>
      <c r="FY86" s="609"/>
      <c r="FZ86" s="816"/>
      <c r="GA86" s="816"/>
      <c r="GB86" s="609"/>
      <c r="GC86" s="609"/>
      <c r="GD86" s="609"/>
      <c r="GE86" s="816"/>
      <c r="GF86" s="816"/>
      <c r="GG86" s="609"/>
      <c r="GH86" s="609"/>
      <c r="GI86" s="816"/>
      <c r="GJ86" s="816"/>
      <c r="GK86" s="609"/>
      <c r="GL86" s="609"/>
      <c r="GM86" s="816"/>
      <c r="GN86" s="816"/>
      <c r="GO86" s="816"/>
      <c r="GP86" s="816"/>
      <c r="GQ86" s="816"/>
      <c r="GR86" s="816"/>
      <c r="GS86" s="609"/>
      <c r="GT86" s="609"/>
      <c r="GU86" s="816"/>
      <c r="GV86" s="816"/>
      <c r="GW86" s="609"/>
      <c r="GX86" s="609"/>
      <c r="GY86" s="816"/>
      <c r="GZ86" s="816"/>
      <c r="HA86" s="609"/>
      <c r="HB86" s="609"/>
      <c r="HC86" s="816"/>
      <c r="HD86" s="816"/>
      <c r="HE86" s="816"/>
      <c r="HF86" s="816"/>
      <c r="HG86" s="816"/>
      <c r="HH86" s="816"/>
      <c r="HI86" s="821"/>
      <c r="HJ86" s="609"/>
      <c r="HK86" s="816"/>
      <c r="HL86" s="816"/>
      <c r="HM86" s="822"/>
      <c r="HN86" s="609"/>
      <c r="HO86" s="816"/>
      <c r="HP86" s="816"/>
      <c r="HQ86" s="609"/>
      <c r="HR86" s="816"/>
      <c r="HS86" s="816"/>
      <c r="HT86" s="816"/>
      <c r="HU86" s="816"/>
      <c r="HV86" s="816"/>
      <c r="HW86" s="816"/>
      <c r="HX86" s="816"/>
      <c r="HY86" s="816"/>
      <c r="HZ86" s="816"/>
      <c r="IA86" s="816"/>
      <c r="IB86" s="816"/>
      <c r="IC86" s="823"/>
      <c r="ID86" s="824"/>
      <c r="IE86" s="825"/>
      <c r="IF86" s="825"/>
      <c r="IG86" s="816"/>
      <c r="II86" s="826"/>
      <c r="IJ86" s="826"/>
      <c r="IK86" s="826"/>
      <c r="IL86" s="826"/>
    </row>
    <row r="87" spans="2:246" s="780" customFormat="1">
      <c r="B87" s="609"/>
      <c r="C87" s="609"/>
      <c r="D87" s="609"/>
      <c r="E87" s="609"/>
      <c r="F87" s="609"/>
      <c r="G87" s="609"/>
      <c r="H87" s="609"/>
      <c r="I87" s="609"/>
      <c r="J87" s="609"/>
      <c r="K87" s="609"/>
      <c r="L87" s="609"/>
      <c r="M87" s="609"/>
      <c r="N87" s="609"/>
      <c r="O87" s="609"/>
      <c r="P87" s="609"/>
      <c r="Q87" s="609"/>
      <c r="R87" s="609"/>
      <c r="S87" s="609"/>
      <c r="T87" s="609"/>
      <c r="U87" s="609"/>
      <c r="V87" s="609"/>
      <c r="W87" s="609"/>
      <c r="X87" s="609"/>
      <c r="Y87" s="609"/>
      <c r="Z87" s="816"/>
      <c r="AA87" s="816"/>
      <c r="AB87" s="816"/>
      <c r="AC87" s="816"/>
      <c r="AD87" s="816"/>
      <c r="AE87" s="816"/>
      <c r="AF87" s="609"/>
      <c r="AG87" s="609"/>
      <c r="AH87" s="816"/>
      <c r="AI87" s="816"/>
      <c r="AJ87" s="609"/>
      <c r="AK87" s="609"/>
      <c r="AL87" s="816"/>
      <c r="AM87" s="816"/>
      <c r="AN87" s="816"/>
      <c r="AO87" s="816"/>
      <c r="AP87" s="816"/>
      <c r="AQ87" s="816"/>
      <c r="AR87" s="609"/>
      <c r="AS87" s="609"/>
      <c r="AT87" s="816"/>
      <c r="AU87" s="816"/>
      <c r="AV87" s="817"/>
      <c r="AW87" s="609"/>
      <c r="AX87" s="609"/>
      <c r="AY87" s="816"/>
      <c r="AZ87" s="816"/>
      <c r="BA87" s="816"/>
      <c r="BB87" s="816"/>
      <c r="BC87" s="816"/>
      <c r="BD87" s="816"/>
      <c r="BE87" s="816"/>
      <c r="BF87" s="816"/>
      <c r="BG87" s="816"/>
      <c r="BH87" s="816"/>
      <c r="BI87" s="816"/>
      <c r="BJ87" s="816"/>
      <c r="BK87" s="816"/>
      <c r="BL87" s="816"/>
      <c r="BM87" s="816"/>
      <c r="BN87" s="816"/>
      <c r="BO87" s="816"/>
      <c r="BP87" s="816"/>
      <c r="BQ87" s="816"/>
      <c r="BR87" s="816"/>
      <c r="BS87" s="816"/>
      <c r="BT87" s="609"/>
      <c r="BU87" s="609"/>
      <c r="BV87" s="609"/>
      <c r="BW87" s="818"/>
      <c r="BX87" s="816"/>
      <c r="BY87" s="816"/>
      <c r="BZ87" s="816"/>
      <c r="CA87" s="816"/>
      <c r="CB87" s="816"/>
      <c r="CC87" s="816"/>
      <c r="CD87" s="816"/>
      <c r="CE87" s="816"/>
      <c r="CF87" s="820"/>
      <c r="CG87" s="820"/>
      <c r="CH87" s="820"/>
      <c r="CI87" s="820"/>
      <c r="CJ87" s="609"/>
      <c r="CK87" s="609"/>
      <c r="CL87" s="816"/>
      <c r="CM87" s="816"/>
      <c r="CN87" s="609"/>
      <c r="CO87" s="609"/>
      <c r="CP87" s="816"/>
      <c r="CQ87" s="816"/>
      <c r="CR87" s="609"/>
      <c r="CS87" s="609"/>
      <c r="CT87" s="816"/>
      <c r="CU87" s="816"/>
      <c r="CV87" s="609"/>
      <c r="CW87" s="609"/>
      <c r="CX87" s="816"/>
      <c r="CY87" s="816"/>
      <c r="CZ87" s="816"/>
      <c r="DA87" s="816"/>
      <c r="DB87" s="816"/>
      <c r="DC87" s="816"/>
      <c r="DD87" s="816"/>
      <c r="DE87" s="816"/>
      <c r="DF87" s="816"/>
      <c r="DG87" s="816"/>
      <c r="DH87" s="816"/>
      <c r="DI87" s="816"/>
      <c r="DJ87" s="816"/>
      <c r="DK87" s="816"/>
      <c r="DL87" s="609"/>
      <c r="DM87" s="609"/>
      <c r="DN87" s="816"/>
      <c r="DO87" s="816"/>
      <c r="DP87" s="816"/>
      <c r="DQ87" s="816"/>
      <c r="DR87" s="816"/>
      <c r="DS87" s="816"/>
      <c r="DT87" s="816"/>
      <c r="DU87" s="816"/>
      <c r="DV87" s="816"/>
      <c r="DW87" s="816"/>
      <c r="DX87" s="816"/>
      <c r="DY87" s="816"/>
      <c r="DZ87" s="816"/>
      <c r="EA87" s="816"/>
      <c r="EB87" s="609"/>
      <c r="EC87" s="609"/>
      <c r="ED87" s="816"/>
      <c r="EE87" s="816"/>
      <c r="EF87" s="816"/>
      <c r="EG87" s="816"/>
      <c r="EH87" s="816"/>
      <c r="EI87" s="816"/>
      <c r="EJ87" s="816"/>
      <c r="EK87" s="816"/>
      <c r="EL87" s="816"/>
      <c r="EM87" s="816"/>
      <c r="EN87" s="816"/>
      <c r="EO87" s="816"/>
      <c r="EP87" s="816"/>
      <c r="EQ87" s="816"/>
      <c r="ER87" s="816"/>
      <c r="ES87" s="816"/>
      <c r="ET87" s="816"/>
      <c r="EU87" s="816"/>
      <c r="EV87" s="816"/>
      <c r="EW87" s="816"/>
      <c r="EX87" s="816"/>
      <c r="EY87" s="816"/>
      <c r="EZ87" s="816"/>
      <c r="FA87" s="816"/>
      <c r="FB87" s="819"/>
      <c r="FC87" s="816"/>
      <c r="FD87" s="820"/>
      <c r="FE87" s="820"/>
      <c r="FF87" s="820"/>
      <c r="FG87" s="820"/>
      <c r="FH87" s="817"/>
      <c r="FI87" s="609"/>
      <c r="FJ87" s="816"/>
      <c r="FK87" s="816"/>
      <c r="FL87" s="816"/>
      <c r="FM87" s="816"/>
      <c r="FN87" s="816"/>
      <c r="FO87" s="816"/>
      <c r="FP87" s="816"/>
      <c r="FQ87" s="816"/>
      <c r="FR87" s="816"/>
      <c r="FS87" s="816"/>
      <c r="FT87" s="816"/>
      <c r="FU87" s="816"/>
      <c r="FV87" s="816"/>
      <c r="FW87" s="816"/>
      <c r="FX87" s="609"/>
      <c r="FY87" s="609"/>
      <c r="FZ87" s="816"/>
      <c r="GA87" s="816"/>
      <c r="GB87" s="609"/>
      <c r="GC87" s="609"/>
      <c r="GD87" s="609"/>
      <c r="GE87" s="816"/>
      <c r="GF87" s="816"/>
      <c r="GG87" s="609"/>
      <c r="GH87" s="609"/>
      <c r="GI87" s="816"/>
      <c r="GJ87" s="816"/>
      <c r="GK87" s="609"/>
      <c r="GL87" s="609"/>
      <c r="GM87" s="816"/>
      <c r="GN87" s="816"/>
      <c r="GO87" s="816"/>
      <c r="GP87" s="816"/>
      <c r="GQ87" s="816"/>
      <c r="GR87" s="816"/>
      <c r="GS87" s="609"/>
      <c r="GT87" s="609"/>
      <c r="GU87" s="816"/>
      <c r="GV87" s="816"/>
      <c r="GW87" s="609"/>
      <c r="GX87" s="609"/>
      <c r="GY87" s="816"/>
      <c r="GZ87" s="816"/>
      <c r="HA87" s="609"/>
      <c r="HB87" s="609"/>
      <c r="HC87" s="816"/>
      <c r="HD87" s="816"/>
      <c r="HE87" s="816"/>
      <c r="HF87" s="816"/>
      <c r="HG87" s="816"/>
      <c r="HH87" s="816"/>
      <c r="HI87" s="821"/>
      <c r="HJ87" s="609"/>
      <c r="HK87" s="816"/>
      <c r="HL87" s="816"/>
      <c r="HM87" s="822"/>
      <c r="HN87" s="609"/>
      <c r="HO87" s="816"/>
      <c r="HP87" s="816"/>
      <c r="HQ87" s="609"/>
      <c r="HR87" s="816"/>
      <c r="HS87" s="816"/>
      <c r="HT87" s="816"/>
      <c r="HU87" s="816"/>
      <c r="HV87" s="816"/>
      <c r="HW87" s="816"/>
      <c r="HX87" s="816"/>
      <c r="HY87" s="816"/>
      <c r="HZ87" s="816"/>
      <c r="IA87" s="816"/>
      <c r="IB87" s="816"/>
      <c r="IC87" s="823"/>
      <c r="ID87" s="824"/>
      <c r="IE87" s="825"/>
      <c r="IF87" s="825"/>
      <c r="IG87" s="816"/>
      <c r="II87" s="826"/>
      <c r="IJ87" s="826"/>
      <c r="IK87" s="826"/>
      <c r="IL87" s="826"/>
    </row>
    <row r="88" spans="2:246" s="780" customFormat="1">
      <c r="B88" s="609"/>
      <c r="C88" s="609"/>
      <c r="D88" s="609"/>
      <c r="E88" s="609"/>
      <c r="F88" s="609"/>
      <c r="G88" s="609"/>
      <c r="H88" s="609"/>
      <c r="I88" s="609"/>
      <c r="J88" s="609"/>
      <c r="K88" s="609"/>
      <c r="L88" s="609"/>
      <c r="M88" s="609"/>
      <c r="N88" s="609"/>
      <c r="O88" s="609"/>
      <c r="P88" s="609"/>
      <c r="Q88" s="609"/>
      <c r="R88" s="609"/>
      <c r="S88" s="609"/>
      <c r="T88" s="609"/>
      <c r="U88" s="609"/>
      <c r="V88" s="609"/>
      <c r="W88" s="609"/>
      <c r="X88" s="609"/>
      <c r="Y88" s="609"/>
      <c r="Z88" s="816"/>
      <c r="AA88" s="816"/>
      <c r="AB88" s="816"/>
      <c r="AC88" s="816"/>
      <c r="AD88" s="816"/>
      <c r="AE88" s="816"/>
      <c r="AF88" s="609"/>
      <c r="AG88" s="609"/>
      <c r="AH88" s="816"/>
      <c r="AI88" s="816"/>
      <c r="AJ88" s="609"/>
      <c r="AK88" s="609"/>
      <c r="AL88" s="816"/>
      <c r="AM88" s="816"/>
      <c r="AN88" s="816"/>
      <c r="AO88" s="816"/>
      <c r="AP88" s="816"/>
      <c r="AQ88" s="816"/>
      <c r="AR88" s="609"/>
      <c r="AS88" s="609"/>
      <c r="AT88" s="816"/>
      <c r="AU88" s="816"/>
      <c r="AV88" s="817"/>
      <c r="AW88" s="609"/>
      <c r="AX88" s="609"/>
      <c r="AY88" s="816"/>
      <c r="AZ88" s="816"/>
      <c r="BA88" s="816"/>
      <c r="BB88" s="816"/>
      <c r="BC88" s="816"/>
      <c r="BD88" s="816"/>
      <c r="BE88" s="816"/>
      <c r="BF88" s="816"/>
      <c r="BG88" s="816"/>
      <c r="BH88" s="816"/>
      <c r="BI88" s="816"/>
      <c r="BJ88" s="816"/>
      <c r="BK88" s="816"/>
      <c r="BL88" s="816"/>
      <c r="BM88" s="816"/>
      <c r="BN88" s="816"/>
      <c r="BO88" s="816"/>
      <c r="BP88" s="816"/>
      <c r="BQ88" s="816"/>
      <c r="BR88" s="816"/>
      <c r="BS88" s="816"/>
      <c r="BT88" s="609"/>
      <c r="BU88" s="609"/>
      <c r="BV88" s="609"/>
      <c r="BW88" s="818"/>
      <c r="BX88" s="816"/>
      <c r="BY88" s="816"/>
      <c r="BZ88" s="816"/>
      <c r="CA88" s="816"/>
      <c r="CB88" s="816"/>
      <c r="CC88" s="816"/>
      <c r="CD88" s="816"/>
      <c r="CE88" s="816"/>
      <c r="CF88" s="820"/>
      <c r="CG88" s="820"/>
      <c r="CH88" s="820"/>
      <c r="CI88" s="820"/>
      <c r="CJ88" s="609"/>
      <c r="CK88" s="609"/>
      <c r="CL88" s="816"/>
      <c r="CM88" s="816"/>
      <c r="CN88" s="609"/>
      <c r="CO88" s="609"/>
      <c r="CP88" s="816"/>
      <c r="CQ88" s="816"/>
      <c r="CR88" s="609"/>
      <c r="CS88" s="609"/>
      <c r="CT88" s="816"/>
      <c r="CU88" s="816"/>
      <c r="CV88" s="609"/>
      <c r="CW88" s="609"/>
      <c r="CX88" s="816"/>
      <c r="CY88" s="816"/>
      <c r="CZ88" s="816"/>
      <c r="DA88" s="816"/>
      <c r="DB88" s="816"/>
      <c r="DC88" s="816"/>
      <c r="DD88" s="816"/>
      <c r="DE88" s="816"/>
      <c r="DF88" s="816"/>
      <c r="DG88" s="816"/>
      <c r="DH88" s="816"/>
      <c r="DI88" s="816"/>
      <c r="DJ88" s="816"/>
      <c r="DK88" s="816"/>
      <c r="DL88" s="609"/>
      <c r="DM88" s="609"/>
      <c r="DN88" s="816"/>
      <c r="DO88" s="816"/>
      <c r="DP88" s="816"/>
      <c r="DQ88" s="816"/>
      <c r="DR88" s="816"/>
      <c r="DS88" s="816"/>
      <c r="DT88" s="816"/>
      <c r="DU88" s="816"/>
      <c r="DV88" s="816"/>
      <c r="DW88" s="816"/>
      <c r="DX88" s="816"/>
      <c r="DY88" s="816"/>
      <c r="DZ88" s="816"/>
      <c r="EA88" s="816"/>
      <c r="EB88" s="609"/>
      <c r="EC88" s="609"/>
      <c r="ED88" s="816"/>
      <c r="EE88" s="816"/>
      <c r="EF88" s="816"/>
      <c r="EG88" s="816"/>
      <c r="EH88" s="816"/>
      <c r="EI88" s="816"/>
      <c r="EJ88" s="816"/>
      <c r="EK88" s="816"/>
      <c r="EL88" s="816"/>
      <c r="EM88" s="816"/>
      <c r="EN88" s="816"/>
      <c r="EO88" s="816"/>
      <c r="EP88" s="816"/>
      <c r="EQ88" s="816"/>
      <c r="ER88" s="816"/>
      <c r="ES88" s="816"/>
      <c r="ET88" s="816"/>
      <c r="EU88" s="816"/>
      <c r="EV88" s="816"/>
      <c r="EW88" s="816"/>
      <c r="EX88" s="816"/>
      <c r="EY88" s="816"/>
      <c r="EZ88" s="816"/>
      <c r="FA88" s="816"/>
      <c r="FB88" s="819"/>
      <c r="FC88" s="816"/>
      <c r="FD88" s="820"/>
      <c r="FE88" s="820"/>
      <c r="FF88" s="820"/>
      <c r="FG88" s="820"/>
      <c r="FH88" s="609"/>
      <c r="FI88" s="609"/>
      <c r="FJ88" s="816"/>
      <c r="FK88" s="816"/>
      <c r="FL88" s="816"/>
      <c r="FM88" s="816"/>
      <c r="FN88" s="816"/>
      <c r="FO88" s="816"/>
      <c r="FP88" s="816"/>
      <c r="FQ88" s="816"/>
      <c r="FR88" s="816"/>
      <c r="FS88" s="816"/>
      <c r="FT88" s="816"/>
      <c r="FU88" s="816"/>
      <c r="FV88" s="816"/>
      <c r="FW88" s="816"/>
      <c r="FX88" s="609"/>
      <c r="FY88" s="609"/>
      <c r="FZ88" s="816"/>
      <c r="GA88" s="816"/>
      <c r="GB88" s="609"/>
      <c r="GC88" s="609"/>
      <c r="GD88" s="609"/>
      <c r="GE88" s="816"/>
      <c r="GF88" s="816"/>
      <c r="GG88" s="609"/>
      <c r="GH88" s="609"/>
      <c r="GI88" s="816"/>
      <c r="GJ88" s="816"/>
      <c r="GK88" s="609"/>
      <c r="GL88" s="609"/>
      <c r="GM88" s="816"/>
      <c r="GN88" s="816"/>
      <c r="GO88" s="816"/>
      <c r="GP88" s="816"/>
      <c r="GQ88" s="816"/>
      <c r="GR88" s="816"/>
      <c r="GS88" s="609"/>
      <c r="GT88" s="609"/>
      <c r="GU88" s="816"/>
      <c r="GV88" s="816"/>
      <c r="GW88" s="609"/>
      <c r="GX88" s="609"/>
      <c r="GY88" s="816"/>
      <c r="GZ88" s="816"/>
      <c r="HA88" s="609"/>
      <c r="HB88" s="609"/>
      <c r="HC88" s="816"/>
      <c r="HD88" s="816"/>
      <c r="HE88" s="816"/>
      <c r="HF88" s="816"/>
      <c r="HG88" s="816"/>
      <c r="HH88" s="816"/>
      <c r="HI88" s="821"/>
      <c r="HJ88" s="609"/>
      <c r="HK88" s="816"/>
      <c r="HL88" s="816"/>
      <c r="HM88" s="822"/>
      <c r="HN88" s="609"/>
      <c r="HO88" s="816"/>
      <c r="HP88" s="816"/>
      <c r="HQ88" s="609"/>
      <c r="HR88" s="816"/>
      <c r="HS88" s="816"/>
      <c r="HT88" s="816"/>
      <c r="HU88" s="816"/>
      <c r="HV88" s="816"/>
      <c r="HW88" s="816"/>
      <c r="HX88" s="816"/>
      <c r="HY88" s="816"/>
      <c r="HZ88" s="816"/>
      <c r="IA88" s="816"/>
      <c r="IB88" s="816"/>
      <c r="IC88" s="823"/>
      <c r="ID88" s="824"/>
      <c r="IE88" s="825"/>
      <c r="IF88" s="825"/>
      <c r="IG88" s="816"/>
      <c r="II88" s="826"/>
      <c r="IJ88" s="826"/>
      <c r="IK88" s="826"/>
      <c r="IL88" s="826"/>
    </row>
    <row r="89" spans="2:246" s="780" customFormat="1">
      <c r="B89" s="609"/>
      <c r="C89" s="609"/>
      <c r="D89" s="609"/>
      <c r="E89" s="609"/>
      <c r="F89" s="609"/>
      <c r="G89" s="609"/>
      <c r="H89" s="609"/>
      <c r="I89" s="609"/>
      <c r="J89" s="609"/>
      <c r="K89" s="609"/>
      <c r="L89" s="609"/>
      <c r="M89" s="609"/>
      <c r="N89" s="609"/>
      <c r="O89" s="609"/>
      <c r="P89" s="609"/>
      <c r="Q89" s="609"/>
      <c r="R89" s="609"/>
      <c r="S89" s="609"/>
      <c r="T89" s="609"/>
      <c r="U89" s="609"/>
      <c r="V89" s="609"/>
      <c r="W89" s="609"/>
      <c r="X89" s="609"/>
      <c r="Y89" s="609"/>
      <c r="Z89" s="816"/>
      <c r="AA89" s="816"/>
      <c r="AB89" s="816"/>
      <c r="AC89" s="816"/>
      <c r="AD89" s="816"/>
      <c r="AE89" s="816"/>
      <c r="AF89" s="609"/>
      <c r="AG89" s="609"/>
      <c r="AH89" s="816"/>
      <c r="AI89" s="816"/>
      <c r="AJ89" s="609"/>
      <c r="AK89" s="609"/>
      <c r="AL89" s="816"/>
      <c r="AM89" s="816"/>
      <c r="AN89" s="816"/>
      <c r="AO89" s="816"/>
      <c r="AP89" s="816"/>
      <c r="AQ89" s="816"/>
      <c r="AR89" s="609"/>
      <c r="AS89" s="609"/>
      <c r="AT89" s="816"/>
      <c r="AU89" s="816"/>
      <c r="AV89" s="817"/>
      <c r="AW89" s="609"/>
      <c r="AX89" s="609"/>
      <c r="AY89" s="816"/>
      <c r="AZ89" s="816"/>
      <c r="BA89" s="816"/>
      <c r="BB89" s="816"/>
      <c r="BC89" s="816"/>
      <c r="BD89" s="816"/>
      <c r="BE89" s="816"/>
      <c r="BF89" s="816"/>
      <c r="BG89" s="816"/>
      <c r="BH89" s="816"/>
      <c r="BI89" s="816"/>
      <c r="BJ89" s="816"/>
      <c r="BK89" s="816"/>
      <c r="BL89" s="816"/>
      <c r="BM89" s="816"/>
      <c r="BN89" s="816"/>
      <c r="BO89" s="816"/>
      <c r="BP89" s="816"/>
      <c r="BQ89" s="816"/>
      <c r="BR89" s="816"/>
      <c r="BS89" s="816"/>
      <c r="BT89" s="609"/>
      <c r="BU89" s="609"/>
      <c r="BV89" s="609"/>
      <c r="BW89" s="818"/>
      <c r="BX89" s="816"/>
      <c r="BY89" s="816"/>
      <c r="BZ89" s="816"/>
      <c r="CA89" s="816"/>
      <c r="CB89" s="816"/>
      <c r="CC89" s="816"/>
      <c r="CD89" s="816"/>
      <c r="CE89" s="816"/>
      <c r="CF89" s="820"/>
      <c r="CG89" s="820"/>
      <c r="CH89" s="820"/>
      <c r="CI89" s="820"/>
      <c r="CJ89" s="609"/>
      <c r="CK89" s="609"/>
      <c r="CL89" s="816"/>
      <c r="CM89" s="816"/>
      <c r="CN89" s="609"/>
      <c r="CO89" s="609"/>
      <c r="CP89" s="816"/>
      <c r="CQ89" s="816"/>
      <c r="CR89" s="609"/>
      <c r="CS89" s="609"/>
      <c r="CT89" s="816"/>
      <c r="CU89" s="816"/>
      <c r="CV89" s="609"/>
      <c r="CW89" s="609"/>
      <c r="CX89" s="816"/>
      <c r="CY89" s="816"/>
      <c r="CZ89" s="816"/>
      <c r="DA89" s="816"/>
      <c r="DB89" s="816"/>
      <c r="DC89" s="816"/>
      <c r="DD89" s="816"/>
      <c r="DE89" s="816"/>
      <c r="DF89" s="816"/>
      <c r="DG89" s="816"/>
      <c r="DH89" s="816"/>
      <c r="DI89" s="816"/>
      <c r="DJ89" s="816"/>
      <c r="DK89" s="816"/>
      <c r="DL89" s="609"/>
      <c r="DM89" s="609"/>
      <c r="DN89" s="816"/>
      <c r="DO89" s="816"/>
      <c r="DP89" s="816"/>
      <c r="DQ89" s="816"/>
      <c r="DR89" s="816"/>
      <c r="DS89" s="816"/>
      <c r="DT89" s="816"/>
      <c r="DU89" s="816"/>
      <c r="DV89" s="816"/>
      <c r="DW89" s="816"/>
      <c r="DX89" s="816"/>
      <c r="DY89" s="816"/>
      <c r="DZ89" s="816"/>
      <c r="EA89" s="816"/>
      <c r="EB89" s="609"/>
      <c r="EC89" s="609"/>
      <c r="ED89" s="816"/>
      <c r="EE89" s="816"/>
      <c r="EF89" s="816"/>
      <c r="EG89" s="816"/>
      <c r="EH89" s="816"/>
      <c r="EI89" s="816"/>
      <c r="EJ89" s="816"/>
      <c r="EK89" s="816"/>
      <c r="EL89" s="816"/>
      <c r="EM89" s="816"/>
      <c r="EN89" s="816"/>
      <c r="EO89" s="816"/>
      <c r="EP89" s="816"/>
      <c r="EQ89" s="816"/>
      <c r="ER89" s="816"/>
      <c r="ES89" s="816"/>
      <c r="ET89" s="816"/>
      <c r="EU89" s="816"/>
      <c r="EV89" s="816"/>
      <c r="EW89" s="816"/>
      <c r="EX89" s="816"/>
      <c r="EY89" s="816"/>
      <c r="EZ89" s="816"/>
      <c r="FA89" s="816"/>
      <c r="FB89" s="819"/>
      <c r="FC89" s="816"/>
      <c r="FD89" s="820"/>
      <c r="FE89" s="820"/>
      <c r="FF89" s="820"/>
      <c r="FG89" s="820"/>
      <c r="FH89" s="817"/>
      <c r="FI89" s="609"/>
      <c r="FJ89" s="816"/>
      <c r="FK89" s="816"/>
      <c r="FL89" s="816"/>
      <c r="FM89" s="816"/>
      <c r="FN89" s="816"/>
      <c r="FO89" s="816"/>
      <c r="FP89" s="816"/>
      <c r="FQ89" s="816"/>
      <c r="FR89" s="816"/>
      <c r="FS89" s="816"/>
      <c r="FT89" s="816"/>
      <c r="FU89" s="816"/>
      <c r="FV89" s="816"/>
      <c r="FW89" s="816"/>
      <c r="FX89" s="609"/>
      <c r="FY89" s="609"/>
      <c r="FZ89" s="816"/>
      <c r="GA89" s="816"/>
      <c r="GB89" s="609"/>
      <c r="GC89" s="609"/>
      <c r="GD89" s="609"/>
      <c r="GE89" s="816"/>
      <c r="GF89" s="816"/>
      <c r="GG89" s="609"/>
      <c r="GH89" s="609"/>
      <c r="GI89" s="816"/>
      <c r="GJ89" s="816"/>
      <c r="GK89" s="609"/>
      <c r="GL89" s="609"/>
      <c r="GM89" s="816"/>
      <c r="GN89" s="816"/>
      <c r="GO89" s="816"/>
      <c r="GP89" s="816"/>
      <c r="GQ89" s="816"/>
      <c r="GR89" s="816"/>
      <c r="GS89" s="609"/>
      <c r="GT89" s="609"/>
      <c r="GU89" s="816"/>
      <c r="GV89" s="816"/>
      <c r="GW89" s="609"/>
      <c r="GX89" s="609"/>
      <c r="GY89" s="816"/>
      <c r="GZ89" s="816"/>
      <c r="HA89" s="609"/>
      <c r="HB89" s="609"/>
      <c r="HC89" s="816"/>
      <c r="HD89" s="816"/>
      <c r="HE89" s="816"/>
      <c r="HF89" s="816"/>
      <c r="HG89" s="816"/>
      <c r="HH89" s="816"/>
      <c r="HI89" s="821"/>
      <c r="HJ89" s="609"/>
      <c r="HK89" s="816"/>
      <c r="HL89" s="816"/>
      <c r="HM89" s="822"/>
      <c r="HN89" s="609"/>
      <c r="HO89" s="816"/>
      <c r="HP89" s="816"/>
      <c r="HQ89" s="609"/>
      <c r="HR89" s="816"/>
      <c r="HS89" s="816"/>
      <c r="HT89" s="816"/>
      <c r="HU89" s="816"/>
      <c r="HV89" s="816"/>
      <c r="HW89" s="816"/>
      <c r="HX89" s="816"/>
      <c r="HY89" s="816"/>
      <c r="HZ89" s="816"/>
      <c r="IA89" s="816"/>
      <c r="IB89" s="816"/>
      <c r="IC89" s="823"/>
      <c r="ID89" s="824"/>
      <c r="IE89" s="825"/>
      <c r="IF89" s="825"/>
      <c r="IG89" s="816"/>
      <c r="II89" s="826"/>
      <c r="IJ89" s="826"/>
      <c r="IK89" s="826"/>
      <c r="IL89" s="826"/>
    </row>
    <row r="90" spans="2:246" s="780" customFormat="1">
      <c r="B90" s="609"/>
      <c r="C90" s="609"/>
      <c r="D90" s="609"/>
      <c r="E90" s="609"/>
      <c r="F90" s="609"/>
      <c r="G90" s="609"/>
      <c r="H90" s="609"/>
      <c r="I90" s="609"/>
      <c r="J90" s="609"/>
      <c r="K90" s="609"/>
      <c r="L90" s="609"/>
      <c r="M90" s="609"/>
      <c r="N90" s="609"/>
      <c r="O90" s="609"/>
      <c r="P90" s="609"/>
      <c r="Q90" s="609"/>
      <c r="R90" s="609"/>
      <c r="S90" s="609"/>
      <c r="T90" s="609"/>
      <c r="U90" s="609"/>
      <c r="V90" s="609"/>
      <c r="W90" s="609"/>
      <c r="X90" s="609"/>
      <c r="Y90" s="609"/>
      <c r="Z90" s="816"/>
      <c r="AA90" s="816"/>
      <c r="AB90" s="816"/>
      <c r="AC90" s="816"/>
      <c r="AD90" s="816"/>
      <c r="AE90" s="816"/>
      <c r="AF90" s="609"/>
      <c r="AG90" s="609"/>
      <c r="AH90" s="816"/>
      <c r="AI90" s="816"/>
      <c r="AJ90" s="609"/>
      <c r="AK90" s="609"/>
      <c r="AL90" s="816"/>
      <c r="AM90" s="816"/>
      <c r="AN90" s="816"/>
      <c r="AO90" s="816"/>
      <c r="AP90" s="816"/>
      <c r="AQ90" s="816"/>
      <c r="AR90" s="609"/>
      <c r="AS90" s="609"/>
      <c r="AT90" s="816"/>
      <c r="AU90" s="816"/>
      <c r="AV90" s="817"/>
      <c r="AW90" s="609"/>
      <c r="AX90" s="609"/>
      <c r="AY90" s="816"/>
      <c r="AZ90" s="816"/>
      <c r="BA90" s="816"/>
      <c r="BB90" s="816"/>
      <c r="BC90" s="816"/>
      <c r="BD90" s="816"/>
      <c r="BE90" s="816"/>
      <c r="BF90" s="816"/>
      <c r="BG90" s="816"/>
      <c r="BH90" s="816"/>
      <c r="BI90" s="816"/>
      <c r="BJ90" s="816"/>
      <c r="BK90" s="816"/>
      <c r="BL90" s="816"/>
      <c r="BM90" s="816"/>
      <c r="BN90" s="816"/>
      <c r="BO90" s="816"/>
      <c r="BP90" s="816"/>
      <c r="BQ90" s="816"/>
      <c r="BR90" s="816"/>
      <c r="BS90" s="816"/>
      <c r="BT90" s="609"/>
      <c r="BU90" s="609"/>
      <c r="BV90" s="609"/>
      <c r="BW90" s="818"/>
      <c r="BX90" s="816"/>
      <c r="BY90" s="816"/>
      <c r="BZ90" s="816"/>
      <c r="CA90" s="816"/>
      <c r="CB90" s="816"/>
      <c r="CC90" s="816"/>
      <c r="CD90" s="816"/>
      <c r="CE90" s="816"/>
      <c r="CF90" s="820"/>
      <c r="CG90" s="820"/>
      <c r="CH90" s="820"/>
      <c r="CI90" s="820"/>
      <c r="CJ90" s="609"/>
      <c r="CK90" s="609"/>
      <c r="CL90" s="816"/>
      <c r="CM90" s="816"/>
      <c r="CN90" s="609"/>
      <c r="CO90" s="609"/>
      <c r="CP90" s="816"/>
      <c r="CQ90" s="816"/>
      <c r="CR90" s="609"/>
      <c r="CS90" s="609"/>
      <c r="CT90" s="816"/>
      <c r="CU90" s="816"/>
      <c r="CV90" s="609"/>
      <c r="CW90" s="609"/>
      <c r="CX90" s="816"/>
      <c r="CY90" s="816"/>
      <c r="CZ90" s="816"/>
      <c r="DA90" s="816"/>
      <c r="DB90" s="816"/>
      <c r="DC90" s="816"/>
      <c r="DD90" s="816"/>
      <c r="DE90" s="816"/>
      <c r="DF90" s="816"/>
      <c r="DG90" s="816"/>
      <c r="DH90" s="816"/>
      <c r="DI90" s="816"/>
      <c r="DJ90" s="816"/>
      <c r="DK90" s="816"/>
      <c r="DL90" s="609"/>
      <c r="DM90" s="609"/>
      <c r="DN90" s="816"/>
      <c r="DO90" s="816"/>
      <c r="DP90" s="816"/>
      <c r="DQ90" s="816"/>
      <c r="DR90" s="816"/>
      <c r="DS90" s="816"/>
      <c r="DT90" s="816"/>
      <c r="DU90" s="816"/>
      <c r="DV90" s="816"/>
      <c r="DW90" s="816"/>
      <c r="DX90" s="816"/>
      <c r="DY90" s="816"/>
      <c r="DZ90" s="816"/>
      <c r="EA90" s="816"/>
      <c r="EB90" s="609"/>
      <c r="EC90" s="609"/>
      <c r="ED90" s="816"/>
      <c r="EE90" s="816"/>
      <c r="EF90" s="816"/>
      <c r="EG90" s="816"/>
      <c r="EH90" s="816"/>
      <c r="EI90" s="816"/>
      <c r="EJ90" s="816"/>
      <c r="EK90" s="816"/>
      <c r="EL90" s="816"/>
      <c r="EM90" s="816"/>
      <c r="EN90" s="816"/>
      <c r="EO90" s="816"/>
      <c r="EP90" s="816"/>
      <c r="EQ90" s="816"/>
      <c r="ER90" s="816"/>
      <c r="ES90" s="816"/>
      <c r="ET90" s="816"/>
      <c r="EU90" s="816"/>
      <c r="EV90" s="816"/>
      <c r="EW90" s="816"/>
      <c r="EX90" s="816"/>
      <c r="EY90" s="816"/>
      <c r="EZ90" s="816"/>
      <c r="FA90" s="816"/>
      <c r="FB90" s="819"/>
      <c r="FC90" s="816"/>
      <c r="FD90" s="820"/>
      <c r="FE90" s="820"/>
      <c r="FF90" s="820"/>
      <c r="FG90" s="820"/>
      <c r="FH90" s="817"/>
      <c r="FI90" s="609"/>
      <c r="FJ90" s="816"/>
      <c r="FK90" s="816"/>
      <c r="FL90" s="816"/>
      <c r="FM90" s="816"/>
      <c r="FN90" s="816"/>
      <c r="FO90" s="816"/>
      <c r="FP90" s="816"/>
      <c r="FQ90" s="816"/>
      <c r="FR90" s="816"/>
      <c r="FS90" s="816"/>
      <c r="FT90" s="816"/>
      <c r="FU90" s="816"/>
      <c r="FV90" s="816"/>
      <c r="FW90" s="816"/>
      <c r="FX90" s="609"/>
      <c r="FY90" s="609"/>
      <c r="FZ90" s="816"/>
      <c r="GA90" s="816"/>
      <c r="GB90" s="609"/>
      <c r="GC90" s="609"/>
      <c r="GD90" s="609"/>
      <c r="GE90" s="816"/>
      <c r="GF90" s="816"/>
      <c r="GG90" s="609"/>
      <c r="GH90" s="609"/>
      <c r="GI90" s="816"/>
      <c r="GJ90" s="816"/>
      <c r="GK90" s="609"/>
      <c r="GL90" s="609"/>
      <c r="GM90" s="816"/>
      <c r="GN90" s="816"/>
      <c r="GO90" s="816"/>
      <c r="GP90" s="816"/>
      <c r="GQ90" s="816"/>
      <c r="GR90" s="816"/>
      <c r="GS90" s="609"/>
      <c r="GT90" s="609"/>
      <c r="GU90" s="816"/>
      <c r="GV90" s="816"/>
      <c r="GW90" s="609"/>
      <c r="GX90" s="609"/>
      <c r="GY90" s="816"/>
      <c r="GZ90" s="816"/>
      <c r="HA90" s="609"/>
      <c r="HB90" s="609"/>
      <c r="HC90" s="816"/>
      <c r="HD90" s="816"/>
      <c r="HE90" s="816"/>
      <c r="HF90" s="816"/>
      <c r="HG90" s="816"/>
      <c r="HH90" s="816"/>
      <c r="HI90" s="821"/>
      <c r="HJ90" s="609"/>
      <c r="HK90" s="816"/>
      <c r="HL90" s="816"/>
      <c r="HM90" s="822"/>
      <c r="HN90" s="609"/>
      <c r="HO90" s="816"/>
      <c r="HP90" s="816"/>
      <c r="HQ90" s="609"/>
      <c r="HR90" s="816"/>
      <c r="HS90" s="816"/>
      <c r="HT90" s="816"/>
      <c r="HU90" s="816"/>
      <c r="HV90" s="816"/>
      <c r="HW90" s="816"/>
      <c r="HX90" s="816"/>
      <c r="HY90" s="816"/>
      <c r="HZ90" s="816"/>
      <c r="IA90" s="816"/>
      <c r="IB90" s="816"/>
      <c r="IC90" s="823"/>
      <c r="ID90" s="824"/>
      <c r="IE90" s="825"/>
      <c r="IF90" s="825"/>
      <c r="IG90" s="816"/>
      <c r="II90" s="826"/>
      <c r="IJ90" s="826"/>
      <c r="IK90" s="826"/>
      <c r="IL90" s="826"/>
    </row>
    <row r="91" spans="2:246" s="780" customFormat="1"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609"/>
      <c r="S91" s="609"/>
      <c r="T91" s="609"/>
      <c r="U91" s="609"/>
      <c r="V91" s="609"/>
      <c r="W91" s="609"/>
      <c r="X91" s="609"/>
      <c r="Y91" s="609"/>
      <c r="Z91" s="816"/>
      <c r="AA91" s="816"/>
      <c r="AB91" s="816"/>
      <c r="AC91" s="816"/>
      <c r="AD91" s="816"/>
      <c r="AE91" s="816"/>
      <c r="AF91" s="609"/>
      <c r="AG91" s="609"/>
      <c r="AH91" s="816"/>
      <c r="AI91" s="816"/>
      <c r="AJ91" s="609"/>
      <c r="AK91" s="609"/>
      <c r="AL91" s="816"/>
      <c r="AM91" s="816"/>
      <c r="AN91" s="816"/>
      <c r="AO91" s="816"/>
      <c r="AP91" s="816"/>
      <c r="AQ91" s="816"/>
      <c r="AR91" s="609"/>
      <c r="AS91" s="609"/>
      <c r="AT91" s="816"/>
      <c r="AU91" s="816"/>
      <c r="AV91" s="817"/>
      <c r="AW91" s="609"/>
      <c r="AX91" s="609"/>
      <c r="AY91" s="816"/>
      <c r="AZ91" s="816"/>
      <c r="BA91" s="816"/>
      <c r="BB91" s="816"/>
      <c r="BC91" s="816"/>
      <c r="BD91" s="816"/>
      <c r="BE91" s="816"/>
      <c r="BF91" s="816"/>
      <c r="BG91" s="816"/>
      <c r="BH91" s="816"/>
      <c r="BI91" s="816"/>
      <c r="BJ91" s="816"/>
      <c r="BK91" s="816"/>
      <c r="BL91" s="816"/>
      <c r="BM91" s="816"/>
      <c r="BN91" s="816"/>
      <c r="BO91" s="816"/>
      <c r="BP91" s="816"/>
      <c r="BQ91" s="816"/>
      <c r="BR91" s="816"/>
      <c r="BS91" s="816"/>
      <c r="BT91" s="609"/>
      <c r="BU91" s="609"/>
      <c r="BV91" s="609"/>
      <c r="BW91" s="818"/>
      <c r="BX91" s="816"/>
      <c r="BY91" s="816"/>
      <c r="BZ91" s="816"/>
      <c r="CA91" s="816"/>
      <c r="CB91" s="816"/>
      <c r="CC91" s="816"/>
      <c r="CD91" s="816"/>
      <c r="CE91" s="816"/>
      <c r="CF91" s="820"/>
      <c r="CG91" s="820"/>
      <c r="CH91" s="820"/>
      <c r="CI91" s="820"/>
      <c r="CJ91" s="609"/>
      <c r="CK91" s="609"/>
      <c r="CL91" s="816"/>
      <c r="CM91" s="816"/>
      <c r="CN91" s="609"/>
      <c r="CO91" s="609"/>
      <c r="CP91" s="816"/>
      <c r="CQ91" s="816"/>
      <c r="CR91" s="609"/>
      <c r="CS91" s="609"/>
      <c r="CT91" s="816"/>
      <c r="CU91" s="816"/>
      <c r="CV91" s="609"/>
      <c r="CW91" s="609"/>
      <c r="CX91" s="816"/>
      <c r="CY91" s="816"/>
      <c r="CZ91" s="816"/>
      <c r="DA91" s="816"/>
      <c r="DB91" s="816"/>
      <c r="DC91" s="816"/>
      <c r="DD91" s="816"/>
      <c r="DE91" s="816"/>
      <c r="DF91" s="816"/>
      <c r="DG91" s="816"/>
      <c r="DH91" s="816"/>
      <c r="DI91" s="816"/>
      <c r="DJ91" s="816"/>
      <c r="DK91" s="816"/>
      <c r="DL91" s="609"/>
      <c r="DM91" s="609"/>
      <c r="DN91" s="816"/>
      <c r="DO91" s="816"/>
      <c r="DP91" s="816"/>
      <c r="DQ91" s="816"/>
      <c r="DR91" s="816"/>
      <c r="DS91" s="816"/>
      <c r="DT91" s="816"/>
      <c r="DU91" s="816"/>
      <c r="DV91" s="816"/>
      <c r="DW91" s="816"/>
      <c r="DX91" s="816"/>
      <c r="DY91" s="816"/>
      <c r="DZ91" s="816"/>
      <c r="EA91" s="816"/>
      <c r="EB91" s="609"/>
      <c r="EC91" s="609"/>
      <c r="ED91" s="816"/>
      <c r="EE91" s="816"/>
      <c r="EF91" s="816"/>
      <c r="EG91" s="816"/>
      <c r="EH91" s="816"/>
      <c r="EI91" s="816"/>
      <c r="EJ91" s="816"/>
      <c r="EK91" s="816"/>
      <c r="EL91" s="816"/>
      <c r="EM91" s="816"/>
      <c r="EN91" s="816"/>
      <c r="EO91" s="816"/>
      <c r="EP91" s="816"/>
      <c r="EQ91" s="816"/>
      <c r="ER91" s="816"/>
      <c r="ES91" s="816"/>
      <c r="ET91" s="816"/>
      <c r="EU91" s="816"/>
      <c r="EV91" s="816"/>
      <c r="EW91" s="816"/>
      <c r="EX91" s="816"/>
      <c r="EY91" s="816"/>
      <c r="EZ91" s="816"/>
      <c r="FA91" s="816"/>
      <c r="FB91" s="819"/>
      <c r="FC91" s="816"/>
      <c r="FD91" s="820"/>
      <c r="FE91" s="820"/>
      <c r="FF91" s="820"/>
      <c r="FG91" s="820"/>
      <c r="FH91" s="817"/>
      <c r="FI91" s="609"/>
      <c r="FJ91" s="816"/>
      <c r="FK91" s="816"/>
      <c r="FL91" s="816"/>
      <c r="FM91" s="816"/>
      <c r="FN91" s="816"/>
      <c r="FO91" s="816"/>
      <c r="FP91" s="816"/>
      <c r="FQ91" s="816"/>
      <c r="FR91" s="816"/>
      <c r="FS91" s="816"/>
      <c r="FT91" s="816"/>
      <c r="FU91" s="816"/>
      <c r="FV91" s="816"/>
      <c r="FW91" s="816"/>
      <c r="FX91" s="609"/>
      <c r="FY91" s="609"/>
      <c r="FZ91" s="816"/>
      <c r="GA91" s="816"/>
      <c r="GB91" s="609"/>
      <c r="GC91" s="609"/>
      <c r="GD91" s="609"/>
      <c r="GE91" s="816"/>
      <c r="GF91" s="816"/>
      <c r="GG91" s="609"/>
      <c r="GH91" s="609"/>
      <c r="GI91" s="816"/>
      <c r="GJ91" s="816"/>
      <c r="GK91" s="609"/>
      <c r="GL91" s="609"/>
      <c r="GM91" s="816"/>
      <c r="GN91" s="816"/>
      <c r="GO91" s="816"/>
      <c r="GP91" s="816"/>
      <c r="GQ91" s="816"/>
      <c r="GR91" s="816"/>
      <c r="GS91" s="609"/>
      <c r="GT91" s="609"/>
      <c r="GU91" s="816"/>
      <c r="GV91" s="816"/>
      <c r="GW91" s="609"/>
      <c r="GX91" s="609"/>
      <c r="GY91" s="816"/>
      <c r="GZ91" s="816"/>
      <c r="HA91" s="609"/>
      <c r="HB91" s="609"/>
      <c r="HC91" s="816"/>
      <c r="HD91" s="816"/>
      <c r="HE91" s="816"/>
      <c r="HF91" s="816"/>
      <c r="HG91" s="816"/>
      <c r="HH91" s="816"/>
      <c r="HI91" s="821"/>
      <c r="HJ91" s="609"/>
      <c r="HK91" s="816"/>
      <c r="HL91" s="816"/>
      <c r="HM91" s="822"/>
      <c r="HN91" s="609"/>
      <c r="HO91" s="816"/>
      <c r="HP91" s="816"/>
      <c r="HQ91" s="609"/>
      <c r="HR91" s="816"/>
      <c r="HS91" s="816"/>
      <c r="HT91" s="816"/>
      <c r="HU91" s="816"/>
      <c r="HV91" s="816"/>
      <c r="HW91" s="816"/>
      <c r="HX91" s="816"/>
      <c r="HY91" s="816"/>
      <c r="HZ91" s="816"/>
      <c r="IA91" s="816"/>
      <c r="IB91" s="816"/>
      <c r="IC91" s="823"/>
      <c r="ID91" s="824"/>
      <c r="IE91" s="825"/>
      <c r="IF91" s="825"/>
      <c r="IG91" s="816"/>
      <c r="II91" s="826"/>
      <c r="IJ91" s="826"/>
      <c r="IK91" s="826"/>
      <c r="IL91" s="826"/>
    </row>
    <row r="92" spans="2:246" s="780" customFormat="1">
      <c r="B92" s="609"/>
      <c r="C92" s="609"/>
      <c r="D92" s="609"/>
      <c r="E92" s="609"/>
      <c r="F92" s="609"/>
      <c r="G92" s="609"/>
      <c r="H92" s="609"/>
      <c r="I92" s="609"/>
      <c r="J92" s="609"/>
      <c r="K92" s="609"/>
      <c r="L92" s="609"/>
      <c r="M92" s="609"/>
      <c r="N92" s="609"/>
      <c r="O92" s="609"/>
      <c r="P92" s="609"/>
      <c r="Q92" s="609"/>
      <c r="R92" s="609"/>
      <c r="S92" s="609"/>
      <c r="T92" s="609"/>
      <c r="U92" s="609"/>
      <c r="V92" s="609"/>
      <c r="W92" s="609"/>
      <c r="X92" s="609"/>
      <c r="Y92" s="609"/>
      <c r="Z92" s="816"/>
      <c r="AA92" s="816"/>
      <c r="AB92" s="816"/>
      <c r="AC92" s="816"/>
      <c r="AD92" s="816"/>
      <c r="AE92" s="816"/>
      <c r="AF92" s="609"/>
      <c r="AG92" s="609"/>
      <c r="AH92" s="816"/>
      <c r="AI92" s="816"/>
      <c r="AJ92" s="609"/>
      <c r="AK92" s="609"/>
      <c r="AL92" s="816"/>
      <c r="AM92" s="816"/>
      <c r="AN92" s="816"/>
      <c r="AO92" s="816"/>
      <c r="AP92" s="816"/>
      <c r="AQ92" s="816"/>
      <c r="AR92" s="609"/>
      <c r="AS92" s="609"/>
      <c r="AT92" s="816"/>
      <c r="AU92" s="816"/>
      <c r="AV92" s="817"/>
      <c r="AW92" s="609"/>
      <c r="AX92" s="609"/>
      <c r="AY92" s="816"/>
      <c r="AZ92" s="816"/>
      <c r="BA92" s="816"/>
      <c r="BB92" s="816"/>
      <c r="BC92" s="816"/>
      <c r="BD92" s="816"/>
      <c r="BE92" s="816"/>
      <c r="BF92" s="816"/>
      <c r="BG92" s="816"/>
      <c r="BH92" s="816"/>
      <c r="BI92" s="816"/>
      <c r="BJ92" s="816"/>
      <c r="BK92" s="816"/>
      <c r="BL92" s="816"/>
      <c r="BM92" s="816"/>
      <c r="BN92" s="816"/>
      <c r="BO92" s="816"/>
      <c r="BP92" s="816"/>
      <c r="BQ92" s="816"/>
      <c r="BR92" s="816"/>
      <c r="BS92" s="816"/>
      <c r="BT92" s="609"/>
      <c r="BU92" s="609"/>
      <c r="BV92" s="609"/>
      <c r="BW92" s="818"/>
      <c r="BX92" s="816"/>
      <c r="BY92" s="816"/>
      <c r="BZ92" s="816"/>
      <c r="CA92" s="816"/>
      <c r="CB92" s="816"/>
      <c r="CC92" s="816"/>
      <c r="CD92" s="816"/>
      <c r="CE92" s="816"/>
      <c r="CF92" s="820"/>
      <c r="CG92" s="820"/>
      <c r="CH92" s="820"/>
      <c r="CI92" s="820"/>
      <c r="CJ92" s="609"/>
      <c r="CK92" s="609"/>
      <c r="CL92" s="816"/>
      <c r="CM92" s="816"/>
      <c r="CN92" s="609"/>
      <c r="CO92" s="609"/>
      <c r="CP92" s="816"/>
      <c r="CQ92" s="816"/>
      <c r="CR92" s="609"/>
      <c r="CS92" s="609"/>
      <c r="CT92" s="816"/>
      <c r="CU92" s="816"/>
      <c r="CV92" s="609"/>
      <c r="CW92" s="609"/>
      <c r="CX92" s="816"/>
      <c r="CY92" s="816"/>
      <c r="CZ92" s="816"/>
      <c r="DA92" s="816"/>
      <c r="DB92" s="816"/>
      <c r="DC92" s="816"/>
      <c r="DD92" s="816"/>
      <c r="DE92" s="816"/>
      <c r="DF92" s="816"/>
      <c r="DG92" s="816"/>
      <c r="DH92" s="816"/>
      <c r="DI92" s="816"/>
      <c r="DJ92" s="816"/>
      <c r="DK92" s="816"/>
      <c r="DL92" s="609"/>
      <c r="DM92" s="609"/>
      <c r="DN92" s="816"/>
      <c r="DO92" s="816"/>
      <c r="DP92" s="816"/>
      <c r="DQ92" s="816"/>
      <c r="DR92" s="816"/>
      <c r="DS92" s="816"/>
      <c r="DT92" s="816"/>
      <c r="DU92" s="816"/>
      <c r="DV92" s="816"/>
      <c r="DW92" s="816"/>
      <c r="DX92" s="816"/>
      <c r="DY92" s="816"/>
      <c r="DZ92" s="816"/>
      <c r="EA92" s="816"/>
      <c r="EB92" s="609"/>
      <c r="EC92" s="609"/>
      <c r="ED92" s="816"/>
      <c r="EE92" s="816"/>
      <c r="EF92" s="816"/>
      <c r="EG92" s="816"/>
      <c r="EH92" s="816"/>
      <c r="EI92" s="816"/>
      <c r="EJ92" s="816"/>
      <c r="EK92" s="816"/>
      <c r="EL92" s="816"/>
      <c r="EM92" s="816"/>
      <c r="EN92" s="816"/>
      <c r="EO92" s="816"/>
      <c r="EP92" s="816"/>
      <c r="EQ92" s="816"/>
      <c r="ER92" s="816"/>
      <c r="ES92" s="816"/>
      <c r="ET92" s="816"/>
      <c r="EU92" s="816"/>
      <c r="EV92" s="816"/>
      <c r="EW92" s="816"/>
      <c r="EX92" s="816"/>
      <c r="EY92" s="816"/>
      <c r="EZ92" s="816"/>
      <c r="FA92" s="816"/>
      <c r="FB92" s="819"/>
      <c r="FC92" s="816"/>
      <c r="FD92" s="820"/>
      <c r="FE92" s="820"/>
      <c r="FF92" s="820"/>
      <c r="FG92" s="820"/>
      <c r="FH92" s="817"/>
      <c r="FI92" s="609"/>
      <c r="FJ92" s="816"/>
      <c r="FK92" s="816"/>
      <c r="FL92" s="816"/>
      <c r="FM92" s="816"/>
      <c r="FN92" s="816"/>
      <c r="FO92" s="816"/>
      <c r="FP92" s="816"/>
      <c r="FQ92" s="816"/>
      <c r="FR92" s="816"/>
      <c r="FS92" s="816"/>
      <c r="FT92" s="816"/>
      <c r="FU92" s="816"/>
      <c r="FV92" s="816"/>
      <c r="FW92" s="816"/>
      <c r="FX92" s="609"/>
      <c r="FY92" s="609"/>
      <c r="FZ92" s="816"/>
      <c r="GA92" s="816"/>
      <c r="GB92" s="609"/>
      <c r="GC92" s="609"/>
      <c r="GD92" s="609"/>
      <c r="GE92" s="816"/>
      <c r="GF92" s="816"/>
      <c r="GG92" s="609"/>
      <c r="GH92" s="609"/>
      <c r="GI92" s="816"/>
      <c r="GJ92" s="816"/>
      <c r="GK92" s="609"/>
      <c r="GL92" s="609"/>
      <c r="GM92" s="816"/>
      <c r="GN92" s="816"/>
      <c r="GO92" s="816"/>
      <c r="GP92" s="816"/>
      <c r="GQ92" s="816"/>
      <c r="GR92" s="816"/>
      <c r="GS92" s="609"/>
      <c r="GT92" s="609"/>
      <c r="GU92" s="816"/>
      <c r="GV92" s="816"/>
      <c r="GW92" s="609"/>
      <c r="GX92" s="609"/>
      <c r="GY92" s="816"/>
      <c r="GZ92" s="816"/>
      <c r="HA92" s="609"/>
      <c r="HB92" s="609"/>
      <c r="HC92" s="816"/>
      <c r="HD92" s="816"/>
      <c r="HE92" s="816"/>
      <c r="HF92" s="816"/>
      <c r="HG92" s="816"/>
      <c r="HH92" s="816"/>
      <c r="HI92" s="821"/>
      <c r="HJ92" s="609"/>
      <c r="HK92" s="816"/>
      <c r="HL92" s="816"/>
      <c r="HM92" s="822"/>
      <c r="HN92" s="609"/>
      <c r="HO92" s="816"/>
      <c r="HP92" s="816"/>
      <c r="HQ92" s="609"/>
      <c r="HR92" s="816"/>
      <c r="HS92" s="816"/>
      <c r="HT92" s="816"/>
      <c r="HU92" s="816"/>
      <c r="HV92" s="816"/>
      <c r="HW92" s="816"/>
      <c r="HX92" s="816"/>
      <c r="HY92" s="816"/>
      <c r="HZ92" s="816"/>
      <c r="IA92" s="816"/>
      <c r="IB92" s="816"/>
      <c r="IC92" s="823"/>
      <c r="ID92" s="824"/>
      <c r="IE92" s="825"/>
      <c r="IF92" s="825"/>
      <c r="IG92" s="816"/>
      <c r="II92" s="826"/>
      <c r="IJ92" s="826"/>
      <c r="IK92" s="826"/>
      <c r="IL92" s="826"/>
    </row>
    <row r="93" spans="2:246" s="780" customFormat="1">
      <c r="B93" s="609"/>
      <c r="C93" s="609"/>
      <c r="D93" s="609"/>
      <c r="E93" s="609"/>
      <c r="F93" s="609"/>
      <c r="G93" s="609"/>
      <c r="H93" s="609"/>
      <c r="I93" s="609"/>
      <c r="J93" s="609"/>
      <c r="K93" s="609"/>
      <c r="L93" s="609"/>
      <c r="M93" s="609"/>
      <c r="N93" s="609"/>
      <c r="O93" s="609"/>
      <c r="P93" s="609"/>
      <c r="Q93" s="609"/>
      <c r="R93" s="609"/>
      <c r="S93" s="609"/>
      <c r="T93" s="609"/>
      <c r="U93" s="609"/>
      <c r="V93" s="609"/>
      <c r="W93" s="609"/>
      <c r="X93" s="609"/>
      <c r="Y93" s="609"/>
      <c r="Z93" s="816"/>
      <c r="AA93" s="816"/>
      <c r="AB93" s="816"/>
      <c r="AC93" s="816"/>
      <c r="AD93" s="816"/>
      <c r="AE93" s="816"/>
      <c r="AF93" s="609"/>
      <c r="AG93" s="609"/>
      <c r="AH93" s="816"/>
      <c r="AI93" s="816"/>
      <c r="AJ93" s="609"/>
      <c r="AK93" s="609"/>
      <c r="AL93" s="816"/>
      <c r="AM93" s="816"/>
      <c r="AN93" s="816"/>
      <c r="AO93" s="816"/>
      <c r="AP93" s="816"/>
      <c r="AQ93" s="816"/>
      <c r="AR93" s="609"/>
      <c r="AS93" s="609"/>
      <c r="AT93" s="816"/>
      <c r="AU93" s="816"/>
      <c r="AV93" s="817"/>
      <c r="AW93" s="609"/>
      <c r="AX93" s="609"/>
      <c r="AY93" s="816"/>
      <c r="AZ93" s="816"/>
      <c r="BA93" s="816"/>
      <c r="BB93" s="816"/>
      <c r="BC93" s="816"/>
      <c r="BD93" s="816"/>
      <c r="BE93" s="816"/>
      <c r="BF93" s="816"/>
      <c r="BG93" s="816"/>
      <c r="BH93" s="816"/>
      <c r="BI93" s="816"/>
      <c r="BJ93" s="816"/>
      <c r="BK93" s="816"/>
      <c r="BL93" s="816"/>
      <c r="BM93" s="816"/>
      <c r="BN93" s="816"/>
      <c r="BO93" s="816"/>
      <c r="BP93" s="816"/>
      <c r="BQ93" s="816"/>
      <c r="BR93" s="816"/>
      <c r="BS93" s="816"/>
      <c r="BT93" s="609"/>
      <c r="BU93" s="609"/>
      <c r="BV93" s="609"/>
      <c r="BW93" s="818"/>
      <c r="BX93" s="816"/>
      <c r="BY93" s="816"/>
      <c r="BZ93" s="816"/>
      <c r="CA93" s="816"/>
      <c r="CB93" s="816"/>
      <c r="CC93" s="816"/>
      <c r="CD93" s="816"/>
      <c r="CE93" s="816"/>
      <c r="CF93" s="820"/>
      <c r="CG93" s="820"/>
      <c r="CH93" s="820"/>
      <c r="CI93" s="820"/>
      <c r="CJ93" s="609"/>
      <c r="CK93" s="609"/>
      <c r="CL93" s="816"/>
      <c r="CM93" s="816"/>
      <c r="CN93" s="609"/>
      <c r="CO93" s="609"/>
      <c r="CP93" s="816"/>
      <c r="CQ93" s="816"/>
      <c r="CR93" s="609"/>
      <c r="CS93" s="609"/>
      <c r="CT93" s="816"/>
      <c r="CU93" s="816"/>
      <c r="CV93" s="609"/>
      <c r="CW93" s="609"/>
      <c r="CX93" s="816"/>
      <c r="CY93" s="816"/>
      <c r="CZ93" s="816"/>
      <c r="DA93" s="816"/>
      <c r="DB93" s="816"/>
      <c r="DC93" s="816"/>
      <c r="DD93" s="816"/>
      <c r="DE93" s="816"/>
      <c r="DF93" s="816"/>
      <c r="DG93" s="816"/>
      <c r="DH93" s="816"/>
      <c r="DI93" s="816"/>
      <c r="DJ93" s="816"/>
      <c r="DK93" s="816"/>
      <c r="DL93" s="609"/>
      <c r="DM93" s="609"/>
      <c r="DN93" s="816"/>
      <c r="DO93" s="816"/>
      <c r="DP93" s="816"/>
      <c r="DQ93" s="816"/>
      <c r="DR93" s="816"/>
      <c r="DS93" s="816"/>
      <c r="DT93" s="816"/>
      <c r="DU93" s="816"/>
      <c r="DV93" s="816"/>
      <c r="DW93" s="816"/>
      <c r="DX93" s="816"/>
      <c r="DY93" s="816"/>
      <c r="DZ93" s="816"/>
      <c r="EA93" s="816"/>
      <c r="EB93" s="609"/>
      <c r="EC93" s="609"/>
      <c r="ED93" s="816"/>
      <c r="EE93" s="816"/>
      <c r="EF93" s="816"/>
      <c r="EG93" s="816"/>
      <c r="EH93" s="816"/>
      <c r="EI93" s="816"/>
      <c r="EJ93" s="816"/>
      <c r="EK93" s="816"/>
      <c r="EL93" s="816"/>
      <c r="EM93" s="816"/>
      <c r="EN93" s="816"/>
      <c r="EO93" s="816"/>
      <c r="EP93" s="816"/>
      <c r="EQ93" s="816"/>
      <c r="ER93" s="816"/>
      <c r="ES93" s="816"/>
      <c r="ET93" s="816"/>
      <c r="EU93" s="816"/>
      <c r="EV93" s="816"/>
      <c r="EW93" s="816"/>
      <c r="EX93" s="816"/>
      <c r="EY93" s="816"/>
      <c r="EZ93" s="816"/>
      <c r="FA93" s="816"/>
      <c r="FB93" s="819"/>
      <c r="FC93" s="816"/>
      <c r="FD93" s="820"/>
      <c r="FE93" s="820"/>
      <c r="FF93" s="820"/>
      <c r="FG93" s="820"/>
      <c r="FH93" s="609"/>
      <c r="FI93" s="609"/>
      <c r="FJ93" s="816"/>
      <c r="FK93" s="816"/>
      <c r="FL93" s="816"/>
      <c r="FM93" s="816"/>
      <c r="FN93" s="816"/>
      <c r="FO93" s="816"/>
      <c r="FP93" s="816"/>
      <c r="FQ93" s="816"/>
      <c r="FR93" s="816"/>
      <c r="FS93" s="816"/>
      <c r="FT93" s="816"/>
      <c r="FU93" s="816"/>
      <c r="FV93" s="816"/>
      <c r="FW93" s="816"/>
      <c r="FX93" s="609"/>
      <c r="FY93" s="609"/>
      <c r="FZ93" s="816"/>
      <c r="GA93" s="816"/>
      <c r="GB93" s="609"/>
      <c r="GC93" s="609"/>
      <c r="GD93" s="609"/>
      <c r="GE93" s="816"/>
      <c r="GF93" s="816"/>
      <c r="GG93" s="609"/>
      <c r="GH93" s="609"/>
      <c r="GI93" s="816"/>
      <c r="GJ93" s="816"/>
      <c r="GK93" s="609"/>
      <c r="GL93" s="609"/>
      <c r="GM93" s="816"/>
      <c r="GN93" s="816"/>
      <c r="GO93" s="816"/>
      <c r="GP93" s="816"/>
      <c r="GQ93" s="816"/>
      <c r="GR93" s="816"/>
      <c r="GS93" s="609"/>
      <c r="GT93" s="609"/>
      <c r="GU93" s="816"/>
      <c r="GV93" s="816"/>
      <c r="GW93" s="609"/>
      <c r="GX93" s="609"/>
      <c r="GY93" s="816"/>
      <c r="GZ93" s="816"/>
      <c r="HA93" s="609"/>
      <c r="HB93" s="609"/>
      <c r="HC93" s="816"/>
      <c r="HD93" s="816"/>
      <c r="HE93" s="816"/>
      <c r="HF93" s="816"/>
      <c r="HG93" s="816"/>
      <c r="HH93" s="816"/>
      <c r="HI93" s="821"/>
      <c r="HJ93" s="609"/>
      <c r="HK93" s="816"/>
      <c r="HL93" s="816"/>
      <c r="HM93" s="822"/>
      <c r="HN93" s="609"/>
      <c r="HO93" s="816"/>
      <c r="HP93" s="816"/>
      <c r="HQ93" s="609"/>
      <c r="HR93" s="816"/>
      <c r="HS93" s="816"/>
      <c r="HT93" s="816"/>
      <c r="HU93" s="816"/>
      <c r="HV93" s="816"/>
      <c r="HW93" s="816"/>
      <c r="HX93" s="816"/>
      <c r="HY93" s="816"/>
      <c r="HZ93" s="816"/>
      <c r="IA93" s="816"/>
      <c r="IB93" s="816"/>
      <c r="IC93" s="823"/>
      <c r="ID93" s="824"/>
      <c r="IE93" s="825"/>
      <c r="IF93" s="825"/>
      <c r="IG93" s="816"/>
      <c r="II93" s="826"/>
      <c r="IJ93" s="826"/>
      <c r="IK93" s="826"/>
      <c r="IL93" s="826"/>
    </row>
    <row r="94" spans="2:246" s="780" customFormat="1">
      <c r="B94" s="609"/>
      <c r="C94" s="609"/>
      <c r="D94" s="609"/>
      <c r="E94" s="609"/>
      <c r="F94" s="609"/>
      <c r="G94" s="609"/>
      <c r="H94" s="609"/>
      <c r="I94" s="609"/>
      <c r="J94" s="609"/>
      <c r="K94" s="609"/>
      <c r="L94" s="609"/>
      <c r="M94" s="609"/>
      <c r="N94" s="609"/>
      <c r="O94" s="609"/>
      <c r="P94" s="609"/>
      <c r="Q94" s="609"/>
      <c r="R94" s="609"/>
      <c r="S94" s="609"/>
      <c r="T94" s="609"/>
      <c r="U94" s="609"/>
      <c r="V94" s="609"/>
      <c r="W94" s="609"/>
      <c r="X94" s="609"/>
      <c r="Y94" s="609"/>
      <c r="Z94" s="816"/>
      <c r="AA94" s="816"/>
      <c r="AB94" s="816"/>
      <c r="AC94" s="816"/>
      <c r="AD94" s="816"/>
      <c r="AE94" s="816"/>
      <c r="AF94" s="609"/>
      <c r="AG94" s="609"/>
      <c r="AH94" s="816"/>
      <c r="AI94" s="816"/>
      <c r="AJ94" s="609"/>
      <c r="AK94" s="609"/>
      <c r="AL94" s="816"/>
      <c r="AM94" s="816"/>
      <c r="AN94" s="816"/>
      <c r="AO94" s="816"/>
      <c r="AP94" s="816"/>
      <c r="AQ94" s="816"/>
      <c r="AR94" s="609"/>
      <c r="AS94" s="609"/>
      <c r="AT94" s="816"/>
      <c r="AU94" s="816"/>
      <c r="AV94" s="817"/>
      <c r="AW94" s="609"/>
      <c r="AX94" s="609"/>
      <c r="AY94" s="816"/>
      <c r="AZ94" s="816"/>
      <c r="BA94" s="816"/>
      <c r="BB94" s="816"/>
      <c r="BC94" s="816"/>
      <c r="BD94" s="816"/>
      <c r="BE94" s="816"/>
      <c r="BF94" s="816"/>
      <c r="BG94" s="816"/>
      <c r="BH94" s="816"/>
      <c r="BI94" s="816"/>
      <c r="BJ94" s="816"/>
      <c r="BK94" s="816"/>
      <c r="BL94" s="816"/>
      <c r="BM94" s="816"/>
      <c r="BN94" s="816"/>
      <c r="BO94" s="816"/>
      <c r="BP94" s="816"/>
      <c r="BQ94" s="816"/>
      <c r="BR94" s="816"/>
      <c r="BS94" s="816"/>
      <c r="BT94" s="609"/>
      <c r="BU94" s="609"/>
      <c r="BV94" s="609"/>
      <c r="BW94" s="818"/>
      <c r="BX94" s="816"/>
      <c r="BY94" s="816"/>
      <c r="BZ94" s="816"/>
      <c r="CA94" s="816"/>
      <c r="CB94" s="816"/>
      <c r="CC94" s="816"/>
      <c r="CD94" s="816"/>
      <c r="CE94" s="816"/>
      <c r="CF94" s="820"/>
      <c r="CG94" s="820"/>
      <c r="CH94" s="820"/>
      <c r="CI94" s="820"/>
      <c r="CJ94" s="609"/>
      <c r="CK94" s="609"/>
      <c r="CL94" s="816"/>
      <c r="CM94" s="816"/>
      <c r="CN94" s="609"/>
      <c r="CO94" s="609"/>
      <c r="CP94" s="816"/>
      <c r="CQ94" s="816"/>
      <c r="CR94" s="609"/>
      <c r="CS94" s="609"/>
      <c r="CT94" s="816"/>
      <c r="CU94" s="816"/>
      <c r="CV94" s="609"/>
      <c r="CW94" s="609"/>
      <c r="CX94" s="816"/>
      <c r="CY94" s="816"/>
      <c r="CZ94" s="816"/>
      <c r="DA94" s="816"/>
      <c r="DB94" s="816"/>
      <c r="DC94" s="816"/>
      <c r="DD94" s="816"/>
      <c r="DE94" s="816"/>
      <c r="DF94" s="816"/>
      <c r="DG94" s="816"/>
      <c r="DH94" s="816"/>
      <c r="DI94" s="816"/>
      <c r="DJ94" s="816"/>
      <c r="DK94" s="816"/>
      <c r="DL94" s="609"/>
      <c r="DM94" s="609"/>
      <c r="DN94" s="816"/>
      <c r="DO94" s="816"/>
      <c r="DP94" s="816"/>
      <c r="DQ94" s="816"/>
      <c r="DR94" s="816"/>
      <c r="DS94" s="816"/>
      <c r="DT94" s="816"/>
      <c r="DU94" s="816"/>
      <c r="DV94" s="816"/>
      <c r="DW94" s="816"/>
      <c r="DX94" s="816"/>
      <c r="DY94" s="816"/>
      <c r="DZ94" s="816"/>
      <c r="EA94" s="816"/>
      <c r="EB94" s="609"/>
      <c r="EC94" s="609"/>
      <c r="ED94" s="816"/>
      <c r="EE94" s="816"/>
      <c r="EF94" s="816"/>
      <c r="EG94" s="816"/>
      <c r="EH94" s="816"/>
      <c r="EI94" s="816"/>
      <c r="EJ94" s="816"/>
      <c r="EK94" s="816"/>
      <c r="EL94" s="816"/>
      <c r="EM94" s="816"/>
      <c r="EN94" s="816"/>
      <c r="EO94" s="816"/>
      <c r="EP94" s="816"/>
      <c r="EQ94" s="816"/>
      <c r="ER94" s="816"/>
      <c r="ES94" s="816"/>
      <c r="ET94" s="816"/>
      <c r="EU94" s="816"/>
      <c r="EV94" s="816"/>
      <c r="EW94" s="816"/>
      <c r="EX94" s="816"/>
      <c r="EY94" s="816"/>
      <c r="EZ94" s="816"/>
      <c r="FA94" s="816"/>
      <c r="FB94" s="819"/>
      <c r="FC94" s="816"/>
      <c r="FD94" s="820"/>
      <c r="FE94" s="820"/>
      <c r="FF94" s="820"/>
      <c r="FG94" s="820"/>
      <c r="FH94" s="609"/>
      <c r="FI94" s="609"/>
      <c r="FJ94" s="816"/>
      <c r="FK94" s="816"/>
      <c r="FL94" s="816"/>
      <c r="FM94" s="816"/>
      <c r="FN94" s="816"/>
      <c r="FO94" s="816"/>
      <c r="FP94" s="816"/>
      <c r="FQ94" s="816"/>
      <c r="FR94" s="816"/>
      <c r="FS94" s="816"/>
      <c r="FT94" s="816"/>
      <c r="FU94" s="816"/>
      <c r="FV94" s="816"/>
      <c r="FW94" s="816"/>
      <c r="FX94" s="609"/>
      <c r="FY94" s="609"/>
      <c r="FZ94" s="816"/>
      <c r="GA94" s="816"/>
      <c r="GB94" s="609"/>
      <c r="GC94" s="609"/>
      <c r="GD94" s="609"/>
      <c r="GE94" s="816"/>
      <c r="GF94" s="816"/>
      <c r="GG94" s="609"/>
      <c r="GH94" s="609"/>
      <c r="GI94" s="816"/>
      <c r="GJ94" s="816"/>
      <c r="GK94" s="609"/>
      <c r="GL94" s="609"/>
      <c r="GM94" s="816"/>
      <c r="GN94" s="816"/>
      <c r="GO94" s="816"/>
      <c r="GP94" s="816"/>
      <c r="GQ94" s="816"/>
      <c r="GR94" s="816"/>
      <c r="GS94" s="609"/>
      <c r="GT94" s="609"/>
      <c r="GU94" s="816"/>
      <c r="GV94" s="816"/>
      <c r="GW94" s="609"/>
      <c r="GX94" s="609"/>
      <c r="GY94" s="816"/>
      <c r="GZ94" s="816"/>
      <c r="HA94" s="609"/>
      <c r="HB94" s="609"/>
      <c r="HC94" s="816"/>
      <c r="HD94" s="816"/>
      <c r="HE94" s="816"/>
      <c r="HF94" s="816"/>
      <c r="HG94" s="816"/>
      <c r="HH94" s="816"/>
      <c r="HI94" s="821"/>
      <c r="HJ94" s="609"/>
      <c r="HK94" s="816"/>
      <c r="HL94" s="816"/>
      <c r="HM94" s="822"/>
      <c r="HN94" s="609"/>
      <c r="HO94" s="816"/>
      <c r="HP94" s="816"/>
      <c r="HQ94" s="609"/>
      <c r="HR94" s="816"/>
      <c r="HS94" s="816"/>
      <c r="HT94" s="816"/>
      <c r="HU94" s="816"/>
      <c r="HV94" s="816"/>
      <c r="HW94" s="816"/>
      <c r="HX94" s="816"/>
      <c r="HY94" s="816"/>
      <c r="HZ94" s="816"/>
      <c r="IA94" s="816"/>
      <c r="IB94" s="816"/>
      <c r="IC94" s="823"/>
      <c r="ID94" s="824"/>
      <c r="IE94" s="825"/>
      <c r="IF94" s="825"/>
      <c r="IG94" s="816"/>
      <c r="II94" s="826"/>
      <c r="IJ94" s="826"/>
      <c r="IK94" s="826"/>
      <c r="IL94" s="826"/>
    </row>
    <row r="95" spans="2:246" s="780" customFormat="1">
      <c r="B95" s="609"/>
      <c r="C95" s="609"/>
      <c r="D95" s="609"/>
      <c r="E95" s="609"/>
      <c r="F95" s="609"/>
      <c r="G95" s="609"/>
      <c r="H95" s="609"/>
      <c r="I95" s="609"/>
      <c r="J95" s="609"/>
      <c r="K95" s="609"/>
      <c r="L95" s="609"/>
      <c r="M95" s="609"/>
      <c r="N95" s="609"/>
      <c r="O95" s="609"/>
      <c r="P95" s="609"/>
      <c r="Q95" s="609"/>
      <c r="R95" s="609"/>
      <c r="S95" s="609"/>
      <c r="T95" s="609"/>
      <c r="U95" s="609"/>
      <c r="V95" s="609"/>
      <c r="W95" s="609"/>
      <c r="X95" s="609"/>
      <c r="Y95" s="609"/>
      <c r="Z95" s="816"/>
      <c r="AA95" s="816"/>
      <c r="AB95" s="816"/>
      <c r="AC95" s="816"/>
      <c r="AD95" s="816"/>
      <c r="AE95" s="816"/>
      <c r="AF95" s="609"/>
      <c r="AG95" s="609"/>
      <c r="AH95" s="816"/>
      <c r="AI95" s="816"/>
      <c r="AJ95" s="609"/>
      <c r="AK95" s="609"/>
      <c r="AL95" s="816"/>
      <c r="AM95" s="816"/>
      <c r="AN95" s="816"/>
      <c r="AO95" s="816"/>
      <c r="AP95" s="816"/>
      <c r="AQ95" s="816"/>
      <c r="AR95" s="609"/>
      <c r="AS95" s="609"/>
      <c r="AT95" s="816"/>
      <c r="AU95" s="816"/>
      <c r="AV95" s="817"/>
      <c r="AW95" s="609"/>
      <c r="AX95" s="609"/>
      <c r="AY95" s="816"/>
      <c r="AZ95" s="816"/>
      <c r="BA95" s="816"/>
      <c r="BB95" s="816"/>
      <c r="BC95" s="816"/>
      <c r="BD95" s="816"/>
      <c r="BE95" s="816"/>
      <c r="BF95" s="816"/>
      <c r="BG95" s="816"/>
      <c r="BH95" s="816"/>
      <c r="BI95" s="816"/>
      <c r="BJ95" s="816"/>
      <c r="BK95" s="816"/>
      <c r="BL95" s="816"/>
      <c r="BM95" s="816"/>
      <c r="BN95" s="816"/>
      <c r="BO95" s="816"/>
      <c r="BP95" s="816"/>
      <c r="BQ95" s="816"/>
      <c r="BR95" s="816"/>
      <c r="BS95" s="816"/>
      <c r="BT95" s="609"/>
      <c r="BU95" s="609"/>
      <c r="BV95" s="609"/>
      <c r="BW95" s="818"/>
      <c r="BX95" s="816"/>
      <c r="BY95" s="816"/>
      <c r="BZ95" s="816"/>
      <c r="CA95" s="816"/>
      <c r="CB95" s="816"/>
      <c r="CC95" s="816"/>
      <c r="CD95" s="816"/>
      <c r="CE95" s="816"/>
      <c r="CF95" s="820"/>
      <c r="CG95" s="820"/>
      <c r="CH95" s="820"/>
      <c r="CI95" s="820"/>
      <c r="CJ95" s="609"/>
      <c r="CK95" s="609"/>
      <c r="CL95" s="816"/>
      <c r="CM95" s="816"/>
      <c r="CN95" s="609"/>
      <c r="CO95" s="609"/>
      <c r="CP95" s="816"/>
      <c r="CQ95" s="816"/>
      <c r="CR95" s="609"/>
      <c r="CS95" s="609"/>
      <c r="CT95" s="816"/>
      <c r="CU95" s="816"/>
      <c r="CV95" s="609"/>
      <c r="CW95" s="609"/>
      <c r="CX95" s="816"/>
      <c r="CY95" s="816"/>
      <c r="CZ95" s="816"/>
      <c r="DA95" s="816"/>
      <c r="DB95" s="816"/>
      <c r="DC95" s="816"/>
      <c r="DD95" s="816"/>
      <c r="DE95" s="816"/>
      <c r="DF95" s="816"/>
      <c r="DG95" s="816"/>
      <c r="DH95" s="816"/>
      <c r="DI95" s="816"/>
      <c r="DJ95" s="816"/>
      <c r="DK95" s="816"/>
      <c r="DL95" s="609"/>
      <c r="DM95" s="609"/>
      <c r="DN95" s="816"/>
      <c r="DO95" s="816"/>
      <c r="DP95" s="816"/>
      <c r="DQ95" s="816"/>
      <c r="DR95" s="816"/>
      <c r="DS95" s="816"/>
      <c r="DT95" s="816"/>
      <c r="DU95" s="816"/>
      <c r="DV95" s="816"/>
      <c r="DW95" s="816"/>
      <c r="DX95" s="816"/>
      <c r="DY95" s="816"/>
      <c r="DZ95" s="816"/>
      <c r="EA95" s="816"/>
      <c r="EB95" s="609"/>
      <c r="EC95" s="609"/>
      <c r="ED95" s="816"/>
      <c r="EE95" s="816"/>
      <c r="EF95" s="816"/>
      <c r="EG95" s="816"/>
      <c r="EH95" s="816"/>
      <c r="EI95" s="816"/>
      <c r="EJ95" s="816"/>
      <c r="EK95" s="816"/>
      <c r="EL95" s="816"/>
      <c r="EM95" s="816"/>
      <c r="EN95" s="816"/>
      <c r="EO95" s="816"/>
      <c r="EP95" s="816"/>
      <c r="EQ95" s="816"/>
      <c r="ER95" s="816"/>
      <c r="ES95" s="816"/>
      <c r="ET95" s="816"/>
      <c r="EU95" s="816"/>
      <c r="EV95" s="816"/>
      <c r="EW95" s="816"/>
      <c r="EX95" s="816"/>
      <c r="EY95" s="816"/>
      <c r="EZ95" s="816"/>
      <c r="FA95" s="816"/>
      <c r="FB95" s="819"/>
      <c r="FC95" s="816"/>
      <c r="FD95" s="820"/>
      <c r="FE95" s="820"/>
      <c r="FF95" s="820"/>
      <c r="FG95" s="820"/>
      <c r="FH95" s="609"/>
      <c r="FI95" s="609"/>
      <c r="FJ95" s="816"/>
      <c r="FK95" s="816"/>
      <c r="FL95" s="816"/>
      <c r="FM95" s="816"/>
      <c r="FN95" s="816"/>
      <c r="FO95" s="816"/>
      <c r="FP95" s="816"/>
      <c r="FQ95" s="816"/>
      <c r="FR95" s="816"/>
      <c r="FS95" s="816"/>
      <c r="FT95" s="816"/>
      <c r="FU95" s="816"/>
      <c r="FV95" s="816"/>
      <c r="FW95" s="816"/>
      <c r="FX95" s="609"/>
      <c r="FY95" s="609"/>
      <c r="FZ95" s="816"/>
      <c r="GA95" s="816"/>
      <c r="GB95" s="609"/>
      <c r="GC95" s="609"/>
      <c r="GD95" s="609"/>
      <c r="GE95" s="816"/>
      <c r="GF95" s="816"/>
      <c r="GG95" s="609"/>
      <c r="GH95" s="609"/>
      <c r="GI95" s="816"/>
      <c r="GJ95" s="816"/>
      <c r="GK95" s="609"/>
      <c r="GL95" s="609"/>
      <c r="GM95" s="816"/>
      <c r="GN95" s="816"/>
      <c r="GO95" s="816"/>
      <c r="GP95" s="816"/>
      <c r="GQ95" s="816"/>
      <c r="GR95" s="816"/>
      <c r="GS95" s="609"/>
      <c r="GT95" s="609"/>
      <c r="GU95" s="816"/>
      <c r="GV95" s="816"/>
      <c r="GW95" s="609"/>
      <c r="GX95" s="609"/>
      <c r="GY95" s="816"/>
      <c r="GZ95" s="816"/>
      <c r="HA95" s="609"/>
      <c r="HB95" s="609"/>
      <c r="HC95" s="816"/>
      <c r="HD95" s="816"/>
      <c r="HE95" s="816"/>
      <c r="HF95" s="816"/>
      <c r="HG95" s="816"/>
      <c r="HH95" s="816"/>
      <c r="HI95" s="821"/>
      <c r="HJ95" s="609"/>
      <c r="HK95" s="816"/>
      <c r="HL95" s="816"/>
      <c r="HM95" s="822"/>
      <c r="HN95" s="609"/>
      <c r="HO95" s="816"/>
      <c r="HP95" s="816"/>
      <c r="HQ95" s="609"/>
      <c r="HR95" s="816"/>
      <c r="HS95" s="816"/>
      <c r="HT95" s="816"/>
      <c r="HU95" s="816"/>
      <c r="HV95" s="816"/>
      <c r="HW95" s="816"/>
      <c r="HX95" s="816"/>
      <c r="HY95" s="816"/>
      <c r="HZ95" s="816"/>
      <c r="IA95" s="816"/>
      <c r="IB95" s="816"/>
      <c r="IC95" s="823"/>
      <c r="ID95" s="824"/>
      <c r="IE95" s="825"/>
      <c r="IF95" s="825"/>
      <c r="IG95" s="816"/>
      <c r="II95" s="826"/>
      <c r="IJ95" s="826"/>
      <c r="IK95" s="826"/>
      <c r="IL95" s="826"/>
    </row>
    <row r="96" spans="2:246" s="780" customFormat="1">
      <c r="B96" s="609"/>
      <c r="C96" s="609"/>
      <c r="D96" s="609"/>
      <c r="E96" s="609"/>
      <c r="F96" s="609"/>
      <c r="G96" s="609"/>
      <c r="H96" s="609"/>
      <c r="I96" s="609"/>
      <c r="J96" s="609"/>
      <c r="K96" s="609"/>
      <c r="L96" s="609"/>
      <c r="M96" s="609"/>
      <c r="N96" s="609"/>
      <c r="O96" s="609"/>
      <c r="P96" s="609"/>
      <c r="Q96" s="609"/>
      <c r="R96" s="609"/>
      <c r="S96" s="609"/>
      <c r="T96" s="609"/>
      <c r="U96" s="609"/>
      <c r="V96" s="609"/>
      <c r="W96" s="609"/>
      <c r="X96" s="609"/>
      <c r="Y96" s="609"/>
      <c r="Z96" s="816"/>
      <c r="AA96" s="816"/>
      <c r="AB96" s="816"/>
      <c r="AC96" s="816"/>
      <c r="AD96" s="816"/>
      <c r="AE96" s="816"/>
      <c r="AF96" s="609"/>
      <c r="AG96" s="609"/>
      <c r="AH96" s="816"/>
      <c r="AI96" s="816"/>
      <c r="AJ96" s="609"/>
      <c r="AK96" s="609"/>
      <c r="AL96" s="816"/>
      <c r="AM96" s="816"/>
      <c r="AN96" s="816"/>
      <c r="AO96" s="816"/>
      <c r="AP96" s="816"/>
      <c r="AQ96" s="816"/>
      <c r="AR96" s="609"/>
      <c r="AS96" s="609"/>
      <c r="AT96" s="816"/>
      <c r="AU96" s="816"/>
      <c r="AV96" s="817"/>
      <c r="AW96" s="609"/>
      <c r="AX96" s="609"/>
      <c r="AY96" s="816"/>
      <c r="AZ96" s="816"/>
      <c r="BA96" s="816"/>
      <c r="BB96" s="816"/>
      <c r="BC96" s="816"/>
      <c r="BD96" s="816"/>
      <c r="BE96" s="816"/>
      <c r="BF96" s="816"/>
      <c r="BG96" s="816"/>
      <c r="BH96" s="816"/>
      <c r="BI96" s="816"/>
      <c r="BJ96" s="816"/>
      <c r="BK96" s="816"/>
      <c r="BL96" s="816"/>
      <c r="BM96" s="816"/>
      <c r="BN96" s="816"/>
      <c r="BO96" s="816"/>
      <c r="BP96" s="816"/>
      <c r="BQ96" s="816"/>
      <c r="BR96" s="816"/>
      <c r="BS96" s="816"/>
      <c r="BT96" s="609"/>
      <c r="BU96" s="609"/>
      <c r="BV96" s="609"/>
      <c r="BW96" s="818"/>
      <c r="BX96" s="816"/>
      <c r="BY96" s="816"/>
      <c r="BZ96" s="816"/>
      <c r="CA96" s="816"/>
      <c r="CB96" s="816"/>
      <c r="CC96" s="816"/>
      <c r="CD96" s="816"/>
      <c r="CE96" s="816"/>
      <c r="CF96" s="820"/>
      <c r="CG96" s="820"/>
      <c r="CH96" s="820"/>
      <c r="CI96" s="820"/>
      <c r="CJ96" s="609"/>
      <c r="CK96" s="609"/>
      <c r="CL96" s="816"/>
      <c r="CM96" s="816"/>
      <c r="CN96" s="609"/>
      <c r="CO96" s="609"/>
      <c r="CP96" s="816"/>
      <c r="CQ96" s="816"/>
      <c r="CR96" s="609"/>
      <c r="CS96" s="609"/>
      <c r="CT96" s="816"/>
      <c r="CU96" s="816"/>
      <c r="CV96" s="609"/>
      <c r="CW96" s="609"/>
      <c r="CX96" s="816"/>
      <c r="CY96" s="816"/>
      <c r="CZ96" s="816"/>
      <c r="DA96" s="816"/>
      <c r="DB96" s="816"/>
      <c r="DC96" s="816"/>
      <c r="DD96" s="816"/>
      <c r="DE96" s="816"/>
      <c r="DF96" s="816"/>
      <c r="DG96" s="816"/>
      <c r="DH96" s="816"/>
      <c r="DI96" s="816"/>
      <c r="DJ96" s="816"/>
      <c r="DK96" s="816"/>
      <c r="DL96" s="609"/>
      <c r="DM96" s="609"/>
      <c r="DN96" s="816"/>
      <c r="DO96" s="816"/>
      <c r="DP96" s="816"/>
      <c r="DQ96" s="816"/>
      <c r="DR96" s="816"/>
      <c r="DS96" s="816"/>
      <c r="DT96" s="816"/>
      <c r="DU96" s="816"/>
      <c r="DV96" s="816"/>
      <c r="DW96" s="816"/>
      <c r="DX96" s="816"/>
      <c r="DY96" s="816"/>
      <c r="DZ96" s="816"/>
      <c r="EA96" s="816"/>
      <c r="EB96" s="609"/>
      <c r="EC96" s="609"/>
      <c r="ED96" s="816"/>
      <c r="EE96" s="816"/>
      <c r="EF96" s="816"/>
      <c r="EG96" s="816"/>
      <c r="EH96" s="816"/>
      <c r="EI96" s="816"/>
      <c r="EJ96" s="816"/>
      <c r="EK96" s="816"/>
      <c r="EL96" s="816"/>
      <c r="EM96" s="816"/>
      <c r="EN96" s="816"/>
      <c r="EO96" s="816"/>
      <c r="EP96" s="816"/>
      <c r="EQ96" s="816"/>
      <c r="ER96" s="816"/>
      <c r="ES96" s="816"/>
      <c r="ET96" s="816"/>
      <c r="EU96" s="816"/>
      <c r="EV96" s="816"/>
      <c r="EW96" s="816"/>
      <c r="EX96" s="816"/>
      <c r="EY96" s="816"/>
      <c r="EZ96" s="816"/>
      <c r="FA96" s="816"/>
      <c r="FB96" s="819"/>
      <c r="FC96" s="816"/>
      <c r="FD96" s="820"/>
      <c r="FE96" s="820"/>
      <c r="FF96" s="820"/>
      <c r="FG96" s="820"/>
      <c r="FH96" s="817"/>
      <c r="FI96" s="609"/>
      <c r="FJ96" s="816"/>
      <c r="FK96" s="816"/>
      <c r="FL96" s="816"/>
      <c r="FM96" s="816"/>
      <c r="FN96" s="816"/>
      <c r="FO96" s="816"/>
      <c r="FP96" s="816"/>
      <c r="FQ96" s="816"/>
      <c r="FR96" s="816"/>
      <c r="FS96" s="816"/>
      <c r="FT96" s="816"/>
      <c r="FU96" s="816"/>
      <c r="FV96" s="816"/>
      <c r="FW96" s="816"/>
      <c r="FX96" s="609"/>
      <c r="FY96" s="609"/>
      <c r="FZ96" s="816"/>
      <c r="GA96" s="816"/>
      <c r="GB96" s="609"/>
      <c r="GC96" s="609"/>
      <c r="GD96" s="609"/>
      <c r="GE96" s="816"/>
      <c r="GF96" s="816"/>
      <c r="GG96" s="609"/>
      <c r="GH96" s="609"/>
      <c r="GI96" s="816"/>
      <c r="GJ96" s="816"/>
      <c r="GK96" s="609"/>
      <c r="GL96" s="609"/>
      <c r="GM96" s="816"/>
      <c r="GN96" s="816"/>
      <c r="GO96" s="816"/>
      <c r="GP96" s="816"/>
      <c r="GQ96" s="816"/>
      <c r="GR96" s="816"/>
      <c r="GS96" s="609"/>
      <c r="GT96" s="609"/>
      <c r="GU96" s="816"/>
      <c r="GV96" s="816"/>
      <c r="GW96" s="609"/>
      <c r="GX96" s="609"/>
      <c r="GY96" s="816"/>
      <c r="GZ96" s="816"/>
      <c r="HA96" s="609"/>
      <c r="HB96" s="609"/>
      <c r="HC96" s="816"/>
      <c r="HD96" s="816"/>
      <c r="HE96" s="816"/>
      <c r="HF96" s="816"/>
      <c r="HG96" s="816"/>
      <c r="HH96" s="816"/>
      <c r="HI96" s="821"/>
      <c r="HJ96" s="609"/>
      <c r="HK96" s="816"/>
      <c r="HL96" s="816"/>
      <c r="HM96" s="822"/>
      <c r="HN96" s="609"/>
      <c r="HO96" s="816"/>
      <c r="HP96" s="816"/>
      <c r="HQ96" s="609"/>
      <c r="HR96" s="816"/>
      <c r="HS96" s="816"/>
      <c r="HT96" s="816"/>
      <c r="HU96" s="816"/>
      <c r="HV96" s="816"/>
      <c r="HW96" s="816"/>
      <c r="HX96" s="816"/>
      <c r="HY96" s="816"/>
      <c r="HZ96" s="816"/>
      <c r="IA96" s="816"/>
      <c r="IB96" s="816"/>
      <c r="IC96" s="823"/>
      <c r="ID96" s="824"/>
      <c r="IE96" s="825"/>
      <c r="IF96" s="825"/>
      <c r="IG96" s="816"/>
      <c r="II96" s="826"/>
      <c r="IJ96" s="826"/>
      <c r="IK96" s="826"/>
      <c r="IL96" s="826"/>
    </row>
    <row r="97" spans="2:246" s="780" customFormat="1">
      <c r="B97" s="609"/>
      <c r="C97" s="609"/>
      <c r="D97" s="609"/>
      <c r="E97" s="609"/>
      <c r="F97" s="609"/>
      <c r="G97" s="609"/>
      <c r="H97" s="609"/>
      <c r="I97" s="609"/>
      <c r="J97" s="609"/>
      <c r="K97" s="609"/>
      <c r="L97" s="609"/>
      <c r="M97" s="609"/>
      <c r="N97" s="609"/>
      <c r="O97" s="609"/>
      <c r="P97" s="609"/>
      <c r="Q97" s="609"/>
      <c r="R97" s="609"/>
      <c r="S97" s="609"/>
      <c r="T97" s="609"/>
      <c r="U97" s="609"/>
      <c r="V97" s="609"/>
      <c r="W97" s="609"/>
      <c r="X97" s="609"/>
      <c r="Y97" s="609"/>
      <c r="Z97" s="816"/>
      <c r="AA97" s="816"/>
      <c r="AB97" s="816"/>
      <c r="AC97" s="816"/>
      <c r="AD97" s="816"/>
      <c r="AE97" s="816"/>
      <c r="AF97" s="609"/>
      <c r="AG97" s="609"/>
      <c r="AH97" s="816"/>
      <c r="AI97" s="816"/>
      <c r="AJ97" s="609"/>
      <c r="AK97" s="609"/>
      <c r="AL97" s="816"/>
      <c r="AM97" s="816"/>
      <c r="AN97" s="816"/>
      <c r="AO97" s="816"/>
      <c r="AP97" s="816"/>
      <c r="AQ97" s="816"/>
      <c r="AR97" s="609"/>
      <c r="AS97" s="609"/>
      <c r="AT97" s="816"/>
      <c r="AU97" s="816"/>
      <c r="AV97" s="817"/>
      <c r="AW97" s="609"/>
      <c r="AX97" s="609"/>
      <c r="AY97" s="816"/>
      <c r="AZ97" s="816"/>
      <c r="BA97" s="816"/>
      <c r="BB97" s="816"/>
      <c r="BC97" s="816"/>
      <c r="BD97" s="816"/>
      <c r="BE97" s="816"/>
      <c r="BF97" s="816"/>
      <c r="BG97" s="816"/>
      <c r="BH97" s="816"/>
      <c r="BI97" s="816"/>
      <c r="BJ97" s="816"/>
      <c r="BK97" s="816"/>
      <c r="BL97" s="816"/>
      <c r="BM97" s="816"/>
      <c r="BN97" s="816"/>
      <c r="BO97" s="816"/>
      <c r="BP97" s="816"/>
      <c r="BQ97" s="816"/>
      <c r="BR97" s="816"/>
      <c r="BS97" s="816"/>
      <c r="BT97" s="609"/>
      <c r="BU97" s="609"/>
      <c r="BV97" s="609"/>
      <c r="BW97" s="818"/>
      <c r="BX97" s="816"/>
      <c r="BY97" s="816"/>
      <c r="BZ97" s="816"/>
      <c r="CA97" s="816"/>
      <c r="CB97" s="816"/>
      <c r="CC97" s="816"/>
      <c r="CD97" s="816"/>
      <c r="CE97" s="816"/>
      <c r="CF97" s="820"/>
      <c r="CG97" s="820"/>
      <c r="CH97" s="820"/>
      <c r="CI97" s="820"/>
      <c r="CJ97" s="609"/>
      <c r="CK97" s="609"/>
      <c r="CL97" s="816"/>
      <c r="CM97" s="816"/>
      <c r="CN97" s="609"/>
      <c r="CO97" s="609"/>
      <c r="CP97" s="816"/>
      <c r="CQ97" s="816"/>
      <c r="CR97" s="609"/>
      <c r="CS97" s="609"/>
      <c r="CT97" s="816"/>
      <c r="CU97" s="816"/>
      <c r="CV97" s="609"/>
      <c r="CW97" s="609"/>
      <c r="CX97" s="816"/>
      <c r="CY97" s="816"/>
      <c r="CZ97" s="816"/>
      <c r="DA97" s="816"/>
      <c r="DB97" s="816"/>
      <c r="DC97" s="816"/>
      <c r="DD97" s="816"/>
      <c r="DE97" s="816"/>
      <c r="DF97" s="816"/>
      <c r="DG97" s="816"/>
      <c r="DH97" s="816"/>
      <c r="DI97" s="816"/>
      <c r="DJ97" s="816"/>
      <c r="DK97" s="816"/>
      <c r="DL97" s="609"/>
      <c r="DM97" s="609"/>
      <c r="DN97" s="816"/>
      <c r="DO97" s="816"/>
      <c r="DP97" s="816"/>
      <c r="DQ97" s="816"/>
      <c r="DR97" s="816"/>
      <c r="DS97" s="816"/>
      <c r="DT97" s="816"/>
      <c r="DU97" s="816"/>
      <c r="DV97" s="816"/>
      <c r="DW97" s="816"/>
      <c r="DX97" s="816"/>
      <c r="DY97" s="816"/>
      <c r="DZ97" s="816"/>
      <c r="EA97" s="816"/>
      <c r="EB97" s="609"/>
      <c r="EC97" s="609"/>
      <c r="ED97" s="816"/>
      <c r="EE97" s="816"/>
      <c r="EF97" s="816"/>
      <c r="EG97" s="816"/>
      <c r="EH97" s="816"/>
      <c r="EI97" s="816"/>
      <c r="EJ97" s="816"/>
      <c r="EK97" s="816"/>
      <c r="EL97" s="816"/>
      <c r="EM97" s="816"/>
      <c r="EN97" s="816"/>
      <c r="EO97" s="816"/>
      <c r="EP97" s="816"/>
      <c r="EQ97" s="816"/>
      <c r="ER97" s="816"/>
      <c r="ES97" s="816"/>
      <c r="ET97" s="816"/>
      <c r="EU97" s="816"/>
      <c r="EV97" s="816"/>
      <c r="EW97" s="816"/>
      <c r="EX97" s="816"/>
      <c r="EY97" s="816"/>
      <c r="EZ97" s="816"/>
      <c r="FA97" s="816"/>
      <c r="FB97" s="819"/>
      <c r="FC97" s="816"/>
      <c r="FD97" s="820"/>
      <c r="FE97" s="820"/>
      <c r="FF97" s="820"/>
      <c r="FG97" s="820"/>
      <c r="FH97" s="817"/>
      <c r="FI97" s="609"/>
      <c r="FJ97" s="816"/>
      <c r="FK97" s="816"/>
      <c r="FL97" s="816"/>
      <c r="FM97" s="816"/>
      <c r="FN97" s="816"/>
      <c r="FO97" s="816"/>
      <c r="FP97" s="816"/>
      <c r="FQ97" s="816"/>
      <c r="FR97" s="816"/>
      <c r="FS97" s="816"/>
      <c r="FT97" s="816"/>
      <c r="FU97" s="816"/>
      <c r="FV97" s="816"/>
      <c r="FW97" s="816"/>
      <c r="FX97" s="609"/>
      <c r="FY97" s="609"/>
      <c r="FZ97" s="816"/>
      <c r="GA97" s="816"/>
      <c r="GB97" s="609"/>
      <c r="GC97" s="609"/>
      <c r="GD97" s="609"/>
      <c r="GE97" s="816"/>
      <c r="GF97" s="816"/>
      <c r="GG97" s="609"/>
      <c r="GH97" s="609"/>
      <c r="GI97" s="816"/>
      <c r="GJ97" s="816"/>
      <c r="GK97" s="609"/>
      <c r="GL97" s="609"/>
      <c r="GM97" s="816"/>
      <c r="GN97" s="816"/>
      <c r="GO97" s="816"/>
      <c r="GP97" s="816"/>
      <c r="GQ97" s="816"/>
      <c r="GR97" s="816"/>
      <c r="GS97" s="609"/>
      <c r="GT97" s="609"/>
      <c r="GU97" s="816"/>
      <c r="GV97" s="816"/>
      <c r="GW97" s="609"/>
      <c r="GX97" s="609"/>
      <c r="GY97" s="816"/>
      <c r="GZ97" s="816"/>
      <c r="HA97" s="609"/>
      <c r="HB97" s="609"/>
      <c r="HC97" s="816"/>
      <c r="HD97" s="816"/>
      <c r="HE97" s="816"/>
      <c r="HF97" s="816"/>
      <c r="HG97" s="816"/>
      <c r="HH97" s="816"/>
      <c r="HI97" s="821"/>
      <c r="HJ97" s="609"/>
      <c r="HK97" s="816"/>
      <c r="HL97" s="816"/>
      <c r="HM97" s="822"/>
      <c r="HN97" s="609"/>
      <c r="HO97" s="816"/>
      <c r="HP97" s="816"/>
      <c r="HQ97" s="609"/>
      <c r="HR97" s="816"/>
      <c r="HS97" s="816"/>
      <c r="HT97" s="816"/>
      <c r="HU97" s="816"/>
      <c r="HV97" s="816"/>
      <c r="HW97" s="816"/>
      <c r="HX97" s="816"/>
      <c r="HY97" s="816"/>
      <c r="HZ97" s="816"/>
      <c r="IA97" s="816"/>
      <c r="IB97" s="816"/>
      <c r="IC97" s="823"/>
      <c r="ID97" s="824"/>
      <c r="IE97" s="825"/>
      <c r="IF97" s="825"/>
      <c r="IG97" s="816"/>
      <c r="II97" s="826"/>
      <c r="IJ97" s="826"/>
      <c r="IK97" s="826"/>
      <c r="IL97" s="826"/>
    </row>
    <row r="98" spans="2:246" s="780" customFormat="1">
      <c r="B98" s="609"/>
      <c r="C98" s="609"/>
      <c r="D98" s="609"/>
      <c r="E98" s="609"/>
      <c r="F98" s="609"/>
      <c r="G98" s="609"/>
      <c r="H98" s="609"/>
      <c r="I98" s="609"/>
      <c r="J98" s="609"/>
      <c r="K98" s="609"/>
      <c r="L98" s="609"/>
      <c r="M98" s="609"/>
      <c r="N98" s="609"/>
      <c r="O98" s="609"/>
      <c r="P98" s="609"/>
      <c r="Q98" s="609"/>
      <c r="R98" s="609"/>
      <c r="S98" s="609"/>
      <c r="T98" s="609"/>
      <c r="U98" s="609"/>
      <c r="V98" s="609"/>
      <c r="W98" s="609"/>
      <c r="X98" s="609"/>
      <c r="Y98" s="609"/>
      <c r="Z98" s="816"/>
      <c r="AA98" s="816"/>
      <c r="AB98" s="816"/>
      <c r="AC98" s="816"/>
      <c r="AD98" s="816"/>
      <c r="AE98" s="816"/>
      <c r="AF98" s="609"/>
      <c r="AG98" s="609"/>
      <c r="AH98" s="816"/>
      <c r="AI98" s="816"/>
      <c r="AJ98" s="609"/>
      <c r="AK98" s="609"/>
      <c r="AL98" s="816"/>
      <c r="AM98" s="816"/>
      <c r="AN98" s="816"/>
      <c r="AO98" s="816"/>
      <c r="AP98" s="816"/>
      <c r="AQ98" s="816"/>
      <c r="AR98" s="609"/>
      <c r="AS98" s="609"/>
      <c r="AT98" s="816"/>
      <c r="AU98" s="816"/>
      <c r="AV98" s="817"/>
      <c r="AW98" s="609"/>
      <c r="AX98" s="609"/>
      <c r="AY98" s="816"/>
      <c r="AZ98" s="816"/>
      <c r="BA98" s="816"/>
      <c r="BB98" s="816"/>
      <c r="BC98" s="816"/>
      <c r="BD98" s="816"/>
      <c r="BE98" s="816"/>
      <c r="BF98" s="816"/>
      <c r="BG98" s="816"/>
      <c r="BH98" s="816"/>
      <c r="BI98" s="816"/>
      <c r="BJ98" s="816"/>
      <c r="BK98" s="816"/>
      <c r="BL98" s="816"/>
      <c r="BM98" s="816"/>
      <c r="BN98" s="816"/>
      <c r="BO98" s="816"/>
      <c r="BP98" s="816"/>
      <c r="BQ98" s="816"/>
      <c r="BR98" s="816"/>
      <c r="BS98" s="816"/>
      <c r="BT98" s="609"/>
      <c r="BU98" s="609"/>
      <c r="BV98" s="609"/>
      <c r="BW98" s="818"/>
      <c r="BX98" s="816"/>
      <c r="BY98" s="816"/>
      <c r="BZ98" s="816"/>
      <c r="CA98" s="816"/>
      <c r="CB98" s="816"/>
      <c r="CC98" s="816"/>
      <c r="CD98" s="816"/>
      <c r="CE98" s="816"/>
      <c r="CF98" s="820"/>
      <c r="CG98" s="820"/>
      <c r="CH98" s="820"/>
      <c r="CI98" s="820"/>
      <c r="CJ98" s="609"/>
      <c r="CK98" s="609"/>
      <c r="CL98" s="816"/>
      <c r="CM98" s="816"/>
      <c r="CN98" s="609"/>
      <c r="CO98" s="609"/>
      <c r="CP98" s="816"/>
      <c r="CQ98" s="816"/>
      <c r="CR98" s="609"/>
      <c r="CS98" s="609"/>
      <c r="CT98" s="816"/>
      <c r="CU98" s="816"/>
      <c r="CV98" s="609"/>
      <c r="CW98" s="609"/>
      <c r="CX98" s="816"/>
      <c r="CY98" s="816"/>
      <c r="CZ98" s="816"/>
      <c r="DA98" s="816"/>
      <c r="DB98" s="816"/>
      <c r="DC98" s="816"/>
      <c r="DD98" s="816"/>
      <c r="DE98" s="816"/>
      <c r="DF98" s="816"/>
      <c r="DG98" s="816"/>
      <c r="DH98" s="816"/>
      <c r="DI98" s="816"/>
      <c r="DJ98" s="816"/>
      <c r="DK98" s="816"/>
      <c r="DL98" s="609"/>
      <c r="DM98" s="609"/>
      <c r="DN98" s="816"/>
      <c r="DO98" s="816"/>
      <c r="DP98" s="816"/>
      <c r="DQ98" s="816"/>
      <c r="DR98" s="816"/>
      <c r="DS98" s="816"/>
      <c r="DT98" s="816"/>
      <c r="DU98" s="816"/>
      <c r="DV98" s="816"/>
      <c r="DW98" s="816"/>
      <c r="DX98" s="816"/>
      <c r="DY98" s="816"/>
      <c r="DZ98" s="816"/>
      <c r="EA98" s="816"/>
      <c r="EB98" s="609"/>
      <c r="EC98" s="609"/>
      <c r="ED98" s="816"/>
      <c r="EE98" s="816"/>
      <c r="EF98" s="816"/>
      <c r="EG98" s="816"/>
      <c r="EH98" s="816"/>
      <c r="EI98" s="816"/>
      <c r="EJ98" s="816"/>
      <c r="EK98" s="816"/>
      <c r="EL98" s="816"/>
      <c r="EM98" s="816"/>
      <c r="EN98" s="816"/>
      <c r="EO98" s="816"/>
      <c r="EP98" s="816"/>
      <c r="EQ98" s="816"/>
      <c r="ER98" s="816"/>
      <c r="ES98" s="816"/>
      <c r="ET98" s="816"/>
      <c r="EU98" s="816"/>
      <c r="EV98" s="816"/>
      <c r="EW98" s="816"/>
      <c r="EX98" s="816"/>
      <c r="EY98" s="816"/>
      <c r="EZ98" s="816"/>
      <c r="FA98" s="816"/>
      <c r="FB98" s="819"/>
      <c r="FC98" s="816"/>
      <c r="FD98" s="820"/>
      <c r="FE98" s="820"/>
      <c r="FF98" s="820"/>
      <c r="FG98" s="820"/>
      <c r="FH98" s="609"/>
      <c r="FI98" s="609"/>
      <c r="FJ98" s="816"/>
      <c r="FK98" s="816"/>
      <c r="FL98" s="816"/>
      <c r="FM98" s="816"/>
      <c r="FN98" s="816"/>
      <c r="FO98" s="816"/>
      <c r="FP98" s="816"/>
      <c r="FQ98" s="816"/>
      <c r="FR98" s="816"/>
      <c r="FS98" s="816"/>
      <c r="FT98" s="816"/>
      <c r="FU98" s="816"/>
      <c r="FV98" s="816"/>
      <c r="FW98" s="816"/>
      <c r="FX98" s="609"/>
      <c r="FY98" s="609"/>
      <c r="FZ98" s="816"/>
      <c r="GA98" s="816"/>
      <c r="GB98" s="609"/>
      <c r="GC98" s="609"/>
      <c r="GD98" s="609"/>
      <c r="GE98" s="816"/>
      <c r="GF98" s="816"/>
      <c r="GG98" s="609"/>
      <c r="GH98" s="609"/>
      <c r="GI98" s="816"/>
      <c r="GJ98" s="816"/>
      <c r="GK98" s="609"/>
      <c r="GL98" s="609"/>
      <c r="GM98" s="816"/>
      <c r="GN98" s="816"/>
      <c r="GO98" s="816"/>
      <c r="GP98" s="816"/>
      <c r="GQ98" s="816"/>
      <c r="GR98" s="816"/>
      <c r="GS98" s="609"/>
      <c r="GT98" s="609"/>
      <c r="GU98" s="816"/>
      <c r="GV98" s="816"/>
      <c r="GW98" s="609"/>
      <c r="GX98" s="609"/>
      <c r="GY98" s="816"/>
      <c r="GZ98" s="816"/>
      <c r="HA98" s="609"/>
      <c r="HB98" s="609"/>
      <c r="HC98" s="816"/>
      <c r="HD98" s="816"/>
      <c r="HE98" s="816"/>
      <c r="HF98" s="816"/>
      <c r="HG98" s="816"/>
      <c r="HH98" s="816"/>
      <c r="HI98" s="821"/>
      <c r="HJ98" s="609"/>
      <c r="HK98" s="816"/>
      <c r="HL98" s="816"/>
      <c r="HM98" s="822"/>
      <c r="HN98" s="609"/>
      <c r="HO98" s="816"/>
      <c r="HP98" s="816"/>
      <c r="HQ98" s="609"/>
      <c r="HR98" s="816"/>
      <c r="HS98" s="816"/>
      <c r="HT98" s="816"/>
      <c r="HU98" s="816"/>
      <c r="HV98" s="816"/>
      <c r="HW98" s="816"/>
      <c r="HX98" s="816"/>
      <c r="HY98" s="816"/>
      <c r="HZ98" s="816"/>
      <c r="IA98" s="816"/>
      <c r="IB98" s="816"/>
      <c r="IC98" s="823"/>
      <c r="ID98" s="824"/>
      <c r="IE98" s="825"/>
      <c r="IF98" s="825"/>
      <c r="IG98" s="816"/>
      <c r="II98" s="826"/>
      <c r="IJ98" s="826"/>
      <c r="IK98" s="826"/>
      <c r="IL98" s="826"/>
    </row>
    <row r="99" spans="2:246" s="780" customFormat="1">
      <c r="B99" s="609"/>
      <c r="C99" s="609"/>
      <c r="D99" s="609"/>
      <c r="E99" s="609"/>
      <c r="F99" s="609"/>
      <c r="G99" s="609"/>
      <c r="H99" s="609"/>
      <c r="I99" s="609"/>
      <c r="J99" s="609"/>
      <c r="K99" s="609"/>
      <c r="L99" s="609"/>
      <c r="M99" s="609"/>
      <c r="N99" s="609"/>
      <c r="O99" s="609"/>
      <c r="P99" s="609"/>
      <c r="Q99" s="609"/>
      <c r="R99" s="609"/>
      <c r="S99" s="609"/>
      <c r="T99" s="609"/>
      <c r="U99" s="609"/>
      <c r="V99" s="609"/>
      <c r="W99" s="609"/>
      <c r="X99" s="609"/>
      <c r="Y99" s="609"/>
      <c r="Z99" s="816"/>
      <c r="AA99" s="816"/>
      <c r="AB99" s="816"/>
      <c r="AC99" s="816"/>
      <c r="AD99" s="816"/>
      <c r="AE99" s="816"/>
      <c r="AF99" s="609"/>
      <c r="AG99" s="609"/>
      <c r="AH99" s="816"/>
      <c r="AI99" s="816"/>
      <c r="AJ99" s="609"/>
      <c r="AK99" s="609"/>
      <c r="AL99" s="816"/>
      <c r="AM99" s="816"/>
      <c r="AN99" s="816"/>
      <c r="AO99" s="816"/>
      <c r="AP99" s="816"/>
      <c r="AQ99" s="816"/>
      <c r="AR99" s="609"/>
      <c r="AS99" s="609"/>
      <c r="AT99" s="816"/>
      <c r="AU99" s="816"/>
      <c r="AV99" s="817"/>
      <c r="AW99" s="609"/>
      <c r="AX99" s="609"/>
      <c r="AY99" s="816"/>
      <c r="AZ99" s="816"/>
      <c r="BA99" s="816"/>
      <c r="BB99" s="816"/>
      <c r="BC99" s="816"/>
      <c r="BD99" s="816"/>
      <c r="BE99" s="816"/>
      <c r="BF99" s="816"/>
      <c r="BG99" s="816"/>
      <c r="BH99" s="816"/>
      <c r="BI99" s="816"/>
      <c r="BJ99" s="816"/>
      <c r="BK99" s="816"/>
      <c r="BL99" s="816"/>
      <c r="BM99" s="816"/>
      <c r="BN99" s="816"/>
      <c r="BO99" s="816"/>
      <c r="BP99" s="816"/>
      <c r="BQ99" s="816"/>
      <c r="BR99" s="816"/>
      <c r="BS99" s="816"/>
      <c r="BT99" s="609"/>
      <c r="BU99" s="609"/>
      <c r="BV99" s="609"/>
      <c r="BW99" s="818"/>
      <c r="BX99" s="816"/>
      <c r="BY99" s="816"/>
      <c r="BZ99" s="816"/>
      <c r="CA99" s="816"/>
      <c r="CB99" s="816"/>
      <c r="CC99" s="816"/>
      <c r="CD99" s="816"/>
      <c r="CE99" s="816"/>
      <c r="CF99" s="820"/>
      <c r="CG99" s="820"/>
      <c r="CH99" s="820"/>
      <c r="CI99" s="820"/>
      <c r="CJ99" s="609"/>
      <c r="CK99" s="609"/>
      <c r="CL99" s="816"/>
      <c r="CM99" s="816"/>
      <c r="CN99" s="609"/>
      <c r="CO99" s="609"/>
      <c r="CP99" s="816"/>
      <c r="CQ99" s="816"/>
      <c r="CR99" s="609"/>
      <c r="CS99" s="609"/>
      <c r="CT99" s="816"/>
      <c r="CU99" s="816"/>
      <c r="CV99" s="609"/>
      <c r="CW99" s="609"/>
      <c r="CX99" s="816"/>
      <c r="CY99" s="816"/>
      <c r="CZ99" s="816"/>
      <c r="DA99" s="816"/>
      <c r="DB99" s="816"/>
      <c r="DC99" s="816"/>
      <c r="DD99" s="816"/>
      <c r="DE99" s="816"/>
      <c r="DF99" s="816"/>
      <c r="DG99" s="816"/>
      <c r="DH99" s="816"/>
      <c r="DI99" s="816"/>
      <c r="DJ99" s="816"/>
      <c r="DK99" s="816"/>
      <c r="DL99" s="609"/>
      <c r="DM99" s="609"/>
      <c r="DN99" s="816"/>
      <c r="DO99" s="816"/>
      <c r="DP99" s="816"/>
      <c r="DQ99" s="816"/>
      <c r="DR99" s="816"/>
      <c r="DS99" s="816"/>
      <c r="DT99" s="816"/>
      <c r="DU99" s="816"/>
      <c r="DV99" s="816"/>
      <c r="DW99" s="816"/>
      <c r="DX99" s="816"/>
      <c r="DY99" s="816"/>
      <c r="DZ99" s="816"/>
      <c r="EA99" s="816"/>
      <c r="EB99" s="609"/>
      <c r="EC99" s="609"/>
      <c r="ED99" s="816"/>
      <c r="EE99" s="816"/>
      <c r="EF99" s="816"/>
      <c r="EG99" s="816"/>
      <c r="EH99" s="816"/>
      <c r="EI99" s="816"/>
      <c r="EJ99" s="816"/>
      <c r="EK99" s="816"/>
      <c r="EL99" s="816"/>
      <c r="EM99" s="816"/>
      <c r="EN99" s="816"/>
      <c r="EO99" s="816"/>
      <c r="EP99" s="816"/>
      <c r="EQ99" s="816"/>
      <c r="ER99" s="816"/>
      <c r="ES99" s="816"/>
      <c r="ET99" s="816"/>
      <c r="EU99" s="816"/>
      <c r="EV99" s="816"/>
      <c r="EW99" s="816"/>
      <c r="EX99" s="816"/>
      <c r="EY99" s="816"/>
      <c r="EZ99" s="816"/>
      <c r="FA99" s="816"/>
      <c r="FB99" s="819"/>
      <c r="FC99" s="816"/>
      <c r="FD99" s="820"/>
      <c r="FE99" s="820"/>
      <c r="FF99" s="820"/>
      <c r="FG99" s="820"/>
      <c r="FH99" s="609"/>
      <c r="FI99" s="609"/>
      <c r="FJ99" s="816"/>
      <c r="FK99" s="816"/>
      <c r="FL99" s="816"/>
      <c r="FM99" s="816"/>
      <c r="FN99" s="816"/>
      <c r="FO99" s="816"/>
      <c r="FP99" s="816"/>
      <c r="FQ99" s="816"/>
      <c r="FR99" s="816"/>
      <c r="FS99" s="816"/>
      <c r="FT99" s="816"/>
      <c r="FU99" s="816"/>
      <c r="FV99" s="816"/>
      <c r="FW99" s="816"/>
      <c r="FX99" s="609"/>
      <c r="FY99" s="609"/>
      <c r="FZ99" s="816"/>
      <c r="GA99" s="816"/>
      <c r="GB99" s="609"/>
      <c r="GC99" s="609"/>
      <c r="GD99" s="609"/>
      <c r="GE99" s="816"/>
      <c r="GF99" s="816"/>
      <c r="GG99" s="609"/>
      <c r="GH99" s="609"/>
      <c r="GI99" s="816"/>
      <c r="GJ99" s="816"/>
      <c r="GK99" s="609"/>
      <c r="GL99" s="609"/>
      <c r="GM99" s="816"/>
      <c r="GN99" s="816"/>
      <c r="GO99" s="816"/>
      <c r="GP99" s="816"/>
      <c r="GQ99" s="816"/>
      <c r="GR99" s="816"/>
      <c r="GS99" s="609"/>
      <c r="GT99" s="609"/>
      <c r="GU99" s="816"/>
      <c r="GV99" s="816"/>
      <c r="GW99" s="609"/>
      <c r="GX99" s="609"/>
      <c r="GY99" s="816"/>
      <c r="GZ99" s="816"/>
      <c r="HA99" s="609"/>
      <c r="HB99" s="609"/>
      <c r="HC99" s="816"/>
      <c r="HD99" s="816"/>
      <c r="HE99" s="816"/>
      <c r="HF99" s="816"/>
      <c r="HG99" s="816"/>
      <c r="HH99" s="816"/>
      <c r="HI99" s="821"/>
      <c r="HJ99" s="609"/>
      <c r="HK99" s="816"/>
      <c r="HL99" s="816"/>
      <c r="HM99" s="822"/>
      <c r="HN99" s="609"/>
      <c r="HO99" s="816"/>
      <c r="HP99" s="816"/>
      <c r="HQ99" s="609"/>
      <c r="HR99" s="816"/>
      <c r="HS99" s="816"/>
      <c r="HT99" s="816"/>
      <c r="HU99" s="816"/>
      <c r="HV99" s="816"/>
      <c r="HW99" s="816"/>
      <c r="HX99" s="816"/>
      <c r="HY99" s="816"/>
      <c r="HZ99" s="816"/>
      <c r="IA99" s="816"/>
      <c r="IB99" s="816"/>
      <c r="IC99" s="823"/>
      <c r="ID99" s="824"/>
      <c r="IE99" s="825"/>
      <c r="IF99" s="825"/>
      <c r="IG99" s="816"/>
      <c r="II99" s="826"/>
      <c r="IJ99" s="826"/>
      <c r="IK99" s="826"/>
      <c r="IL99" s="826"/>
    </row>
    <row r="100" spans="2:246" s="780" customFormat="1">
      <c r="B100" s="609"/>
      <c r="C100" s="609"/>
      <c r="D100" s="609"/>
      <c r="E100" s="609"/>
      <c r="F100" s="609"/>
      <c r="G100" s="609"/>
      <c r="H100" s="609"/>
      <c r="I100" s="609"/>
      <c r="J100" s="609"/>
      <c r="K100" s="609"/>
      <c r="L100" s="609"/>
      <c r="M100" s="609"/>
      <c r="N100" s="609"/>
      <c r="O100" s="609"/>
      <c r="P100" s="609"/>
      <c r="Q100" s="609"/>
      <c r="R100" s="609"/>
      <c r="S100" s="609"/>
      <c r="T100" s="609"/>
      <c r="U100" s="609"/>
      <c r="V100" s="609"/>
      <c r="W100" s="609"/>
      <c r="X100" s="609"/>
      <c r="Y100" s="609"/>
      <c r="Z100" s="816"/>
      <c r="AA100" s="816"/>
      <c r="AB100" s="816"/>
      <c r="AC100" s="816"/>
      <c r="AD100" s="816"/>
      <c r="AE100" s="816"/>
      <c r="AF100" s="609"/>
      <c r="AG100" s="609"/>
      <c r="AH100" s="816"/>
      <c r="AI100" s="816"/>
      <c r="AJ100" s="609"/>
      <c r="AK100" s="609"/>
      <c r="AL100" s="816"/>
      <c r="AM100" s="816"/>
      <c r="AN100" s="816"/>
      <c r="AO100" s="816"/>
      <c r="AP100" s="816"/>
      <c r="AQ100" s="816"/>
      <c r="AR100" s="609"/>
      <c r="AS100" s="609"/>
      <c r="AT100" s="816"/>
      <c r="AU100" s="816"/>
      <c r="AV100" s="817"/>
      <c r="AW100" s="609"/>
      <c r="AX100" s="609"/>
      <c r="AY100" s="816"/>
      <c r="AZ100" s="816"/>
      <c r="BA100" s="816"/>
      <c r="BB100" s="816"/>
      <c r="BC100" s="816"/>
      <c r="BD100" s="816"/>
      <c r="BE100" s="816"/>
      <c r="BF100" s="816"/>
      <c r="BG100" s="816"/>
      <c r="BH100" s="816"/>
      <c r="BI100" s="816"/>
      <c r="BJ100" s="816"/>
      <c r="BK100" s="816"/>
      <c r="BL100" s="816"/>
      <c r="BM100" s="816"/>
      <c r="BN100" s="816"/>
      <c r="BO100" s="816"/>
      <c r="BP100" s="816"/>
      <c r="BQ100" s="816"/>
      <c r="BR100" s="816"/>
      <c r="BS100" s="816"/>
      <c r="BT100" s="609"/>
      <c r="BU100" s="609"/>
      <c r="BV100" s="609"/>
      <c r="BW100" s="818"/>
      <c r="BX100" s="816"/>
      <c r="BY100" s="816"/>
      <c r="BZ100" s="816"/>
      <c r="CA100" s="816"/>
      <c r="CB100" s="816"/>
      <c r="CC100" s="816"/>
      <c r="CD100" s="816"/>
      <c r="CE100" s="816"/>
      <c r="CF100" s="820"/>
      <c r="CG100" s="820"/>
      <c r="CH100" s="820"/>
      <c r="CI100" s="820"/>
      <c r="CJ100" s="609"/>
      <c r="CK100" s="609"/>
      <c r="CL100" s="816"/>
      <c r="CM100" s="816"/>
      <c r="CN100" s="609"/>
      <c r="CO100" s="609"/>
      <c r="CP100" s="816"/>
      <c r="CQ100" s="816"/>
      <c r="CR100" s="609"/>
      <c r="CS100" s="609"/>
      <c r="CT100" s="816"/>
      <c r="CU100" s="816"/>
      <c r="CV100" s="609"/>
      <c r="CW100" s="609"/>
      <c r="CX100" s="816"/>
      <c r="CY100" s="816"/>
      <c r="CZ100" s="816"/>
      <c r="DA100" s="816"/>
      <c r="DB100" s="816"/>
      <c r="DC100" s="816"/>
      <c r="DD100" s="816"/>
      <c r="DE100" s="816"/>
      <c r="DF100" s="816"/>
      <c r="DG100" s="816"/>
      <c r="DH100" s="816"/>
      <c r="DI100" s="816"/>
      <c r="DJ100" s="816"/>
      <c r="DK100" s="816"/>
      <c r="DL100" s="609"/>
      <c r="DM100" s="609"/>
      <c r="DN100" s="816"/>
      <c r="DO100" s="816"/>
      <c r="DP100" s="816"/>
      <c r="DQ100" s="816"/>
      <c r="DR100" s="816"/>
      <c r="DS100" s="816"/>
      <c r="DT100" s="816"/>
      <c r="DU100" s="816"/>
      <c r="DV100" s="816"/>
      <c r="DW100" s="816"/>
      <c r="DX100" s="816"/>
      <c r="DY100" s="816"/>
      <c r="DZ100" s="816"/>
      <c r="EA100" s="816"/>
      <c r="EB100" s="609"/>
      <c r="EC100" s="609"/>
      <c r="ED100" s="816"/>
      <c r="EE100" s="816"/>
      <c r="EF100" s="816"/>
      <c r="EG100" s="816"/>
      <c r="EH100" s="816"/>
      <c r="EI100" s="816"/>
      <c r="EJ100" s="816"/>
      <c r="EK100" s="816"/>
      <c r="EL100" s="816"/>
      <c r="EM100" s="816"/>
      <c r="EN100" s="816"/>
      <c r="EO100" s="816"/>
      <c r="EP100" s="816"/>
      <c r="EQ100" s="816"/>
      <c r="ER100" s="816"/>
      <c r="ES100" s="816"/>
      <c r="ET100" s="816"/>
      <c r="EU100" s="816"/>
      <c r="EV100" s="816"/>
      <c r="EW100" s="816"/>
      <c r="EX100" s="816"/>
      <c r="EY100" s="816"/>
      <c r="EZ100" s="816"/>
      <c r="FA100" s="816"/>
      <c r="FB100" s="819"/>
      <c r="FC100" s="816"/>
      <c r="FD100" s="820"/>
      <c r="FE100" s="820"/>
      <c r="FF100" s="820"/>
      <c r="FG100" s="820"/>
      <c r="FH100" s="609"/>
      <c r="FI100" s="609"/>
      <c r="FJ100" s="816"/>
      <c r="FK100" s="816"/>
      <c r="FL100" s="816"/>
      <c r="FM100" s="816"/>
      <c r="FN100" s="816"/>
      <c r="FO100" s="816"/>
      <c r="FP100" s="816"/>
      <c r="FQ100" s="816"/>
      <c r="FR100" s="816"/>
      <c r="FS100" s="816"/>
      <c r="FT100" s="816"/>
      <c r="FU100" s="816"/>
      <c r="FV100" s="816"/>
      <c r="FW100" s="816"/>
      <c r="FX100" s="609"/>
      <c r="FY100" s="609"/>
      <c r="FZ100" s="816"/>
      <c r="GA100" s="816"/>
      <c r="GB100" s="609"/>
      <c r="GC100" s="609"/>
      <c r="GD100" s="609"/>
      <c r="GE100" s="816"/>
      <c r="GF100" s="816"/>
      <c r="GG100" s="609"/>
      <c r="GH100" s="609"/>
      <c r="GI100" s="816"/>
      <c r="GJ100" s="816"/>
      <c r="GK100" s="609"/>
      <c r="GL100" s="609"/>
      <c r="GM100" s="816"/>
      <c r="GN100" s="816"/>
      <c r="GO100" s="816"/>
      <c r="GP100" s="816"/>
      <c r="GQ100" s="816"/>
      <c r="GR100" s="816"/>
      <c r="GS100" s="609"/>
      <c r="GT100" s="609"/>
      <c r="GU100" s="816"/>
      <c r="GV100" s="816"/>
      <c r="GW100" s="609"/>
      <c r="GX100" s="609"/>
      <c r="GY100" s="816"/>
      <c r="GZ100" s="816"/>
      <c r="HA100" s="609"/>
      <c r="HB100" s="609"/>
      <c r="HC100" s="816"/>
      <c r="HD100" s="816"/>
      <c r="HE100" s="816"/>
      <c r="HF100" s="816"/>
      <c r="HG100" s="816"/>
      <c r="HH100" s="816"/>
      <c r="HI100" s="821"/>
      <c r="HJ100" s="609"/>
      <c r="HK100" s="816"/>
      <c r="HL100" s="816"/>
      <c r="HM100" s="822"/>
      <c r="HN100" s="609"/>
      <c r="HO100" s="816"/>
      <c r="HP100" s="816"/>
      <c r="HQ100" s="609"/>
      <c r="HR100" s="816"/>
      <c r="HS100" s="816"/>
      <c r="HT100" s="816"/>
      <c r="HU100" s="816"/>
      <c r="HV100" s="816"/>
      <c r="HW100" s="816"/>
      <c r="HX100" s="816"/>
      <c r="HY100" s="816"/>
      <c r="HZ100" s="816"/>
      <c r="IA100" s="816"/>
      <c r="IB100" s="816"/>
      <c r="IC100" s="823"/>
      <c r="ID100" s="824"/>
      <c r="IE100" s="825"/>
      <c r="IF100" s="825"/>
      <c r="IG100" s="816"/>
      <c r="II100" s="826"/>
      <c r="IJ100" s="826"/>
      <c r="IK100" s="826"/>
      <c r="IL100" s="826"/>
    </row>
    <row r="101" spans="2:246" s="780" customFormat="1"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09"/>
      <c r="P101" s="609"/>
      <c r="Q101" s="609"/>
      <c r="R101" s="609"/>
      <c r="S101" s="609"/>
      <c r="T101" s="609"/>
      <c r="U101" s="609"/>
      <c r="V101" s="609"/>
      <c r="W101" s="609"/>
      <c r="X101" s="609"/>
      <c r="Y101" s="609"/>
      <c r="Z101" s="816"/>
      <c r="AA101" s="816"/>
      <c r="AB101" s="816"/>
      <c r="AC101" s="816"/>
      <c r="AD101" s="816"/>
      <c r="AE101" s="816"/>
      <c r="AF101" s="609"/>
      <c r="AG101" s="609"/>
      <c r="AH101" s="816"/>
      <c r="AI101" s="816"/>
      <c r="AJ101" s="609"/>
      <c r="AK101" s="609"/>
      <c r="AL101" s="816"/>
      <c r="AM101" s="816"/>
      <c r="AN101" s="816"/>
      <c r="AO101" s="816"/>
      <c r="AP101" s="816"/>
      <c r="AQ101" s="816"/>
      <c r="AR101" s="609"/>
      <c r="AS101" s="609"/>
      <c r="AT101" s="816"/>
      <c r="AU101" s="816"/>
      <c r="AV101" s="817"/>
      <c r="AW101" s="609"/>
      <c r="AX101" s="609"/>
      <c r="AY101" s="816"/>
      <c r="AZ101" s="816"/>
      <c r="BA101" s="816"/>
      <c r="BB101" s="816"/>
      <c r="BC101" s="816"/>
      <c r="BD101" s="816"/>
      <c r="BE101" s="816"/>
      <c r="BF101" s="816"/>
      <c r="BG101" s="816"/>
      <c r="BH101" s="816"/>
      <c r="BI101" s="816"/>
      <c r="BJ101" s="816"/>
      <c r="BK101" s="816"/>
      <c r="BL101" s="816"/>
      <c r="BM101" s="816"/>
      <c r="BN101" s="816"/>
      <c r="BO101" s="816"/>
      <c r="BP101" s="816"/>
      <c r="BQ101" s="816"/>
      <c r="BR101" s="816"/>
      <c r="BS101" s="816"/>
      <c r="BT101" s="609"/>
      <c r="BU101" s="609"/>
      <c r="BV101" s="609"/>
      <c r="BW101" s="818"/>
      <c r="BX101" s="816"/>
      <c r="BY101" s="816"/>
      <c r="BZ101" s="816"/>
      <c r="CA101" s="816"/>
      <c r="CB101" s="816"/>
      <c r="CC101" s="816"/>
      <c r="CD101" s="816"/>
      <c r="CE101" s="816"/>
      <c r="CF101" s="820"/>
      <c r="CG101" s="820"/>
      <c r="CH101" s="820"/>
      <c r="CI101" s="820"/>
      <c r="CJ101" s="609"/>
      <c r="CK101" s="609"/>
      <c r="CL101" s="816"/>
      <c r="CM101" s="816"/>
      <c r="CN101" s="609"/>
      <c r="CO101" s="609"/>
      <c r="CP101" s="816"/>
      <c r="CQ101" s="816"/>
      <c r="CR101" s="609"/>
      <c r="CS101" s="609"/>
      <c r="CT101" s="816"/>
      <c r="CU101" s="816"/>
      <c r="CV101" s="609"/>
      <c r="CW101" s="609"/>
      <c r="CX101" s="816"/>
      <c r="CY101" s="816"/>
      <c r="CZ101" s="816"/>
      <c r="DA101" s="816"/>
      <c r="DB101" s="816"/>
      <c r="DC101" s="816"/>
      <c r="DD101" s="816"/>
      <c r="DE101" s="816"/>
      <c r="DF101" s="816"/>
      <c r="DG101" s="816"/>
      <c r="DH101" s="816"/>
      <c r="DI101" s="816"/>
      <c r="DJ101" s="816"/>
      <c r="DK101" s="816"/>
      <c r="DL101" s="609"/>
      <c r="DM101" s="609"/>
      <c r="DN101" s="816"/>
      <c r="DO101" s="816"/>
      <c r="DP101" s="816"/>
      <c r="DQ101" s="816"/>
      <c r="DR101" s="816"/>
      <c r="DS101" s="816"/>
      <c r="DT101" s="816"/>
      <c r="DU101" s="816"/>
      <c r="DV101" s="816"/>
      <c r="DW101" s="816"/>
      <c r="DX101" s="816"/>
      <c r="DY101" s="816"/>
      <c r="DZ101" s="816"/>
      <c r="EA101" s="816"/>
      <c r="EB101" s="609"/>
      <c r="EC101" s="609"/>
      <c r="ED101" s="816"/>
      <c r="EE101" s="816"/>
      <c r="EF101" s="816"/>
      <c r="EG101" s="816"/>
      <c r="EH101" s="816"/>
      <c r="EI101" s="816"/>
      <c r="EJ101" s="816"/>
      <c r="EK101" s="816"/>
      <c r="EL101" s="816"/>
      <c r="EM101" s="816"/>
      <c r="EN101" s="816"/>
      <c r="EO101" s="816"/>
      <c r="EP101" s="816"/>
      <c r="EQ101" s="816"/>
      <c r="ER101" s="816"/>
      <c r="ES101" s="816"/>
      <c r="ET101" s="816"/>
      <c r="EU101" s="816"/>
      <c r="EV101" s="816"/>
      <c r="EW101" s="816"/>
      <c r="EX101" s="816"/>
      <c r="EY101" s="816"/>
      <c r="EZ101" s="816"/>
      <c r="FA101" s="816"/>
      <c r="FB101" s="819"/>
      <c r="FC101" s="816"/>
      <c r="FD101" s="820"/>
      <c r="FE101" s="820"/>
      <c r="FF101" s="820"/>
      <c r="FG101" s="820"/>
      <c r="FH101" s="609"/>
      <c r="FI101" s="609"/>
      <c r="FJ101" s="816"/>
      <c r="FK101" s="816"/>
      <c r="FL101" s="816"/>
      <c r="FM101" s="816"/>
      <c r="FN101" s="816"/>
      <c r="FO101" s="816"/>
      <c r="FP101" s="816"/>
      <c r="FQ101" s="816"/>
      <c r="FR101" s="816"/>
      <c r="FS101" s="816"/>
      <c r="FT101" s="816"/>
      <c r="FU101" s="816"/>
      <c r="FV101" s="816"/>
      <c r="FW101" s="816"/>
      <c r="FX101" s="609"/>
      <c r="FY101" s="609"/>
      <c r="FZ101" s="816"/>
      <c r="GA101" s="816"/>
      <c r="GB101" s="609"/>
      <c r="GC101" s="609"/>
      <c r="GD101" s="609"/>
      <c r="GE101" s="816"/>
      <c r="GF101" s="816"/>
      <c r="GG101" s="609"/>
      <c r="GH101" s="609"/>
      <c r="GI101" s="816"/>
      <c r="GJ101" s="816"/>
      <c r="GK101" s="609"/>
      <c r="GL101" s="609"/>
      <c r="GM101" s="816"/>
      <c r="GN101" s="816"/>
      <c r="GO101" s="816"/>
      <c r="GP101" s="816"/>
      <c r="GQ101" s="816"/>
      <c r="GR101" s="816"/>
      <c r="GS101" s="609"/>
      <c r="GT101" s="609"/>
      <c r="GU101" s="816"/>
      <c r="GV101" s="816"/>
      <c r="GW101" s="609"/>
      <c r="GX101" s="609"/>
      <c r="GY101" s="816"/>
      <c r="GZ101" s="816"/>
      <c r="HA101" s="609"/>
      <c r="HB101" s="609"/>
      <c r="HC101" s="816"/>
      <c r="HD101" s="816"/>
      <c r="HE101" s="816"/>
      <c r="HF101" s="816"/>
      <c r="HG101" s="816"/>
      <c r="HH101" s="816"/>
      <c r="HI101" s="821"/>
      <c r="HJ101" s="609"/>
      <c r="HK101" s="816"/>
      <c r="HL101" s="816"/>
      <c r="HM101" s="822"/>
      <c r="HN101" s="609"/>
      <c r="HO101" s="816"/>
      <c r="HP101" s="816"/>
      <c r="HQ101" s="609"/>
      <c r="HR101" s="816"/>
      <c r="HS101" s="816"/>
      <c r="HT101" s="816"/>
      <c r="HU101" s="816"/>
      <c r="HV101" s="816"/>
      <c r="HW101" s="816"/>
      <c r="HX101" s="816"/>
      <c r="HY101" s="816"/>
      <c r="HZ101" s="816"/>
      <c r="IA101" s="816"/>
      <c r="IB101" s="816"/>
      <c r="IC101" s="823"/>
      <c r="ID101" s="824"/>
      <c r="IE101" s="825"/>
      <c r="IF101" s="825"/>
      <c r="IG101" s="816"/>
      <c r="II101" s="826"/>
      <c r="IJ101" s="826"/>
      <c r="IK101" s="826"/>
      <c r="IL101" s="826"/>
    </row>
    <row r="102" spans="2:246" s="780" customFormat="1">
      <c r="B102" s="609"/>
      <c r="C102" s="609"/>
      <c r="D102" s="609"/>
      <c r="E102" s="609"/>
      <c r="F102" s="609"/>
      <c r="G102" s="609"/>
      <c r="H102" s="609"/>
      <c r="I102" s="609"/>
      <c r="J102" s="609"/>
      <c r="K102" s="609"/>
      <c r="L102" s="609"/>
      <c r="M102" s="609"/>
      <c r="N102" s="609"/>
      <c r="O102" s="609"/>
      <c r="P102" s="609"/>
      <c r="Q102" s="609"/>
      <c r="R102" s="609"/>
      <c r="S102" s="609"/>
      <c r="T102" s="609"/>
      <c r="U102" s="609"/>
      <c r="V102" s="609"/>
      <c r="W102" s="609"/>
      <c r="X102" s="609"/>
      <c r="Y102" s="609"/>
      <c r="Z102" s="816"/>
      <c r="AA102" s="816"/>
      <c r="AB102" s="816"/>
      <c r="AC102" s="816"/>
      <c r="AD102" s="816"/>
      <c r="AE102" s="816"/>
      <c r="AF102" s="609"/>
      <c r="AG102" s="609"/>
      <c r="AH102" s="816"/>
      <c r="AI102" s="816"/>
      <c r="AJ102" s="609"/>
      <c r="AK102" s="609"/>
      <c r="AL102" s="816"/>
      <c r="AM102" s="816"/>
      <c r="AN102" s="816"/>
      <c r="AO102" s="816"/>
      <c r="AP102" s="816"/>
      <c r="AQ102" s="816"/>
      <c r="AR102" s="609"/>
      <c r="AS102" s="609"/>
      <c r="AT102" s="816"/>
      <c r="AU102" s="816"/>
      <c r="AV102" s="817"/>
      <c r="AW102" s="609"/>
      <c r="AX102" s="609"/>
      <c r="AY102" s="816"/>
      <c r="AZ102" s="816"/>
      <c r="BA102" s="816"/>
      <c r="BB102" s="816"/>
      <c r="BC102" s="816"/>
      <c r="BD102" s="816"/>
      <c r="BE102" s="816"/>
      <c r="BF102" s="816"/>
      <c r="BG102" s="816"/>
      <c r="BH102" s="816"/>
      <c r="BI102" s="816"/>
      <c r="BJ102" s="816"/>
      <c r="BK102" s="816"/>
      <c r="BL102" s="816"/>
      <c r="BM102" s="816"/>
      <c r="BN102" s="816"/>
      <c r="BO102" s="816"/>
      <c r="BP102" s="816"/>
      <c r="BQ102" s="816"/>
      <c r="BR102" s="816"/>
      <c r="BS102" s="816"/>
      <c r="BT102" s="609"/>
      <c r="BU102" s="609"/>
      <c r="BV102" s="609"/>
      <c r="BW102" s="818"/>
      <c r="BX102" s="816"/>
      <c r="BY102" s="816"/>
      <c r="BZ102" s="816"/>
      <c r="CA102" s="816"/>
      <c r="CB102" s="816"/>
      <c r="CC102" s="816"/>
      <c r="CD102" s="816"/>
      <c r="CE102" s="816"/>
      <c r="CF102" s="820"/>
      <c r="CG102" s="820"/>
      <c r="CH102" s="820"/>
      <c r="CI102" s="820"/>
      <c r="CJ102" s="609"/>
      <c r="CK102" s="609"/>
      <c r="CL102" s="816"/>
      <c r="CM102" s="816"/>
      <c r="CN102" s="609"/>
      <c r="CO102" s="609"/>
      <c r="CP102" s="816"/>
      <c r="CQ102" s="816"/>
      <c r="CR102" s="609"/>
      <c r="CS102" s="609"/>
      <c r="CT102" s="816"/>
      <c r="CU102" s="816"/>
      <c r="CV102" s="609"/>
      <c r="CW102" s="609"/>
      <c r="CX102" s="816"/>
      <c r="CY102" s="816"/>
      <c r="CZ102" s="816"/>
      <c r="DA102" s="816"/>
      <c r="DB102" s="816"/>
      <c r="DC102" s="816"/>
      <c r="DD102" s="816"/>
      <c r="DE102" s="816"/>
      <c r="DF102" s="816"/>
      <c r="DG102" s="816"/>
      <c r="DH102" s="816"/>
      <c r="DI102" s="816"/>
      <c r="DJ102" s="816"/>
      <c r="DK102" s="816"/>
      <c r="DL102" s="609"/>
      <c r="DM102" s="609"/>
      <c r="DN102" s="816"/>
      <c r="DO102" s="816"/>
      <c r="DP102" s="816"/>
      <c r="DQ102" s="816"/>
      <c r="DR102" s="816"/>
      <c r="DS102" s="816"/>
      <c r="DT102" s="816"/>
      <c r="DU102" s="816"/>
      <c r="DV102" s="816"/>
      <c r="DW102" s="816"/>
      <c r="DX102" s="816"/>
      <c r="DY102" s="816"/>
      <c r="DZ102" s="816"/>
      <c r="EA102" s="816"/>
      <c r="EB102" s="609"/>
      <c r="EC102" s="609"/>
      <c r="ED102" s="816"/>
      <c r="EE102" s="816"/>
      <c r="EF102" s="816"/>
      <c r="EG102" s="816"/>
      <c r="EH102" s="816"/>
      <c r="EI102" s="816"/>
      <c r="EJ102" s="816"/>
      <c r="EK102" s="816"/>
      <c r="EL102" s="816"/>
      <c r="EM102" s="816"/>
      <c r="EN102" s="816"/>
      <c r="EO102" s="816"/>
      <c r="EP102" s="816"/>
      <c r="EQ102" s="816"/>
      <c r="ER102" s="816"/>
      <c r="ES102" s="816"/>
      <c r="ET102" s="816"/>
      <c r="EU102" s="816"/>
      <c r="EV102" s="816"/>
      <c r="EW102" s="816"/>
      <c r="EX102" s="816"/>
      <c r="EY102" s="816"/>
      <c r="EZ102" s="816"/>
      <c r="FA102" s="816"/>
      <c r="FB102" s="819"/>
      <c r="FC102" s="816"/>
      <c r="FD102" s="820"/>
      <c r="FE102" s="820"/>
      <c r="FF102" s="820"/>
      <c r="FG102" s="820"/>
      <c r="FH102" s="609"/>
      <c r="FI102" s="609"/>
      <c r="FJ102" s="816"/>
      <c r="FK102" s="816"/>
      <c r="FL102" s="816"/>
      <c r="FM102" s="816"/>
      <c r="FN102" s="816"/>
      <c r="FO102" s="816"/>
      <c r="FP102" s="816"/>
      <c r="FQ102" s="816"/>
      <c r="FR102" s="816"/>
      <c r="FS102" s="816"/>
      <c r="FT102" s="816"/>
      <c r="FU102" s="816"/>
      <c r="FV102" s="816"/>
      <c r="FW102" s="816"/>
      <c r="FX102" s="609"/>
      <c r="FY102" s="609"/>
      <c r="FZ102" s="816"/>
      <c r="GA102" s="816"/>
      <c r="GB102" s="609"/>
      <c r="GC102" s="609"/>
      <c r="GD102" s="609"/>
      <c r="GE102" s="816"/>
      <c r="GF102" s="816"/>
      <c r="GG102" s="609"/>
      <c r="GH102" s="609"/>
      <c r="GI102" s="816"/>
      <c r="GJ102" s="816"/>
      <c r="GK102" s="609"/>
      <c r="GL102" s="609"/>
      <c r="GM102" s="816"/>
      <c r="GN102" s="816"/>
      <c r="GO102" s="816"/>
      <c r="GP102" s="816"/>
      <c r="GQ102" s="816"/>
      <c r="GR102" s="816"/>
      <c r="GS102" s="609"/>
      <c r="GT102" s="609"/>
      <c r="GU102" s="816"/>
      <c r="GV102" s="816"/>
      <c r="GW102" s="609"/>
      <c r="GX102" s="609"/>
      <c r="GY102" s="816"/>
      <c r="GZ102" s="816"/>
      <c r="HA102" s="609"/>
      <c r="HB102" s="609"/>
      <c r="HC102" s="816"/>
      <c r="HD102" s="816"/>
      <c r="HE102" s="816"/>
      <c r="HF102" s="816"/>
      <c r="HG102" s="816"/>
      <c r="HH102" s="816"/>
      <c r="HI102" s="821"/>
      <c r="HJ102" s="609"/>
      <c r="HK102" s="816"/>
      <c r="HL102" s="816"/>
      <c r="HM102" s="822"/>
      <c r="HN102" s="609"/>
      <c r="HO102" s="816"/>
      <c r="HP102" s="816"/>
      <c r="HQ102" s="609"/>
      <c r="HR102" s="816"/>
      <c r="HS102" s="816"/>
      <c r="HT102" s="816"/>
      <c r="HU102" s="816"/>
      <c r="HV102" s="816"/>
      <c r="HW102" s="816"/>
      <c r="HX102" s="816"/>
      <c r="HY102" s="816"/>
      <c r="HZ102" s="816"/>
      <c r="IA102" s="816"/>
      <c r="IB102" s="816"/>
      <c r="IC102" s="823"/>
      <c r="ID102" s="824"/>
      <c r="IE102" s="825"/>
      <c r="IF102" s="825"/>
      <c r="IG102" s="816"/>
      <c r="II102" s="826"/>
      <c r="IJ102" s="826"/>
      <c r="IK102" s="826"/>
      <c r="IL102" s="826"/>
    </row>
    <row r="103" spans="2:246" s="780" customFormat="1">
      <c r="B103" s="609"/>
      <c r="C103" s="609"/>
      <c r="D103" s="609"/>
      <c r="E103" s="609"/>
      <c r="F103" s="609"/>
      <c r="G103" s="609"/>
      <c r="H103" s="609"/>
      <c r="I103" s="609"/>
      <c r="J103" s="609"/>
      <c r="K103" s="609"/>
      <c r="L103" s="609"/>
      <c r="M103" s="609"/>
      <c r="N103" s="609"/>
      <c r="O103" s="609"/>
      <c r="P103" s="609"/>
      <c r="Q103" s="609"/>
      <c r="R103" s="609"/>
      <c r="S103" s="609"/>
      <c r="T103" s="609"/>
      <c r="U103" s="609"/>
      <c r="V103" s="609"/>
      <c r="W103" s="609"/>
      <c r="X103" s="609"/>
      <c r="Y103" s="609"/>
      <c r="Z103" s="816"/>
      <c r="AA103" s="816"/>
      <c r="AB103" s="816"/>
      <c r="AC103" s="816"/>
      <c r="AD103" s="816"/>
      <c r="AE103" s="816"/>
      <c r="AF103" s="609"/>
      <c r="AG103" s="609"/>
      <c r="AH103" s="816"/>
      <c r="AI103" s="816"/>
      <c r="AJ103" s="609"/>
      <c r="AK103" s="609"/>
      <c r="AL103" s="816"/>
      <c r="AM103" s="816"/>
      <c r="AN103" s="816"/>
      <c r="AO103" s="816"/>
      <c r="AP103" s="816"/>
      <c r="AQ103" s="816"/>
      <c r="AR103" s="609"/>
      <c r="AS103" s="609"/>
      <c r="AT103" s="816"/>
      <c r="AU103" s="816"/>
      <c r="AV103" s="817"/>
      <c r="AW103" s="609"/>
      <c r="AX103" s="609"/>
      <c r="AY103" s="816"/>
      <c r="AZ103" s="816"/>
      <c r="BA103" s="816"/>
      <c r="BB103" s="816"/>
      <c r="BC103" s="816"/>
      <c r="BD103" s="816"/>
      <c r="BE103" s="816"/>
      <c r="BF103" s="816"/>
      <c r="BG103" s="816"/>
      <c r="BH103" s="816"/>
      <c r="BI103" s="816"/>
      <c r="BJ103" s="816"/>
      <c r="BK103" s="816"/>
      <c r="BL103" s="816"/>
      <c r="BM103" s="816"/>
      <c r="BN103" s="816"/>
      <c r="BO103" s="816"/>
      <c r="BP103" s="816"/>
      <c r="BQ103" s="816"/>
      <c r="BR103" s="816"/>
      <c r="BS103" s="816"/>
      <c r="BT103" s="609"/>
      <c r="BU103" s="609"/>
      <c r="BV103" s="609"/>
      <c r="BW103" s="818"/>
      <c r="BX103" s="816"/>
      <c r="BY103" s="816"/>
      <c r="BZ103" s="816"/>
      <c r="CA103" s="816"/>
      <c r="CB103" s="816"/>
      <c r="CC103" s="816"/>
      <c r="CD103" s="816"/>
      <c r="CE103" s="816"/>
      <c r="CF103" s="820"/>
      <c r="CG103" s="820"/>
      <c r="CH103" s="820"/>
      <c r="CI103" s="820"/>
      <c r="CJ103" s="609"/>
      <c r="CK103" s="609"/>
      <c r="CL103" s="816"/>
      <c r="CM103" s="816"/>
      <c r="CN103" s="609"/>
      <c r="CO103" s="609"/>
      <c r="CP103" s="816"/>
      <c r="CQ103" s="816"/>
      <c r="CR103" s="609"/>
      <c r="CS103" s="609"/>
      <c r="CT103" s="816"/>
      <c r="CU103" s="816"/>
      <c r="CV103" s="609"/>
      <c r="CW103" s="609"/>
      <c r="CX103" s="816"/>
      <c r="CY103" s="816"/>
      <c r="CZ103" s="816"/>
      <c r="DA103" s="816"/>
      <c r="DB103" s="816"/>
      <c r="DC103" s="816"/>
      <c r="DD103" s="816"/>
      <c r="DE103" s="816"/>
      <c r="DF103" s="816"/>
      <c r="DG103" s="816"/>
      <c r="DH103" s="816"/>
      <c r="DI103" s="816"/>
      <c r="DJ103" s="816"/>
      <c r="DK103" s="816"/>
      <c r="DL103" s="609"/>
      <c r="DM103" s="609"/>
      <c r="DN103" s="816"/>
      <c r="DO103" s="816"/>
      <c r="DP103" s="816"/>
      <c r="DQ103" s="816"/>
      <c r="DR103" s="816"/>
      <c r="DS103" s="816"/>
      <c r="DT103" s="816"/>
      <c r="DU103" s="816"/>
      <c r="DV103" s="816"/>
      <c r="DW103" s="816"/>
      <c r="DX103" s="816"/>
      <c r="DY103" s="816"/>
      <c r="DZ103" s="816"/>
      <c r="EA103" s="816"/>
      <c r="EB103" s="609"/>
      <c r="EC103" s="609"/>
      <c r="ED103" s="816"/>
      <c r="EE103" s="816"/>
      <c r="EF103" s="816"/>
      <c r="EG103" s="816"/>
      <c r="EH103" s="816"/>
      <c r="EI103" s="816"/>
      <c r="EJ103" s="816"/>
      <c r="EK103" s="816"/>
      <c r="EL103" s="816"/>
      <c r="EM103" s="816"/>
      <c r="EN103" s="816"/>
      <c r="EO103" s="816"/>
      <c r="EP103" s="816"/>
      <c r="EQ103" s="816"/>
      <c r="ER103" s="816"/>
      <c r="ES103" s="816"/>
      <c r="ET103" s="816"/>
      <c r="EU103" s="816"/>
      <c r="EV103" s="816"/>
      <c r="EW103" s="816"/>
      <c r="EX103" s="816"/>
      <c r="EY103" s="816"/>
      <c r="EZ103" s="816"/>
      <c r="FA103" s="816"/>
      <c r="FB103" s="819"/>
      <c r="FC103" s="816"/>
      <c r="FD103" s="820"/>
      <c r="FE103" s="820"/>
      <c r="FF103" s="820"/>
      <c r="FG103" s="820"/>
      <c r="FH103" s="609"/>
      <c r="FI103" s="609"/>
      <c r="FJ103" s="816"/>
      <c r="FK103" s="816"/>
      <c r="FL103" s="816"/>
      <c r="FM103" s="816"/>
      <c r="FN103" s="816"/>
      <c r="FO103" s="816"/>
      <c r="FP103" s="816"/>
      <c r="FQ103" s="816"/>
      <c r="FR103" s="816"/>
      <c r="FS103" s="816"/>
      <c r="FT103" s="816"/>
      <c r="FU103" s="816"/>
      <c r="FV103" s="816"/>
      <c r="FW103" s="816"/>
      <c r="FX103" s="609"/>
      <c r="FY103" s="609"/>
      <c r="FZ103" s="816"/>
      <c r="GA103" s="816"/>
      <c r="GB103" s="609"/>
      <c r="GC103" s="609"/>
      <c r="GD103" s="609"/>
      <c r="GE103" s="816"/>
      <c r="GF103" s="816"/>
      <c r="GG103" s="609"/>
      <c r="GH103" s="609"/>
      <c r="GI103" s="816"/>
      <c r="GJ103" s="816"/>
      <c r="GK103" s="609"/>
      <c r="GL103" s="609"/>
      <c r="GM103" s="816"/>
      <c r="GN103" s="816"/>
      <c r="GO103" s="816"/>
      <c r="GP103" s="816"/>
      <c r="GQ103" s="816"/>
      <c r="GR103" s="816"/>
      <c r="GS103" s="609"/>
      <c r="GT103" s="609"/>
      <c r="GU103" s="816"/>
      <c r="GV103" s="816"/>
      <c r="GW103" s="609"/>
      <c r="GX103" s="609"/>
      <c r="GY103" s="816"/>
      <c r="GZ103" s="816"/>
      <c r="HA103" s="609"/>
      <c r="HB103" s="609"/>
      <c r="HC103" s="816"/>
      <c r="HD103" s="816"/>
      <c r="HE103" s="816"/>
      <c r="HF103" s="816"/>
      <c r="HG103" s="816"/>
      <c r="HH103" s="816"/>
      <c r="HI103" s="821"/>
      <c r="HJ103" s="609"/>
      <c r="HK103" s="816"/>
      <c r="HL103" s="816"/>
      <c r="HM103" s="822"/>
      <c r="HN103" s="609"/>
      <c r="HO103" s="816"/>
      <c r="HP103" s="816"/>
      <c r="HQ103" s="609"/>
      <c r="HR103" s="816"/>
      <c r="HS103" s="816"/>
      <c r="HT103" s="816"/>
      <c r="HU103" s="816"/>
      <c r="HV103" s="816"/>
      <c r="HW103" s="816"/>
      <c r="HX103" s="816"/>
      <c r="HY103" s="816"/>
      <c r="HZ103" s="816"/>
      <c r="IA103" s="816"/>
      <c r="IB103" s="816"/>
      <c r="IC103" s="823"/>
      <c r="ID103" s="824"/>
      <c r="IE103" s="825"/>
      <c r="IF103" s="825"/>
      <c r="IG103" s="816"/>
      <c r="II103" s="826"/>
      <c r="IJ103" s="826"/>
      <c r="IK103" s="826"/>
      <c r="IL103" s="826"/>
    </row>
    <row r="104" spans="2:246" s="780" customFormat="1">
      <c r="B104" s="609"/>
      <c r="C104" s="609"/>
      <c r="D104" s="609"/>
      <c r="E104" s="609"/>
      <c r="F104" s="609"/>
      <c r="G104" s="609"/>
      <c r="H104" s="609"/>
      <c r="I104" s="609"/>
      <c r="J104" s="609"/>
      <c r="K104" s="609"/>
      <c r="L104" s="609"/>
      <c r="M104" s="609"/>
      <c r="N104" s="609"/>
      <c r="O104" s="609"/>
      <c r="P104" s="609"/>
      <c r="Q104" s="609"/>
      <c r="R104" s="609"/>
      <c r="S104" s="609"/>
      <c r="T104" s="609"/>
      <c r="U104" s="609"/>
      <c r="V104" s="609"/>
      <c r="W104" s="609"/>
      <c r="X104" s="609"/>
      <c r="Y104" s="609"/>
      <c r="Z104" s="816"/>
      <c r="AA104" s="816"/>
      <c r="AB104" s="816"/>
      <c r="AC104" s="816"/>
      <c r="AD104" s="816"/>
      <c r="AE104" s="816"/>
      <c r="AF104" s="609"/>
      <c r="AG104" s="609"/>
      <c r="AH104" s="816"/>
      <c r="AI104" s="816"/>
      <c r="AJ104" s="609"/>
      <c r="AK104" s="609"/>
      <c r="AL104" s="816"/>
      <c r="AM104" s="816"/>
      <c r="AN104" s="816"/>
      <c r="AO104" s="816"/>
      <c r="AP104" s="816"/>
      <c r="AQ104" s="816"/>
      <c r="AR104" s="609"/>
      <c r="AS104" s="609"/>
      <c r="AT104" s="816"/>
      <c r="AU104" s="816"/>
      <c r="AV104" s="817"/>
      <c r="AW104" s="609"/>
      <c r="AX104" s="609"/>
      <c r="AY104" s="816"/>
      <c r="AZ104" s="816"/>
      <c r="BA104" s="816"/>
      <c r="BB104" s="816"/>
      <c r="BC104" s="816"/>
      <c r="BD104" s="816"/>
      <c r="BE104" s="816"/>
      <c r="BF104" s="816"/>
      <c r="BG104" s="816"/>
      <c r="BH104" s="816"/>
      <c r="BI104" s="816"/>
      <c r="BJ104" s="816"/>
      <c r="BK104" s="816"/>
      <c r="BL104" s="816"/>
      <c r="BM104" s="816"/>
      <c r="BN104" s="816"/>
      <c r="BO104" s="816"/>
      <c r="BP104" s="816"/>
      <c r="BQ104" s="816"/>
      <c r="BR104" s="816"/>
      <c r="BS104" s="816"/>
      <c r="BT104" s="609"/>
      <c r="BU104" s="609"/>
      <c r="BV104" s="609"/>
      <c r="BW104" s="818"/>
      <c r="BX104" s="816"/>
      <c r="BY104" s="816"/>
      <c r="BZ104" s="816"/>
      <c r="CA104" s="816"/>
      <c r="CB104" s="816"/>
      <c r="CC104" s="816"/>
      <c r="CD104" s="816"/>
      <c r="CE104" s="816"/>
      <c r="CF104" s="820"/>
      <c r="CG104" s="820"/>
      <c r="CH104" s="820"/>
      <c r="CI104" s="820"/>
      <c r="CJ104" s="609"/>
      <c r="CK104" s="609"/>
      <c r="CL104" s="816"/>
      <c r="CM104" s="816"/>
      <c r="CN104" s="609"/>
      <c r="CO104" s="609"/>
      <c r="CP104" s="816"/>
      <c r="CQ104" s="816"/>
      <c r="CR104" s="609"/>
      <c r="CS104" s="609"/>
      <c r="CT104" s="816"/>
      <c r="CU104" s="816"/>
      <c r="CV104" s="609"/>
      <c r="CW104" s="609"/>
      <c r="CX104" s="816"/>
      <c r="CY104" s="816"/>
      <c r="CZ104" s="816"/>
      <c r="DA104" s="816"/>
      <c r="DB104" s="816"/>
      <c r="DC104" s="816"/>
      <c r="DD104" s="816"/>
      <c r="DE104" s="816"/>
      <c r="DF104" s="816"/>
      <c r="DG104" s="816"/>
      <c r="DH104" s="816"/>
      <c r="DI104" s="816"/>
      <c r="DJ104" s="816"/>
      <c r="DK104" s="816"/>
      <c r="DL104" s="609"/>
      <c r="DM104" s="609"/>
      <c r="DN104" s="816"/>
      <c r="DO104" s="816"/>
      <c r="DP104" s="816"/>
      <c r="DQ104" s="816"/>
      <c r="DR104" s="816"/>
      <c r="DS104" s="816"/>
      <c r="DT104" s="816"/>
      <c r="DU104" s="816"/>
      <c r="DV104" s="816"/>
      <c r="DW104" s="816"/>
      <c r="DX104" s="816"/>
      <c r="DY104" s="816"/>
      <c r="DZ104" s="816"/>
      <c r="EA104" s="816"/>
      <c r="EB104" s="609"/>
      <c r="EC104" s="609"/>
      <c r="ED104" s="816"/>
      <c r="EE104" s="816"/>
      <c r="EF104" s="816"/>
      <c r="EG104" s="816"/>
      <c r="EH104" s="816"/>
      <c r="EI104" s="816"/>
      <c r="EJ104" s="816"/>
      <c r="EK104" s="816"/>
      <c r="EL104" s="816"/>
      <c r="EM104" s="816"/>
      <c r="EN104" s="816"/>
      <c r="EO104" s="816"/>
      <c r="EP104" s="816"/>
      <c r="EQ104" s="816"/>
      <c r="ER104" s="816"/>
      <c r="ES104" s="816"/>
      <c r="ET104" s="816"/>
      <c r="EU104" s="816"/>
      <c r="EV104" s="816"/>
      <c r="EW104" s="816"/>
      <c r="EX104" s="816"/>
      <c r="EY104" s="816"/>
      <c r="EZ104" s="816"/>
      <c r="FA104" s="816"/>
      <c r="FB104" s="819"/>
      <c r="FC104" s="816"/>
      <c r="FD104" s="820"/>
      <c r="FE104" s="820"/>
      <c r="FF104" s="820"/>
      <c r="FG104" s="820"/>
      <c r="FH104" s="609"/>
      <c r="FI104" s="609"/>
      <c r="FJ104" s="816"/>
      <c r="FK104" s="816"/>
      <c r="FL104" s="816"/>
      <c r="FM104" s="816"/>
      <c r="FN104" s="816"/>
      <c r="FO104" s="816"/>
      <c r="FP104" s="816"/>
      <c r="FQ104" s="816"/>
      <c r="FR104" s="816"/>
      <c r="FS104" s="816"/>
      <c r="FT104" s="816"/>
      <c r="FU104" s="816"/>
      <c r="FV104" s="816"/>
      <c r="FW104" s="816"/>
      <c r="FX104" s="609"/>
      <c r="FY104" s="609"/>
      <c r="FZ104" s="816"/>
      <c r="GA104" s="816"/>
      <c r="GB104" s="609"/>
      <c r="GC104" s="609"/>
      <c r="GD104" s="609"/>
      <c r="GE104" s="816"/>
      <c r="GF104" s="816"/>
      <c r="GG104" s="609"/>
      <c r="GH104" s="609"/>
      <c r="GI104" s="816"/>
      <c r="GJ104" s="816"/>
      <c r="GK104" s="609"/>
      <c r="GL104" s="609"/>
      <c r="GM104" s="816"/>
      <c r="GN104" s="816"/>
      <c r="GO104" s="816"/>
      <c r="GP104" s="816"/>
      <c r="GQ104" s="816"/>
      <c r="GR104" s="816"/>
      <c r="GS104" s="609"/>
      <c r="GT104" s="609"/>
      <c r="GU104" s="816"/>
      <c r="GV104" s="816"/>
      <c r="GW104" s="609"/>
      <c r="GX104" s="609"/>
      <c r="GY104" s="816"/>
      <c r="GZ104" s="816"/>
      <c r="HA104" s="609"/>
      <c r="HB104" s="609"/>
      <c r="HC104" s="816"/>
      <c r="HD104" s="816"/>
      <c r="HE104" s="816"/>
      <c r="HF104" s="816"/>
      <c r="HG104" s="816"/>
      <c r="HH104" s="816"/>
      <c r="HI104" s="821"/>
      <c r="HJ104" s="609"/>
      <c r="HK104" s="816"/>
      <c r="HL104" s="816"/>
      <c r="HM104" s="822"/>
      <c r="HN104" s="609"/>
      <c r="HO104" s="816"/>
      <c r="HP104" s="816"/>
      <c r="HQ104" s="609"/>
      <c r="HR104" s="816"/>
      <c r="HS104" s="816"/>
      <c r="HT104" s="816"/>
      <c r="HU104" s="816"/>
      <c r="HV104" s="816"/>
      <c r="HW104" s="816"/>
      <c r="HX104" s="816"/>
      <c r="HY104" s="816"/>
      <c r="HZ104" s="816"/>
      <c r="IA104" s="816"/>
      <c r="IB104" s="816"/>
      <c r="IC104" s="823"/>
      <c r="ID104" s="824"/>
      <c r="IE104" s="825"/>
      <c r="IF104" s="825"/>
      <c r="IG104" s="816"/>
      <c r="II104" s="826"/>
      <c r="IJ104" s="826"/>
      <c r="IK104" s="826"/>
      <c r="IL104" s="826"/>
    </row>
    <row r="105" spans="2:246" s="780" customFormat="1">
      <c r="B105" s="609"/>
      <c r="C105" s="609"/>
      <c r="D105" s="609"/>
      <c r="E105" s="609"/>
      <c r="F105" s="609"/>
      <c r="G105" s="609"/>
      <c r="H105" s="609"/>
      <c r="I105" s="609"/>
      <c r="J105" s="609"/>
      <c r="K105" s="609"/>
      <c r="L105" s="609"/>
      <c r="M105" s="609"/>
      <c r="N105" s="609"/>
      <c r="O105" s="609"/>
      <c r="P105" s="609"/>
      <c r="Q105" s="609"/>
      <c r="R105" s="609"/>
      <c r="S105" s="609"/>
      <c r="T105" s="609"/>
      <c r="U105" s="609"/>
      <c r="V105" s="609"/>
      <c r="W105" s="609"/>
      <c r="X105" s="609"/>
      <c r="Y105" s="609"/>
      <c r="Z105" s="816"/>
      <c r="AA105" s="816"/>
      <c r="AB105" s="816"/>
      <c r="AC105" s="816"/>
      <c r="AD105" s="816"/>
      <c r="AE105" s="816"/>
      <c r="AF105" s="609"/>
      <c r="AG105" s="609"/>
      <c r="AH105" s="816"/>
      <c r="AI105" s="816"/>
      <c r="AJ105" s="609"/>
      <c r="AK105" s="609"/>
      <c r="AL105" s="816"/>
      <c r="AM105" s="816"/>
      <c r="AN105" s="816"/>
      <c r="AO105" s="816"/>
      <c r="AP105" s="816"/>
      <c r="AQ105" s="816"/>
      <c r="AR105" s="609"/>
      <c r="AS105" s="609"/>
      <c r="AT105" s="816"/>
      <c r="AU105" s="816"/>
      <c r="AV105" s="817"/>
      <c r="AW105" s="609"/>
      <c r="AX105" s="609"/>
      <c r="AY105" s="816"/>
      <c r="AZ105" s="816"/>
      <c r="BA105" s="816"/>
      <c r="BB105" s="816"/>
      <c r="BC105" s="816"/>
      <c r="BD105" s="816"/>
      <c r="BE105" s="816"/>
      <c r="BF105" s="816"/>
      <c r="BG105" s="816"/>
      <c r="BH105" s="816"/>
      <c r="BI105" s="816"/>
      <c r="BJ105" s="816"/>
      <c r="BK105" s="816"/>
      <c r="BL105" s="816"/>
      <c r="BM105" s="816"/>
      <c r="BN105" s="816"/>
      <c r="BO105" s="816"/>
      <c r="BP105" s="816"/>
      <c r="BQ105" s="816"/>
      <c r="BR105" s="816"/>
      <c r="BS105" s="816"/>
      <c r="BT105" s="609"/>
      <c r="BU105" s="609"/>
      <c r="BV105" s="609"/>
      <c r="BW105" s="818"/>
      <c r="BX105" s="816"/>
      <c r="BY105" s="816"/>
      <c r="BZ105" s="816"/>
      <c r="CA105" s="816"/>
      <c r="CB105" s="816"/>
      <c r="CC105" s="816"/>
      <c r="CD105" s="816"/>
      <c r="CE105" s="816"/>
      <c r="CF105" s="820"/>
      <c r="CG105" s="820"/>
      <c r="CH105" s="820"/>
      <c r="CI105" s="820"/>
      <c r="CJ105" s="609"/>
      <c r="CK105" s="609"/>
      <c r="CL105" s="816"/>
      <c r="CM105" s="816"/>
      <c r="CN105" s="609"/>
      <c r="CO105" s="609"/>
      <c r="CP105" s="816"/>
      <c r="CQ105" s="816"/>
      <c r="CR105" s="609"/>
      <c r="CS105" s="609"/>
      <c r="CT105" s="816"/>
      <c r="CU105" s="816"/>
      <c r="CV105" s="609"/>
      <c r="CW105" s="609"/>
      <c r="CX105" s="816"/>
      <c r="CY105" s="816"/>
      <c r="CZ105" s="816"/>
      <c r="DA105" s="816"/>
      <c r="DB105" s="816"/>
      <c r="DC105" s="816"/>
      <c r="DD105" s="816"/>
      <c r="DE105" s="816"/>
      <c r="DF105" s="816"/>
      <c r="DG105" s="816"/>
      <c r="DH105" s="816"/>
      <c r="DI105" s="816"/>
      <c r="DJ105" s="816"/>
      <c r="DK105" s="816"/>
      <c r="DL105" s="609"/>
      <c r="DM105" s="609"/>
      <c r="DN105" s="816"/>
      <c r="DO105" s="816"/>
      <c r="DP105" s="816"/>
      <c r="DQ105" s="816"/>
      <c r="DR105" s="816"/>
      <c r="DS105" s="816"/>
      <c r="DT105" s="816"/>
      <c r="DU105" s="816"/>
      <c r="DV105" s="816"/>
      <c r="DW105" s="816"/>
      <c r="DX105" s="816"/>
      <c r="DY105" s="816"/>
      <c r="DZ105" s="816"/>
      <c r="EA105" s="816"/>
      <c r="EB105" s="609"/>
      <c r="EC105" s="609"/>
      <c r="ED105" s="816"/>
      <c r="EE105" s="816"/>
      <c r="EF105" s="816"/>
      <c r="EG105" s="816"/>
      <c r="EH105" s="816"/>
      <c r="EI105" s="816"/>
      <c r="EJ105" s="816"/>
      <c r="EK105" s="816"/>
      <c r="EL105" s="816"/>
      <c r="EM105" s="816"/>
      <c r="EN105" s="816"/>
      <c r="EO105" s="816"/>
      <c r="EP105" s="816"/>
      <c r="EQ105" s="816"/>
      <c r="ER105" s="816"/>
      <c r="ES105" s="816"/>
      <c r="ET105" s="816"/>
      <c r="EU105" s="816"/>
      <c r="EV105" s="816"/>
      <c r="EW105" s="816"/>
      <c r="EX105" s="816"/>
      <c r="EY105" s="816"/>
      <c r="EZ105" s="816"/>
      <c r="FA105" s="816"/>
      <c r="FB105" s="819"/>
      <c r="FC105" s="816"/>
      <c r="FD105" s="820"/>
      <c r="FE105" s="820"/>
      <c r="FF105" s="820"/>
      <c r="FG105" s="820"/>
      <c r="FH105" s="609"/>
      <c r="FI105" s="609"/>
      <c r="FJ105" s="816"/>
      <c r="FK105" s="816"/>
      <c r="FL105" s="816"/>
      <c r="FM105" s="816"/>
      <c r="FN105" s="816"/>
      <c r="FO105" s="816"/>
      <c r="FP105" s="816"/>
      <c r="FQ105" s="816"/>
      <c r="FR105" s="816"/>
      <c r="FS105" s="816"/>
      <c r="FT105" s="816"/>
      <c r="FU105" s="816"/>
      <c r="FV105" s="816"/>
      <c r="FW105" s="816"/>
      <c r="FX105" s="609"/>
      <c r="FY105" s="609"/>
      <c r="FZ105" s="816"/>
      <c r="GA105" s="816"/>
      <c r="GB105" s="609"/>
      <c r="GC105" s="609"/>
      <c r="GD105" s="609"/>
      <c r="GE105" s="816"/>
      <c r="GF105" s="816"/>
      <c r="GG105" s="609"/>
      <c r="GH105" s="609"/>
      <c r="GI105" s="816"/>
      <c r="GJ105" s="816"/>
      <c r="GK105" s="609"/>
      <c r="GL105" s="609"/>
      <c r="GM105" s="816"/>
      <c r="GN105" s="816"/>
      <c r="GO105" s="816"/>
      <c r="GP105" s="816"/>
      <c r="GQ105" s="816"/>
      <c r="GR105" s="816"/>
      <c r="GS105" s="609"/>
      <c r="GT105" s="609"/>
      <c r="GU105" s="816"/>
      <c r="GV105" s="816"/>
      <c r="GW105" s="609"/>
      <c r="GX105" s="609"/>
      <c r="GY105" s="816"/>
      <c r="GZ105" s="816"/>
      <c r="HA105" s="609"/>
      <c r="HB105" s="609"/>
      <c r="HC105" s="816"/>
      <c r="HD105" s="816"/>
      <c r="HE105" s="816"/>
      <c r="HF105" s="816"/>
      <c r="HG105" s="816"/>
      <c r="HH105" s="816"/>
      <c r="HI105" s="821"/>
      <c r="HJ105" s="609"/>
      <c r="HK105" s="816"/>
      <c r="HL105" s="816"/>
      <c r="HM105" s="822"/>
      <c r="HN105" s="609"/>
      <c r="HO105" s="816"/>
      <c r="HP105" s="816"/>
      <c r="HQ105" s="609"/>
      <c r="HR105" s="816"/>
      <c r="HS105" s="816"/>
      <c r="HT105" s="816"/>
      <c r="HU105" s="816"/>
      <c r="HV105" s="816"/>
      <c r="HW105" s="816"/>
      <c r="HX105" s="816"/>
      <c r="HY105" s="816"/>
      <c r="HZ105" s="816"/>
      <c r="IA105" s="816"/>
      <c r="IB105" s="816"/>
      <c r="IC105" s="823"/>
      <c r="ID105" s="824"/>
      <c r="IE105" s="825"/>
      <c r="IF105" s="825"/>
      <c r="IG105" s="816"/>
      <c r="II105" s="826"/>
      <c r="IJ105" s="826"/>
      <c r="IK105" s="826"/>
      <c r="IL105" s="826"/>
    </row>
    <row r="106" spans="2:246" s="780" customFormat="1">
      <c r="B106" s="609"/>
      <c r="C106" s="609"/>
      <c r="D106" s="609"/>
      <c r="E106" s="609"/>
      <c r="F106" s="609"/>
      <c r="G106" s="609"/>
      <c r="H106" s="609"/>
      <c r="I106" s="609"/>
      <c r="J106" s="609"/>
      <c r="K106" s="609"/>
      <c r="L106" s="609"/>
      <c r="M106" s="609"/>
      <c r="N106" s="609"/>
      <c r="O106" s="609"/>
      <c r="P106" s="609"/>
      <c r="Q106" s="609"/>
      <c r="R106" s="609"/>
      <c r="S106" s="609"/>
      <c r="T106" s="609"/>
      <c r="U106" s="609"/>
      <c r="V106" s="609"/>
      <c r="W106" s="609"/>
      <c r="X106" s="609"/>
      <c r="Y106" s="609"/>
      <c r="Z106" s="816"/>
      <c r="AA106" s="816"/>
      <c r="AB106" s="816"/>
      <c r="AC106" s="816"/>
      <c r="AD106" s="816"/>
      <c r="AE106" s="816"/>
      <c r="AF106" s="609"/>
      <c r="AG106" s="609"/>
      <c r="AH106" s="816"/>
      <c r="AI106" s="816"/>
      <c r="AJ106" s="609"/>
      <c r="AK106" s="609"/>
      <c r="AL106" s="816"/>
      <c r="AM106" s="816"/>
      <c r="AN106" s="816"/>
      <c r="AO106" s="816"/>
      <c r="AP106" s="816"/>
      <c r="AQ106" s="816"/>
      <c r="AR106" s="609"/>
      <c r="AS106" s="609"/>
      <c r="AT106" s="816"/>
      <c r="AU106" s="816"/>
      <c r="AV106" s="817"/>
      <c r="AW106" s="609"/>
      <c r="AX106" s="609"/>
      <c r="AY106" s="816"/>
      <c r="AZ106" s="816"/>
      <c r="BA106" s="816"/>
      <c r="BB106" s="816"/>
      <c r="BC106" s="816"/>
      <c r="BD106" s="816"/>
      <c r="BE106" s="816"/>
      <c r="BF106" s="816"/>
      <c r="BG106" s="816"/>
      <c r="BH106" s="816"/>
      <c r="BI106" s="816"/>
      <c r="BJ106" s="816"/>
      <c r="BK106" s="816"/>
      <c r="BL106" s="816"/>
      <c r="BM106" s="816"/>
      <c r="BN106" s="816"/>
      <c r="BO106" s="816"/>
      <c r="BP106" s="816"/>
      <c r="BQ106" s="816"/>
      <c r="BR106" s="816"/>
      <c r="BS106" s="816"/>
      <c r="BT106" s="609"/>
      <c r="BU106" s="609"/>
      <c r="BV106" s="609"/>
      <c r="BW106" s="818"/>
      <c r="BX106" s="816"/>
      <c r="BY106" s="816"/>
      <c r="BZ106" s="816"/>
      <c r="CA106" s="816"/>
      <c r="CB106" s="816"/>
      <c r="CC106" s="816"/>
      <c r="CD106" s="816"/>
      <c r="CE106" s="816"/>
      <c r="CF106" s="820"/>
      <c r="CG106" s="820"/>
      <c r="CH106" s="820"/>
      <c r="CI106" s="820"/>
      <c r="CJ106" s="609"/>
      <c r="CK106" s="609"/>
      <c r="CL106" s="816"/>
      <c r="CM106" s="816"/>
      <c r="CN106" s="609"/>
      <c r="CO106" s="609"/>
      <c r="CP106" s="816"/>
      <c r="CQ106" s="816"/>
      <c r="CR106" s="609"/>
      <c r="CS106" s="609"/>
      <c r="CT106" s="816"/>
      <c r="CU106" s="816"/>
      <c r="CV106" s="609"/>
      <c r="CW106" s="609"/>
      <c r="CX106" s="816"/>
      <c r="CY106" s="816"/>
      <c r="CZ106" s="816"/>
      <c r="DA106" s="816"/>
      <c r="DB106" s="816"/>
      <c r="DC106" s="816"/>
      <c r="DD106" s="816"/>
      <c r="DE106" s="816"/>
      <c r="DF106" s="816"/>
      <c r="DG106" s="816"/>
      <c r="DH106" s="816"/>
      <c r="DI106" s="816"/>
      <c r="DJ106" s="816"/>
      <c r="DK106" s="816"/>
      <c r="DL106" s="609"/>
      <c r="DM106" s="609"/>
      <c r="DN106" s="816"/>
      <c r="DO106" s="816"/>
      <c r="DP106" s="816"/>
      <c r="DQ106" s="816"/>
      <c r="DR106" s="816"/>
      <c r="DS106" s="816"/>
      <c r="DT106" s="816"/>
      <c r="DU106" s="816"/>
      <c r="DV106" s="816"/>
      <c r="DW106" s="816"/>
      <c r="DX106" s="816"/>
      <c r="DY106" s="816"/>
      <c r="DZ106" s="816"/>
      <c r="EA106" s="816"/>
      <c r="EB106" s="609"/>
      <c r="EC106" s="609"/>
      <c r="ED106" s="816"/>
      <c r="EE106" s="816"/>
      <c r="EF106" s="816"/>
      <c r="EG106" s="816"/>
      <c r="EH106" s="816"/>
      <c r="EI106" s="816"/>
      <c r="EJ106" s="816"/>
      <c r="EK106" s="816"/>
      <c r="EL106" s="816"/>
      <c r="EM106" s="816"/>
      <c r="EN106" s="816"/>
      <c r="EO106" s="816"/>
      <c r="EP106" s="816"/>
      <c r="EQ106" s="816"/>
      <c r="ER106" s="816"/>
      <c r="ES106" s="816"/>
      <c r="ET106" s="816"/>
      <c r="EU106" s="816"/>
      <c r="EV106" s="816"/>
      <c r="EW106" s="816"/>
      <c r="EX106" s="816"/>
      <c r="EY106" s="816"/>
      <c r="EZ106" s="816"/>
      <c r="FA106" s="816"/>
      <c r="FB106" s="819"/>
      <c r="FC106" s="816"/>
      <c r="FD106" s="820"/>
      <c r="FE106" s="820"/>
      <c r="FF106" s="820"/>
      <c r="FG106" s="820"/>
      <c r="FH106" s="609"/>
      <c r="FI106" s="609"/>
      <c r="FJ106" s="816"/>
      <c r="FK106" s="816"/>
      <c r="FL106" s="816"/>
      <c r="FM106" s="816"/>
      <c r="FN106" s="816"/>
      <c r="FO106" s="816"/>
      <c r="FP106" s="816"/>
      <c r="FQ106" s="816"/>
      <c r="FR106" s="816"/>
      <c r="FS106" s="816"/>
      <c r="FT106" s="816"/>
      <c r="FU106" s="816"/>
      <c r="FV106" s="816"/>
      <c r="FW106" s="816"/>
      <c r="FX106" s="609"/>
      <c r="FY106" s="609"/>
      <c r="FZ106" s="816"/>
      <c r="GA106" s="816"/>
      <c r="GB106" s="609"/>
      <c r="GC106" s="609"/>
      <c r="GD106" s="609"/>
      <c r="GE106" s="816"/>
      <c r="GF106" s="816"/>
      <c r="GG106" s="609"/>
      <c r="GH106" s="609"/>
      <c r="GI106" s="816"/>
      <c r="GJ106" s="816"/>
      <c r="GK106" s="609"/>
      <c r="GL106" s="609"/>
      <c r="GM106" s="816"/>
      <c r="GN106" s="816"/>
      <c r="GO106" s="816"/>
      <c r="GP106" s="816"/>
      <c r="GQ106" s="816"/>
      <c r="GR106" s="816"/>
      <c r="GS106" s="609"/>
      <c r="GT106" s="609"/>
      <c r="GU106" s="816"/>
      <c r="GV106" s="816"/>
      <c r="GW106" s="609"/>
      <c r="GX106" s="609"/>
      <c r="GY106" s="816"/>
      <c r="GZ106" s="816"/>
      <c r="HA106" s="609"/>
      <c r="HB106" s="609"/>
      <c r="HC106" s="816"/>
      <c r="HD106" s="816"/>
      <c r="HE106" s="816"/>
      <c r="HF106" s="816"/>
      <c r="HG106" s="816"/>
      <c r="HH106" s="816"/>
      <c r="HI106" s="821"/>
      <c r="HJ106" s="609"/>
      <c r="HK106" s="816"/>
      <c r="HL106" s="816"/>
      <c r="HM106" s="822"/>
      <c r="HN106" s="609"/>
      <c r="HO106" s="816"/>
      <c r="HP106" s="816"/>
      <c r="HQ106" s="609"/>
      <c r="HR106" s="816"/>
      <c r="HS106" s="816"/>
      <c r="HT106" s="816"/>
      <c r="HU106" s="816"/>
      <c r="HV106" s="816"/>
      <c r="HW106" s="816"/>
      <c r="HX106" s="816"/>
      <c r="HY106" s="816"/>
      <c r="HZ106" s="816"/>
      <c r="IA106" s="816"/>
      <c r="IB106" s="816"/>
      <c r="IC106" s="823"/>
      <c r="ID106" s="824"/>
      <c r="IE106" s="825"/>
      <c r="IF106" s="825"/>
      <c r="IG106" s="816"/>
      <c r="II106" s="826"/>
      <c r="IJ106" s="826"/>
      <c r="IK106" s="826"/>
      <c r="IL106" s="826"/>
    </row>
    <row r="107" spans="2:246" s="780" customFormat="1">
      <c r="B107" s="609"/>
      <c r="C107" s="609"/>
      <c r="D107" s="609"/>
      <c r="E107" s="609"/>
      <c r="F107" s="609"/>
      <c r="G107" s="609"/>
      <c r="H107" s="609"/>
      <c r="I107" s="609"/>
      <c r="J107" s="609"/>
      <c r="K107" s="609"/>
      <c r="L107" s="609"/>
      <c r="M107" s="609"/>
      <c r="N107" s="609"/>
      <c r="O107" s="609"/>
      <c r="P107" s="609"/>
      <c r="Q107" s="609"/>
      <c r="R107" s="609"/>
      <c r="S107" s="609"/>
      <c r="T107" s="609"/>
      <c r="U107" s="609"/>
      <c r="V107" s="609"/>
      <c r="W107" s="609"/>
      <c r="X107" s="609"/>
      <c r="Y107" s="609"/>
      <c r="Z107" s="816"/>
      <c r="AA107" s="816"/>
      <c r="AB107" s="816"/>
      <c r="AC107" s="816"/>
      <c r="AD107" s="816"/>
      <c r="AE107" s="816"/>
      <c r="AF107" s="609"/>
      <c r="AG107" s="609"/>
      <c r="AH107" s="816"/>
      <c r="AI107" s="816"/>
      <c r="AJ107" s="609"/>
      <c r="AK107" s="609"/>
      <c r="AL107" s="816"/>
      <c r="AM107" s="816"/>
      <c r="AN107" s="816"/>
      <c r="AO107" s="816"/>
      <c r="AP107" s="816"/>
      <c r="AQ107" s="816"/>
      <c r="AR107" s="609"/>
      <c r="AS107" s="609"/>
      <c r="AT107" s="816"/>
      <c r="AU107" s="816"/>
      <c r="AV107" s="817"/>
      <c r="AW107" s="609"/>
      <c r="AX107" s="609"/>
      <c r="AY107" s="816"/>
      <c r="AZ107" s="816"/>
      <c r="BA107" s="816"/>
      <c r="BB107" s="816"/>
      <c r="BC107" s="816"/>
      <c r="BD107" s="816"/>
      <c r="BE107" s="816"/>
      <c r="BF107" s="816"/>
      <c r="BG107" s="816"/>
      <c r="BH107" s="816"/>
      <c r="BI107" s="816"/>
      <c r="BJ107" s="816"/>
      <c r="BK107" s="816"/>
      <c r="BL107" s="816"/>
      <c r="BM107" s="816"/>
      <c r="BN107" s="816"/>
      <c r="BO107" s="816"/>
      <c r="BP107" s="816"/>
      <c r="BQ107" s="816"/>
      <c r="BR107" s="816"/>
      <c r="BS107" s="816"/>
      <c r="BT107" s="609"/>
      <c r="BU107" s="609"/>
      <c r="BV107" s="609"/>
      <c r="BW107" s="818"/>
      <c r="BX107" s="816"/>
      <c r="BY107" s="816"/>
      <c r="BZ107" s="816"/>
      <c r="CA107" s="816"/>
      <c r="CB107" s="816"/>
      <c r="CC107" s="816"/>
      <c r="CD107" s="816"/>
      <c r="CE107" s="816"/>
      <c r="CF107" s="820"/>
      <c r="CG107" s="820"/>
      <c r="CH107" s="820"/>
      <c r="CI107" s="820"/>
      <c r="CJ107" s="609"/>
      <c r="CK107" s="609"/>
      <c r="CL107" s="816"/>
      <c r="CM107" s="816"/>
      <c r="CN107" s="609"/>
      <c r="CO107" s="609"/>
      <c r="CP107" s="816"/>
      <c r="CQ107" s="816"/>
      <c r="CR107" s="609"/>
      <c r="CS107" s="609"/>
      <c r="CT107" s="816"/>
      <c r="CU107" s="816"/>
      <c r="CV107" s="609"/>
      <c r="CW107" s="609"/>
      <c r="CX107" s="816"/>
      <c r="CY107" s="816"/>
      <c r="CZ107" s="816"/>
      <c r="DA107" s="816"/>
      <c r="DB107" s="816"/>
      <c r="DC107" s="816"/>
      <c r="DD107" s="816"/>
      <c r="DE107" s="816"/>
      <c r="DF107" s="816"/>
      <c r="DG107" s="816"/>
      <c r="DH107" s="816"/>
      <c r="DI107" s="816"/>
      <c r="DJ107" s="816"/>
      <c r="DK107" s="816"/>
      <c r="DL107" s="609"/>
      <c r="DM107" s="609"/>
      <c r="DN107" s="816"/>
      <c r="DO107" s="816"/>
      <c r="DP107" s="816"/>
      <c r="DQ107" s="816"/>
      <c r="DR107" s="816"/>
      <c r="DS107" s="816"/>
      <c r="DT107" s="816"/>
      <c r="DU107" s="816"/>
      <c r="DV107" s="816"/>
      <c r="DW107" s="816"/>
      <c r="DX107" s="816"/>
      <c r="DY107" s="816"/>
      <c r="DZ107" s="816"/>
      <c r="EA107" s="816"/>
      <c r="EB107" s="609"/>
      <c r="EC107" s="609"/>
      <c r="ED107" s="816"/>
      <c r="EE107" s="816"/>
      <c r="EF107" s="816"/>
      <c r="EG107" s="816"/>
      <c r="EH107" s="816"/>
      <c r="EI107" s="816"/>
      <c r="EJ107" s="816"/>
      <c r="EK107" s="816"/>
      <c r="EL107" s="816"/>
      <c r="EM107" s="816"/>
      <c r="EN107" s="816"/>
      <c r="EO107" s="816"/>
      <c r="EP107" s="816"/>
      <c r="EQ107" s="816"/>
      <c r="ER107" s="816"/>
      <c r="ES107" s="816"/>
      <c r="ET107" s="816"/>
      <c r="EU107" s="816"/>
      <c r="EV107" s="816"/>
      <c r="EW107" s="816"/>
      <c r="EX107" s="816"/>
      <c r="EY107" s="816"/>
      <c r="EZ107" s="816"/>
      <c r="FA107" s="816"/>
      <c r="FB107" s="819"/>
      <c r="FC107" s="816"/>
      <c r="FD107" s="820"/>
      <c r="FE107" s="820"/>
      <c r="FF107" s="820"/>
      <c r="FG107" s="820"/>
      <c r="FH107" s="609"/>
      <c r="FI107" s="609"/>
      <c r="FJ107" s="816"/>
      <c r="FK107" s="816"/>
      <c r="FL107" s="816"/>
      <c r="FM107" s="816"/>
      <c r="FN107" s="816"/>
      <c r="FO107" s="816"/>
      <c r="FP107" s="816"/>
      <c r="FQ107" s="816"/>
      <c r="FR107" s="816"/>
      <c r="FS107" s="816"/>
      <c r="FT107" s="816"/>
      <c r="FU107" s="816"/>
      <c r="FV107" s="816"/>
      <c r="FW107" s="816"/>
      <c r="FX107" s="609"/>
      <c r="FY107" s="609"/>
      <c r="FZ107" s="816"/>
      <c r="GA107" s="816"/>
      <c r="GB107" s="609"/>
      <c r="GC107" s="609"/>
      <c r="GD107" s="609"/>
      <c r="GE107" s="816"/>
      <c r="GF107" s="816"/>
      <c r="GG107" s="609"/>
      <c r="GH107" s="609"/>
      <c r="GI107" s="816"/>
      <c r="GJ107" s="816"/>
      <c r="GK107" s="609"/>
      <c r="GL107" s="609"/>
      <c r="GM107" s="816"/>
      <c r="GN107" s="816"/>
      <c r="GO107" s="816"/>
      <c r="GP107" s="816"/>
      <c r="GQ107" s="816"/>
      <c r="GR107" s="816"/>
      <c r="GS107" s="609"/>
      <c r="GT107" s="609"/>
      <c r="GU107" s="816"/>
      <c r="GV107" s="816"/>
      <c r="GW107" s="609"/>
      <c r="GX107" s="609"/>
      <c r="GY107" s="816"/>
      <c r="GZ107" s="816"/>
      <c r="HA107" s="609"/>
      <c r="HB107" s="609"/>
      <c r="HC107" s="816"/>
      <c r="HD107" s="816"/>
      <c r="HE107" s="816"/>
      <c r="HF107" s="816"/>
      <c r="HG107" s="816"/>
      <c r="HH107" s="816"/>
      <c r="HI107" s="821"/>
      <c r="HJ107" s="609"/>
      <c r="HK107" s="816"/>
      <c r="HL107" s="816"/>
      <c r="HM107" s="822"/>
      <c r="HN107" s="609"/>
      <c r="HO107" s="816"/>
      <c r="HP107" s="816"/>
      <c r="HQ107" s="609"/>
      <c r="HR107" s="816"/>
      <c r="HS107" s="816"/>
      <c r="HT107" s="816"/>
      <c r="HU107" s="816"/>
      <c r="HV107" s="816"/>
      <c r="HW107" s="816"/>
      <c r="HX107" s="816"/>
      <c r="HY107" s="816"/>
      <c r="HZ107" s="816"/>
      <c r="IA107" s="816"/>
      <c r="IB107" s="816"/>
      <c r="IC107" s="823"/>
      <c r="ID107" s="824"/>
      <c r="IE107" s="825"/>
      <c r="IF107" s="825"/>
      <c r="IG107" s="816"/>
      <c r="II107" s="826"/>
      <c r="IJ107" s="826"/>
      <c r="IK107" s="826"/>
      <c r="IL107" s="826"/>
    </row>
    <row r="108" spans="2:246" s="780" customFormat="1">
      <c r="B108" s="609"/>
      <c r="C108" s="609"/>
      <c r="D108" s="609"/>
      <c r="E108" s="609"/>
      <c r="F108" s="609"/>
      <c r="G108" s="609"/>
      <c r="H108" s="609"/>
      <c r="I108" s="609"/>
      <c r="J108" s="609"/>
      <c r="K108" s="609"/>
      <c r="L108" s="609"/>
      <c r="M108" s="609"/>
      <c r="N108" s="609"/>
      <c r="O108" s="609"/>
      <c r="P108" s="609"/>
      <c r="Q108" s="609"/>
      <c r="R108" s="609"/>
      <c r="S108" s="609"/>
      <c r="T108" s="609"/>
      <c r="U108" s="609"/>
      <c r="V108" s="609"/>
      <c r="W108" s="609"/>
      <c r="X108" s="609"/>
      <c r="Y108" s="609"/>
      <c r="Z108" s="816"/>
      <c r="AA108" s="816"/>
      <c r="AB108" s="816"/>
      <c r="AC108" s="816"/>
      <c r="AD108" s="816"/>
      <c r="AE108" s="816"/>
      <c r="AF108" s="609"/>
      <c r="AG108" s="609"/>
      <c r="AH108" s="816"/>
      <c r="AI108" s="816"/>
      <c r="AJ108" s="609"/>
      <c r="AK108" s="609"/>
      <c r="AL108" s="816"/>
      <c r="AM108" s="816"/>
      <c r="AN108" s="816"/>
      <c r="AO108" s="816"/>
      <c r="AP108" s="816"/>
      <c r="AQ108" s="816"/>
      <c r="AR108" s="609"/>
      <c r="AS108" s="609"/>
      <c r="AT108" s="816"/>
      <c r="AU108" s="816"/>
      <c r="AV108" s="817"/>
      <c r="AW108" s="609"/>
      <c r="AX108" s="609"/>
      <c r="AY108" s="816"/>
      <c r="AZ108" s="816"/>
      <c r="BA108" s="816"/>
      <c r="BB108" s="816"/>
      <c r="BC108" s="816"/>
      <c r="BD108" s="816"/>
      <c r="BE108" s="816"/>
      <c r="BF108" s="816"/>
      <c r="BG108" s="816"/>
      <c r="BH108" s="816"/>
      <c r="BI108" s="816"/>
      <c r="BJ108" s="816"/>
      <c r="BK108" s="816"/>
      <c r="BL108" s="816"/>
      <c r="BM108" s="816"/>
      <c r="BN108" s="816"/>
      <c r="BO108" s="816"/>
      <c r="BP108" s="816"/>
      <c r="BQ108" s="816"/>
      <c r="BR108" s="816"/>
      <c r="BS108" s="816"/>
      <c r="BT108" s="609"/>
      <c r="BU108" s="609"/>
      <c r="BV108" s="609"/>
      <c r="BW108" s="818"/>
      <c r="BX108" s="816"/>
      <c r="BY108" s="816"/>
      <c r="BZ108" s="816"/>
      <c r="CA108" s="816"/>
      <c r="CB108" s="816"/>
      <c r="CC108" s="816"/>
      <c r="CD108" s="816"/>
      <c r="CE108" s="816"/>
      <c r="CF108" s="820"/>
      <c r="CG108" s="820"/>
      <c r="CH108" s="820"/>
      <c r="CI108" s="820"/>
      <c r="CJ108" s="609"/>
      <c r="CK108" s="609"/>
      <c r="CL108" s="816"/>
      <c r="CM108" s="816"/>
      <c r="CN108" s="609"/>
      <c r="CO108" s="609"/>
      <c r="CP108" s="816"/>
      <c r="CQ108" s="816"/>
      <c r="CR108" s="609"/>
      <c r="CS108" s="609"/>
      <c r="CT108" s="816"/>
      <c r="CU108" s="816"/>
      <c r="CV108" s="609"/>
      <c r="CW108" s="609"/>
      <c r="CX108" s="816"/>
      <c r="CY108" s="816"/>
      <c r="CZ108" s="816"/>
      <c r="DA108" s="816"/>
      <c r="DB108" s="816"/>
      <c r="DC108" s="816"/>
      <c r="DD108" s="816"/>
      <c r="DE108" s="816"/>
      <c r="DF108" s="816"/>
      <c r="DG108" s="816"/>
      <c r="DH108" s="816"/>
      <c r="DI108" s="816"/>
      <c r="DJ108" s="816"/>
      <c r="DK108" s="816"/>
      <c r="DL108" s="609"/>
      <c r="DM108" s="609"/>
      <c r="DN108" s="816"/>
      <c r="DO108" s="816"/>
      <c r="DP108" s="816"/>
      <c r="DQ108" s="816"/>
      <c r="DR108" s="816"/>
      <c r="DS108" s="816"/>
      <c r="DT108" s="816"/>
      <c r="DU108" s="816"/>
      <c r="DV108" s="816"/>
      <c r="DW108" s="816"/>
      <c r="DX108" s="816"/>
      <c r="DY108" s="816"/>
      <c r="DZ108" s="816"/>
      <c r="EA108" s="816"/>
      <c r="EB108" s="609"/>
      <c r="EC108" s="609"/>
      <c r="ED108" s="816"/>
      <c r="EE108" s="816"/>
      <c r="EF108" s="816"/>
      <c r="EG108" s="816"/>
      <c r="EH108" s="816"/>
      <c r="EI108" s="816"/>
      <c r="EJ108" s="816"/>
      <c r="EK108" s="816"/>
      <c r="EL108" s="816"/>
      <c r="EM108" s="816"/>
      <c r="EN108" s="816"/>
      <c r="EO108" s="816"/>
      <c r="EP108" s="816"/>
      <c r="EQ108" s="816"/>
      <c r="ER108" s="816"/>
      <c r="ES108" s="816"/>
      <c r="ET108" s="816"/>
      <c r="EU108" s="816"/>
      <c r="EV108" s="816"/>
      <c r="EW108" s="816"/>
      <c r="EX108" s="816"/>
      <c r="EY108" s="816"/>
      <c r="EZ108" s="816"/>
      <c r="FA108" s="816"/>
      <c r="FB108" s="819"/>
      <c r="FC108" s="816"/>
      <c r="FD108" s="820"/>
      <c r="FE108" s="820"/>
      <c r="FF108" s="820"/>
      <c r="FG108" s="820"/>
      <c r="FH108" s="609"/>
      <c r="FI108" s="609"/>
      <c r="FJ108" s="816"/>
      <c r="FK108" s="816"/>
      <c r="FL108" s="816"/>
      <c r="FM108" s="816"/>
      <c r="FN108" s="816"/>
      <c r="FO108" s="816"/>
      <c r="FP108" s="816"/>
      <c r="FQ108" s="816"/>
      <c r="FR108" s="816"/>
      <c r="FS108" s="816"/>
      <c r="FT108" s="816"/>
      <c r="FU108" s="816"/>
      <c r="FV108" s="816"/>
      <c r="FW108" s="816"/>
      <c r="FX108" s="609"/>
      <c r="FY108" s="609"/>
      <c r="FZ108" s="816"/>
      <c r="GA108" s="816"/>
      <c r="GB108" s="609"/>
      <c r="GC108" s="609"/>
      <c r="GD108" s="609"/>
      <c r="GE108" s="816"/>
      <c r="GF108" s="816"/>
      <c r="GG108" s="609"/>
      <c r="GH108" s="609"/>
      <c r="GI108" s="816"/>
      <c r="GJ108" s="816"/>
      <c r="GK108" s="609"/>
      <c r="GL108" s="609"/>
      <c r="GM108" s="816"/>
      <c r="GN108" s="816"/>
      <c r="GO108" s="816"/>
      <c r="GP108" s="816"/>
      <c r="GQ108" s="816"/>
      <c r="GR108" s="816"/>
      <c r="GS108" s="609"/>
      <c r="GT108" s="609"/>
      <c r="GU108" s="816"/>
      <c r="GV108" s="816"/>
      <c r="GW108" s="609"/>
      <c r="GX108" s="609"/>
      <c r="GY108" s="816"/>
      <c r="GZ108" s="816"/>
      <c r="HA108" s="609"/>
      <c r="HB108" s="609"/>
      <c r="HC108" s="816"/>
      <c r="HD108" s="816"/>
      <c r="HE108" s="816"/>
      <c r="HF108" s="816"/>
      <c r="HG108" s="816"/>
      <c r="HH108" s="816"/>
      <c r="HI108" s="821"/>
      <c r="HJ108" s="609"/>
      <c r="HK108" s="816"/>
      <c r="HL108" s="816"/>
      <c r="HM108" s="822"/>
      <c r="HN108" s="609"/>
      <c r="HO108" s="816"/>
      <c r="HP108" s="816"/>
      <c r="HQ108" s="609"/>
      <c r="HR108" s="816"/>
      <c r="HS108" s="816"/>
      <c r="HT108" s="816"/>
      <c r="HU108" s="816"/>
      <c r="HV108" s="816"/>
      <c r="HW108" s="816"/>
      <c r="HX108" s="816"/>
      <c r="HY108" s="816"/>
      <c r="HZ108" s="816"/>
      <c r="IA108" s="816"/>
      <c r="IB108" s="816"/>
      <c r="IC108" s="823"/>
      <c r="ID108" s="824"/>
      <c r="IE108" s="825"/>
      <c r="IF108" s="825"/>
      <c r="IG108" s="816"/>
      <c r="II108" s="826"/>
      <c r="IJ108" s="826"/>
      <c r="IK108" s="826"/>
      <c r="IL108" s="826"/>
    </row>
    <row r="109" spans="2:246" s="780" customFormat="1"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09"/>
      <c r="P109" s="609"/>
      <c r="Q109" s="609"/>
      <c r="R109" s="609"/>
      <c r="S109" s="609"/>
      <c r="T109" s="609"/>
      <c r="U109" s="609"/>
      <c r="V109" s="609"/>
      <c r="W109" s="609"/>
      <c r="X109" s="609"/>
      <c r="Y109" s="609"/>
      <c r="Z109" s="816"/>
      <c r="AA109" s="816"/>
      <c r="AB109" s="816"/>
      <c r="AC109" s="816"/>
      <c r="AD109" s="816"/>
      <c r="AE109" s="816"/>
      <c r="AF109" s="609"/>
      <c r="AG109" s="609"/>
      <c r="AH109" s="816"/>
      <c r="AI109" s="816"/>
      <c r="AJ109" s="609"/>
      <c r="AK109" s="609"/>
      <c r="AL109" s="816"/>
      <c r="AM109" s="816"/>
      <c r="AN109" s="816"/>
      <c r="AO109" s="816"/>
      <c r="AP109" s="816"/>
      <c r="AQ109" s="816"/>
      <c r="AR109" s="609"/>
      <c r="AS109" s="609"/>
      <c r="AT109" s="816"/>
      <c r="AU109" s="816"/>
      <c r="AV109" s="817"/>
      <c r="AW109" s="609"/>
      <c r="AX109" s="609"/>
      <c r="AY109" s="816"/>
      <c r="AZ109" s="816"/>
      <c r="BA109" s="816"/>
      <c r="BB109" s="816"/>
      <c r="BC109" s="816"/>
      <c r="BD109" s="816"/>
      <c r="BE109" s="816"/>
      <c r="BF109" s="816"/>
      <c r="BG109" s="816"/>
      <c r="BH109" s="816"/>
      <c r="BI109" s="816"/>
      <c r="BJ109" s="816"/>
      <c r="BK109" s="816"/>
      <c r="BL109" s="816"/>
      <c r="BM109" s="816"/>
      <c r="BN109" s="816"/>
      <c r="BO109" s="816"/>
      <c r="BP109" s="816"/>
      <c r="BQ109" s="816"/>
      <c r="BR109" s="816"/>
      <c r="BS109" s="816"/>
      <c r="BT109" s="609"/>
      <c r="BU109" s="609"/>
      <c r="BV109" s="609"/>
      <c r="BW109" s="818"/>
      <c r="BX109" s="816"/>
      <c r="BY109" s="816"/>
      <c r="BZ109" s="816"/>
      <c r="CA109" s="816"/>
      <c r="CB109" s="816"/>
      <c r="CC109" s="816"/>
      <c r="CD109" s="816"/>
      <c r="CE109" s="816"/>
      <c r="CF109" s="820"/>
      <c r="CG109" s="820"/>
      <c r="CH109" s="820"/>
      <c r="CI109" s="820"/>
      <c r="CJ109" s="609"/>
      <c r="CK109" s="609"/>
      <c r="CL109" s="816"/>
      <c r="CM109" s="816"/>
      <c r="CN109" s="609"/>
      <c r="CO109" s="609"/>
      <c r="CP109" s="816"/>
      <c r="CQ109" s="816"/>
      <c r="CR109" s="609"/>
      <c r="CS109" s="609"/>
      <c r="CT109" s="816"/>
      <c r="CU109" s="816"/>
      <c r="CV109" s="609"/>
      <c r="CW109" s="609"/>
      <c r="CX109" s="816"/>
      <c r="CY109" s="816"/>
      <c r="CZ109" s="816"/>
      <c r="DA109" s="816"/>
      <c r="DB109" s="816"/>
      <c r="DC109" s="816"/>
      <c r="DD109" s="816"/>
      <c r="DE109" s="816"/>
      <c r="DF109" s="816"/>
      <c r="DG109" s="816"/>
      <c r="DH109" s="816"/>
      <c r="DI109" s="816"/>
      <c r="DJ109" s="816"/>
      <c r="DK109" s="816"/>
      <c r="DL109" s="609"/>
      <c r="DM109" s="609"/>
      <c r="DN109" s="816"/>
      <c r="DO109" s="816"/>
      <c r="DP109" s="816"/>
      <c r="DQ109" s="816"/>
      <c r="DR109" s="816"/>
      <c r="DS109" s="816"/>
      <c r="DT109" s="816"/>
      <c r="DU109" s="816"/>
      <c r="DV109" s="816"/>
      <c r="DW109" s="816"/>
      <c r="DX109" s="816"/>
      <c r="DY109" s="816"/>
      <c r="DZ109" s="816"/>
      <c r="EA109" s="816"/>
      <c r="EB109" s="609"/>
      <c r="EC109" s="609"/>
      <c r="ED109" s="816"/>
      <c r="EE109" s="816"/>
      <c r="EF109" s="816"/>
      <c r="EG109" s="816"/>
      <c r="EH109" s="816"/>
      <c r="EI109" s="816"/>
      <c r="EJ109" s="816"/>
      <c r="EK109" s="816"/>
      <c r="EL109" s="816"/>
      <c r="EM109" s="816"/>
      <c r="EN109" s="816"/>
      <c r="EO109" s="816"/>
      <c r="EP109" s="816"/>
      <c r="EQ109" s="816"/>
      <c r="ER109" s="816"/>
      <c r="ES109" s="816"/>
      <c r="ET109" s="816"/>
      <c r="EU109" s="816"/>
      <c r="EV109" s="816"/>
      <c r="EW109" s="816"/>
      <c r="EX109" s="816"/>
      <c r="EY109" s="816"/>
      <c r="EZ109" s="816"/>
      <c r="FA109" s="816"/>
      <c r="FB109" s="819"/>
      <c r="FC109" s="816"/>
      <c r="FD109" s="820"/>
      <c r="FE109" s="820"/>
      <c r="FF109" s="820"/>
      <c r="FG109" s="820"/>
      <c r="FH109" s="609"/>
      <c r="FI109" s="609"/>
      <c r="FJ109" s="816"/>
      <c r="FK109" s="816"/>
      <c r="FL109" s="816"/>
      <c r="FM109" s="816"/>
      <c r="FN109" s="816"/>
      <c r="FO109" s="816"/>
      <c r="FP109" s="816"/>
      <c r="FQ109" s="816"/>
      <c r="FR109" s="816"/>
      <c r="FS109" s="816"/>
      <c r="FT109" s="816"/>
      <c r="FU109" s="816"/>
      <c r="FV109" s="816"/>
      <c r="FW109" s="816"/>
      <c r="FX109" s="609"/>
      <c r="FY109" s="609"/>
      <c r="FZ109" s="816"/>
      <c r="GA109" s="816"/>
      <c r="GB109" s="609"/>
      <c r="GC109" s="609"/>
      <c r="GD109" s="609"/>
      <c r="GE109" s="816"/>
      <c r="GF109" s="816"/>
      <c r="GG109" s="609"/>
      <c r="GH109" s="609"/>
      <c r="GI109" s="816"/>
      <c r="GJ109" s="816"/>
      <c r="GK109" s="609"/>
      <c r="GL109" s="609"/>
      <c r="GM109" s="816"/>
      <c r="GN109" s="816"/>
      <c r="GO109" s="816"/>
      <c r="GP109" s="816"/>
      <c r="GQ109" s="816"/>
      <c r="GR109" s="816"/>
      <c r="GS109" s="609"/>
      <c r="GT109" s="609"/>
      <c r="GU109" s="816"/>
      <c r="GV109" s="816"/>
      <c r="GW109" s="609"/>
      <c r="GX109" s="609"/>
      <c r="GY109" s="816"/>
      <c r="GZ109" s="816"/>
      <c r="HA109" s="609"/>
      <c r="HB109" s="609"/>
      <c r="HC109" s="816"/>
      <c r="HD109" s="816"/>
      <c r="HE109" s="816"/>
      <c r="HF109" s="816"/>
      <c r="HG109" s="816"/>
      <c r="HH109" s="816"/>
      <c r="HI109" s="821"/>
      <c r="HJ109" s="609"/>
      <c r="HK109" s="816"/>
      <c r="HL109" s="816"/>
      <c r="HM109" s="822"/>
      <c r="HN109" s="609"/>
      <c r="HO109" s="816"/>
      <c r="HP109" s="816"/>
      <c r="HQ109" s="609"/>
      <c r="HR109" s="816"/>
      <c r="HS109" s="816"/>
      <c r="HT109" s="816"/>
      <c r="HU109" s="816"/>
      <c r="HV109" s="816"/>
      <c r="HW109" s="816"/>
      <c r="HX109" s="816"/>
      <c r="HY109" s="816"/>
      <c r="HZ109" s="816"/>
      <c r="IA109" s="816"/>
      <c r="IB109" s="816"/>
      <c r="IC109" s="823"/>
      <c r="ID109" s="824"/>
      <c r="IE109" s="825"/>
      <c r="IF109" s="825"/>
      <c r="IG109" s="816"/>
      <c r="II109" s="826"/>
      <c r="IJ109" s="826"/>
      <c r="IK109" s="826"/>
      <c r="IL109" s="826"/>
    </row>
    <row r="110" spans="2:246" s="780" customFormat="1">
      <c r="B110" s="609"/>
      <c r="C110" s="609"/>
      <c r="D110" s="609"/>
      <c r="E110" s="609"/>
      <c r="F110" s="609"/>
      <c r="G110" s="609"/>
      <c r="H110" s="609"/>
      <c r="I110" s="609"/>
      <c r="J110" s="609"/>
      <c r="K110" s="609"/>
      <c r="L110" s="609"/>
      <c r="M110" s="609"/>
      <c r="N110" s="609"/>
      <c r="O110" s="609"/>
      <c r="P110" s="609"/>
      <c r="Q110" s="609"/>
      <c r="R110" s="609"/>
      <c r="S110" s="609"/>
      <c r="T110" s="609"/>
      <c r="U110" s="609"/>
      <c r="V110" s="609"/>
      <c r="W110" s="609"/>
      <c r="X110" s="609"/>
      <c r="Y110" s="609"/>
      <c r="Z110" s="816"/>
      <c r="AA110" s="816"/>
      <c r="AB110" s="816"/>
      <c r="AC110" s="816"/>
      <c r="AD110" s="816"/>
      <c r="AE110" s="816"/>
      <c r="AF110" s="609"/>
      <c r="AG110" s="609"/>
      <c r="AH110" s="816"/>
      <c r="AI110" s="816"/>
      <c r="AJ110" s="609"/>
      <c r="AK110" s="609"/>
      <c r="AL110" s="816"/>
      <c r="AM110" s="816"/>
      <c r="AN110" s="816"/>
      <c r="AO110" s="816"/>
      <c r="AP110" s="816"/>
      <c r="AQ110" s="816"/>
      <c r="AR110" s="609"/>
      <c r="AS110" s="609"/>
      <c r="AT110" s="816"/>
      <c r="AU110" s="816"/>
      <c r="AV110" s="817"/>
      <c r="AW110" s="609"/>
      <c r="AX110" s="609"/>
      <c r="AY110" s="816"/>
      <c r="AZ110" s="816"/>
      <c r="BA110" s="816"/>
      <c r="BB110" s="816"/>
      <c r="BC110" s="816"/>
      <c r="BD110" s="816"/>
      <c r="BE110" s="816"/>
      <c r="BF110" s="816"/>
      <c r="BG110" s="816"/>
      <c r="BH110" s="816"/>
      <c r="BI110" s="816"/>
      <c r="BJ110" s="816"/>
      <c r="BK110" s="816"/>
      <c r="BL110" s="816"/>
      <c r="BM110" s="816"/>
      <c r="BN110" s="816"/>
      <c r="BO110" s="816"/>
      <c r="BP110" s="816"/>
      <c r="BQ110" s="816"/>
      <c r="BR110" s="816"/>
      <c r="BS110" s="816"/>
      <c r="BT110" s="609"/>
      <c r="BU110" s="609"/>
      <c r="BV110" s="609"/>
      <c r="BW110" s="818"/>
      <c r="BX110" s="816"/>
      <c r="BY110" s="816"/>
      <c r="BZ110" s="816"/>
      <c r="CA110" s="816"/>
      <c r="CB110" s="816"/>
      <c r="CC110" s="816"/>
      <c r="CD110" s="816"/>
      <c r="CE110" s="816"/>
      <c r="CF110" s="820"/>
      <c r="CG110" s="820"/>
      <c r="CH110" s="820"/>
      <c r="CI110" s="820"/>
      <c r="CJ110" s="609"/>
      <c r="CK110" s="609"/>
      <c r="CL110" s="816"/>
      <c r="CM110" s="816"/>
      <c r="CN110" s="609"/>
      <c r="CO110" s="609"/>
      <c r="CP110" s="816"/>
      <c r="CQ110" s="816"/>
      <c r="CR110" s="609"/>
      <c r="CS110" s="609"/>
      <c r="CT110" s="816"/>
      <c r="CU110" s="816"/>
      <c r="CV110" s="609"/>
      <c r="CW110" s="609"/>
      <c r="CX110" s="816"/>
      <c r="CY110" s="816"/>
      <c r="CZ110" s="816"/>
      <c r="DA110" s="816"/>
      <c r="DB110" s="816"/>
      <c r="DC110" s="816"/>
      <c r="DD110" s="816"/>
      <c r="DE110" s="816"/>
      <c r="DF110" s="816"/>
      <c r="DG110" s="816"/>
      <c r="DH110" s="816"/>
      <c r="DI110" s="816"/>
      <c r="DJ110" s="816"/>
      <c r="DK110" s="816"/>
      <c r="DL110" s="609"/>
      <c r="DM110" s="609"/>
      <c r="DN110" s="816"/>
      <c r="DO110" s="816"/>
      <c r="DP110" s="816"/>
      <c r="DQ110" s="816"/>
      <c r="DR110" s="816"/>
      <c r="DS110" s="816"/>
      <c r="DT110" s="816"/>
      <c r="DU110" s="816"/>
      <c r="DV110" s="816"/>
      <c r="DW110" s="816"/>
      <c r="DX110" s="816"/>
      <c r="DY110" s="816"/>
      <c r="DZ110" s="816"/>
      <c r="EA110" s="816"/>
      <c r="EB110" s="609"/>
      <c r="EC110" s="609"/>
      <c r="ED110" s="816"/>
      <c r="EE110" s="816"/>
      <c r="EF110" s="816"/>
      <c r="EG110" s="816"/>
      <c r="EH110" s="816"/>
      <c r="EI110" s="816"/>
      <c r="EJ110" s="816"/>
      <c r="EK110" s="816"/>
      <c r="EL110" s="816"/>
      <c r="EM110" s="816"/>
      <c r="EN110" s="816"/>
      <c r="EO110" s="816"/>
      <c r="EP110" s="816"/>
      <c r="EQ110" s="816"/>
      <c r="ER110" s="816"/>
      <c r="ES110" s="816"/>
      <c r="ET110" s="816"/>
      <c r="EU110" s="816"/>
      <c r="EV110" s="816"/>
      <c r="EW110" s="816"/>
      <c r="EX110" s="816"/>
      <c r="EY110" s="816"/>
      <c r="EZ110" s="816"/>
      <c r="FA110" s="816"/>
      <c r="FB110" s="819"/>
      <c r="FC110" s="816"/>
      <c r="FD110" s="820"/>
      <c r="FE110" s="820"/>
      <c r="FF110" s="820"/>
      <c r="FG110" s="820"/>
      <c r="FH110" s="609"/>
      <c r="FI110" s="609"/>
      <c r="FJ110" s="816"/>
      <c r="FK110" s="816"/>
      <c r="FL110" s="816"/>
      <c r="FM110" s="816"/>
      <c r="FN110" s="816"/>
      <c r="FO110" s="816"/>
      <c r="FP110" s="816"/>
      <c r="FQ110" s="816"/>
      <c r="FR110" s="816"/>
      <c r="FS110" s="816"/>
      <c r="FT110" s="816"/>
      <c r="FU110" s="816"/>
      <c r="FV110" s="816"/>
      <c r="FW110" s="816"/>
      <c r="FX110" s="609"/>
      <c r="FY110" s="609"/>
      <c r="FZ110" s="816"/>
      <c r="GA110" s="816"/>
      <c r="GB110" s="609"/>
      <c r="GC110" s="609"/>
      <c r="GD110" s="609"/>
      <c r="GE110" s="816"/>
      <c r="GF110" s="816"/>
      <c r="GG110" s="609"/>
      <c r="GH110" s="609"/>
      <c r="GI110" s="816"/>
      <c r="GJ110" s="816"/>
      <c r="GK110" s="609"/>
      <c r="GL110" s="609"/>
      <c r="GM110" s="816"/>
      <c r="GN110" s="816"/>
      <c r="GO110" s="816"/>
      <c r="GP110" s="816"/>
      <c r="GQ110" s="816"/>
      <c r="GR110" s="816"/>
      <c r="GS110" s="609"/>
      <c r="GT110" s="609"/>
      <c r="GU110" s="816"/>
      <c r="GV110" s="816"/>
      <c r="GW110" s="609"/>
      <c r="GX110" s="609"/>
      <c r="GY110" s="816"/>
      <c r="GZ110" s="816"/>
      <c r="HA110" s="609"/>
      <c r="HB110" s="609"/>
      <c r="HC110" s="816"/>
      <c r="HD110" s="816"/>
      <c r="HE110" s="816"/>
      <c r="HF110" s="816"/>
      <c r="HG110" s="816"/>
      <c r="HH110" s="816"/>
      <c r="HI110" s="821"/>
      <c r="HJ110" s="609"/>
      <c r="HK110" s="816"/>
      <c r="HL110" s="816"/>
      <c r="HM110" s="822"/>
      <c r="HN110" s="609"/>
      <c r="HO110" s="816"/>
      <c r="HP110" s="816"/>
      <c r="HQ110" s="609"/>
      <c r="HR110" s="816"/>
      <c r="HS110" s="816"/>
      <c r="HT110" s="816"/>
      <c r="HU110" s="816"/>
      <c r="HV110" s="816"/>
      <c r="HW110" s="816"/>
      <c r="HX110" s="816"/>
      <c r="HY110" s="816"/>
      <c r="HZ110" s="816"/>
      <c r="IA110" s="816"/>
      <c r="IB110" s="816"/>
      <c r="IC110" s="823"/>
      <c r="ID110" s="824"/>
      <c r="IE110" s="825"/>
      <c r="IF110" s="825"/>
      <c r="IG110" s="816"/>
      <c r="II110" s="826"/>
      <c r="IJ110" s="826"/>
      <c r="IK110" s="826"/>
      <c r="IL110" s="826"/>
    </row>
    <row r="111" spans="2:246" s="780" customFormat="1">
      <c r="B111" s="609"/>
      <c r="C111" s="609"/>
      <c r="D111" s="609"/>
      <c r="E111" s="609"/>
      <c r="F111" s="609"/>
      <c r="G111" s="609"/>
      <c r="H111" s="609"/>
      <c r="I111" s="609"/>
      <c r="J111" s="609"/>
      <c r="K111" s="609"/>
      <c r="L111" s="609"/>
      <c r="M111" s="609"/>
      <c r="N111" s="609"/>
      <c r="O111" s="609"/>
      <c r="P111" s="609"/>
      <c r="Q111" s="609"/>
      <c r="R111" s="609"/>
      <c r="S111" s="609"/>
      <c r="T111" s="609"/>
      <c r="U111" s="609"/>
      <c r="V111" s="609"/>
      <c r="W111" s="609"/>
      <c r="X111" s="609"/>
      <c r="Y111" s="609"/>
      <c r="Z111" s="816"/>
      <c r="AA111" s="816"/>
      <c r="AB111" s="816"/>
      <c r="AC111" s="816"/>
      <c r="AD111" s="816"/>
      <c r="AE111" s="816"/>
      <c r="AF111" s="609"/>
      <c r="AG111" s="609"/>
      <c r="AH111" s="816"/>
      <c r="AI111" s="816"/>
      <c r="AJ111" s="609"/>
      <c r="AK111" s="609"/>
      <c r="AL111" s="816"/>
      <c r="AM111" s="816"/>
      <c r="AN111" s="816"/>
      <c r="AO111" s="816"/>
      <c r="AP111" s="816"/>
      <c r="AQ111" s="816"/>
      <c r="AR111" s="609"/>
      <c r="AS111" s="609"/>
      <c r="AT111" s="816"/>
      <c r="AU111" s="816"/>
      <c r="AV111" s="817"/>
      <c r="AW111" s="609"/>
      <c r="AX111" s="609"/>
      <c r="AY111" s="816"/>
      <c r="AZ111" s="816"/>
      <c r="BA111" s="816"/>
      <c r="BB111" s="816"/>
      <c r="BC111" s="816"/>
      <c r="BD111" s="816"/>
      <c r="BE111" s="816"/>
      <c r="BF111" s="816"/>
      <c r="BG111" s="816"/>
      <c r="BH111" s="816"/>
      <c r="BI111" s="816"/>
      <c r="BJ111" s="816"/>
      <c r="BK111" s="816"/>
      <c r="BL111" s="816"/>
      <c r="BM111" s="816"/>
      <c r="BN111" s="816"/>
      <c r="BO111" s="816"/>
      <c r="BP111" s="816"/>
      <c r="BQ111" s="816"/>
      <c r="BR111" s="816"/>
      <c r="BS111" s="816"/>
      <c r="BT111" s="609"/>
      <c r="BU111" s="609"/>
      <c r="BV111" s="609"/>
      <c r="BW111" s="818"/>
      <c r="BX111" s="816"/>
      <c r="BY111" s="816"/>
      <c r="BZ111" s="816"/>
      <c r="CA111" s="816"/>
      <c r="CB111" s="816"/>
      <c r="CC111" s="816"/>
      <c r="CD111" s="816"/>
      <c r="CE111" s="816"/>
      <c r="CF111" s="820"/>
      <c r="CG111" s="820"/>
      <c r="CH111" s="820"/>
      <c r="CI111" s="820"/>
      <c r="CJ111" s="609"/>
      <c r="CK111" s="609"/>
      <c r="CL111" s="816"/>
      <c r="CM111" s="816"/>
      <c r="CN111" s="609"/>
      <c r="CO111" s="609"/>
      <c r="CP111" s="816"/>
      <c r="CQ111" s="816"/>
      <c r="CR111" s="609"/>
      <c r="CS111" s="609"/>
      <c r="CT111" s="816"/>
      <c r="CU111" s="816"/>
      <c r="CV111" s="609"/>
      <c r="CW111" s="609"/>
      <c r="CX111" s="816"/>
      <c r="CY111" s="816"/>
      <c r="CZ111" s="816"/>
      <c r="DA111" s="816"/>
      <c r="DB111" s="816"/>
      <c r="DC111" s="816"/>
      <c r="DD111" s="816"/>
      <c r="DE111" s="816"/>
      <c r="DF111" s="816"/>
      <c r="DG111" s="816"/>
      <c r="DH111" s="816"/>
      <c r="DI111" s="816"/>
      <c r="DJ111" s="816"/>
      <c r="DK111" s="816"/>
      <c r="DL111" s="609"/>
      <c r="DM111" s="609"/>
      <c r="DN111" s="816"/>
      <c r="DO111" s="816"/>
      <c r="DP111" s="816"/>
      <c r="DQ111" s="816"/>
      <c r="DR111" s="816"/>
      <c r="DS111" s="816"/>
      <c r="DT111" s="816"/>
      <c r="DU111" s="816"/>
      <c r="DV111" s="816"/>
      <c r="DW111" s="816"/>
      <c r="DX111" s="816"/>
      <c r="DY111" s="816"/>
      <c r="DZ111" s="816"/>
      <c r="EA111" s="816"/>
      <c r="EB111" s="609"/>
      <c r="EC111" s="609"/>
      <c r="ED111" s="816"/>
      <c r="EE111" s="816"/>
      <c r="EF111" s="816"/>
      <c r="EG111" s="816"/>
      <c r="EH111" s="816"/>
      <c r="EI111" s="816"/>
      <c r="EJ111" s="816"/>
      <c r="EK111" s="816"/>
      <c r="EL111" s="816"/>
      <c r="EM111" s="816"/>
      <c r="EN111" s="816"/>
      <c r="EO111" s="816"/>
      <c r="EP111" s="816"/>
      <c r="EQ111" s="816"/>
      <c r="ER111" s="816"/>
      <c r="ES111" s="816"/>
      <c r="ET111" s="816"/>
      <c r="EU111" s="816"/>
      <c r="EV111" s="816"/>
      <c r="EW111" s="816"/>
      <c r="EX111" s="816"/>
      <c r="EY111" s="816"/>
      <c r="EZ111" s="816"/>
      <c r="FA111" s="816"/>
      <c r="FB111" s="819"/>
      <c r="FC111" s="816"/>
      <c r="FD111" s="820"/>
      <c r="FE111" s="820"/>
      <c r="FF111" s="820"/>
      <c r="FG111" s="820"/>
      <c r="FH111" s="609"/>
      <c r="FI111" s="609"/>
      <c r="FJ111" s="816"/>
      <c r="FK111" s="816"/>
      <c r="FL111" s="816"/>
      <c r="FM111" s="816"/>
      <c r="FN111" s="816"/>
      <c r="FO111" s="816"/>
      <c r="FP111" s="816"/>
      <c r="FQ111" s="816"/>
      <c r="FR111" s="816"/>
      <c r="FS111" s="816"/>
      <c r="FT111" s="816"/>
      <c r="FU111" s="816"/>
      <c r="FV111" s="816"/>
      <c r="FW111" s="816"/>
      <c r="FX111" s="609"/>
      <c r="FY111" s="609"/>
      <c r="FZ111" s="816"/>
      <c r="GA111" s="816"/>
      <c r="GB111" s="609"/>
      <c r="GC111" s="609"/>
      <c r="GD111" s="609"/>
      <c r="GE111" s="816"/>
      <c r="GF111" s="816"/>
      <c r="GG111" s="609"/>
      <c r="GH111" s="609"/>
      <c r="GI111" s="816"/>
      <c r="GJ111" s="816"/>
      <c r="GK111" s="609"/>
      <c r="GL111" s="609"/>
      <c r="GM111" s="816"/>
      <c r="GN111" s="816"/>
      <c r="GO111" s="816"/>
      <c r="GP111" s="816"/>
      <c r="GQ111" s="816"/>
      <c r="GR111" s="816"/>
      <c r="GS111" s="609"/>
      <c r="GT111" s="609"/>
      <c r="GU111" s="816"/>
      <c r="GV111" s="816"/>
      <c r="GW111" s="609"/>
      <c r="GX111" s="609"/>
      <c r="GY111" s="816"/>
      <c r="GZ111" s="816"/>
      <c r="HA111" s="609"/>
      <c r="HB111" s="609"/>
      <c r="HC111" s="816"/>
      <c r="HD111" s="816"/>
      <c r="HE111" s="816"/>
      <c r="HF111" s="816"/>
      <c r="HG111" s="816"/>
      <c r="HH111" s="816"/>
      <c r="HI111" s="821"/>
      <c r="HJ111" s="609"/>
      <c r="HK111" s="816"/>
      <c r="HL111" s="816"/>
      <c r="HM111" s="822"/>
      <c r="HN111" s="609"/>
      <c r="HO111" s="816"/>
      <c r="HP111" s="816"/>
      <c r="HQ111" s="609"/>
      <c r="HR111" s="816"/>
      <c r="HS111" s="816"/>
      <c r="HT111" s="816"/>
      <c r="HU111" s="816"/>
      <c r="HV111" s="816"/>
      <c r="HW111" s="816"/>
      <c r="HX111" s="816"/>
      <c r="HY111" s="816"/>
      <c r="HZ111" s="816"/>
      <c r="IA111" s="816"/>
      <c r="IB111" s="816"/>
      <c r="IC111" s="823"/>
      <c r="ID111" s="824"/>
      <c r="IE111" s="825"/>
      <c r="IF111" s="825"/>
      <c r="IG111" s="816"/>
      <c r="II111" s="826"/>
      <c r="IJ111" s="826"/>
      <c r="IK111" s="826"/>
      <c r="IL111" s="826"/>
    </row>
    <row r="112" spans="2:246" s="780" customFormat="1">
      <c r="B112" s="609"/>
      <c r="C112" s="609"/>
      <c r="D112" s="609"/>
      <c r="E112" s="609"/>
      <c r="F112" s="609"/>
      <c r="G112" s="609"/>
      <c r="H112" s="609"/>
      <c r="I112" s="609"/>
      <c r="J112" s="609"/>
      <c r="K112" s="609"/>
      <c r="L112" s="609"/>
      <c r="M112" s="609"/>
      <c r="N112" s="609"/>
      <c r="O112" s="609"/>
      <c r="P112" s="609"/>
      <c r="Q112" s="609"/>
      <c r="R112" s="609"/>
      <c r="S112" s="609"/>
      <c r="T112" s="609"/>
      <c r="U112" s="609"/>
      <c r="V112" s="609"/>
      <c r="W112" s="609"/>
      <c r="X112" s="609"/>
      <c r="Y112" s="609"/>
      <c r="Z112" s="816"/>
      <c r="AA112" s="816"/>
      <c r="AB112" s="816"/>
      <c r="AC112" s="816"/>
      <c r="AD112" s="816"/>
      <c r="AE112" s="816"/>
      <c r="AF112" s="609"/>
      <c r="AG112" s="609"/>
      <c r="AH112" s="816"/>
      <c r="AI112" s="816"/>
      <c r="AJ112" s="609"/>
      <c r="AK112" s="609"/>
      <c r="AL112" s="816"/>
      <c r="AM112" s="816"/>
      <c r="AN112" s="816"/>
      <c r="AO112" s="816"/>
      <c r="AP112" s="816"/>
      <c r="AQ112" s="816"/>
      <c r="AR112" s="609"/>
      <c r="AS112" s="609"/>
      <c r="AT112" s="816"/>
      <c r="AU112" s="816"/>
      <c r="AV112" s="817"/>
      <c r="AW112" s="609"/>
      <c r="AX112" s="609"/>
      <c r="AY112" s="816"/>
      <c r="AZ112" s="816"/>
      <c r="BA112" s="816"/>
      <c r="BB112" s="816"/>
      <c r="BC112" s="816"/>
      <c r="BD112" s="816"/>
      <c r="BE112" s="816"/>
      <c r="BF112" s="816"/>
      <c r="BG112" s="816"/>
      <c r="BH112" s="816"/>
      <c r="BI112" s="816"/>
      <c r="BJ112" s="816"/>
      <c r="BK112" s="816"/>
      <c r="BL112" s="816"/>
      <c r="BM112" s="816"/>
      <c r="BN112" s="816"/>
      <c r="BO112" s="816"/>
      <c r="BP112" s="816"/>
      <c r="BQ112" s="816"/>
      <c r="BR112" s="816"/>
      <c r="BS112" s="816"/>
      <c r="BT112" s="609"/>
      <c r="BU112" s="609"/>
      <c r="BV112" s="609"/>
      <c r="BW112" s="818"/>
      <c r="BX112" s="816"/>
      <c r="BY112" s="816"/>
      <c r="BZ112" s="816"/>
      <c r="CA112" s="816"/>
      <c r="CB112" s="816"/>
      <c r="CC112" s="816"/>
      <c r="CD112" s="816"/>
      <c r="CE112" s="816"/>
      <c r="CF112" s="820"/>
      <c r="CG112" s="820"/>
      <c r="CH112" s="820"/>
      <c r="CI112" s="820"/>
      <c r="CJ112" s="609"/>
      <c r="CK112" s="609"/>
      <c r="CL112" s="816"/>
      <c r="CM112" s="816"/>
      <c r="CN112" s="609"/>
      <c r="CO112" s="609"/>
      <c r="CP112" s="816"/>
      <c r="CQ112" s="816"/>
      <c r="CR112" s="609"/>
      <c r="CS112" s="609"/>
      <c r="CT112" s="816"/>
      <c r="CU112" s="816"/>
      <c r="CV112" s="609"/>
      <c r="CW112" s="609"/>
      <c r="CX112" s="816"/>
      <c r="CY112" s="816"/>
      <c r="CZ112" s="816"/>
      <c r="DA112" s="816"/>
      <c r="DB112" s="816"/>
      <c r="DC112" s="816"/>
      <c r="DD112" s="816"/>
      <c r="DE112" s="816"/>
      <c r="DF112" s="816"/>
      <c r="DG112" s="816"/>
      <c r="DH112" s="816"/>
      <c r="DI112" s="816"/>
      <c r="DJ112" s="816"/>
      <c r="DK112" s="816"/>
      <c r="DL112" s="609"/>
      <c r="DM112" s="609"/>
      <c r="DN112" s="816"/>
      <c r="DO112" s="816"/>
      <c r="DP112" s="816"/>
      <c r="DQ112" s="816"/>
      <c r="DR112" s="816"/>
      <c r="DS112" s="816"/>
      <c r="DT112" s="816"/>
      <c r="DU112" s="816"/>
      <c r="DV112" s="816"/>
      <c r="DW112" s="816"/>
      <c r="DX112" s="816"/>
      <c r="DY112" s="816"/>
      <c r="DZ112" s="816"/>
      <c r="EA112" s="816"/>
      <c r="EB112" s="609"/>
      <c r="EC112" s="609"/>
      <c r="ED112" s="816"/>
      <c r="EE112" s="816"/>
      <c r="EF112" s="816"/>
      <c r="EG112" s="816"/>
      <c r="EH112" s="816"/>
      <c r="EI112" s="816"/>
      <c r="EJ112" s="816"/>
      <c r="EK112" s="816"/>
      <c r="EL112" s="816"/>
      <c r="EM112" s="816"/>
      <c r="EN112" s="816"/>
      <c r="EO112" s="816"/>
      <c r="EP112" s="816"/>
      <c r="EQ112" s="816"/>
      <c r="ER112" s="816"/>
      <c r="ES112" s="816"/>
      <c r="ET112" s="816"/>
      <c r="EU112" s="816"/>
      <c r="EV112" s="816"/>
      <c r="EW112" s="816"/>
      <c r="EX112" s="816"/>
      <c r="EY112" s="816"/>
      <c r="EZ112" s="816"/>
      <c r="FA112" s="816"/>
      <c r="FB112" s="819"/>
      <c r="FC112" s="816"/>
      <c r="FD112" s="820"/>
      <c r="FE112" s="820"/>
      <c r="FF112" s="820"/>
      <c r="FG112" s="820"/>
      <c r="FH112" s="609"/>
      <c r="FI112" s="609"/>
      <c r="FJ112" s="816"/>
      <c r="FK112" s="816"/>
      <c r="FL112" s="816"/>
      <c r="FM112" s="816"/>
      <c r="FN112" s="816"/>
      <c r="FO112" s="816"/>
      <c r="FP112" s="816"/>
      <c r="FQ112" s="816"/>
      <c r="FR112" s="816"/>
      <c r="FS112" s="816"/>
      <c r="FT112" s="816"/>
      <c r="FU112" s="816"/>
      <c r="FV112" s="816"/>
      <c r="FW112" s="816"/>
      <c r="FX112" s="609"/>
      <c r="FY112" s="609"/>
      <c r="FZ112" s="816"/>
      <c r="GA112" s="816"/>
      <c r="GB112" s="609"/>
      <c r="GC112" s="609"/>
      <c r="GD112" s="609"/>
      <c r="GE112" s="816"/>
      <c r="GF112" s="816"/>
      <c r="GG112" s="609"/>
      <c r="GH112" s="609"/>
      <c r="GI112" s="816"/>
      <c r="GJ112" s="816"/>
      <c r="GK112" s="609"/>
      <c r="GL112" s="609"/>
      <c r="GM112" s="816"/>
      <c r="GN112" s="816"/>
      <c r="GO112" s="816"/>
      <c r="GP112" s="816"/>
      <c r="GQ112" s="816"/>
      <c r="GR112" s="816"/>
      <c r="GS112" s="609"/>
      <c r="GT112" s="609"/>
      <c r="GU112" s="816"/>
      <c r="GV112" s="816"/>
      <c r="GW112" s="609"/>
      <c r="GX112" s="609"/>
      <c r="GY112" s="816"/>
      <c r="GZ112" s="816"/>
      <c r="HA112" s="609"/>
      <c r="HB112" s="609"/>
      <c r="HC112" s="816"/>
      <c r="HD112" s="816"/>
      <c r="HE112" s="816"/>
      <c r="HF112" s="816"/>
      <c r="HG112" s="816"/>
      <c r="HH112" s="816"/>
      <c r="HI112" s="821"/>
      <c r="HJ112" s="609"/>
      <c r="HK112" s="816"/>
      <c r="HL112" s="816"/>
      <c r="HM112" s="822"/>
      <c r="HN112" s="609"/>
      <c r="HO112" s="816"/>
      <c r="HP112" s="816"/>
      <c r="HQ112" s="609"/>
      <c r="HR112" s="816"/>
      <c r="HS112" s="816"/>
      <c r="HT112" s="816"/>
      <c r="HU112" s="816"/>
      <c r="HV112" s="816"/>
      <c r="HW112" s="816"/>
      <c r="HX112" s="816"/>
      <c r="HY112" s="816"/>
      <c r="HZ112" s="816"/>
      <c r="IA112" s="816"/>
      <c r="IB112" s="816"/>
      <c r="IC112" s="823"/>
      <c r="ID112" s="824"/>
      <c r="IE112" s="825"/>
      <c r="IF112" s="825"/>
      <c r="IG112" s="816"/>
      <c r="II112" s="826"/>
      <c r="IJ112" s="826"/>
      <c r="IK112" s="826"/>
      <c r="IL112" s="826"/>
    </row>
    <row r="113" spans="2:246" s="780" customFormat="1">
      <c r="B113" s="609"/>
      <c r="C113" s="609"/>
      <c r="D113" s="609"/>
      <c r="E113" s="609"/>
      <c r="F113" s="609"/>
      <c r="G113" s="609"/>
      <c r="H113" s="609"/>
      <c r="I113" s="609"/>
      <c r="J113" s="609"/>
      <c r="K113" s="609"/>
      <c r="L113" s="609"/>
      <c r="M113" s="609"/>
      <c r="N113" s="609"/>
      <c r="O113" s="609"/>
      <c r="P113" s="609"/>
      <c r="Q113" s="609"/>
      <c r="R113" s="609"/>
      <c r="S113" s="609"/>
      <c r="T113" s="609"/>
      <c r="U113" s="609"/>
      <c r="V113" s="609"/>
      <c r="W113" s="609"/>
      <c r="X113" s="609"/>
      <c r="Y113" s="609"/>
      <c r="Z113" s="816"/>
      <c r="AA113" s="816"/>
      <c r="AB113" s="816"/>
      <c r="AC113" s="816"/>
      <c r="AD113" s="816"/>
      <c r="AE113" s="816"/>
      <c r="AF113" s="609"/>
      <c r="AG113" s="609"/>
      <c r="AH113" s="816"/>
      <c r="AI113" s="816"/>
      <c r="AJ113" s="609"/>
      <c r="AK113" s="609"/>
      <c r="AL113" s="816"/>
      <c r="AM113" s="816"/>
      <c r="AN113" s="816"/>
      <c r="AO113" s="816"/>
      <c r="AP113" s="816"/>
      <c r="AQ113" s="816"/>
      <c r="AR113" s="609"/>
      <c r="AS113" s="609"/>
      <c r="AT113" s="816"/>
      <c r="AU113" s="816"/>
      <c r="AV113" s="817"/>
      <c r="AW113" s="609"/>
      <c r="AX113" s="609"/>
      <c r="AY113" s="816"/>
      <c r="AZ113" s="816"/>
      <c r="BA113" s="816"/>
      <c r="BB113" s="816"/>
      <c r="BC113" s="816"/>
      <c r="BD113" s="816"/>
      <c r="BE113" s="816"/>
      <c r="BF113" s="816"/>
      <c r="BG113" s="816"/>
      <c r="BH113" s="816"/>
      <c r="BI113" s="816"/>
      <c r="BJ113" s="816"/>
      <c r="BK113" s="816"/>
      <c r="BL113" s="816"/>
      <c r="BM113" s="816"/>
      <c r="BN113" s="816"/>
      <c r="BO113" s="816"/>
      <c r="BP113" s="816"/>
      <c r="BQ113" s="816"/>
      <c r="BR113" s="816"/>
      <c r="BS113" s="816"/>
      <c r="BT113" s="609"/>
      <c r="BU113" s="609"/>
      <c r="BV113" s="609"/>
      <c r="BW113" s="818"/>
      <c r="BX113" s="816"/>
      <c r="BY113" s="816"/>
      <c r="BZ113" s="816"/>
      <c r="CA113" s="816"/>
      <c r="CB113" s="816"/>
      <c r="CC113" s="816"/>
      <c r="CD113" s="816"/>
      <c r="CE113" s="816"/>
      <c r="CF113" s="820"/>
      <c r="CG113" s="820"/>
      <c r="CH113" s="820"/>
      <c r="CI113" s="820"/>
      <c r="CJ113" s="609"/>
      <c r="CK113" s="609"/>
      <c r="CL113" s="816"/>
      <c r="CM113" s="816"/>
      <c r="CN113" s="609"/>
      <c r="CO113" s="609"/>
      <c r="CP113" s="816"/>
      <c r="CQ113" s="816"/>
      <c r="CR113" s="609"/>
      <c r="CS113" s="609"/>
      <c r="CT113" s="816"/>
      <c r="CU113" s="816"/>
      <c r="CV113" s="609"/>
      <c r="CW113" s="609"/>
      <c r="CX113" s="816"/>
      <c r="CY113" s="816"/>
      <c r="CZ113" s="816"/>
      <c r="DA113" s="816"/>
      <c r="DB113" s="816"/>
      <c r="DC113" s="816"/>
      <c r="DD113" s="816"/>
      <c r="DE113" s="816"/>
      <c r="DF113" s="816"/>
      <c r="DG113" s="816"/>
      <c r="DH113" s="816"/>
      <c r="DI113" s="816"/>
      <c r="DJ113" s="816"/>
      <c r="DK113" s="816"/>
      <c r="DL113" s="609"/>
      <c r="DM113" s="609"/>
      <c r="DN113" s="816"/>
      <c r="DO113" s="816"/>
      <c r="DP113" s="816"/>
      <c r="DQ113" s="816"/>
      <c r="DR113" s="816"/>
      <c r="DS113" s="816"/>
      <c r="DT113" s="816"/>
      <c r="DU113" s="816"/>
      <c r="DV113" s="816"/>
      <c r="DW113" s="816"/>
      <c r="DX113" s="816"/>
      <c r="DY113" s="816"/>
      <c r="DZ113" s="816"/>
      <c r="EA113" s="816"/>
      <c r="EB113" s="609"/>
      <c r="EC113" s="609"/>
      <c r="ED113" s="816"/>
      <c r="EE113" s="816"/>
      <c r="EF113" s="816"/>
      <c r="EG113" s="816"/>
      <c r="EH113" s="816"/>
      <c r="EI113" s="816"/>
      <c r="EJ113" s="816"/>
      <c r="EK113" s="816"/>
      <c r="EL113" s="816"/>
      <c r="EM113" s="816"/>
      <c r="EN113" s="816"/>
      <c r="EO113" s="816"/>
      <c r="EP113" s="816"/>
      <c r="EQ113" s="816"/>
      <c r="ER113" s="816"/>
      <c r="ES113" s="816"/>
      <c r="ET113" s="816"/>
      <c r="EU113" s="816"/>
      <c r="EV113" s="816"/>
      <c r="EW113" s="816"/>
      <c r="EX113" s="816"/>
      <c r="EY113" s="816"/>
      <c r="EZ113" s="816"/>
      <c r="FA113" s="816"/>
      <c r="FB113" s="819"/>
      <c r="FC113" s="816"/>
      <c r="FD113" s="820"/>
      <c r="FE113" s="820"/>
      <c r="FF113" s="820"/>
      <c r="FG113" s="820"/>
      <c r="FH113" s="609"/>
      <c r="FI113" s="609"/>
      <c r="FJ113" s="816"/>
      <c r="FK113" s="816"/>
      <c r="FL113" s="816"/>
      <c r="FM113" s="816"/>
      <c r="FN113" s="816"/>
      <c r="FO113" s="816"/>
      <c r="FP113" s="816"/>
      <c r="FQ113" s="816"/>
      <c r="FR113" s="816"/>
      <c r="FS113" s="816"/>
      <c r="FT113" s="816"/>
      <c r="FU113" s="816"/>
      <c r="FV113" s="816"/>
      <c r="FW113" s="816"/>
      <c r="FX113" s="609"/>
      <c r="FY113" s="609"/>
      <c r="FZ113" s="816"/>
      <c r="GA113" s="816"/>
      <c r="GB113" s="609"/>
      <c r="GC113" s="609"/>
      <c r="GD113" s="609"/>
      <c r="GE113" s="816"/>
      <c r="GF113" s="816"/>
      <c r="GG113" s="609"/>
      <c r="GH113" s="609"/>
      <c r="GI113" s="816"/>
      <c r="GJ113" s="816"/>
      <c r="GK113" s="609"/>
      <c r="GL113" s="609"/>
      <c r="GM113" s="816"/>
      <c r="GN113" s="816"/>
      <c r="GO113" s="816"/>
      <c r="GP113" s="816"/>
      <c r="GQ113" s="816"/>
      <c r="GR113" s="816"/>
      <c r="GS113" s="609"/>
      <c r="GT113" s="609"/>
      <c r="GU113" s="816"/>
      <c r="GV113" s="816"/>
      <c r="GW113" s="609"/>
      <c r="GX113" s="609"/>
      <c r="GY113" s="816"/>
      <c r="GZ113" s="816"/>
      <c r="HA113" s="609"/>
      <c r="HB113" s="609"/>
      <c r="HC113" s="816"/>
      <c r="HD113" s="816"/>
      <c r="HE113" s="816"/>
      <c r="HF113" s="816"/>
      <c r="HG113" s="816"/>
      <c r="HH113" s="816"/>
      <c r="HI113" s="821"/>
      <c r="HJ113" s="609"/>
      <c r="HK113" s="816"/>
      <c r="HL113" s="816"/>
      <c r="HM113" s="822"/>
      <c r="HN113" s="609"/>
      <c r="HO113" s="816"/>
      <c r="HP113" s="816"/>
      <c r="HQ113" s="609"/>
      <c r="HR113" s="816"/>
      <c r="HS113" s="816"/>
      <c r="HT113" s="816"/>
      <c r="HU113" s="816"/>
      <c r="HV113" s="816"/>
      <c r="HW113" s="816"/>
      <c r="HX113" s="816"/>
      <c r="HY113" s="816"/>
      <c r="HZ113" s="816"/>
      <c r="IA113" s="816"/>
      <c r="IB113" s="816"/>
      <c r="IC113" s="823"/>
      <c r="ID113" s="824"/>
      <c r="IE113" s="825"/>
      <c r="IF113" s="825"/>
      <c r="IG113" s="816"/>
      <c r="II113" s="826"/>
      <c r="IJ113" s="826"/>
      <c r="IK113" s="826"/>
      <c r="IL113" s="826"/>
    </row>
    <row r="114" spans="2:246" s="780" customFormat="1">
      <c r="B114" s="609"/>
      <c r="C114" s="609"/>
      <c r="D114" s="609"/>
      <c r="E114" s="609"/>
      <c r="F114" s="609"/>
      <c r="G114" s="609"/>
      <c r="H114" s="609"/>
      <c r="I114" s="609"/>
      <c r="J114" s="609"/>
      <c r="K114" s="609"/>
      <c r="L114" s="609"/>
      <c r="M114" s="609"/>
      <c r="N114" s="609"/>
      <c r="O114" s="609"/>
      <c r="P114" s="609"/>
      <c r="Q114" s="609"/>
      <c r="R114" s="609"/>
      <c r="S114" s="609"/>
      <c r="T114" s="609"/>
      <c r="U114" s="609"/>
      <c r="V114" s="609"/>
      <c r="W114" s="609"/>
      <c r="X114" s="609"/>
      <c r="Y114" s="609"/>
      <c r="Z114" s="816"/>
      <c r="AA114" s="816"/>
      <c r="AB114" s="816"/>
      <c r="AC114" s="816"/>
      <c r="AD114" s="816"/>
      <c r="AE114" s="816"/>
      <c r="AF114" s="609"/>
      <c r="AG114" s="609"/>
      <c r="AH114" s="816"/>
      <c r="AI114" s="816"/>
      <c r="AJ114" s="609"/>
      <c r="AK114" s="609"/>
      <c r="AL114" s="816"/>
      <c r="AM114" s="816"/>
      <c r="AN114" s="816"/>
      <c r="AO114" s="816"/>
      <c r="AP114" s="816"/>
      <c r="AQ114" s="816"/>
      <c r="AR114" s="609"/>
      <c r="AS114" s="609"/>
      <c r="AT114" s="816"/>
      <c r="AU114" s="816"/>
      <c r="AV114" s="817"/>
      <c r="AW114" s="609"/>
      <c r="AX114" s="609"/>
      <c r="AY114" s="816"/>
      <c r="AZ114" s="816"/>
      <c r="BA114" s="816"/>
      <c r="BB114" s="816"/>
      <c r="BC114" s="816"/>
      <c r="BD114" s="816"/>
      <c r="BE114" s="816"/>
      <c r="BF114" s="816"/>
      <c r="BG114" s="816"/>
      <c r="BH114" s="816"/>
      <c r="BI114" s="816"/>
      <c r="BJ114" s="816"/>
      <c r="BK114" s="816"/>
      <c r="BL114" s="816"/>
      <c r="BM114" s="816"/>
      <c r="BN114" s="816"/>
      <c r="BO114" s="816"/>
      <c r="BP114" s="816"/>
      <c r="BQ114" s="816"/>
      <c r="BR114" s="816"/>
      <c r="BS114" s="816"/>
      <c r="BT114" s="609"/>
      <c r="BU114" s="609"/>
      <c r="BV114" s="609"/>
      <c r="BW114" s="818"/>
      <c r="BX114" s="816"/>
      <c r="BY114" s="816"/>
      <c r="BZ114" s="816"/>
      <c r="CA114" s="816"/>
      <c r="CB114" s="816"/>
      <c r="CC114" s="816"/>
      <c r="CD114" s="816"/>
      <c r="CE114" s="816"/>
      <c r="CF114" s="820"/>
      <c r="CG114" s="820"/>
      <c r="CH114" s="820"/>
      <c r="CI114" s="820"/>
      <c r="CJ114" s="609"/>
      <c r="CK114" s="609"/>
      <c r="CL114" s="816"/>
      <c r="CM114" s="816"/>
      <c r="CN114" s="609"/>
      <c r="CO114" s="609"/>
      <c r="CP114" s="816"/>
      <c r="CQ114" s="816"/>
      <c r="CR114" s="609"/>
      <c r="CS114" s="609"/>
      <c r="CT114" s="816"/>
      <c r="CU114" s="816"/>
      <c r="CV114" s="609"/>
      <c r="CW114" s="609"/>
      <c r="CX114" s="816"/>
      <c r="CY114" s="816"/>
      <c r="CZ114" s="816"/>
      <c r="DA114" s="816"/>
      <c r="DB114" s="816"/>
      <c r="DC114" s="816"/>
      <c r="DD114" s="816"/>
      <c r="DE114" s="816"/>
      <c r="DF114" s="816"/>
      <c r="DG114" s="816"/>
      <c r="DH114" s="816"/>
      <c r="DI114" s="816"/>
      <c r="DJ114" s="816"/>
      <c r="DK114" s="816"/>
      <c r="DL114" s="609"/>
      <c r="DM114" s="609"/>
      <c r="DN114" s="816"/>
      <c r="DO114" s="816"/>
      <c r="DP114" s="816"/>
      <c r="DQ114" s="816"/>
      <c r="DR114" s="816"/>
      <c r="DS114" s="816"/>
      <c r="DT114" s="816"/>
      <c r="DU114" s="816"/>
      <c r="DV114" s="816"/>
      <c r="DW114" s="816"/>
      <c r="DX114" s="816"/>
      <c r="DY114" s="816"/>
      <c r="DZ114" s="816"/>
      <c r="EA114" s="816"/>
      <c r="EB114" s="609"/>
      <c r="EC114" s="609"/>
      <c r="ED114" s="816"/>
      <c r="EE114" s="816"/>
      <c r="EF114" s="816"/>
      <c r="EG114" s="816"/>
      <c r="EH114" s="816"/>
      <c r="EI114" s="816"/>
      <c r="EJ114" s="816"/>
      <c r="EK114" s="816"/>
      <c r="EL114" s="816"/>
      <c r="EM114" s="816"/>
      <c r="EN114" s="816"/>
      <c r="EO114" s="816"/>
      <c r="EP114" s="816"/>
      <c r="EQ114" s="816"/>
      <c r="ER114" s="816"/>
      <c r="ES114" s="816"/>
      <c r="ET114" s="816"/>
      <c r="EU114" s="816"/>
      <c r="EV114" s="816"/>
      <c r="EW114" s="816"/>
      <c r="EX114" s="816"/>
      <c r="EY114" s="816"/>
      <c r="EZ114" s="816"/>
      <c r="FA114" s="816"/>
      <c r="FB114" s="819"/>
      <c r="FC114" s="816"/>
      <c r="FD114" s="820"/>
      <c r="FE114" s="820"/>
      <c r="FF114" s="820"/>
      <c r="FG114" s="820"/>
      <c r="FH114" s="609"/>
      <c r="FI114" s="609"/>
      <c r="FJ114" s="816"/>
      <c r="FK114" s="816"/>
      <c r="FL114" s="816"/>
      <c r="FM114" s="816"/>
      <c r="FN114" s="816"/>
      <c r="FO114" s="816"/>
      <c r="FP114" s="816"/>
      <c r="FQ114" s="816"/>
      <c r="FR114" s="816"/>
      <c r="FS114" s="816"/>
      <c r="FT114" s="816"/>
      <c r="FU114" s="816"/>
      <c r="FV114" s="816"/>
      <c r="FW114" s="816"/>
      <c r="FX114" s="609"/>
      <c r="FY114" s="609"/>
      <c r="FZ114" s="816"/>
      <c r="GA114" s="816"/>
      <c r="GB114" s="609"/>
      <c r="GC114" s="609"/>
      <c r="GD114" s="609"/>
      <c r="GE114" s="816"/>
      <c r="GF114" s="816"/>
      <c r="GG114" s="609"/>
      <c r="GH114" s="609"/>
      <c r="GI114" s="816"/>
      <c r="GJ114" s="816"/>
      <c r="GK114" s="609"/>
      <c r="GL114" s="609"/>
      <c r="GM114" s="816"/>
      <c r="GN114" s="816"/>
      <c r="GO114" s="816"/>
      <c r="GP114" s="816"/>
      <c r="GQ114" s="816"/>
      <c r="GR114" s="816"/>
      <c r="GS114" s="609"/>
      <c r="GT114" s="609"/>
      <c r="GU114" s="816"/>
      <c r="GV114" s="816"/>
      <c r="GW114" s="609"/>
      <c r="GX114" s="609"/>
      <c r="GY114" s="816"/>
      <c r="GZ114" s="816"/>
      <c r="HA114" s="609"/>
      <c r="HB114" s="609"/>
      <c r="HC114" s="816"/>
      <c r="HD114" s="816"/>
      <c r="HE114" s="816"/>
      <c r="HF114" s="816"/>
      <c r="HG114" s="816"/>
      <c r="HH114" s="816"/>
      <c r="HI114" s="821"/>
      <c r="HJ114" s="609"/>
      <c r="HK114" s="816"/>
      <c r="HL114" s="816"/>
      <c r="HM114" s="822"/>
      <c r="HN114" s="609"/>
      <c r="HO114" s="816"/>
      <c r="HP114" s="816"/>
      <c r="HQ114" s="609"/>
      <c r="HR114" s="816"/>
      <c r="HS114" s="816"/>
      <c r="HT114" s="816"/>
      <c r="HU114" s="816"/>
      <c r="HV114" s="816"/>
      <c r="HW114" s="816"/>
      <c r="HX114" s="816"/>
      <c r="HY114" s="816"/>
      <c r="HZ114" s="816"/>
      <c r="IA114" s="816"/>
      <c r="IB114" s="816"/>
      <c r="IC114" s="823"/>
      <c r="ID114" s="824"/>
      <c r="IE114" s="825"/>
      <c r="IF114" s="825"/>
      <c r="IG114" s="816"/>
      <c r="II114" s="826"/>
      <c r="IJ114" s="826"/>
      <c r="IK114" s="826"/>
      <c r="IL114" s="826"/>
    </row>
    <row r="115" spans="2:246" s="780" customFormat="1">
      <c r="B115" s="609"/>
      <c r="C115" s="609"/>
      <c r="D115" s="609"/>
      <c r="E115" s="609"/>
      <c r="F115" s="609"/>
      <c r="G115" s="609"/>
      <c r="H115" s="609"/>
      <c r="I115" s="609"/>
      <c r="J115" s="609"/>
      <c r="K115" s="609"/>
      <c r="L115" s="609"/>
      <c r="M115" s="609"/>
      <c r="N115" s="609"/>
      <c r="O115" s="609"/>
      <c r="P115" s="609"/>
      <c r="Q115" s="609"/>
      <c r="R115" s="609"/>
      <c r="S115" s="609"/>
      <c r="T115" s="609"/>
      <c r="U115" s="609"/>
      <c r="V115" s="609"/>
      <c r="W115" s="609"/>
      <c r="X115" s="609"/>
      <c r="Y115" s="609"/>
      <c r="Z115" s="816"/>
      <c r="AA115" s="816"/>
      <c r="AB115" s="816"/>
      <c r="AC115" s="816"/>
      <c r="AD115" s="816"/>
      <c r="AE115" s="816"/>
      <c r="AF115" s="609"/>
      <c r="AG115" s="609"/>
      <c r="AH115" s="816"/>
      <c r="AI115" s="816"/>
      <c r="AJ115" s="609"/>
      <c r="AK115" s="609"/>
      <c r="AL115" s="816"/>
      <c r="AM115" s="816"/>
      <c r="AN115" s="816"/>
      <c r="AO115" s="816"/>
      <c r="AP115" s="816"/>
      <c r="AQ115" s="816"/>
      <c r="AR115" s="609"/>
      <c r="AS115" s="609"/>
      <c r="AT115" s="816"/>
      <c r="AU115" s="816"/>
      <c r="AV115" s="817"/>
      <c r="AW115" s="609"/>
      <c r="AX115" s="609"/>
      <c r="AY115" s="816"/>
      <c r="AZ115" s="816"/>
      <c r="BA115" s="816"/>
      <c r="BB115" s="816"/>
      <c r="BC115" s="816"/>
      <c r="BD115" s="816"/>
      <c r="BE115" s="816"/>
      <c r="BF115" s="816"/>
      <c r="BG115" s="816"/>
      <c r="BH115" s="816"/>
      <c r="BI115" s="816"/>
      <c r="BJ115" s="816"/>
      <c r="BK115" s="816"/>
      <c r="BL115" s="816"/>
      <c r="BM115" s="816"/>
      <c r="BN115" s="816"/>
      <c r="BO115" s="816"/>
      <c r="BP115" s="816"/>
      <c r="BQ115" s="816"/>
      <c r="BR115" s="816"/>
      <c r="BS115" s="816"/>
      <c r="BT115" s="609"/>
      <c r="BU115" s="609"/>
      <c r="BV115" s="609"/>
      <c r="BW115" s="818"/>
      <c r="BX115" s="816"/>
      <c r="BY115" s="816"/>
      <c r="BZ115" s="816"/>
      <c r="CA115" s="816"/>
      <c r="CB115" s="816"/>
      <c r="CC115" s="816"/>
      <c r="CD115" s="816"/>
      <c r="CE115" s="816"/>
      <c r="CF115" s="820"/>
      <c r="CG115" s="820"/>
      <c r="CH115" s="820"/>
      <c r="CI115" s="820"/>
      <c r="CJ115" s="609"/>
      <c r="CK115" s="609"/>
      <c r="CL115" s="816"/>
      <c r="CM115" s="816"/>
      <c r="CN115" s="609"/>
      <c r="CO115" s="609"/>
      <c r="CP115" s="816"/>
      <c r="CQ115" s="816"/>
      <c r="CR115" s="609"/>
      <c r="CS115" s="609"/>
      <c r="CT115" s="816"/>
      <c r="CU115" s="816"/>
      <c r="CV115" s="609"/>
      <c r="CW115" s="609"/>
      <c r="CX115" s="816"/>
      <c r="CY115" s="816"/>
      <c r="CZ115" s="816"/>
      <c r="DA115" s="816"/>
      <c r="DB115" s="816"/>
      <c r="DC115" s="816"/>
      <c r="DD115" s="816"/>
      <c r="DE115" s="816"/>
      <c r="DF115" s="816"/>
      <c r="DG115" s="816"/>
      <c r="DH115" s="816"/>
      <c r="DI115" s="816"/>
      <c r="DJ115" s="816"/>
      <c r="DK115" s="816"/>
      <c r="DL115" s="609"/>
      <c r="DM115" s="609"/>
      <c r="DN115" s="816"/>
      <c r="DO115" s="816"/>
      <c r="DP115" s="816"/>
      <c r="DQ115" s="816"/>
      <c r="DR115" s="816"/>
      <c r="DS115" s="816"/>
      <c r="DT115" s="816"/>
      <c r="DU115" s="816"/>
      <c r="DV115" s="816"/>
      <c r="DW115" s="816"/>
      <c r="DX115" s="816"/>
      <c r="DY115" s="816"/>
      <c r="DZ115" s="816"/>
      <c r="EA115" s="816"/>
      <c r="EB115" s="609"/>
      <c r="EC115" s="609"/>
      <c r="ED115" s="816"/>
      <c r="EE115" s="816"/>
      <c r="EF115" s="816"/>
      <c r="EG115" s="816"/>
      <c r="EH115" s="816"/>
      <c r="EI115" s="816"/>
      <c r="EJ115" s="816"/>
      <c r="EK115" s="816"/>
      <c r="EL115" s="816"/>
      <c r="EM115" s="816"/>
      <c r="EN115" s="816"/>
      <c r="EO115" s="816"/>
      <c r="EP115" s="816"/>
      <c r="EQ115" s="816"/>
      <c r="ER115" s="816"/>
      <c r="ES115" s="816"/>
      <c r="ET115" s="816"/>
      <c r="EU115" s="816"/>
      <c r="EV115" s="816"/>
      <c r="EW115" s="816"/>
      <c r="EX115" s="816"/>
      <c r="EY115" s="816"/>
      <c r="EZ115" s="816"/>
      <c r="FA115" s="816"/>
      <c r="FB115" s="819"/>
      <c r="FC115" s="816"/>
      <c r="FD115" s="820"/>
      <c r="FE115" s="820"/>
      <c r="FF115" s="820"/>
      <c r="FG115" s="820"/>
      <c r="FH115" s="609"/>
      <c r="FI115" s="609"/>
      <c r="FJ115" s="816"/>
      <c r="FK115" s="816"/>
      <c r="FL115" s="816"/>
      <c r="FM115" s="816"/>
      <c r="FN115" s="816"/>
      <c r="FO115" s="816"/>
      <c r="FP115" s="816"/>
      <c r="FQ115" s="816"/>
      <c r="FR115" s="816"/>
      <c r="FS115" s="816"/>
      <c r="FT115" s="816"/>
      <c r="FU115" s="816"/>
      <c r="FV115" s="816"/>
      <c r="FW115" s="816"/>
      <c r="FX115" s="609"/>
      <c r="FY115" s="609"/>
      <c r="FZ115" s="816"/>
      <c r="GA115" s="816"/>
      <c r="GB115" s="609"/>
      <c r="GC115" s="609"/>
      <c r="GD115" s="609"/>
      <c r="GE115" s="816"/>
      <c r="GF115" s="816"/>
      <c r="GG115" s="609"/>
      <c r="GH115" s="609"/>
      <c r="GI115" s="816"/>
      <c r="GJ115" s="816"/>
      <c r="GK115" s="609"/>
      <c r="GL115" s="609"/>
      <c r="GM115" s="816"/>
      <c r="GN115" s="816"/>
      <c r="GO115" s="816"/>
      <c r="GP115" s="816"/>
      <c r="GQ115" s="816"/>
      <c r="GR115" s="816"/>
      <c r="GS115" s="609"/>
      <c r="GT115" s="609"/>
      <c r="GU115" s="816"/>
      <c r="GV115" s="816"/>
      <c r="GW115" s="609"/>
      <c r="GX115" s="609"/>
      <c r="GY115" s="816"/>
      <c r="GZ115" s="816"/>
      <c r="HA115" s="609"/>
      <c r="HB115" s="609"/>
      <c r="HC115" s="816"/>
      <c r="HD115" s="816"/>
      <c r="HE115" s="816"/>
      <c r="HF115" s="816"/>
      <c r="HG115" s="816"/>
      <c r="HH115" s="816"/>
      <c r="HI115" s="821"/>
      <c r="HJ115" s="609"/>
      <c r="HK115" s="816"/>
      <c r="HL115" s="816"/>
      <c r="HM115" s="822"/>
      <c r="HN115" s="609"/>
      <c r="HO115" s="816"/>
      <c r="HP115" s="816"/>
      <c r="HQ115" s="609"/>
      <c r="HR115" s="816"/>
      <c r="HS115" s="816"/>
      <c r="HT115" s="816"/>
      <c r="HU115" s="816"/>
      <c r="HV115" s="816"/>
      <c r="HW115" s="816"/>
      <c r="HX115" s="816"/>
      <c r="HY115" s="816"/>
      <c r="HZ115" s="816"/>
      <c r="IA115" s="816"/>
      <c r="IB115" s="816"/>
      <c r="IC115" s="823"/>
      <c r="ID115" s="824"/>
      <c r="IE115" s="825"/>
      <c r="IF115" s="825"/>
      <c r="IG115" s="816"/>
      <c r="II115" s="826"/>
      <c r="IJ115" s="826"/>
      <c r="IK115" s="826"/>
      <c r="IL115" s="826"/>
    </row>
    <row r="116" spans="2:246" s="780" customFormat="1">
      <c r="B116" s="609"/>
      <c r="C116" s="609"/>
      <c r="D116" s="609"/>
      <c r="E116" s="609"/>
      <c r="F116" s="609"/>
      <c r="G116" s="609"/>
      <c r="H116" s="609"/>
      <c r="I116" s="609"/>
      <c r="J116" s="609"/>
      <c r="K116" s="609"/>
      <c r="L116" s="609"/>
      <c r="M116" s="609"/>
      <c r="N116" s="609"/>
      <c r="O116" s="609"/>
      <c r="P116" s="609"/>
      <c r="Q116" s="609"/>
      <c r="R116" s="609"/>
      <c r="S116" s="609"/>
      <c r="T116" s="609"/>
      <c r="U116" s="609"/>
      <c r="V116" s="609"/>
      <c r="W116" s="609"/>
      <c r="X116" s="609"/>
      <c r="Y116" s="609"/>
      <c r="Z116" s="816"/>
      <c r="AA116" s="816"/>
      <c r="AB116" s="816"/>
      <c r="AC116" s="816"/>
      <c r="AD116" s="816"/>
      <c r="AE116" s="816"/>
      <c r="AF116" s="609"/>
      <c r="AG116" s="609"/>
      <c r="AH116" s="816"/>
      <c r="AI116" s="816"/>
      <c r="AJ116" s="609"/>
      <c r="AK116" s="609"/>
      <c r="AL116" s="816"/>
      <c r="AM116" s="816"/>
      <c r="AN116" s="816"/>
      <c r="AO116" s="816"/>
      <c r="AP116" s="816"/>
      <c r="AQ116" s="816"/>
      <c r="AR116" s="609"/>
      <c r="AS116" s="609"/>
      <c r="AT116" s="816"/>
      <c r="AU116" s="816"/>
      <c r="AV116" s="817"/>
      <c r="AW116" s="609"/>
      <c r="AX116" s="609"/>
      <c r="AY116" s="816"/>
      <c r="AZ116" s="816"/>
      <c r="BA116" s="816"/>
      <c r="BB116" s="816"/>
      <c r="BC116" s="816"/>
      <c r="BD116" s="816"/>
      <c r="BE116" s="816"/>
      <c r="BF116" s="816"/>
      <c r="BG116" s="816"/>
      <c r="BH116" s="816"/>
      <c r="BI116" s="816"/>
      <c r="BJ116" s="816"/>
      <c r="BK116" s="816"/>
      <c r="BL116" s="816"/>
      <c r="BM116" s="816"/>
      <c r="BN116" s="816"/>
      <c r="BO116" s="816"/>
      <c r="BP116" s="816"/>
      <c r="BQ116" s="816"/>
      <c r="BR116" s="816"/>
      <c r="BS116" s="816"/>
      <c r="BT116" s="609"/>
      <c r="BU116" s="609"/>
      <c r="BV116" s="609"/>
      <c r="BW116" s="818"/>
      <c r="BX116" s="816"/>
      <c r="BY116" s="816"/>
      <c r="BZ116" s="816"/>
      <c r="CA116" s="816"/>
      <c r="CB116" s="816"/>
      <c r="CC116" s="816"/>
      <c r="CD116" s="816"/>
      <c r="CE116" s="816"/>
      <c r="CF116" s="820"/>
      <c r="CG116" s="820"/>
      <c r="CH116" s="820"/>
      <c r="CI116" s="820"/>
      <c r="CJ116" s="609"/>
      <c r="CK116" s="609"/>
      <c r="CL116" s="816"/>
      <c r="CM116" s="816"/>
      <c r="CN116" s="609"/>
      <c r="CO116" s="609"/>
      <c r="CP116" s="816"/>
      <c r="CQ116" s="816"/>
      <c r="CR116" s="609"/>
      <c r="CS116" s="609"/>
      <c r="CT116" s="816"/>
      <c r="CU116" s="816"/>
      <c r="CV116" s="609"/>
      <c r="CW116" s="609"/>
      <c r="CX116" s="816"/>
      <c r="CY116" s="816"/>
      <c r="CZ116" s="816"/>
      <c r="DA116" s="816"/>
      <c r="DB116" s="816"/>
      <c r="DC116" s="816"/>
      <c r="DD116" s="816"/>
      <c r="DE116" s="816"/>
      <c r="DF116" s="816"/>
      <c r="DG116" s="816"/>
      <c r="DH116" s="816"/>
      <c r="DI116" s="816"/>
      <c r="DJ116" s="816"/>
      <c r="DK116" s="816"/>
      <c r="DL116" s="609"/>
      <c r="DM116" s="609"/>
      <c r="DN116" s="816"/>
      <c r="DO116" s="816"/>
      <c r="DP116" s="816"/>
      <c r="DQ116" s="816"/>
      <c r="DR116" s="816"/>
      <c r="DS116" s="816"/>
      <c r="DT116" s="816"/>
      <c r="DU116" s="816"/>
      <c r="DV116" s="816"/>
      <c r="DW116" s="816"/>
      <c r="DX116" s="816"/>
      <c r="DY116" s="816"/>
      <c r="DZ116" s="816"/>
      <c r="EA116" s="816"/>
      <c r="EB116" s="609"/>
      <c r="EC116" s="609"/>
      <c r="ED116" s="816"/>
      <c r="EE116" s="816"/>
      <c r="EF116" s="816"/>
      <c r="EG116" s="816"/>
      <c r="EH116" s="816"/>
      <c r="EI116" s="816"/>
      <c r="EJ116" s="816"/>
      <c r="EK116" s="816"/>
      <c r="EL116" s="816"/>
      <c r="EM116" s="816"/>
      <c r="EN116" s="816"/>
      <c r="EO116" s="816"/>
      <c r="EP116" s="816"/>
      <c r="EQ116" s="816"/>
      <c r="ER116" s="816"/>
      <c r="ES116" s="816"/>
      <c r="ET116" s="816"/>
      <c r="EU116" s="816"/>
      <c r="EV116" s="816"/>
      <c r="EW116" s="816"/>
      <c r="EX116" s="816"/>
      <c r="EY116" s="816"/>
      <c r="EZ116" s="816"/>
      <c r="FA116" s="816"/>
      <c r="FB116" s="819"/>
      <c r="FC116" s="816"/>
      <c r="FD116" s="820"/>
      <c r="FE116" s="820"/>
      <c r="FF116" s="820"/>
      <c r="FG116" s="820"/>
      <c r="FH116" s="609"/>
      <c r="FI116" s="609"/>
      <c r="FJ116" s="816"/>
      <c r="FK116" s="816"/>
      <c r="FL116" s="816"/>
      <c r="FM116" s="816"/>
      <c r="FN116" s="816"/>
      <c r="FO116" s="816"/>
      <c r="FP116" s="816"/>
      <c r="FQ116" s="816"/>
      <c r="FR116" s="816"/>
      <c r="FS116" s="816"/>
      <c r="FT116" s="816"/>
      <c r="FU116" s="816"/>
      <c r="FV116" s="816"/>
      <c r="FW116" s="816"/>
      <c r="FX116" s="609"/>
      <c r="FY116" s="609"/>
      <c r="FZ116" s="816"/>
      <c r="GA116" s="816"/>
      <c r="GB116" s="609"/>
      <c r="GC116" s="609"/>
      <c r="GD116" s="609"/>
      <c r="GE116" s="816"/>
      <c r="GF116" s="816"/>
      <c r="GG116" s="609"/>
      <c r="GH116" s="609"/>
      <c r="GI116" s="816"/>
      <c r="GJ116" s="816"/>
      <c r="GK116" s="609"/>
      <c r="GL116" s="609"/>
      <c r="GM116" s="816"/>
      <c r="GN116" s="816"/>
      <c r="GO116" s="816"/>
      <c r="GP116" s="816"/>
      <c r="GQ116" s="816"/>
      <c r="GR116" s="816"/>
      <c r="GS116" s="609"/>
      <c r="GT116" s="609"/>
      <c r="GU116" s="816"/>
      <c r="GV116" s="816"/>
      <c r="GW116" s="609"/>
      <c r="GX116" s="609"/>
      <c r="GY116" s="816"/>
      <c r="GZ116" s="816"/>
      <c r="HA116" s="609"/>
      <c r="HB116" s="609"/>
      <c r="HC116" s="816"/>
      <c r="HD116" s="816"/>
      <c r="HE116" s="816"/>
      <c r="HF116" s="816"/>
      <c r="HG116" s="816"/>
      <c r="HH116" s="816"/>
      <c r="HI116" s="821"/>
      <c r="HJ116" s="609"/>
      <c r="HK116" s="816"/>
      <c r="HL116" s="816"/>
      <c r="HM116" s="822"/>
      <c r="HN116" s="609"/>
      <c r="HO116" s="816"/>
      <c r="HP116" s="816"/>
      <c r="HQ116" s="609"/>
      <c r="HR116" s="816"/>
      <c r="HS116" s="816"/>
      <c r="HT116" s="816"/>
      <c r="HU116" s="816"/>
      <c r="HV116" s="816"/>
      <c r="HW116" s="816"/>
      <c r="HX116" s="816"/>
      <c r="HY116" s="816"/>
      <c r="HZ116" s="816"/>
      <c r="IA116" s="816"/>
      <c r="IB116" s="816"/>
      <c r="IC116" s="823"/>
      <c r="ID116" s="824"/>
      <c r="IE116" s="825"/>
      <c r="IF116" s="825"/>
      <c r="IG116" s="816"/>
      <c r="II116" s="826"/>
      <c r="IJ116" s="826"/>
      <c r="IK116" s="826"/>
      <c r="IL116" s="826"/>
    </row>
    <row r="117" spans="2:246" s="780" customFormat="1">
      <c r="B117" s="609"/>
      <c r="C117" s="609"/>
      <c r="D117" s="609"/>
      <c r="E117" s="609"/>
      <c r="F117" s="609"/>
      <c r="G117" s="609"/>
      <c r="H117" s="609"/>
      <c r="I117" s="609"/>
      <c r="J117" s="609"/>
      <c r="K117" s="609"/>
      <c r="L117" s="609"/>
      <c r="M117" s="609"/>
      <c r="N117" s="609"/>
      <c r="O117" s="609"/>
      <c r="P117" s="609"/>
      <c r="Q117" s="609"/>
      <c r="R117" s="609"/>
      <c r="S117" s="609"/>
      <c r="T117" s="609"/>
      <c r="U117" s="609"/>
      <c r="V117" s="609"/>
      <c r="W117" s="609"/>
      <c r="X117" s="609"/>
      <c r="Y117" s="609"/>
      <c r="Z117" s="816"/>
      <c r="AA117" s="816"/>
      <c r="AB117" s="816"/>
      <c r="AC117" s="816"/>
      <c r="AD117" s="816"/>
      <c r="AE117" s="816"/>
      <c r="AF117" s="609"/>
      <c r="AG117" s="609"/>
      <c r="AH117" s="816"/>
      <c r="AI117" s="816"/>
      <c r="AJ117" s="609"/>
      <c r="AK117" s="609"/>
      <c r="AL117" s="816"/>
      <c r="AM117" s="816"/>
      <c r="AN117" s="816"/>
      <c r="AO117" s="816"/>
      <c r="AP117" s="816"/>
      <c r="AQ117" s="816"/>
      <c r="AR117" s="609"/>
      <c r="AS117" s="609"/>
      <c r="AT117" s="816"/>
      <c r="AU117" s="816"/>
      <c r="AV117" s="817"/>
      <c r="AW117" s="609"/>
      <c r="AX117" s="609"/>
      <c r="AY117" s="816"/>
      <c r="AZ117" s="816"/>
      <c r="BA117" s="816"/>
      <c r="BB117" s="816"/>
      <c r="BC117" s="816"/>
      <c r="BD117" s="816"/>
      <c r="BE117" s="816"/>
      <c r="BF117" s="816"/>
      <c r="BG117" s="816"/>
      <c r="BH117" s="816"/>
      <c r="BI117" s="816"/>
      <c r="BJ117" s="816"/>
      <c r="BK117" s="816"/>
      <c r="BL117" s="816"/>
      <c r="BM117" s="816"/>
      <c r="BN117" s="816"/>
      <c r="BO117" s="816"/>
      <c r="BP117" s="816"/>
      <c r="BQ117" s="816"/>
      <c r="BR117" s="816"/>
      <c r="BS117" s="816"/>
      <c r="BT117" s="609"/>
      <c r="BU117" s="609"/>
      <c r="BV117" s="609"/>
      <c r="BW117" s="818"/>
      <c r="BX117" s="816"/>
      <c r="BY117" s="816"/>
      <c r="BZ117" s="816"/>
      <c r="CA117" s="816"/>
      <c r="CB117" s="816"/>
      <c r="CC117" s="816"/>
      <c r="CD117" s="816"/>
      <c r="CE117" s="816"/>
      <c r="CF117" s="820"/>
      <c r="CG117" s="820"/>
      <c r="CH117" s="820"/>
      <c r="CI117" s="820"/>
      <c r="CJ117" s="609"/>
      <c r="CK117" s="609"/>
      <c r="CL117" s="816"/>
      <c r="CM117" s="816"/>
      <c r="CN117" s="609"/>
      <c r="CO117" s="609"/>
      <c r="CP117" s="816"/>
      <c r="CQ117" s="816"/>
      <c r="CR117" s="609"/>
      <c r="CS117" s="609"/>
      <c r="CT117" s="816"/>
      <c r="CU117" s="816"/>
      <c r="CV117" s="609"/>
      <c r="CW117" s="609"/>
      <c r="CX117" s="816"/>
      <c r="CY117" s="816"/>
      <c r="CZ117" s="816"/>
      <c r="DA117" s="816"/>
      <c r="DB117" s="816"/>
      <c r="DC117" s="816"/>
      <c r="DD117" s="816"/>
      <c r="DE117" s="816"/>
      <c r="DF117" s="816"/>
      <c r="DG117" s="816"/>
      <c r="DH117" s="816"/>
      <c r="DI117" s="816"/>
      <c r="DJ117" s="816"/>
      <c r="DK117" s="816"/>
      <c r="DL117" s="609"/>
      <c r="DM117" s="609"/>
      <c r="DN117" s="816"/>
      <c r="DO117" s="816"/>
      <c r="DP117" s="816"/>
      <c r="DQ117" s="816"/>
      <c r="DR117" s="816"/>
      <c r="DS117" s="816"/>
      <c r="DT117" s="816"/>
      <c r="DU117" s="816"/>
      <c r="DV117" s="816"/>
      <c r="DW117" s="816"/>
      <c r="DX117" s="816"/>
      <c r="DY117" s="816"/>
      <c r="DZ117" s="816"/>
      <c r="EA117" s="816"/>
      <c r="EB117" s="609"/>
      <c r="EC117" s="609"/>
      <c r="ED117" s="816"/>
      <c r="EE117" s="816"/>
      <c r="EF117" s="816"/>
      <c r="EG117" s="816"/>
      <c r="EH117" s="816"/>
      <c r="EI117" s="816"/>
      <c r="EJ117" s="816"/>
      <c r="EK117" s="816"/>
      <c r="EL117" s="816"/>
      <c r="EM117" s="816"/>
      <c r="EN117" s="816"/>
      <c r="EO117" s="816"/>
      <c r="EP117" s="816"/>
      <c r="EQ117" s="816"/>
      <c r="ER117" s="816"/>
      <c r="ES117" s="816"/>
      <c r="ET117" s="816"/>
      <c r="EU117" s="816"/>
      <c r="EV117" s="816"/>
      <c r="EW117" s="816"/>
      <c r="EX117" s="816"/>
      <c r="EY117" s="816"/>
      <c r="EZ117" s="816"/>
      <c r="FA117" s="816"/>
      <c r="FB117" s="819"/>
      <c r="FC117" s="816"/>
      <c r="FD117" s="820"/>
      <c r="FE117" s="820"/>
      <c r="FF117" s="820"/>
      <c r="FG117" s="820"/>
      <c r="FH117" s="609"/>
      <c r="FI117" s="609"/>
      <c r="FJ117" s="816"/>
      <c r="FK117" s="816"/>
      <c r="FL117" s="816"/>
      <c r="FM117" s="816"/>
      <c r="FN117" s="816"/>
      <c r="FO117" s="816"/>
      <c r="FP117" s="816"/>
      <c r="FQ117" s="816"/>
      <c r="FR117" s="816"/>
      <c r="FS117" s="816"/>
      <c r="FT117" s="816"/>
      <c r="FU117" s="816"/>
      <c r="FV117" s="816"/>
      <c r="FW117" s="816"/>
      <c r="FX117" s="609"/>
      <c r="FY117" s="609"/>
      <c r="FZ117" s="816"/>
      <c r="GA117" s="816"/>
      <c r="GB117" s="609"/>
      <c r="GC117" s="609"/>
      <c r="GD117" s="609"/>
      <c r="GE117" s="816"/>
      <c r="GF117" s="816"/>
      <c r="GG117" s="609"/>
      <c r="GH117" s="609"/>
      <c r="GI117" s="816"/>
      <c r="GJ117" s="816"/>
      <c r="GK117" s="609"/>
      <c r="GL117" s="609"/>
      <c r="GM117" s="816"/>
      <c r="GN117" s="816"/>
      <c r="GO117" s="816"/>
      <c r="GP117" s="816"/>
      <c r="GQ117" s="816"/>
      <c r="GR117" s="816"/>
      <c r="GS117" s="609"/>
      <c r="GT117" s="609"/>
      <c r="GU117" s="816"/>
      <c r="GV117" s="816"/>
      <c r="GW117" s="609"/>
      <c r="GX117" s="609"/>
      <c r="GY117" s="816"/>
      <c r="GZ117" s="816"/>
      <c r="HA117" s="609"/>
      <c r="HB117" s="609"/>
      <c r="HC117" s="816"/>
      <c r="HD117" s="816"/>
      <c r="HE117" s="816"/>
      <c r="HF117" s="816"/>
      <c r="HG117" s="816"/>
      <c r="HH117" s="816"/>
      <c r="HI117" s="821"/>
      <c r="HJ117" s="609"/>
      <c r="HK117" s="816"/>
      <c r="HL117" s="816"/>
      <c r="HM117" s="822"/>
      <c r="HN117" s="609"/>
      <c r="HO117" s="816"/>
      <c r="HP117" s="816"/>
      <c r="HQ117" s="609"/>
      <c r="HR117" s="816"/>
      <c r="HS117" s="816"/>
      <c r="HT117" s="816"/>
      <c r="HU117" s="816"/>
      <c r="HV117" s="816"/>
      <c r="HW117" s="816"/>
      <c r="HX117" s="816"/>
      <c r="HY117" s="816"/>
      <c r="HZ117" s="816"/>
      <c r="IA117" s="816"/>
      <c r="IB117" s="816"/>
      <c r="IC117" s="823"/>
      <c r="ID117" s="824"/>
      <c r="IE117" s="825"/>
      <c r="IF117" s="825"/>
      <c r="IG117" s="816"/>
      <c r="II117" s="826"/>
      <c r="IJ117" s="826"/>
      <c r="IK117" s="826"/>
      <c r="IL117" s="826"/>
    </row>
    <row r="118" spans="2:246" s="780" customFormat="1">
      <c r="B118" s="609"/>
      <c r="C118" s="609"/>
      <c r="D118" s="609"/>
      <c r="E118" s="609"/>
      <c r="F118" s="609"/>
      <c r="G118" s="609"/>
      <c r="H118" s="609"/>
      <c r="I118" s="609"/>
      <c r="J118" s="609"/>
      <c r="K118" s="609"/>
      <c r="L118" s="609"/>
      <c r="M118" s="609"/>
      <c r="N118" s="609"/>
      <c r="O118" s="609"/>
      <c r="P118" s="609"/>
      <c r="Q118" s="609"/>
      <c r="R118" s="609"/>
      <c r="S118" s="609"/>
      <c r="T118" s="609"/>
      <c r="U118" s="609"/>
      <c r="V118" s="609"/>
      <c r="W118" s="609"/>
      <c r="X118" s="609"/>
      <c r="Y118" s="609"/>
      <c r="Z118" s="816"/>
      <c r="AA118" s="816"/>
      <c r="AB118" s="816"/>
      <c r="AC118" s="816"/>
      <c r="AD118" s="816"/>
      <c r="AE118" s="816"/>
      <c r="AF118" s="609"/>
      <c r="AG118" s="609"/>
      <c r="AH118" s="816"/>
      <c r="AI118" s="816"/>
      <c r="AJ118" s="609"/>
      <c r="AK118" s="609"/>
      <c r="AL118" s="816"/>
      <c r="AM118" s="816"/>
      <c r="AN118" s="816"/>
      <c r="AO118" s="816"/>
      <c r="AP118" s="816"/>
      <c r="AQ118" s="816"/>
      <c r="AR118" s="609"/>
      <c r="AS118" s="609"/>
      <c r="AT118" s="816"/>
      <c r="AU118" s="816"/>
      <c r="AV118" s="817"/>
      <c r="AW118" s="609"/>
      <c r="AX118" s="609"/>
      <c r="AY118" s="816"/>
      <c r="AZ118" s="816"/>
      <c r="BA118" s="816"/>
      <c r="BB118" s="816"/>
      <c r="BC118" s="816"/>
      <c r="BD118" s="816"/>
      <c r="BE118" s="816"/>
      <c r="BF118" s="816"/>
      <c r="BG118" s="816"/>
      <c r="BH118" s="816"/>
      <c r="BI118" s="816"/>
      <c r="BJ118" s="816"/>
      <c r="BK118" s="816"/>
      <c r="BL118" s="816"/>
      <c r="BM118" s="816"/>
      <c r="BN118" s="816"/>
      <c r="BO118" s="816"/>
      <c r="BP118" s="816"/>
      <c r="BQ118" s="816"/>
      <c r="BR118" s="816"/>
      <c r="BS118" s="816"/>
      <c r="BT118" s="609"/>
      <c r="BU118" s="609"/>
      <c r="BV118" s="609"/>
      <c r="BW118" s="818"/>
      <c r="BX118" s="816"/>
      <c r="BY118" s="816"/>
      <c r="BZ118" s="816"/>
      <c r="CA118" s="816"/>
      <c r="CB118" s="816"/>
      <c r="CC118" s="816"/>
      <c r="CD118" s="816"/>
      <c r="CE118" s="816"/>
      <c r="CF118" s="820"/>
      <c r="CG118" s="820"/>
      <c r="CH118" s="820"/>
      <c r="CI118" s="820"/>
      <c r="CJ118" s="609"/>
      <c r="CK118" s="609"/>
      <c r="CL118" s="816"/>
      <c r="CM118" s="816"/>
      <c r="CN118" s="609"/>
      <c r="CO118" s="609"/>
      <c r="CP118" s="816"/>
      <c r="CQ118" s="816"/>
      <c r="CR118" s="609"/>
      <c r="CS118" s="609"/>
      <c r="CT118" s="816"/>
      <c r="CU118" s="816"/>
      <c r="CV118" s="609"/>
      <c r="CW118" s="609"/>
      <c r="CX118" s="816"/>
      <c r="CY118" s="816"/>
      <c r="CZ118" s="816"/>
      <c r="DA118" s="816"/>
      <c r="DB118" s="816"/>
      <c r="DC118" s="816"/>
      <c r="DD118" s="816"/>
      <c r="DE118" s="816"/>
      <c r="DF118" s="816"/>
      <c r="DG118" s="816"/>
      <c r="DH118" s="816"/>
      <c r="DI118" s="816"/>
      <c r="DJ118" s="816"/>
      <c r="DK118" s="816"/>
      <c r="DL118" s="609"/>
      <c r="DM118" s="609"/>
      <c r="DN118" s="816"/>
      <c r="DO118" s="816"/>
      <c r="DP118" s="816"/>
      <c r="DQ118" s="816"/>
      <c r="DR118" s="816"/>
      <c r="DS118" s="816"/>
      <c r="DT118" s="816"/>
      <c r="DU118" s="816"/>
      <c r="DV118" s="816"/>
      <c r="DW118" s="816"/>
      <c r="DX118" s="816"/>
      <c r="DY118" s="816"/>
      <c r="DZ118" s="816"/>
      <c r="EA118" s="816"/>
      <c r="EB118" s="609"/>
      <c r="EC118" s="609"/>
      <c r="ED118" s="816"/>
      <c r="EE118" s="816"/>
      <c r="EF118" s="816"/>
      <c r="EG118" s="816"/>
      <c r="EH118" s="816"/>
      <c r="EI118" s="816"/>
      <c r="EJ118" s="816"/>
      <c r="EK118" s="816"/>
      <c r="EL118" s="816"/>
      <c r="EM118" s="816"/>
      <c r="EN118" s="816"/>
      <c r="EO118" s="816"/>
      <c r="EP118" s="816"/>
      <c r="EQ118" s="816"/>
      <c r="ER118" s="816"/>
      <c r="ES118" s="816"/>
      <c r="ET118" s="816"/>
      <c r="EU118" s="816"/>
      <c r="EV118" s="816"/>
      <c r="EW118" s="816"/>
      <c r="EX118" s="816"/>
      <c r="EY118" s="816"/>
      <c r="EZ118" s="816"/>
      <c r="FA118" s="816"/>
      <c r="FB118" s="819"/>
      <c r="FC118" s="816"/>
      <c r="FD118" s="820"/>
      <c r="FE118" s="820"/>
      <c r="FF118" s="820"/>
      <c r="FG118" s="820"/>
      <c r="FH118" s="609"/>
      <c r="FI118" s="609"/>
      <c r="FJ118" s="816"/>
      <c r="FK118" s="816"/>
      <c r="FL118" s="816"/>
      <c r="FM118" s="816"/>
      <c r="FN118" s="816"/>
      <c r="FO118" s="816"/>
      <c r="FP118" s="816"/>
      <c r="FQ118" s="816"/>
      <c r="FR118" s="816"/>
      <c r="FS118" s="816"/>
      <c r="FT118" s="816"/>
      <c r="FU118" s="816"/>
      <c r="FV118" s="816"/>
      <c r="FW118" s="816"/>
      <c r="FX118" s="609"/>
      <c r="FY118" s="609"/>
      <c r="FZ118" s="816"/>
      <c r="GA118" s="816"/>
      <c r="GB118" s="609"/>
      <c r="GC118" s="609"/>
      <c r="GD118" s="609"/>
      <c r="GE118" s="816"/>
      <c r="GF118" s="816"/>
      <c r="GG118" s="609"/>
      <c r="GH118" s="609"/>
      <c r="GI118" s="816"/>
      <c r="GJ118" s="816"/>
      <c r="GK118" s="609"/>
      <c r="GL118" s="609"/>
      <c r="GM118" s="816"/>
      <c r="GN118" s="816"/>
      <c r="GO118" s="816"/>
      <c r="GP118" s="816"/>
      <c r="GQ118" s="816"/>
      <c r="GR118" s="816"/>
      <c r="GS118" s="609"/>
      <c r="GT118" s="609"/>
      <c r="GU118" s="816"/>
      <c r="GV118" s="816"/>
      <c r="GW118" s="609"/>
      <c r="GX118" s="609"/>
      <c r="GY118" s="816"/>
      <c r="GZ118" s="816"/>
      <c r="HA118" s="609"/>
      <c r="HB118" s="609"/>
      <c r="HC118" s="816"/>
      <c r="HD118" s="816"/>
      <c r="HE118" s="816"/>
      <c r="HF118" s="816"/>
      <c r="HG118" s="816"/>
      <c r="HH118" s="816"/>
      <c r="HI118" s="821"/>
      <c r="HJ118" s="609"/>
      <c r="HK118" s="816"/>
      <c r="HL118" s="816"/>
      <c r="HM118" s="822"/>
      <c r="HN118" s="609"/>
      <c r="HO118" s="816"/>
      <c r="HP118" s="816"/>
      <c r="HQ118" s="609"/>
      <c r="HR118" s="816"/>
      <c r="HS118" s="816"/>
      <c r="HT118" s="816"/>
      <c r="HU118" s="816"/>
      <c r="HV118" s="816"/>
      <c r="HW118" s="816"/>
      <c r="HX118" s="816"/>
      <c r="HY118" s="816"/>
      <c r="HZ118" s="816"/>
      <c r="IA118" s="816"/>
      <c r="IB118" s="816"/>
      <c r="IC118" s="823"/>
      <c r="ID118" s="824"/>
      <c r="IE118" s="825"/>
      <c r="IF118" s="825"/>
      <c r="IG118" s="816"/>
      <c r="II118" s="826"/>
      <c r="IJ118" s="826"/>
      <c r="IK118" s="826"/>
      <c r="IL118" s="826"/>
    </row>
    <row r="119" spans="2:246" s="780" customFormat="1">
      <c r="B119" s="609"/>
      <c r="C119" s="609"/>
      <c r="D119" s="609"/>
      <c r="E119" s="609"/>
      <c r="F119" s="609"/>
      <c r="G119" s="609"/>
      <c r="H119" s="609"/>
      <c r="I119" s="609"/>
      <c r="J119" s="609"/>
      <c r="K119" s="609"/>
      <c r="L119" s="609"/>
      <c r="M119" s="609"/>
      <c r="N119" s="609"/>
      <c r="O119" s="609"/>
      <c r="P119" s="609"/>
      <c r="Q119" s="609"/>
      <c r="R119" s="609"/>
      <c r="S119" s="609"/>
      <c r="T119" s="609"/>
      <c r="U119" s="609"/>
      <c r="V119" s="609"/>
      <c r="W119" s="609"/>
      <c r="X119" s="609"/>
      <c r="Y119" s="609"/>
      <c r="Z119" s="816"/>
      <c r="AA119" s="816"/>
      <c r="AB119" s="816"/>
      <c r="AC119" s="816"/>
      <c r="AD119" s="816"/>
      <c r="AE119" s="816"/>
      <c r="AF119" s="609"/>
      <c r="AG119" s="609"/>
      <c r="AH119" s="816"/>
      <c r="AI119" s="816"/>
      <c r="AJ119" s="609"/>
      <c r="AK119" s="609"/>
      <c r="AL119" s="816"/>
      <c r="AM119" s="816"/>
      <c r="AN119" s="816"/>
      <c r="AO119" s="816"/>
      <c r="AP119" s="816"/>
      <c r="AQ119" s="816"/>
      <c r="AR119" s="609"/>
      <c r="AS119" s="609"/>
      <c r="AT119" s="816"/>
      <c r="AU119" s="816"/>
      <c r="AV119" s="817"/>
      <c r="AW119" s="609"/>
      <c r="AX119" s="609"/>
      <c r="AY119" s="816"/>
      <c r="AZ119" s="816"/>
      <c r="BA119" s="816"/>
      <c r="BB119" s="816"/>
      <c r="BC119" s="816"/>
      <c r="BD119" s="816"/>
      <c r="BE119" s="816"/>
      <c r="BF119" s="816"/>
      <c r="BG119" s="816"/>
      <c r="BH119" s="816"/>
      <c r="BI119" s="816"/>
      <c r="BJ119" s="816"/>
      <c r="BK119" s="816"/>
      <c r="BL119" s="816"/>
      <c r="BM119" s="816"/>
      <c r="BN119" s="816"/>
      <c r="BO119" s="816"/>
      <c r="BP119" s="816"/>
      <c r="BQ119" s="816"/>
      <c r="BR119" s="816"/>
      <c r="BS119" s="816"/>
      <c r="BT119" s="609"/>
      <c r="BU119" s="609"/>
      <c r="BV119" s="609"/>
      <c r="BW119" s="818"/>
      <c r="BX119" s="816"/>
      <c r="BY119" s="816"/>
      <c r="BZ119" s="816"/>
      <c r="CA119" s="816"/>
      <c r="CB119" s="816"/>
      <c r="CC119" s="816"/>
      <c r="CD119" s="816"/>
      <c r="CE119" s="816"/>
      <c r="CF119" s="820"/>
      <c r="CG119" s="820"/>
      <c r="CH119" s="820"/>
      <c r="CI119" s="820"/>
      <c r="CJ119" s="609"/>
      <c r="CK119" s="609"/>
      <c r="CL119" s="816"/>
      <c r="CM119" s="816"/>
      <c r="CN119" s="609"/>
      <c r="CO119" s="609"/>
      <c r="CP119" s="816"/>
      <c r="CQ119" s="816"/>
      <c r="CR119" s="609"/>
      <c r="CS119" s="609"/>
      <c r="CT119" s="816"/>
      <c r="CU119" s="816"/>
      <c r="CV119" s="609"/>
      <c r="CW119" s="609"/>
      <c r="CX119" s="816"/>
      <c r="CY119" s="816"/>
      <c r="CZ119" s="816"/>
      <c r="DA119" s="816"/>
      <c r="DB119" s="816"/>
      <c r="DC119" s="816"/>
      <c r="DD119" s="816"/>
      <c r="DE119" s="816"/>
      <c r="DF119" s="816"/>
      <c r="DG119" s="816"/>
      <c r="DH119" s="816"/>
      <c r="DI119" s="816"/>
      <c r="DJ119" s="816"/>
      <c r="DK119" s="816"/>
      <c r="DL119" s="609"/>
      <c r="DM119" s="609"/>
      <c r="DN119" s="816"/>
      <c r="DO119" s="816"/>
      <c r="DP119" s="816"/>
      <c r="DQ119" s="816"/>
      <c r="DR119" s="816"/>
      <c r="DS119" s="816"/>
      <c r="DT119" s="816"/>
      <c r="DU119" s="816"/>
      <c r="DV119" s="816"/>
      <c r="DW119" s="816"/>
      <c r="DX119" s="816"/>
      <c r="DY119" s="816"/>
      <c r="DZ119" s="816"/>
      <c r="EA119" s="816"/>
      <c r="EB119" s="609"/>
      <c r="EC119" s="609"/>
      <c r="ED119" s="816"/>
      <c r="EE119" s="816"/>
      <c r="EF119" s="816"/>
      <c r="EG119" s="816"/>
      <c r="EH119" s="816"/>
      <c r="EI119" s="816"/>
      <c r="EJ119" s="816"/>
      <c r="EK119" s="816"/>
      <c r="EL119" s="816"/>
      <c r="EM119" s="816"/>
      <c r="EN119" s="816"/>
      <c r="EO119" s="816"/>
      <c r="EP119" s="816"/>
      <c r="EQ119" s="816"/>
      <c r="ER119" s="816"/>
      <c r="ES119" s="816"/>
      <c r="ET119" s="816"/>
      <c r="EU119" s="816"/>
      <c r="EV119" s="816"/>
      <c r="EW119" s="816"/>
      <c r="EX119" s="816"/>
      <c r="EY119" s="816"/>
      <c r="EZ119" s="816"/>
      <c r="FA119" s="816"/>
      <c r="FB119" s="819"/>
      <c r="FC119" s="816"/>
      <c r="FD119" s="820"/>
      <c r="FE119" s="820"/>
      <c r="FF119" s="820"/>
      <c r="FG119" s="820"/>
      <c r="FH119" s="609"/>
      <c r="FI119" s="609"/>
      <c r="FJ119" s="816"/>
      <c r="FK119" s="816"/>
      <c r="FL119" s="816"/>
      <c r="FM119" s="816"/>
      <c r="FN119" s="816"/>
      <c r="FO119" s="816"/>
      <c r="FP119" s="816"/>
      <c r="FQ119" s="816"/>
      <c r="FR119" s="816"/>
      <c r="FS119" s="816"/>
      <c r="FT119" s="816"/>
      <c r="FU119" s="816"/>
      <c r="FV119" s="816"/>
      <c r="FW119" s="816"/>
      <c r="FX119" s="609"/>
      <c r="FY119" s="609"/>
      <c r="FZ119" s="816"/>
      <c r="GA119" s="816"/>
      <c r="GB119" s="609"/>
      <c r="GC119" s="609"/>
      <c r="GD119" s="609"/>
      <c r="GE119" s="816"/>
      <c r="GF119" s="816"/>
      <c r="GG119" s="609"/>
      <c r="GH119" s="609"/>
      <c r="GI119" s="816"/>
      <c r="GJ119" s="816"/>
      <c r="GK119" s="609"/>
      <c r="GL119" s="609"/>
      <c r="GM119" s="816"/>
      <c r="GN119" s="816"/>
      <c r="GO119" s="816"/>
      <c r="GP119" s="816"/>
      <c r="GQ119" s="816"/>
      <c r="GR119" s="816"/>
      <c r="GS119" s="609"/>
      <c r="GT119" s="609"/>
      <c r="GU119" s="816"/>
      <c r="GV119" s="816"/>
      <c r="GW119" s="609"/>
      <c r="GX119" s="609"/>
      <c r="GY119" s="816"/>
      <c r="GZ119" s="816"/>
      <c r="HA119" s="609"/>
      <c r="HB119" s="609"/>
      <c r="HC119" s="816"/>
      <c r="HD119" s="816"/>
      <c r="HE119" s="816"/>
      <c r="HF119" s="816"/>
      <c r="HG119" s="816"/>
      <c r="HH119" s="816"/>
      <c r="HI119" s="821"/>
      <c r="HJ119" s="609"/>
      <c r="HK119" s="816"/>
      <c r="HL119" s="816"/>
      <c r="HM119" s="822"/>
      <c r="HN119" s="609"/>
      <c r="HO119" s="816"/>
      <c r="HP119" s="816"/>
      <c r="HQ119" s="609"/>
      <c r="HR119" s="816"/>
      <c r="HS119" s="816"/>
      <c r="HT119" s="816"/>
      <c r="HU119" s="816"/>
      <c r="HV119" s="816"/>
      <c r="HW119" s="816"/>
      <c r="HX119" s="816"/>
      <c r="HY119" s="816"/>
      <c r="HZ119" s="816"/>
      <c r="IA119" s="816"/>
      <c r="IB119" s="816"/>
      <c r="IC119" s="823"/>
      <c r="ID119" s="824"/>
      <c r="IE119" s="825"/>
      <c r="IF119" s="825"/>
      <c r="IG119" s="816"/>
      <c r="II119" s="826"/>
      <c r="IJ119" s="826"/>
      <c r="IK119" s="826"/>
      <c r="IL119" s="826"/>
    </row>
    <row r="120" spans="2:246" s="780" customFormat="1">
      <c r="B120" s="609"/>
      <c r="C120" s="609"/>
      <c r="D120" s="609"/>
      <c r="E120" s="609"/>
      <c r="F120" s="609"/>
      <c r="G120" s="609"/>
      <c r="H120" s="609"/>
      <c r="I120" s="609"/>
      <c r="J120" s="609"/>
      <c r="K120" s="609"/>
      <c r="L120" s="609"/>
      <c r="M120" s="609"/>
      <c r="N120" s="609"/>
      <c r="O120" s="609"/>
      <c r="P120" s="609"/>
      <c r="Q120" s="609"/>
      <c r="R120" s="609"/>
      <c r="S120" s="609"/>
      <c r="T120" s="609"/>
      <c r="U120" s="609"/>
      <c r="V120" s="609"/>
      <c r="W120" s="609"/>
      <c r="X120" s="609"/>
      <c r="Y120" s="609"/>
      <c r="Z120" s="816"/>
      <c r="AA120" s="816"/>
      <c r="AB120" s="816"/>
      <c r="AC120" s="816"/>
      <c r="AD120" s="816"/>
      <c r="AE120" s="816"/>
      <c r="AF120" s="609"/>
      <c r="AG120" s="609"/>
      <c r="AH120" s="816"/>
      <c r="AI120" s="816"/>
      <c r="AJ120" s="609"/>
      <c r="AK120" s="609"/>
      <c r="AL120" s="816"/>
      <c r="AM120" s="816"/>
      <c r="AN120" s="816"/>
      <c r="AO120" s="816"/>
      <c r="AP120" s="816"/>
      <c r="AQ120" s="816"/>
      <c r="AR120" s="609"/>
      <c r="AS120" s="609"/>
      <c r="AT120" s="816"/>
      <c r="AU120" s="816"/>
      <c r="AV120" s="817"/>
      <c r="AW120" s="609"/>
      <c r="AX120" s="609"/>
      <c r="AY120" s="816"/>
      <c r="AZ120" s="816"/>
      <c r="BA120" s="816"/>
      <c r="BB120" s="816"/>
      <c r="BC120" s="816"/>
      <c r="BD120" s="816"/>
      <c r="BE120" s="816"/>
      <c r="BF120" s="816"/>
      <c r="BG120" s="816"/>
      <c r="BH120" s="816"/>
      <c r="BI120" s="816"/>
      <c r="BJ120" s="816"/>
      <c r="BK120" s="816"/>
      <c r="BL120" s="816"/>
      <c r="BM120" s="816"/>
      <c r="BN120" s="816"/>
      <c r="BO120" s="816"/>
      <c r="BP120" s="816"/>
      <c r="BQ120" s="816"/>
      <c r="BR120" s="816"/>
      <c r="BS120" s="816"/>
      <c r="BT120" s="609"/>
      <c r="BU120" s="609"/>
      <c r="BV120" s="609"/>
      <c r="BW120" s="818"/>
      <c r="BX120" s="816"/>
      <c r="BY120" s="816"/>
      <c r="BZ120" s="816"/>
      <c r="CA120" s="816"/>
      <c r="CB120" s="816"/>
      <c r="CC120" s="816"/>
      <c r="CD120" s="816"/>
      <c r="CE120" s="816"/>
      <c r="CF120" s="820"/>
      <c r="CG120" s="820"/>
      <c r="CH120" s="820"/>
      <c r="CI120" s="820"/>
      <c r="CJ120" s="609"/>
      <c r="CK120" s="609"/>
      <c r="CL120" s="816"/>
      <c r="CM120" s="816"/>
      <c r="CN120" s="609"/>
      <c r="CO120" s="609"/>
      <c r="CP120" s="816"/>
      <c r="CQ120" s="816"/>
      <c r="CR120" s="609"/>
      <c r="CS120" s="609"/>
      <c r="CT120" s="816"/>
      <c r="CU120" s="816"/>
      <c r="CV120" s="609"/>
      <c r="CW120" s="609"/>
      <c r="CX120" s="816"/>
      <c r="CY120" s="816"/>
      <c r="CZ120" s="816"/>
      <c r="DA120" s="816"/>
      <c r="DB120" s="816"/>
      <c r="DC120" s="816"/>
      <c r="DD120" s="816"/>
      <c r="DE120" s="816"/>
      <c r="DF120" s="816"/>
      <c r="DG120" s="816"/>
      <c r="DH120" s="816"/>
      <c r="DI120" s="816"/>
      <c r="DJ120" s="816"/>
      <c r="DK120" s="816"/>
      <c r="DL120" s="609"/>
      <c r="DM120" s="609"/>
      <c r="DN120" s="816"/>
      <c r="DO120" s="816"/>
      <c r="DP120" s="816"/>
      <c r="DQ120" s="816"/>
      <c r="DR120" s="816"/>
      <c r="DS120" s="816"/>
      <c r="DT120" s="816"/>
      <c r="DU120" s="816"/>
      <c r="DV120" s="816"/>
      <c r="DW120" s="816"/>
      <c r="DX120" s="816"/>
      <c r="DY120" s="816"/>
      <c r="DZ120" s="816"/>
      <c r="EA120" s="816"/>
      <c r="EB120" s="609"/>
      <c r="EC120" s="609"/>
      <c r="ED120" s="816"/>
      <c r="EE120" s="816"/>
      <c r="EF120" s="816"/>
      <c r="EG120" s="816"/>
      <c r="EH120" s="816"/>
      <c r="EI120" s="816"/>
      <c r="EJ120" s="816"/>
      <c r="EK120" s="816"/>
      <c r="EL120" s="816"/>
      <c r="EM120" s="816"/>
      <c r="EN120" s="816"/>
      <c r="EO120" s="816"/>
      <c r="EP120" s="816"/>
      <c r="EQ120" s="816"/>
      <c r="ER120" s="816"/>
      <c r="ES120" s="816"/>
      <c r="ET120" s="816"/>
      <c r="EU120" s="816"/>
      <c r="EV120" s="816"/>
      <c r="EW120" s="816"/>
      <c r="EX120" s="816"/>
      <c r="EY120" s="816"/>
      <c r="EZ120" s="816"/>
      <c r="FA120" s="816"/>
      <c r="FB120" s="819"/>
      <c r="FC120" s="816"/>
      <c r="FD120" s="820"/>
      <c r="FE120" s="820"/>
      <c r="FF120" s="820"/>
      <c r="FG120" s="820"/>
      <c r="FH120" s="609"/>
      <c r="FI120" s="609"/>
      <c r="FJ120" s="816"/>
      <c r="FK120" s="816"/>
      <c r="FL120" s="816"/>
      <c r="FM120" s="816"/>
      <c r="FN120" s="816"/>
      <c r="FO120" s="816"/>
      <c r="FP120" s="816"/>
      <c r="FQ120" s="816"/>
      <c r="FR120" s="816"/>
      <c r="FS120" s="816"/>
      <c r="FT120" s="816"/>
      <c r="FU120" s="816"/>
      <c r="FV120" s="816"/>
      <c r="FW120" s="816"/>
      <c r="FX120" s="609"/>
      <c r="FY120" s="609"/>
      <c r="FZ120" s="816"/>
      <c r="GA120" s="816"/>
      <c r="GB120" s="609"/>
      <c r="GC120" s="609"/>
      <c r="GD120" s="609"/>
      <c r="GE120" s="816"/>
      <c r="GF120" s="816"/>
      <c r="GG120" s="609"/>
      <c r="GH120" s="609"/>
      <c r="GI120" s="816"/>
      <c r="GJ120" s="816"/>
      <c r="GK120" s="609"/>
      <c r="GL120" s="609"/>
      <c r="GM120" s="816"/>
      <c r="GN120" s="816"/>
      <c r="GO120" s="816"/>
      <c r="GP120" s="816"/>
      <c r="GQ120" s="816"/>
      <c r="GR120" s="816"/>
      <c r="GS120" s="609"/>
      <c r="GT120" s="609"/>
      <c r="GU120" s="816"/>
      <c r="GV120" s="816"/>
      <c r="GW120" s="609"/>
      <c r="GX120" s="609"/>
      <c r="GY120" s="816"/>
      <c r="GZ120" s="816"/>
      <c r="HA120" s="609"/>
      <c r="HB120" s="609"/>
      <c r="HC120" s="816"/>
      <c r="HD120" s="816"/>
      <c r="HE120" s="816"/>
      <c r="HF120" s="816"/>
      <c r="HG120" s="816"/>
      <c r="HH120" s="816"/>
      <c r="HI120" s="821"/>
      <c r="HJ120" s="609"/>
      <c r="HK120" s="816"/>
      <c r="HL120" s="816"/>
      <c r="HM120" s="822"/>
      <c r="HN120" s="609"/>
      <c r="HO120" s="816"/>
      <c r="HP120" s="816"/>
      <c r="HQ120" s="609"/>
      <c r="HR120" s="816"/>
      <c r="HS120" s="816"/>
      <c r="HT120" s="816"/>
      <c r="HU120" s="816"/>
      <c r="HV120" s="816"/>
      <c r="HW120" s="816"/>
      <c r="HX120" s="816"/>
      <c r="HY120" s="816"/>
      <c r="HZ120" s="816"/>
      <c r="IA120" s="816"/>
      <c r="IB120" s="816"/>
      <c r="IC120" s="823"/>
      <c r="ID120" s="824"/>
      <c r="IE120" s="825"/>
      <c r="IF120" s="825"/>
      <c r="IG120" s="816"/>
      <c r="II120" s="826"/>
      <c r="IJ120" s="826"/>
      <c r="IK120" s="826"/>
      <c r="IL120" s="826"/>
    </row>
    <row r="121" spans="2:246" s="780" customFormat="1">
      <c r="B121" s="609"/>
      <c r="C121" s="609"/>
      <c r="D121" s="609"/>
      <c r="E121" s="609"/>
      <c r="F121" s="609"/>
      <c r="G121" s="609"/>
      <c r="H121" s="609"/>
      <c r="I121" s="609"/>
      <c r="J121" s="609"/>
      <c r="K121" s="609"/>
      <c r="L121" s="609"/>
      <c r="M121" s="609"/>
      <c r="N121" s="609"/>
      <c r="O121" s="609"/>
      <c r="P121" s="609"/>
      <c r="Q121" s="609"/>
      <c r="R121" s="609"/>
      <c r="S121" s="609"/>
      <c r="T121" s="609"/>
      <c r="U121" s="609"/>
      <c r="V121" s="609"/>
      <c r="W121" s="609"/>
      <c r="X121" s="609"/>
      <c r="Y121" s="609"/>
      <c r="Z121" s="816"/>
      <c r="AA121" s="816"/>
      <c r="AB121" s="816"/>
      <c r="AC121" s="816"/>
      <c r="AD121" s="816"/>
      <c r="AE121" s="816"/>
      <c r="AF121" s="609"/>
      <c r="AG121" s="609"/>
      <c r="AH121" s="816"/>
      <c r="AI121" s="816"/>
      <c r="AJ121" s="609"/>
      <c r="AK121" s="609"/>
      <c r="AL121" s="816"/>
      <c r="AM121" s="816"/>
      <c r="AN121" s="816"/>
      <c r="AO121" s="816"/>
      <c r="AP121" s="816"/>
      <c r="AQ121" s="816"/>
      <c r="AR121" s="609"/>
      <c r="AS121" s="609"/>
      <c r="AT121" s="816"/>
      <c r="AU121" s="816"/>
      <c r="AV121" s="817"/>
      <c r="AW121" s="609"/>
      <c r="AX121" s="609"/>
      <c r="AY121" s="816"/>
      <c r="AZ121" s="816"/>
      <c r="BA121" s="816"/>
      <c r="BB121" s="816"/>
      <c r="BC121" s="816"/>
      <c r="BD121" s="816"/>
      <c r="BE121" s="816"/>
      <c r="BF121" s="816"/>
      <c r="BG121" s="816"/>
      <c r="BH121" s="816"/>
      <c r="BI121" s="816"/>
      <c r="BJ121" s="816"/>
      <c r="BK121" s="816"/>
      <c r="BL121" s="816"/>
      <c r="BM121" s="816"/>
      <c r="BN121" s="816"/>
      <c r="BO121" s="816"/>
      <c r="BP121" s="816"/>
      <c r="BQ121" s="816"/>
      <c r="BR121" s="816"/>
      <c r="BS121" s="816"/>
      <c r="BT121" s="609"/>
      <c r="BU121" s="609"/>
      <c r="BV121" s="609"/>
      <c r="BW121" s="818"/>
      <c r="BX121" s="816"/>
      <c r="BY121" s="816"/>
      <c r="BZ121" s="816"/>
      <c r="CA121" s="816"/>
      <c r="CB121" s="816"/>
      <c r="CC121" s="816"/>
      <c r="CD121" s="816"/>
      <c r="CE121" s="816"/>
      <c r="CF121" s="820"/>
      <c r="CG121" s="820"/>
      <c r="CH121" s="820"/>
      <c r="CI121" s="820"/>
      <c r="CJ121" s="609"/>
      <c r="CK121" s="609"/>
      <c r="CL121" s="816"/>
      <c r="CM121" s="816"/>
      <c r="CN121" s="609"/>
      <c r="CO121" s="609"/>
      <c r="CP121" s="816"/>
      <c r="CQ121" s="816"/>
      <c r="CR121" s="609"/>
      <c r="CS121" s="609"/>
      <c r="CT121" s="816"/>
      <c r="CU121" s="816"/>
      <c r="CV121" s="609"/>
      <c r="CW121" s="609"/>
      <c r="CX121" s="816"/>
      <c r="CY121" s="816"/>
      <c r="CZ121" s="816"/>
      <c r="DA121" s="816"/>
      <c r="DB121" s="816"/>
      <c r="DC121" s="816"/>
      <c r="DD121" s="816"/>
      <c r="DE121" s="816"/>
      <c r="DF121" s="816"/>
      <c r="DG121" s="816"/>
      <c r="DH121" s="816"/>
      <c r="DI121" s="816"/>
      <c r="DJ121" s="816"/>
      <c r="DK121" s="816"/>
      <c r="DL121" s="609"/>
      <c r="DM121" s="609"/>
      <c r="DN121" s="816"/>
      <c r="DO121" s="816"/>
      <c r="DP121" s="816"/>
      <c r="DQ121" s="816"/>
      <c r="DR121" s="816"/>
      <c r="DS121" s="816"/>
      <c r="DT121" s="816"/>
      <c r="DU121" s="816"/>
      <c r="DV121" s="816"/>
      <c r="DW121" s="816"/>
      <c r="DX121" s="816"/>
      <c r="DY121" s="816"/>
      <c r="DZ121" s="816"/>
      <c r="EA121" s="816"/>
      <c r="EB121" s="609"/>
      <c r="EC121" s="609"/>
      <c r="ED121" s="816"/>
      <c r="EE121" s="816"/>
      <c r="EF121" s="816"/>
      <c r="EG121" s="816"/>
      <c r="EH121" s="816"/>
      <c r="EI121" s="816"/>
      <c r="EJ121" s="816"/>
      <c r="EK121" s="816"/>
      <c r="EL121" s="816"/>
      <c r="EM121" s="816"/>
      <c r="EN121" s="816"/>
      <c r="EO121" s="816"/>
      <c r="EP121" s="816"/>
      <c r="EQ121" s="816"/>
      <c r="ER121" s="816"/>
      <c r="ES121" s="816"/>
      <c r="ET121" s="816"/>
      <c r="EU121" s="816"/>
      <c r="EV121" s="816"/>
      <c r="EW121" s="816"/>
      <c r="EX121" s="816"/>
      <c r="EY121" s="816"/>
      <c r="EZ121" s="816"/>
      <c r="FA121" s="816"/>
      <c r="FB121" s="819"/>
      <c r="FC121" s="816"/>
      <c r="FD121" s="820"/>
      <c r="FE121" s="820"/>
      <c r="FF121" s="820"/>
      <c r="FG121" s="820"/>
      <c r="FH121" s="609"/>
      <c r="FI121" s="609"/>
      <c r="FJ121" s="816"/>
      <c r="FK121" s="816"/>
      <c r="FL121" s="816"/>
      <c r="FM121" s="816"/>
      <c r="FN121" s="816"/>
      <c r="FO121" s="816"/>
      <c r="FP121" s="816"/>
      <c r="FQ121" s="816"/>
      <c r="FR121" s="816"/>
      <c r="FS121" s="816"/>
      <c r="FT121" s="816"/>
      <c r="FU121" s="816"/>
      <c r="FV121" s="816"/>
      <c r="FW121" s="816"/>
      <c r="FX121" s="609"/>
      <c r="FY121" s="609"/>
      <c r="FZ121" s="816"/>
      <c r="GA121" s="816"/>
      <c r="GB121" s="609"/>
      <c r="GC121" s="609"/>
      <c r="GD121" s="609"/>
      <c r="GE121" s="816"/>
      <c r="GF121" s="816"/>
      <c r="GG121" s="609"/>
      <c r="GH121" s="609"/>
      <c r="GI121" s="816"/>
      <c r="GJ121" s="816"/>
      <c r="GK121" s="609"/>
      <c r="GL121" s="609"/>
      <c r="GM121" s="816"/>
      <c r="GN121" s="816"/>
      <c r="GO121" s="816"/>
      <c r="GP121" s="816"/>
      <c r="GQ121" s="816"/>
      <c r="GR121" s="816"/>
      <c r="GS121" s="609"/>
      <c r="GT121" s="609"/>
      <c r="GU121" s="816"/>
      <c r="GV121" s="816"/>
      <c r="GW121" s="609"/>
      <c r="GX121" s="609"/>
      <c r="GY121" s="816"/>
      <c r="GZ121" s="816"/>
      <c r="HA121" s="609"/>
      <c r="HB121" s="609"/>
      <c r="HC121" s="816"/>
      <c r="HD121" s="816"/>
      <c r="HE121" s="816"/>
      <c r="HF121" s="816"/>
      <c r="HG121" s="816"/>
      <c r="HH121" s="816"/>
      <c r="HI121" s="821"/>
      <c r="HJ121" s="609"/>
      <c r="HK121" s="816"/>
      <c r="HL121" s="816"/>
      <c r="HM121" s="822"/>
      <c r="HN121" s="609"/>
      <c r="HO121" s="816"/>
      <c r="HP121" s="816"/>
      <c r="HQ121" s="609"/>
      <c r="HR121" s="816"/>
      <c r="HS121" s="816"/>
      <c r="HT121" s="816"/>
      <c r="HU121" s="816"/>
      <c r="HV121" s="816"/>
      <c r="HW121" s="816"/>
      <c r="HX121" s="816"/>
      <c r="HY121" s="816"/>
      <c r="HZ121" s="816"/>
      <c r="IA121" s="816"/>
      <c r="IB121" s="816"/>
      <c r="IC121" s="823"/>
      <c r="ID121" s="824"/>
      <c r="IE121" s="825"/>
      <c r="IF121" s="825"/>
      <c r="IG121" s="816"/>
      <c r="II121" s="826"/>
      <c r="IJ121" s="826"/>
      <c r="IK121" s="826"/>
      <c r="IL121" s="826"/>
    </row>
    <row r="122" spans="2:246" s="780" customFormat="1">
      <c r="B122" s="609"/>
      <c r="C122" s="609"/>
      <c r="D122" s="609"/>
      <c r="E122" s="609"/>
      <c r="F122" s="609"/>
      <c r="G122" s="609"/>
      <c r="H122" s="609"/>
      <c r="I122" s="609"/>
      <c r="J122" s="609"/>
      <c r="K122" s="609"/>
      <c r="L122" s="609"/>
      <c r="M122" s="609"/>
      <c r="N122" s="609"/>
      <c r="O122" s="609"/>
      <c r="P122" s="609"/>
      <c r="Q122" s="609"/>
      <c r="R122" s="609"/>
      <c r="S122" s="609"/>
      <c r="T122" s="609"/>
      <c r="U122" s="609"/>
      <c r="V122" s="609"/>
      <c r="W122" s="609"/>
      <c r="X122" s="609"/>
      <c r="Y122" s="609"/>
      <c r="Z122" s="816"/>
      <c r="AA122" s="816"/>
      <c r="AB122" s="816"/>
      <c r="AC122" s="816"/>
      <c r="AD122" s="816"/>
      <c r="AE122" s="816"/>
      <c r="AF122" s="609"/>
      <c r="AG122" s="609"/>
      <c r="AH122" s="816"/>
      <c r="AI122" s="816"/>
      <c r="AJ122" s="609"/>
      <c r="AK122" s="609"/>
      <c r="AL122" s="816"/>
      <c r="AM122" s="816"/>
      <c r="AN122" s="816"/>
      <c r="AO122" s="816"/>
      <c r="AP122" s="816"/>
      <c r="AQ122" s="816"/>
      <c r="AR122" s="609"/>
      <c r="AS122" s="609"/>
      <c r="AT122" s="816"/>
      <c r="AU122" s="816"/>
      <c r="AV122" s="817"/>
      <c r="AW122" s="609"/>
      <c r="AX122" s="609"/>
      <c r="AY122" s="816"/>
      <c r="AZ122" s="816"/>
      <c r="BA122" s="816"/>
      <c r="BB122" s="816"/>
      <c r="BC122" s="816"/>
      <c r="BD122" s="816"/>
      <c r="BE122" s="816"/>
      <c r="BF122" s="816"/>
      <c r="BG122" s="816"/>
      <c r="BH122" s="816"/>
      <c r="BI122" s="816"/>
      <c r="BJ122" s="816"/>
      <c r="BK122" s="816"/>
      <c r="BL122" s="816"/>
      <c r="BM122" s="816"/>
      <c r="BN122" s="816"/>
      <c r="BO122" s="816"/>
      <c r="BP122" s="816"/>
      <c r="BQ122" s="816"/>
      <c r="BR122" s="816"/>
      <c r="BS122" s="816"/>
      <c r="BT122" s="609"/>
      <c r="BU122" s="609"/>
      <c r="BV122" s="609"/>
      <c r="BW122" s="818"/>
      <c r="BX122" s="816"/>
      <c r="BY122" s="816"/>
      <c r="BZ122" s="816"/>
      <c r="CA122" s="816"/>
      <c r="CB122" s="816"/>
      <c r="CC122" s="816"/>
      <c r="CD122" s="816"/>
      <c r="CE122" s="816"/>
      <c r="CF122" s="820"/>
      <c r="CG122" s="820"/>
      <c r="CH122" s="820"/>
      <c r="CI122" s="820"/>
      <c r="CJ122" s="609"/>
      <c r="CK122" s="609"/>
      <c r="CL122" s="816"/>
      <c r="CM122" s="816"/>
      <c r="CN122" s="609"/>
      <c r="CO122" s="609"/>
      <c r="CP122" s="816"/>
      <c r="CQ122" s="816"/>
      <c r="CR122" s="609"/>
      <c r="CS122" s="609"/>
      <c r="CT122" s="816"/>
      <c r="CU122" s="816"/>
      <c r="CV122" s="609"/>
      <c r="CW122" s="609"/>
      <c r="CX122" s="816"/>
      <c r="CY122" s="816"/>
      <c r="CZ122" s="816"/>
      <c r="DA122" s="816"/>
      <c r="DB122" s="816"/>
      <c r="DC122" s="816"/>
      <c r="DD122" s="816"/>
      <c r="DE122" s="816"/>
      <c r="DF122" s="816"/>
      <c r="DG122" s="816"/>
      <c r="DH122" s="816"/>
      <c r="DI122" s="816"/>
      <c r="DJ122" s="816"/>
      <c r="DK122" s="816"/>
      <c r="DL122" s="609"/>
      <c r="DM122" s="609"/>
      <c r="DN122" s="816"/>
      <c r="DO122" s="816"/>
      <c r="DP122" s="816"/>
      <c r="DQ122" s="816"/>
      <c r="DR122" s="816"/>
      <c r="DS122" s="816"/>
      <c r="DT122" s="816"/>
      <c r="DU122" s="816"/>
      <c r="DV122" s="816"/>
      <c r="DW122" s="816"/>
      <c r="DX122" s="816"/>
      <c r="DY122" s="816"/>
      <c r="DZ122" s="816"/>
      <c r="EA122" s="816"/>
      <c r="EB122" s="609"/>
      <c r="EC122" s="609"/>
      <c r="ED122" s="816"/>
      <c r="EE122" s="816"/>
      <c r="EF122" s="816"/>
      <c r="EG122" s="816"/>
      <c r="EH122" s="816"/>
      <c r="EI122" s="816"/>
      <c r="EJ122" s="816"/>
      <c r="EK122" s="816"/>
      <c r="EL122" s="816"/>
      <c r="EM122" s="816"/>
      <c r="EN122" s="816"/>
      <c r="EO122" s="816"/>
      <c r="EP122" s="816"/>
      <c r="EQ122" s="816"/>
      <c r="ER122" s="816"/>
      <c r="ES122" s="816"/>
      <c r="ET122" s="816"/>
      <c r="EU122" s="816"/>
      <c r="EV122" s="816"/>
      <c r="EW122" s="816"/>
      <c r="EX122" s="816"/>
      <c r="EY122" s="816"/>
      <c r="EZ122" s="816"/>
      <c r="FA122" s="816"/>
      <c r="FB122" s="819"/>
      <c r="FC122" s="816"/>
      <c r="FD122" s="820"/>
      <c r="FE122" s="820"/>
      <c r="FF122" s="820"/>
      <c r="FG122" s="820"/>
      <c r="FH122" s="609"/>
      <c r="FI122" s="609"/>
      <c r="FJ122" s="816"/>
      <c r="FK122" s="816"/>
      <c r="FL122" s="816"/>
      <c r="FM122" s="816"/>
      <c r="FN122" s="816"/>
      <c r="FO122" s="816"/>
      <c r="FP122" s="816"/>
      <c r="FQ122" s="816"/>
      <c r="FR122" s="816"/>
      <c r="FS122" s="816"/>
      <c r="FT122" s="816"/>
      <c r="FU122" s="816"/>
      <c r="FV122" s="816"/>
      <c r="FW122" s="816"/>
      <c r="FX122" s="609"/>
      <c r="FY122" s="609"/>
      <c r="FZ122" s="816"/>
      <c r="GA122" s="816"/>
      <c r="GB122" s="609"/>
      <c r="GC122" s="609"/>
      <c r="GD122" s="609"/>
      <c r="GE122" s="816"/>
      <c r="GF122" s="816"/>
      <c r="GG122" s="609"/>
      <c r="GH122" s="609"/>
      <c r="GI122" s="816"/>
      <c r="GJ122" s="816"/>
      <c r="GK122" s="609"/>
      <c r="GL122" s="609"/>
      <c r="GM122" s="816"/>
      <c r="GN122" s="816"/>
      <c r="GO122" s="816"/>
      <c r="GP122" s="816"/>
      <c r="GQ122" s="816"/>
      <c r="GR122" s="816"/>
      <c r="GS122" s="609"/>
      <c r="GT122" s="609"/>
      <c r="GU122" s="816"/>
      <c r="GV122" s="816"/>
      <c r="GW122" s="609"/>
      <c r="GX122" s="609"/>
      <c r="GY122" s="816"/>
      <c r="GZ122" s="816"/>
      <c r="HA122" s="609"/>
      <c r="HB122" s="609"/>
      <c r="HC122" s="816"/>
      <c r="HD122" s="816"/>
      <c r="HE122" s="816"/>
      <c r="HF122" s="816"/>
      <c r="HG122" s="816"/>
      <c r="HH122" s="816"/>
      <c r="HI122" s="821"/>
      <c r="HJ122" s="609"/>
      <c r="HK122" s="816"/>
      <c r="HL122" s="816"/>
      <c r="HM122" s="822"/>
      <c r="HN122" s="609"/>
      <c r="HO122" s="816"/>
      <c r="HP122" s="816"/>
      <c r="HQ122" s="609"/>
      <c r="HR122" s="816"/>
      <c r="HS122" s="816"/>
      <c r="HT122" s="816"/>
      <c r="HU122" s="816"/>
      <c r="HV122" s="816"/>
      <c r="HW122" s="816"/>
      <c r="HX122" s="816"/>
      <c r="HY122" s="816"/>
      <c r="HZ122" s="816"/>
      <c r="IA122" s="816"/>
      <c r="IB122" s="816"/>
      <c r="IC122" s="823"/>
      <c r="ID122" s="824"/>
      <c r="IE122" s="825"/>
      <c r="IF122" s="825"/>
      <c r="IG122" s="816"/>
      <c r="II122" s="826"/>
      <c r="IJ122" s="826"/>
      <c r="IK122" s="826"/>
      <c r="IL122" s="826"/>
    </row>
    <row r="123" spans="2:246" s="780" customFormat="1">
      <c r="B123" s="609"/>
      <c r="C123" s="609"/>
      <c r="D123" s="609"/>
      <c r="E123" s="609"/>
      <c r="F123" s="609"/>
      <c r="G123" s="609"/>
      <c r="H123" s="609"/>
      <c r="I123" s="609"/>
      <c r="J123" s="609"/>
      <c r="K123" s="609"/>
      <c r="L123" s="609"/>
      <c r="M123" s="609"/>
      <c r="N123" s="609"/>
      <c r="O123" s="609"/>
      <c r="P123" s="609"/>
      <c r="Q123" s="609"/>
      <c r="R123" s="609"/>
      <c r="S123" s="609"/>
      <c r="T123" s="609"/>
      <c r="U123" s="609"/>
      <c r="V123" s="609"/>
      <c r="W123" s="609"/>
      <c r="X123" s="609"/>
      <c r="Y123" s="609"/>
      <c r="Z123" s="816"/>
      <c r="AA123" s="816"/>
      <c r="AB123" s="816"/>
      <c r="AC123" s="816"/>
      <c r="AD123" s="816"/>
      <c r="AE123" s="816"/>
      <c r="AF123" s="609"/>
      <c r="AG123" s="609"/>
      <c r="AH123" s="816"/>
      <c r="AI123" s="816"/>
      <c r="AJ123" s="609"/>
      <c r="AK123" s="609"/>
      <c r="AL123" s="816"/>
      <c r="AM123" s="816"/>
      <c r="AN123" s="816"/>
      <c r="AO123" s="816"/>
      <c r="AP123" s="816"/>
      <c r="AQ123" s="816"/>
      <c r="AR123" s="609"/>
      <c r="AS123" s="609"/>
      <c r="AT123" s="816"/>
      <c r="AU123" s="816"/>
      <c r="AV123" s="817"/>
      <c r="AW123" s="609"/>
      <c r="AX123" s="609"/>
      <c r="AY123" s="816"/>
      <c r="AZ123" s="816"/>
      <c r="BA123" s="816"/>
      <c r="BB123" s="816"/>
      <c r="BC123" s="816"/>
      <c r="BD123" s="816"/>
      <c r="BE123" s="816"/>
      <c r="BF123" s="816"/>
      <c r="BG123" s="816"/>
      <c r="BH123" s="816"/>
      <c r="BI123" s="816"/>
      <c r="BJ123" s="816"/>
      <c r="BK123" s="816"/>
      <c r="BL123" s="816"/>
      <c r="BM123" s="816"/>
      <c r="BN123" s="816"/>
      <c r="BO123" s="816"/>
      <c r="BP123" s="816"/>
      <c r="BQ123" s="816"/>
      <c r="BR123" s="816"/>
      <c r="BS123" s="816"/>
      <c r="BT123" s="609"/>
      <c r="BU123" s="609"/>
      <c r="BV123" s="609"/>
      <c r="BW123" s="818"/>
      <c r="BX123" s="816"/>
      <c r="BY123" s="816"/>
      <c r="BZ123" s="816"/>
      <c r="CA123" s="816"/>
      <c r="CB123" s="816"/>
      <c r="CC123" s="816"/>
      <c r="CD123" s="816"/>
      <c r="CE123" s="816"/>
      <c r="CF123" s="820"/>
      <c r="CG123" s="820"/>
      <c r="CH123" s="820"/>
      <c r="CI123" s="820"/>
      <c r="CJ123" s="609"/>
      <c r="CK123" s="609"/>
      <c r="CL123" s="816"/>
      <c r="CM123" s="816"/>
      <c r="CN123" s="609"/>
      <c r="CO123" s="609"/>
      <c r="CP123" s="816"/>
      <c r="CQ123" s="816"/>
      <c r="CR123" s="609"/>
      <c r="CS123" s="609"/>
      <c r="CT123" s="816"/>
      <c r="CU123" s="816"/>
      <c r="CV123" s="609"/>
      <c r="CW123" s="609"/>
      <c r="CX123" s="816"/>
      <c r="CY123" s="816"/>
      <c r="CZ123" s="816"/>
      <c r="DA123" s="816"/>
      <c r="DB123" s="816"/>
      <c r="DC123" s="816"/>
      <c r="DD123" s="816"/>
      <c r="DE123" s="816"/>
      <c r="DF123" s="816"/>
      <c r="DG123" s="816"/>
      <c r="DH123" s="816"/>
      <c r="DI123" s="816"/>
      <c r="DJ123" s="816"/>
      <c r="DK123" s="816"/>
      <c r="DL123" s="609"/>
      <c r="DM123" s="609"/>
      <c r="DN123" s="816"/>
      <c r="DO123" s="816"/>
      <c r="DP123" s="816"/>
      <c r="DQ123" s="816"/>
      <c r="DR123" s="816"/>
      <c r="DS123" s="816"/>
      <c r="DT123" s="816"/>
      <c r="DU123" s="816"/>
      <c r="DV123" s="816"/>
      <c r="DW123" s="816"/>
      <c r="DX123" s="816"/>
      <c r="DY123" s="816"/>
      <c r="DZ123" s="816"/>
      <c r="EA123" s="816"/>
      <c r="EB123" s="609"/>
      <c r="EC123" s="609"/>
      <c r="ED123" s="816"/>
      <c r="EE123" s="816"/>
      <c r="EF123" s="816"/>
      <c r="EG123" s="816"/>
      <c r="EH123" s="816"/>
      <c r="EI123" s="816"/>
      <c r="EJ123" s="816"/>
      <c r="EK123" s="816"/>
      <c r="EL123" s="816"/>
      <c r="EM123" s="816"/>
      <c r="EN123" s="816"/>
      <c r="EO123" s="816"/>
      <c r="EP123" s="816"/>
      <c r="EQ123" s="816"/>
      <c r="ER123" s="816"/>
      <c r="ES123" s="816"/>
      <c r="ET123" s="816"/>
      <c r="EU123" s="816"/>
      <c r="EV123" s="816"/>
      <c r="EW123" s="816"/>
      <c r="EX123" s="816"/>
      <c r="EY123" s="816"/>
      <c r="EZ123" s="816"/>
      <c r="FA123" s="816"/>
      <c r="FB123" s="819"/>
      <c r="FC123" s="816"/>
      <c r="FD123" s="820"/>
      <c r="FE123" s="820"/>
      <c r="FF123" s="820"/>
      <c r="FG123" s="820"/>
      <c r="FH123" s="609"/>
      <c r="FI123" s="609"/>
      <c r="FJ123" s="816"/>
      <c r="FK123" s="816"/>
      <c r="FL123" s="816"/>
      <c r="FM123" s="816"/>
      <c r="FN123" s="816"/>
      <c r="FO123" s="816"/>
      <c r="FP123" s="816"/>
      <c r="FQ123" s="816"/>
      <c r="FR123" s="816"/>
      <c r="FS123" s="816"/>
      <c r="FT123" s="816"/>
      <c r="FU123" s="816"/>
      <c r="FV123" s="816"/>
      <c r="FW123" s="816"/>
      <c r="FX123" s="609"/>
      <c r="FY123" s="609"/>
      <c r="FZ123" s="816"/>
      <c r="GA123" s="816"/>
      <c r="GB123" s="609"/>
      <c r="GC123" s="609"/>
      <c r="GD123" s="609"/>
      <c r="GE123" s="816"/>
      <c r="GF123" s="816"/>
      <c r="GG123" s="609"/>
      <c r="GH123" s="609"/>
      <c r="GI123" s="816"/>
      <c r="GJ123" s="816"/>
      <c r="GK123" s="609"/>
      <c r="GL123" s="609"/>
      <c r="GM123" s="816"/>
      <c r="GN123" s="816"/>
      <c r="GO123" s="816"/>
      <c r="GP123" s="816"/>
      <c r="GQ123" s="816"/>
      <c r="GR123" s="816"/>
      <c r="GS123" s="609"/>
      <c r="GT123" s="609"/>
      <c r="GU123" s="816"/>
      <c r="GV123" s="816"/>
      <c r="GW123" s="609"/>
      <c r="GX123" s="609"/>
      <c r="GY123" s="816"/>
      <c r="GZ123" s="816"/>
      <c r="HA123" s="609"/>
      <c r="HB123" s="609"/>
      <c r="HC123" s="816"/>
      <c r="HD123" s="816"/>
      <c r="HE123" s="816"/>
      <c r="HF123" s="816"/>
      <c r="HG123" s="816"/>
      <c r="HH123" s="816"/>
      <c r="HI123" s="821"/>
      <c r="HJ123" s="609"/>
      <c r="HK123" s="816"/>
      <c r="HL123" s="816"/>
      <c r="HM123" s="822"/>
      <c r="HN123" s="609"/>
      <c r="HO123" s="816"/>
      <c r="HP123" s="816"/>
      <c r="HQ123" s="609"/>
      <c r="HR123" s="816"/>
      <c r="HS123" s="816"/>
      <c r="HT123" s="816"/>
      <c r="HU123" s="816"/>
      <c r="HV123" s="816"/>
      <c r="HW123" s="816"/>
      <c r="HX123" s="816"/>
      <c r="HY123" s="816"/>
      <c r="HZ123" s="816"/>
      <c r="IA123" s="816"/>
      <c r="IB123" s="816"/>
      <c r="IC123" s="823"/>
      <c r="ID123" s="824"/>
      <c r="IE123" s="825"/>
      <c r="IF123" s="825"/>
      <c r="IG123" s="816"/>
      <c r="II123" s="826"/>
      <c r="IJ123" s="826"/>
      <c r="IK123" s="826"/>
      <c r="IL123" s="826"/>
    </row>
    <row r="124" spans="2:246" s="780" customFormat="1">
      <c r="B124" s="609"/>
      <c r="C124" s="609"/>
      <c r="D124" s="609"/>
      <c r="E124" s="609"/>
      <c r="F124" s="609"/>
      <c r="G124" s="609"/>
      <c r="H124" s="609"/>
      <c r="I124" s="609"/>
      <c r="J124" s="609"/>
      <c r="K124" s="609"/>
      <c r="L124" s="609"/>
      <c r="M124" s="609"/>
      <c r="N124" s="609"/>
      <c r="O124" s="609"/>
      <c r="P124" s="609"/>
      <c r="Q124" s="609"/>
      <c r="R124" s="609"/>
      <c r="S124" s="609"/>
      <c r="T124" s="609"/>
      <c r="U124" s="609"/>
      <c r="V124" s="609"/>
      <c r="W124" s="609"/>
      <c r="X124" s="609"/>
      <c r="Y124" s="609"/>
      <c r="Z124" s="816"/>
      <c r="AA124" s="816"/>
      <c r="AB124" s="816"/>
      <c r="AC124" s="816"/>
      <c r="AD124" s="816"/>
      <c r="AE124" s="816"/>
      <c r="AF124" s="609"/>
      <c r="AG124" s="609"/>
      <c r="AH124" s="816"/>
      <c r="AI124" s="816"/>
      <c r="AJ124" s="609"/>
      <c r="AK124" s="609"/>
      <c r="AL124" s="816"/>
      <c r="AM124" s="816"/>
      <c r="AN124" s="816"/>
      <c r="AO124" s="816"/>
      <c r="AP124" s="816"/>
      <c r="AQ124" s="816"/>
      <c r="AR124" s="609"/>
      <c r="AS124" s="609"/>
      <c r="AT124" s="816"/>
      <c r="AU124" s="816"/>
      <c r="AV124" s="817"/>
      <c r="AW124" s="609"/>
      <c r="AX124" s="609"/>
      <c r="AY124" s="816"/>
      <c r="AZ124" s="816"/>
      <c r="BA124" s="816"/>
      <c r="BB124" s="816"/>
      <c r="BC124" s="816"/>
      <c r="BD124" s="816"/>
      <c r="BE124" s="816"/>
      <c r="BF124" s="816"/>
      <c r="BG124" s="816"/>
      <c r="BH124" s="816"/>
      <c r="BI124" s="816"/>
      <c r="BJ124" s="816"/>
      <c r="BK124" s="816"/>
      <c r="BL124" s="816"/>
      <c r="BM124" s="816"/>
      <c r="BN124" s="816"/>
      <c r="BO124" s="816"/>
      <c r="BP124" s="816"/>
      <c r="BQ124" s="816"/>
      <c r="BR124" s="816"/>
      <c r="BS124" s="816"/>
      <c r="BT124" s="609"/>
      <c r="BU124" s="609"/>
      <c r="BV124" s="609"/>
      <c r="BW124" s="818"/>
      <c r="BX124" s="816"/>
      <c r="BY124" s="816"/>
      <c r="BZ124" s="816"/>
      <c r="CA124" s="816"/>
      <c r="CB124" s="816"/>
      <c r="CC124" s="816"/>
      <c r="CD124" s="816"/>
      <c r="CE124" s="816"/>
      <c r="CF124" s="820"/>
      <c r="CG124" s="820"/>
      <c r="CH124" s="820"/>
      <c r="CI124" s="820"/>
      <c r="CJ124" s="609"/>
      <c r="CK124" s="609"/>
      <c r="CL124" s="816"/>
      <c r="CM124" s="816"/>
      <c r="CN124" s="609"/>
      <c r="CO124" s="609"/>
      <c r="CP124" s="816"/>
      <c r="CQ124" s="816"/>
      <c r="CR124" s="609"/>
      <c r="CS124" s="609"/>
      <c r="CT124" s="816"/>
      <c r="CU124" s="816"/>
      <c r="CV124" s="609"/>
      <c r="CW124" s="609"/>
      <c r="CX124" s="816"/>
      <c r="CY124" s="816"/>
      <c r="CZ124" s="816"/>
      <c r="DA124" s="816"/>
      <c r="DB124" s="816"/>
      <c r="DC124" s="816"/>
      <c r="DD124" s="816"/>
      <c r="DE124" s="816"/>
      <c r="DF124" s="816"/>
      <c r="DG124" s="816"/>
      <c r="DH124" s="816"/>
      <c r="DI124" s="816"/>
      <c r="DJ124" s="816"/>
      <c r="DK124" s="816"/>
      <c r="DL124" s="609"/>
      <c r="DM124" s="609"/>
      <c r="DN124" s="816"/>
      <c r="DO124" s="816"/>
      <c r="DP124" s="816"/>
      <c r="DQ124" s="816"/>
      <c r="DR124" s="816"/>
      <c r="DS124" s="816"/>
      <c r="DT124" s="816"/>
      <c r="DU124" s="816"/>
      <c r="DV124" s="816"/>
      <c r="DW124" s="816"/>
      <c r="DX124" s="816"/>
      <c r="DY124" s="816"/>
      <c r="DZ124" s="816"/>
      <c r="EA124" s="816"/>
      <c r="EB124" s="609"/>
      <c r="EC124" s="609"/>
      <c r="ED124" s="816"/>
      <c r="EE124" s="816"/>
      <c r="EF124" s="816"/>
      <c r="EG124" s="816"/>
      <c r="EH124" s="816"/>
      <c r="EI124" s="816"/>
      <c r="EJ124" s="816"/>
      <c r="EK124" s="816"/>
      <c r="EL124" s="816"/>
      <c r="EM124" s="816"/>
      <c r="EN124" s="816"/>
      <c r="EO124" s="816"/>
      <c r="EP124" s="816"/>
      <c r="EQ124" s="816"/>
      <c r="ER124" s="816"/>
      <c r="ES124" s="816"/>
      <c r="ET124" s="816"/>
      <c r="EU124" s="816"/>
      <c r="EV124" s="816"/>
      <c r="EW124" s="816"/>
      <c r="EX124" s="816"/>
      <c r="EY124" s="816"/>
      <c r="EZ124" s="816"/>
      <c r="FA124" s="816"/>
      <c r="FB124" s="819"/>
      <c r="FC124" s="816"/>
      <c r="FD124" s="820"/>
      <c r="FE124" s="820"/>
      <c r="FF124" s="820"/>
      <c r="FG124" s="820"/>
      <c r="FH124" s="609"/>
      <c r="FI124" s="609"/>
      <c r="FJ124" s="816"/>
      <c r="FK124" s="816"/>
      <c r="FL124" s="816"/>
      <c r="FM124" s="816"/>
      <c r="FN124" s="816"/>
      <c r="FO124" s="816"/>
      <c r="FP124" s="816"/>
      <c r="FQ124" s="816"/>
      <c r="FR124" s="816"/>
      <c r="FS124" s="816"/>
      <c r="FT124" s="816"/>
      <c r="FU124" s="816"/>
      <c r="FV124" s="816"/>
      <c r="FW124" s="816"/>
      <c r="FX124" s="609"/>
      <c r="FY124" s="609"/>
      <c r="FZ124" s="816"/>
      <c r="GA124" s="816"/>
      <c r="GB124" s="609"/>
      <c r="GC124" s="609"/>
      <c r="GD124" s="609"/>
      <c r="GE124" s="816"/>
      <c r="GF124" s="816"/>
      <c r="GG124" s="609"/>
      <c r="GH124" s="609"/>
      <c r="GI124" s="816"/>
      <c r="GJ124" s="816"/>
      <c r="GK124" s="609"/>
      <c r="GL124" s="609"/>
      <c r="GM124" s="816"/>
      <c r="GN124" s="816"/>
      <c r="GO124" s="816"/>
      <c r="GP124" s="816"/>
      <c r="GQ124" s="816"/>
      <c r="GR124" s="816"/>
      <c r="GS124" s="609"/>
      <c r="GT124" s="609"/>
      <c r="GU124" s="816"/>
      <c r="GV124" s="816"/>
      <c r="GW124" s="609"/>
      <c r="GX124" s="609"/>
      <c r="GY124" s="816"/>
      <c r="GZ124" s="816"/>
      <c r="HA124" s="609"/>
      <c r="HB124" s="609"/>
      <c r="HC124" s="816"/>
      <c r="HD124" s="816"/>
      <c r="HE124" s="816"/>
      <c r="HF124" s="816"/>
      <c r="HG124" s="816"/>
      <c r="HH124" s="816"/>
      <c r="HI124" s="821"/>
      <c r="HJ124" s="609"/>
      <c r="HK124" s="816"/>
      <c r="HL124" s="816"/>
      <c r="HM124" s="822"/>
      <c r="HN124" s="609"/>
      <c r="HO124" s="816"/>
      <c r="HP124" s="816"/>
      <c r="HQ124" s="609"/>
      <c r="HR124" s="816"/>
      <c r="HS124" s="816"/>
      <c r="HT124" s="816"/>
      <c r="HU124" s="816"/>
      <c r="HV124" s="816"/>
      <c r="HW124" s="816"/>
      <c r="HX124" s="816"/>
      <c r="HY124" s="816"/>
      <c r="HZ124" s="816"/>
      <c r="IA124" s="816"/>
      <c r="IB124" s="816"/>
      <c r="IC124" s="823"/>
      <c r="ID124" s="824"/>
      <c r="IE124" s="825"/>
      <c r="IF124" s="825"/>
      <c r="IG124" s="816"/>
      <c r="II124" s="826"/>
      <c r="IJ124" s="826"/>
      <c r="IK124" s="826"/>
      <c r="IL124" s="826"/>
    </row>
    <row r="125" spans="2:246" s="780" customFormat="1">
      <c r="B125" s="609"/>
      <c r="C125" s="609"/>
      <c r="D125" s="609"/>
      <c r="E125" s="609"/>
      <c r="F125" s="609"/>
      <c r="G125" s="609"/>
      <c r="H125" s="609"/>
      <c r="I125" s="609"/>
      <c r="J125" s="609"/>
      <c r="K125" s="609"/>
      <c r="L125" s="609"/>
      <c r="M125" s="609"/>
      <c r="N125" s="609"/>
      <c r="O125" s="609"/>
      <c r="P125" s="609"/>
      <c r="Q125" s="609"/>
      <c r="R125" s="609"/>
      <c r="S125" s="609"/>
      <c r="T125" s="609"/>
      <c r="U125" s="609"/>
      <c r="V125" s="609"/>
      <c r="W125" s="609"/>
      <c r="X125" s="609"/>
      <c r="Y125" s="609"/>
      <c r="Z125" s="816"/>
      <c r="AA125" s="816"/>
      <c r="AB125" s="816"/>
      <c r="AC125" s="816"/>
      <c r="AD125" s="816"/>
      <c r="AE125" s="816"/>
      <c r="AF125" s="609"/>
      <c r="AG125" s="609"/>
      <c r="AH125" s="816"/>
      <c r="AI125" s="816"/>
      <c r="AJ125" s="609"/>
      <c r="AK125" s="609"/>
      <c r="AL125" s="816"/>
      <c r="AM125" s="816"/>
      <c r="AN125" s="816"/>
      <c r="AO125" s="816"/>
      <c r="AP125" s="816"/>
      <c r="AQ125" s="816"/>
      <c r="AR125" s="609"/>
      <c r="AS125" s="609"/>
      <c r="AT125" s="816"/>
      <c r="AU125" s="816"/>
      <c r="AV125" s="817"/>
      <c r="AW125" s="609"/>
      <c r="AX125" s="609"/>
      <c r="AY125" s="816"/>
      <c r="AZ125" s="816"/>
      <c r="BA125" s="816"/>
      <c r="BB125" s="816"/>
      <c r="BC125" s="816"/>
      <c r="BD125" s="816"/>
      <c r="BE125" s="816"/>
      <c r="BF125" s="816"/>
      <c r="BG125" s="816"/>
      <c r="BH125" s="816"/>
      <c r="BI125" s="816"/>
      <c r="BJ125" s="816"/>
      <c r="BK125" s="816"/>
      <c r="BL125" s="816"/>
      <c r="BM125" s="816"/>
      <c r="BN125" s="816"/>
      <c r="BO125" s="816"/>
      <c r="BP125" s="816"/>
      <c r="BQ125" s="816"/>
      <c r="BR125" s="816"/>
      <c r="BS125" s="816"/>
      <c r="BT125" s="609"/>
      <c r="BU125" s="609"/>
      <c r="BV125" s="609"/>
      <c r="BW125" s="818"/>
      <c r="BX125" s="816"/>
      <c r="BY125" s="816"/>
      <c r="BZ125" s="816"/>
      <c r="CA125" s="816"/>
      <c r="CB125" s="816"/>
      <c r="CC125" s="816"/>
      <c r="CD125" s="816"/>
      <c r="CE125" s="816"/>
      <c r="CF125" s="820"/>
      <c r="CG125" s="820"/>
      <c r="CH125" s="820"/>
      <c r="CI125" s="820"/>
      <c r="CJ125" s="609"/>
      <c r="CK125" s="609"/>
      <c r="CL125" s="816"/>
      <c r="CM125" s="816"/>
      <c r="CN125" s="609"/>
      <c r="CO125" s="609"/>
      <c r="CP125" s="816"/>
      <c r="CQ125" s="816"/>
      <c r="CR125" s="609"/>
      <c r="CS125" s="609"/>
      <c r="CT125" s="816"/>
      <c r="CU125" s="816"/>
      <c r="CV125" s="609"/>
      <c r="CW125" s="609"/>
      <c r="CX125" s="816"/>
      <c r="CY125" s="816"/>
      <c r="CZ125" s="816"/>
      <c r="DA125" s="816"/>
      <c r="DB125" s="816"/>
      <c r="DC125" s="816"/>
      <c r="DD125" s="816"/>
      <c r="DE125" s="816"/>
      <c r="DF125" s="816"/>
      <c r="DG125" s="816"/>
      <c r="DH125" s="816"/>
      <c r="DI125" s="816"/>
      <c r="DJ125" s="816"/>
      <c r="DK125" s="816"/>
      <c r="DL125" s="609"/>
      <c r="DM125" s="609"/>
      <c r="DN125" s="816"/>
      <c r="DO125" s="816"/>
      <c r="DP125" s="816"/>
      <c r="DQ125" s="816"/>
      <c r="DR125" s="816"/>
      <c r="DS125" s="816"/>
      <c r="DT125" s="816"/>
      <c r="DU125" s="816"/>
      <c r="DV125" s="816"/>
      <c r="DW125" s="816"/>
      <c r="DX125" s="816"/>
      <c r="DY125" s="816"/>
      <c r="DZ125" s="816"/>
      <c r="EA125" s="816"/>
      <c r="EB125" s="609"/>
      <c r="EC125" s="609"/>
      <c r="ED125" s="816"/>
      <c r="EE125" s="816"/>
      <c r="EF125" s="816"/>
      <c r="EG125" s="816"/>
      <c r="EH125" s="816"/>
      <c r="EI125" s="816"/>
      <c r="EJ125" s="816"/>
      <c r="EK125" s="816"/>
      <c r="EL125" s="816"/>
      <c r="EM125" s="816"/>
      <c r="EN125" s="816"/>
      <c r="EO125" s="816"/>
      <c r="EP125" s="816"/>
      <c r="EQ125" s="816"/>
      <c r="ER125" s="816"/>
      <c r="ES125" s="816"/>
      <c r="ET125" s="816"/>
      <c r="EU125" s="816"/>
      <c r="EV125" s="816"/>
      <c r="EW125" s="816"/>
      <c r="EX125" s="816"/>
      <c r="EY125" s="816"/>
      <c r="EZ125" s="816"/>
      <c r="FA125" s="816"/>
      <c r="FB125" s="819"/>
      <c r="FC125" s="816"/>
      <c r="FD125" s="820"/>
      <c r="FE125" s="820"/>
      <c r="FF125" s="820"/>
      <c r="FG125" s="820"/>
      <c r="FH125" s="609"/>
      <c r="FI125" s="609"/>
      <c r="FJ125" s="816"/>
      <c r="FK125" s="816"/>
      <c r="FL125" s="816"/>
      <c r="FM125" s="816"/>
      <c r="FN125" s="816"/>
      <c r="FO125" s="816"/>
      <c r="FP125" s="816"/>
      <c r="FQ125" s="816"/>
      <c r="FR125" s="816"/>
      <c r="FS125" s="816"/>
      <c r="FT125" s="816"/>
      <c r="FU125" s="816"/>
      <c r="FV125" s="816"/>
      <c r="FW125" s="816"/>
      <c r="FX125" s="609"/>
      <c r="FY125" s="609"/>
      <c r="FZ125" s="816"/>
      <c r="GA125" s="816"/>
      <c r="GB125" s="609"/>
      <c r="GC125" s="609"/>
      <c r="GD125" s="609"/>
      <c r="GE125" s="816"/>
      <c r="GF125" s="816"/>
      <c r="GG125" s="609"/>
      <c r="GH125" s="609"/>
      <c r="GI125" s="816"/>
      <c r="GJ125" s="816"/>
      <c r="GK125" s="609"/>
      <c r="GL125" s="609"/>
      <c r="GM125" s="816"/>
      <c r="GN125" s="816"/>
      <c r="GO125" s="816"/>
      <c r="GP125" s="816"/>
      <c r="GQ125" s="816"/>
      <c r="GR125" s="816"/>
      <c r="GS125" s="609"/>
      <c r="GT125" s="609"/>
      <c r="GU125" s="816"/>
      <c r="GV125" s="816"/>
      <c r="GW125" s="609"/>
      <c r="GX125" s="609"/>
      <c r="GY125" s="816"/>
      <c r="GZ125" s="816"/>
      <c r="HA125" s="609"/>
      <c r="HB125" s="609"/>
      <c r="HC125" s="816"/>
      <c r="HD125" s="816"/>
      <c r="HE125" s="816"/>
      <c r="HF125" s="816"/>
      <c r="HG125" s="816"/>
      <c r="HH125" s="816"/>
      <c r="HI125" s="821"/>
      <c r="HJ125" s="609"/>
      <c r="HK125" s="816"/>
      <c r="HL125" s="816"/>
      <c r="HM125" s="822"/>
      <c r="HN125" s="609"/>
      <c r="HO125" s="816"/>
      <c r="HP125" s="816"/>
      <c r="HQ125" s="609"/>
      <c r="HR125" s="816"/>
      <c r="HS125" s="816"/>
      <c r="HT125" s="816"/>
      <c r="HU125" s="816"/>
      <c r="HV125" s="816"/>
      <c r="HW125" s="816"/>
      <c r="HX125" s="816"/>
      <c r="HY125" s="816"/>
      <c r="HZ125" s="816"/>
      <c r="IA125" s="816"/>
      <c r="IB125" s="816"/>
      <c r="IC125" s="823"/>
      <c r="ID125" s="824"/>
      <c r="IE125" s="825"/>
      <c r="IF125" s="825"/>
      <c r="IG125" s="816"/>
      <c r="II125" s="826"/>
      <c r="IJ125" s="826"/>
      <c r="IK125" s="826"/>
      <c r="IL125" s="826"/>
    </row>
    <row r="126" spans="2:246" s="780" customFormat="1">
      <c r="B126" s="609"/>
      <c r="C126" s="609"/>
      <c r="D126" s="609"/>
      <c r="E126" s="609"/>
      <c r="F126" s="609"/>
      <c r="G126" s="609"/>
      <c r="H126" s="609"/>
      <c r="I126" s="609"/>
      <c r="J126" s="609"/>
      <c r="K126" s="609"/>
      <c r="L126" s="609"/>
      <c r="M126" s="609"/>
      <c r="N126" s="609"/>
      <c r="O126" s="609"/>
      <c r="P126" s="609"/>
      <c r="Q126" s="609"/>
      <c r="R126" s="609"/>
      <c r="S126" s="609"/>
      <c r="T126" s="609"/>
      <c r="U126" s="609"/>
      <c r="V126" s="609"/>
      <c r="W126" s="609"/>
      <c r="X126" s="609"/>
      <c r="Y126" s="609"/>
      <c r="Z126" s="816"/>
      <c r="AA126" s="816"/>
      <c r="AB126" s="816"/>
      <c r="AC126" s="816"/>
      <c r="AD126" s="816"/>
      <c r="AE126" s="816"/>
      <c r="AF126" s="609"/>
      <c r="AG126" s="609"/>
      <c r="AH126" s="816"/>
      <c r="AI126" s="816"/>
      <c r="AJ126" s="609"/>
      <c r="AK126" s="609"/>
      <c r="AL126" s="816"/>
      <c r="AM126" s="816"/>
      <c r="AN126" s="816"/>
      <c r="AO126" s="816"/>
      <c r="AP126" s="816"/>
      <c r="AQ126" s="816"/>
      <c r="AR126" s="609"/>
      <c r="AS126" s="609"/>
      <c r="AT126" s="816"/>
      <c r="AU126" s="816"/>
      <c r="AV126" s="817"/>
      <c r="AW126" s="609"/>
      <c r="AX126" s="609"/>
      <c r="AY126" s="816"/>
      <c r="AZ126" s="816"/>
      <c r="BA126" s="816"/>
      <c r="BB126" s="816"/>
      <c r="BC126" s="816"/>
      <c r="BD126" s="816"/>
      <c r="BE126" s="816"/>
      <c r="BF126" s="816"/>
      <c r="BG126" s="816"/>
      <c r="BH126" s="816"/>
      <c r="BI126" s="816"/>
      <c r="BJ126" s="816"/>
      <c r="BK126" s="816"/>
      <c r="BL126" s="816"/>
      <c r="BM126" s="816"/>
      <c r="BN126" s="816"/>
      <c r="BO126" s="816"/>
      <c r="BP126" s="816"/>
      <c r="BQ126" s="816"/>
      <c r="BR126" s="816"/>
      <c r="BS126" s="816"/>
      <c r="BT126" s="609"/>
      <c r="BU126" s="609"/>
      <c r="BV126" s="609"/>
      <c r="BW126" s="818"/>
      <c r="BX126" s="816"/>
      <c r="BY126" s="816"/>
      <c r="BZ126" s="816"/>
      <c r="CA126" s="816"/>
      <c r="CB126" s="816"/>
      <c r="CC126" s="816"/>
      <c r="CD126" s="816"/>
      <c r="CE126" s="816"/>
      <c r="CF126" s="820"/>
      <c r="CG126" s="820"/>
      <c r="CH126" s="820"/>
      <c r="CI126" s="820"/>
      <c r="CJ126" s="609"/>
      <c r="CK126" s="609"/>
      <c r="CL126" s="816"/>
      <c r="CM126" s="816"/>
      <c r="CN126" s="609"/>
      <c r="CO126" s="609"/>
      <c r="CP126" s="816"/>
      <c r="CQ126" s="816"/>
      <c r="CR126" s="609"/>
      <c r="CS126" s="609"/>
      <c r="CT126" s="816"/>
      <c r="CU126" s="816"/>
      <c r="CV126" s="609"/>
      <c r="CW126" s="609"/>
      <c r="CX126" s="816"/>
      <c r="CY126" s="816"/>
      <c r="CZ126" s="816"/>
      <c r="DA126" s="816"/>
      <c r="DB126" s="816"/>
      <c r="DC126" s="816"/>
      <c r="DD126" s="816"/>
      <c r="DE126" s="816"/>
      <c r="DF126" s="816"/>
      <c r="DG126" s="816"/>
      <c r="DH126" s="816"/>
      <c r="DI126" s="816"/>
      <c r="DJ126" s="816"/>
      <c r="DK126" s="816"/>
      <c r="DL126" s="609"/>
      <c r="DM126" s="609"/>
      <c r="DN126" s="816"/>
      <c r="DO126" s="816"/>
      <c r="DP126" s="816"/>
      <c r="DQ126" s="816"/>
      <c r="DR126" s="816"/>
      <c r="DS126" s="816"/>
      <c r="DT126" s="816"/>
      <c r="DU126" s="816"/>
      <c r="DV126" s="816"/>
      <c r="DW126" s="816"/>
      <c r="DX126" s="816"/>
      <c r="DY126" s="816"/>
      <c r="DZ126" s="816"/>
      <c r="EA126" s="816"/>
      <c r="EB126" s="609"/>
      <c r="EC126" s="609"/>
      <c r="ED126" s="816"/>
      <c r="EE126" s="816"/>
      <c r="EF126" s="816"/>
      <c r="EG126" s="816"/>
      <c r="EH126" s="816"/>
      <c r="EI126" s="816"/>
      <c r="EJ126" s="816"/>
      <c r="EK126" s="816"/>
      <c r="EL126" s="816"/>
      <c r="EM126" s="816"/>
      <c r="EN126" s="816"/>
      <c r="EO126" s="816"/>
      <c r="EP126" s="816"/>
      <c r="EQ126" s="816"/>
      <c r="ER126" s="816"/>
      <c r="ES126" s="816"/>
      <c r="ET126" s="816"/>
      <c r="EU126" s="816"/>
      <c r="EV126" s="816"/>
      <c r="EW126" s="816"/>
      <c r="EX126" s="816"/>
      <c r="EY126" s="816"/>
      <c r="EZ126" s="816"/>
      <c r="FA126" s="816"/>
      <c r="FB126" s="819"/>
      <c r="FC126" s="816"/>
      <c r="FD126" s="820"/>
      <c r="FE126" s="820"/>
      <c r="FF126" s="820"/>
      <c r="FG126" s="820"/>
      <c r="FH126" s="609"/>
      <c r="FI126" s="609"/>
      <c r="FJ126" s="816"/>
      <c r="FK126" s="816"/>
      <c r="FL126" s="816"/>
      <c r="FM126" s="816"/>
      <c r="FN126" s="816"/>
      <c r="FO126" s="816"/>
      <c r="FP126" s="816"/>
      <c r="FQ126" s="816"/>
      <c r="FR126" s="816"/>
      <c r="FS126" s="816"/>
      <c r="FT126" s="816"/>
      <c r="FU126" s="816"/>
      <c r="FV126" s="816"/>
      <c r="FW126" s="816"/>
      <c r="FX126" s="609"/>
      <c r="FY126" s="609"/>
      <c r="FZ126" s="816"/>
      <c r="GA126" s="816"/>
      <c r="GB126" s="609"/>
      <c r="GC126" s="609"/>
      <c r="GD126" s="609"/>
      <c r="GE126" s="816"/>
      <c r="GF126" s="816"/>
      <c r="GG126" s="609"/>
      <c r="GH126" s="609"/>
      <c r="GI126" s="816"/>
      <c r="GJ126" s="816"/>
      <c r="GK126" s="609"/>
      <c r="GL126" s="609"/>
      <c r="GM126" s="816"/>
      <c r="GN126" s="816"/>
      <c r="GO126" s="816"/>
      <c r="GP126" s="816"/>
      <c r="GQ126" s="816"/>
      <c r="GR126" s="816"/>
      <c r="GS126" s="609"/>
      <c r="GT126" s="609"/>
      <c r="GU126" s="816"/>
      <c r="GV126" s="816"/>
      <c r="GW126" s="609"/>
      <c r="GX126" s="609"/>
      <c r="GY126" s="816"/>
      <c r="GZ126" s="816"/>
      <c r="HA126" s="609"/>
      <c r="HB126" s="609"/>
      <c r="HC126" s="816"/>
      <c r="HD126" s="816"/>
      <c r="HE126" s="816"/>
      <c r="HF126" s="816"/>
      <c r="HG126" s="816"/>
      <c r="HH126" s="816"/>
      <c r="HI126" s="821"/>
      <c r="HJ126" s="609"/>
      <c r="HK126" s="816"/>
      <c r="HL126" s="816"/>
      <c r="HM126" s="822"/>
      <c r="HN126" s="609"/>
      <c r="HO126" s="816"/>
      <c r="HP126" s="816"/>
      <c r="HQ126" s="609"/>
      <c r="HR126" s="816"/>
      <c r="HS126" s="816"/>
      <c r="HT126" s="816"/>
      <c r="HU126" s="816"/>
      <c r="HV126" s="816"/>
      <c r="HW126" s="816"/>
      <c r="HX126" s="816"/>
      <c r="HY126" s="816"/>
      <c r="HZ126" s="816"/>
      <c r="IA126" s="816"/>
      <c r="IB126" s="816"/>
      <c r="IC126" s="823"/>
      <c r="ID126" s="824"/>
      <c r="IE126" s="825"/>
      <c r="IF126" s="825"/>
      <c r="IG126" s="816"/>
      <c r="II126" s="826"/>
      <c r="IJ126" s="826"/>
      <c r="IK126" s="826"/>
      <c r="IL126" s="826"/>
    </row>
    <row r="127" spans="2:246" s="780" customFormat="1">
      <c r="B127" s="609"/>
      <c r="C127" s="609"/>
      <c r="D127" s="609"/>
      <c r="E127" s="609"/>
      <c r="F127" s="609"/>
      <c r="G127" s="609"/>
      <c r="H127" s="609"/>
      <c r="I127" s="609"/>
      <c r="J127" s="609"/>
      <c r="K127" s="609"/>
      <c r="L127" s="609"/>
      <c r="M127" s="609"/>
      <c r="N127" s="609"/>
      <c r="O127" s="609"/>
      <c r="P127" s="609"/>
      <c r="Q127" s="609"/>
      <c r="R127" s="609"/>
      <c r="S127" s="609"/>
      <c r="T127" s="609"/>
      <c r="U127" s="609"/>
      <c r="V127" s="609"/>
      <c r="W127" s="609"/>
      <c r="X127" s="609"/>
      <c r="Y127" s="609"/>
      <c r="Z127" s="816"/>
      <c r="AA127" s="816"/>
      <c r="AB127" s="816"/>
      <c r="AC127" s="816"/>
      <c r="AD127" s="816"/>
      <c r="AE127" s="816"/>
      <c r="AF127" s="609"/>
      <c r="AG127" s="609"/>
      <c r="AH127" s="816"/>
      <c r="AI127" s="816"/>
      <c r="AJ127" s="609"/>
      <c r="AK127" s="609"/>
      <c r="AL127" s="816"/>
      <c r="AM127" s="816"/>
      <c r="AN127" s="816"/>
      <c r="AO127" s="816"/>
      <c r="AP127" s="816"/>
      <c r="AQ127" s="816"/>
      <c r="AR127" s="609"/>
      <c r="AS127" s="609"/>
      <c r="AT127" s="816"/>
      <c r="AU127" s="816"/>
      <c r="AV127" s="817"/>
      <c r="AW127" s="609"/>
      <c r="AX127" s="609"/>
      <c r="AY127" s="816"/>
      <c r="AZ127" s="816"/>
      <c r="BA127" s="816"/>
      <c r="BB127" s="816"/>
      <c r="BC127" s="816"/>
      <c r="BD127" s="816"/>
      <c r="BE127" s="816"/>
      <c r="BF127" s="816"/>
      <c r="BG127" s="816"/>
      <c r="BH127" s="816"/>
      <c r="BI127" s="816"/>
      <c r="BJ127" s="816"/>
      <c r="BK127" s="816"/>
      <c r="BL127" s="816"/>
      <c r="BM127" s="816"/>
      <c r="BN127" s="816"/>
      <c r="BO127" s="816"/>
      <c r="BP127" s="816"/>
      <c r="BQ127" s="816"/>
      <c r="BR127" s="816"/>
      <c r="BS127" s="816"/>
      <c r="BT127" s="609"/>
      <c r="BU127" s="609"/>
      <c r="BV127" s="609"/>
      <c r="BW127" s="818"/>
      <c r="BX127" s="816"/>
      <c r="BY127" s="816"/>
      <c r="BZ127" s="816"/>
      <c r="CA127" s="816"/>
      <c r="CB127" s="816"/>
      <c r="CC127" s="816"/>
      <c r="CD127" s="816"/>
      <c r="CE127" s="816"/>
      <c r="CF127" s="820"/>
      <c r="CG127" s="820"/>
      <c r="CH127" s="820"/>
      <c r="CI127" s="820"/>
      <c r="CJ127" s="609"/>
      <c r="CK127" s="609"/>
      <c r="CL127" s="816"/>
      <c r="CM127" s="816"/>
      <c r="CN127" s="609"/>
      <c r="CO127" s="609"/>
      <c r="CP127" s="816"/>
      <c r="CQ127" s="816"/>
      <c r="CR127" s="609"/>
      <c r="CS127" s="609"/>
      <c r="CT127" s="816"/>
      <c r="CU127" s="816"/>
      <c r="CV127" s="609"/>
      <c r="CW127" s="609"/>
      <c r="CX127" s="816"/>
      <c r="CY127" s="816"/>
      <c r="CZ127" s="816"/>
      <c r="DA127" s="816"/>
      <c r="DB127" s="816"/>
      <c r="DC127" s="816"/>
      <c r="DD127" s="816"/>
      <c r="DE127" s="816"/>
      <c r="DF127" s="816"/>
      <c r="DG127" s="816"/>
      <c r="DH127" s="816"/>
      <c r="DI127" s="816"/>
      <c r="DJ127" s="816"/>
      <c r="DK127" s="816"/>
      <c r="DL127" s="609"/>
      <c r="DM127" s="609"/>
      <c r="DN127" s="816"/>
      <c r="DO127" s="816"/>
      <c r="DP127" s="816"/>
      <c r="DQ127" s="816"/>
      <c r="DR127" s="816"/>
      <c r="DS127" s="816"/>
      <c r="DT127" s="816"/>
      <c r="DU127" s="816"/>
      <c r="DV127" s="816"/>
      <c r="DW127" s="816"/>
      <c r="DX127" s="816"/>
      <c r="DY127" s="816"/>
      <c r="DZ127" s="816"/>
      <c r="EA127" s="816"/>
      <c r="EB127" s="609"/>
      <c r="EC127" s="609"/>
      <c r="ED127" s="816"/>
      <c r="EE127" s="816"/>
      <c r="EF127" s="816"/>
      <c r="EG127" s="816"/>
      <c r="EH127" s="816"/>
      <c r="EI127" s="816"/>
      <c r="EJ127" s="816"/>
      <c r="EK127" s="816"/>
      <c r="EL127" s="816"/>
      <c r="EM127" s="816"/>
      <c r="EN127" s="816"/>
      <c r="EO127" s="816"/>
      <c r="EP127" s="816"/>
      <c r="EQ127" s="816"/>
      <c r="ER127" s="816"/>
      <c r="ES127" s="816"/>
      <c r="ET127" s="816"/>
      <c r="EU127" s="816"/>
      <c r="EV127" s="816"/>
      <c r="EW127" s="816"/>
      <c r="EX127" s="816"/>
      <c r="EY127" s="816"/>
      <c r="EZ127" s="816"/>
      <c r="FA127" s="816"/>
      <c r="FB127" s="819"/>
      <c r="FC127" s="816"/>
      <c r="FD127" s="820"/>
      <c r="FE127" s="820"/>
      <c r="FF127" s="820"/>
      <c r="FG127" s="820"/>
      <c r="FH127" s="609"/>
      <c r="FI127" s="609"/>
      <c r="FJ127" s="816"/>
      <c r="FK127" s="816"/>
      <c r="FL127" s="816"/>
      <c r="FM127" s="816"/>
      <c r="FN127" s="816"/>
      <c r="FO127" s="816"/>
      <c r="FP127" s="816"/>
      <c r="FQ127" s="816"/>
      <c r="FR127" s="816"/>
      <c r="FS127" s="816"/>
      <c r="FT127" s="816"/>
      <c r="FU127" s="816"/>
      <c r="FV127" s="816"/>
      <c r="FW127" s="816"/>
      <c r="FX127" s="609"/>
      <c r="FY127" s="609"/>
      <c r="FZ127" s="816"/>
      <c r="GA127" s="816"/>
      <c r="GB127" s="609"/>
      <c r="GC127" s="609"/>
      <c r="GD127" s="609"/>
      <c r="GE127" s="816"/>
      <c r="GF127" s="816"/>
      <c r="GG127" s="609"/>
      <c r="GH127" s="609"/>
      <c r="GI127" s="816"/>
      <c r="GJ127" s="816"/>
      <c r="GK127" s="609"/>
      <c r="GL127" s="609"/>
      <c r="GM127" s="816"/>
      <c r="GN127" s="816"/>
      <c r="GO127" s="816"/>
      <c r="GP127" s="816"/>
      <c r="GQ127" s="816"/>
      <c r="GR127" s="816"/>
      <c r="GS127" s="609"/>
      <c r="GT127" s="609"/>
      <c r="GU127" s="816"/>
      <c r="GV127" s="816"/>
      <c r="GW127" s="609"/>
      <c r="GX127" s="609"/>
      <c r="GY127" s="816"/>
      <c r="GZ127" s="816"/>
      <c r="HA127" s="609"/>
      <c r="HB127" s="609"/>
      <c r="HC127" s="816"/>
      <c r="HD127" s="816"/>
      <c r="HE127" s="816"/>
      <c r="HF127" s="816"/>
      <c r="HG127" s="816"/>
      <c r="HH127" s="816"/>
      <c r="HI127" s="821"/>
      <c r="HJ127" s="609"/>
      <c r="HK127" s="816"/>
      <c r="HL127" s="816"/>
      <c r="HM127" s="822"/>
      <c r="HN127" s="609"/>
      <c r="HO127" s="816"/>
      <c r="HP127" s="816"/>
      <c r="HQ127" s="609"/>
      <c r="HR127" s="816"/>
      <c r="HS127" s="816"/>
      <c r="HT127" s="816"/>
      <c r="HU127" s="816"/>
      <c r="HV127" s="816"/>
      <c r="HW127" s="816"/>
      <c r="HX127" s="816"/>
      <c r="HY127" s="816"/>
      <c r="HZ127" s="816"/>
      <c r="IA127" s="816"/>
      <c r="IB127" s="816"/>
      <c r="IC127" s="823"/>
      <c r="ID127" s="824"/>
      <c r="IE127" s="825"/>
      <c r="IF127" s="825"/>
      <c r="IG127" s="816"/>
      <c r="II127" s="826"/>
      <c r="IJ127" s="826"/>
      <c r="IK127" s="826"/>
      <c r="IL127" s="826"/>
    </row>
    <row r="128" spans="2:246" s="780" customFormat="1"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09"/>
      <c r="T128" s="609"/>
      <c r="U128" s="609"/>
      <c r="V128" s="609"/>
      <c r="W128" s="609"/>
      <c r="X128" s="609"/>
      <c r="Y128" s="609"/>
      <c r="Z128" s="816"/>
      <c r="AA128" s="816"/>
      <c r="AB128" s="816"/>
      <c r="AC128" s="816"/>
      <c r="AD128" s="816"/>
      <c r="AE128" s="816"/>
      <c r="AF128" s="609"/>
      <c r="AG128" s="609"/>
      <c r="AH128" s="816"/>
      <c r="AI128" s="816"/>
      <c r="AJ128" s="609"/>
      <c r="AK128" s="609"/>
      <c r="AL128" s="816"/>
      <c r="AM128" s="816"/>
      <c r="AN128" s="816"/>
      <c r="AO128" s="816"/>
      <c r="AP128" s="816"/>
      <c r="AQ128" s="816"/>
      <c r="AR128" s="609"/>
      <c r="AS128" s="609"/>
      <c r="AT128" s="816"/>
      <c r="AU128" s="816"/>
      <c r="AV128" s="817"/>
      <c r="AW128" s="609"/>
      <c r="AX128" s="609"/>
      <c r="AY128" s="816"/>
      <c r="AZ128" s="816"/>
      <c r="BA128" s="816"/>
      <c r="BB128" s="816"/>
      <c r="BC128" s="816"/>
      <c r="BD128" s="816"/>
      <c r="BE128" s="816"/>
      <c r="BF128" s="816"/>
      <c r="BG128" s="816"/>
      <c r="BH128" s="816"/>
      <c r="BI128" s="816"/>
      <c r="BJ128" s="816"/>
      <c r="BK128" s="816"/>
      <c r="BL128" s="816"/>
      <c r="BM128" s="816"/>
      <c r="BN128" s="816"/>
      <c r="BO128" s="816"/>
      <c r="BP128" s="816"/>
      <c r="BQ128" s="816"/>
      <c r="BR128" s="816"/>
      <c r="BS128" s="816"/>
      <c r="BT128" s="609"/>
      <c r="BU128" s="609"/>
      <c r="BV128" s="609"/>
      <c r="BW128" s="818"/>
      <c r="BX128" s="816"/>
      <c r="BY128" s="816"/>
      <c r="BZ128" s="816"/>
      <c r="CA128" s="816"/>
      <c r="CB128" s="816"/>
      <c r="CC128" s="816"/>
      <c r="CD128" s="816"/>
      <c r="CE128" s="816"/>
      <c r="CF128" s="820"/>
      <c r="CG128" s="820"/>
      <c r="CH128" s="820"/>
      <c r="CI128" s="820"/>
      <c r="CJ128" s="609"/>
      <c r="CK128" s="609"/>
      <c r="CL128" s="816"/>
      <c r="CM128" s="816"/>
      <c r="CN128" s="609"/>
      <c r="CO128" s="609"/>
      <c r="CP128" s="816"/>
      <c r="CQ128" s="816"/>
      <c r="CR128" s="609"/>
      <c r="CS128" s="609"/>
      <c r="CT128" s="816"/>
      <c r="CU128" s="816"/>
      <c r="CV128" s="609"/>
      <c r="CW128" s="609"/>
      <c r="CX128" s="816"/>
      <c r="CY128" s="816"/>
      <c r="CZ128" s="816"/>
      <c r="DA128" s="816"/>
      <c r="DB128" s="816"/>
      <c r="DC128" s="816"/>
      <c r="DD128" s="816"/>
      <c r="DE128" s="816"/>
      <c r="DF128" s="816"/>
      <c r="DG128" s="816"/>
      <c r="DH128" s="816"/>
      <c r="DI128" s="816"/>
      <c r="DJ128" s="816"/>
      <c r="DK128" s="816"/>
      <c r="DL128" s="609"/>
      <c r="DM128" s="609"/>
      <c r="DN128" s="816"/>
      <c r="DO128" s="816"/>
      <c r="DP128" s="816"/>
      <c r="DQ128" s="816"/>
      <c r="DR128" s="816"/>
      <c r="DS128" s="816"/>
      <c r="DT128" s="816"/>
      <c r="DU128" s="816"/>
      <c r="DV128" s="816"/>
      <c r="DW128" s="816"/>
      <c r="DX128" s="816"/>
      <c r="DY128" s="816"/>
      <c r="DZ128" s="816"/>
      <c r="EA128" s="816"/>
      <c r="EB128" s="609"/>
      <c r="EC128" s="609"/>
      <c r="ED128" s="816"/>
      <c r="EE128" s="816"/>
      <c r="EF128" s="816"/>
      <c r="EG128" s="816"/>
      <c r="EH128" s="816"/>
      <c r="EI128" s="816"/>
      <c r="EJ128" s="816"/>
      <c r="EK128" s="816"/>
      <c r="EL128" s="816"/>
      <c r="EM128" s="816"/>
      <c r="EN128" s="816"/>
      <c r="EO128" s="816"/>
      <c r="EP128" s="816"/>
      <c r="EQ128" s="816"/>
      <c r="ER128" s="816"/>
      <c r="ES128" s="816"/>
      <c r="ET128" s="816"/>
      <c r="EU128" s="816"/>
      <c r="EV128" s="816"/>
      <c r="EW128" s="816"/>
      <c r="EX128" s="816"/>
      <c r="EY128" s="816"/>
      <c r="EZ128" s="816"/>
      <c r="FA128" s="816"/>
      <c r="FB128" s="819"/>
      <c r="FC128" s="816"/>
      <c r="FD128" s="820"/>
      <c r="FE128" s="820"/>
      <c r="FF128" s="820"/>
      <c r="FG128" s="820"/>
      <c r="FH128" s="609"/>
      <c r="FI128" s="609"/>
      <c r="FJ128" s="816"/>
      <c r="FK128" s="816"/>
      <c r="FL128" s="816"/>
      <c r="FM128" s="816"/>
      <c r="FN128" s="816"/>
      <c r="FO128" s="816"/>
      <c r="FP128" s="816"/>
      <c r="FQ128" s="816"/>
      <c r="FR128" s="816"/>
      <c r="FS128" s="816"/>
      <c r="FT128" s="816"/>
      <c r="FU128" s="816"/>
      <c r="FV128" s="816"/>
      <c r="FW128" s="816"/>
      <c r="FX128" s="609"/>
      <c r="FY128" s="609"/>
      <c r="FZ128" s="816"/>
      <c r="GA128" s="816"/>
      <c r="GB128" s="609"/>
      <c r="GC128" s="609"/>
      <c r="GD128" s="609"/>
      <c r="GE128" s="816"/>
      <c r="GF128" s="816"/>
      <c r="GG128" s="609"/>
      <c r="GH128" s="609"/>
      <c r="GI128" s="816"/>
      <c r="GJ128" s="816"/>
      <c r="GK128" s="609"/>
      <c r="GL128" s="609"/>
      <c r="GM128" s="816"/>
      <c r="GN128" s="816"/>
      <c r="GO128" s="816"/>
      <c r="GP128" s="816"/>
      <c r="GQ128" s="816"/>
      <c r="GR128" s="816"/>
      <c r="GS128" s="609"/>
      <c r="GT128" s="609"/>
      <c r="GU128" s="816"/>
      <c r="GV128" s="816"/>
      <c r="GW128" s="609"/>
      <c r="GX128" s="609"/>
      <c r="GY128" s="816"/>
      <c r="GZ128" s="816"/>
      <c r="HA128" s="609"/>
      <c r="HB128" s="609"/>
      <c r="HC128" s="816"/>
      <c r="HD128" s="816"/>
      <c r="HE128" s="816"/>
      <c r="HF128" s="816"/>
      <c r="HG128" s="816"/>
      <c r="HH128" s="816"/>
      <c r="HI128" s="821"/>
      <c r="HJ128" s="609"/>
      <c r="HK128" s="816"/>
      <c r="HL128" s="816"/>
      <c r="HM128" s="822"/>
      <c r="HN128" s="609"/>
      <c r="HO128" s="816"/>
      <c r="HP128" s="816"/>
      <c r="HQ128" s="609"/>
      <c r="HR128" s="816"/>
      <c r="HS128" s="816"/>
      <c r="HT128" s="816"/>
      <c r="HU128" s="816"/>
      <c r="HV128" s="816"/>
      <c r="HW128" s="816"/>
      <c r="HX128" s="816"/>
      <c r="HY128" s="816"/>
      <c r="HZ128" s="816"/>
      <c r="IA128" s="816"/>
      <c r="IB128" s="816"/>
      <c r="IC128" s="823"/>
      <c r="ID128" s="824"/>
      <c r="IE128" s="825"/>
      <c r="IF128" s="825"/>
      <c r="IG128" s="816"/>
      <c r="II128" s="826"/>
      <c r="IJ128" s="826"/>
      <c r="IK128" s="826"/>
      <c r="IL128" s="826"/>
    </row>
    <row r="129" spans="2:246" s="780" customFormat="1"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609"/>
      <c r="T129" s="609"/>
      <c r="U129" s="609"/>
      <c r="V129" s="609"/>
      <c r="W129" s="609"/>
      <c r="X129" s="609"/>
      <c r="Y129" s="609"/>
      <c r="Z129" s="816"/>
      <c r="AA129" s="816"/>
      <c r="AB129" s="816"/>
      <c r="AC129" s="816"/>
      <c r="AD129" s="816"/>
      <c r="AE129" s="816"/>
      <c r="AF129" s="609"/>
      <c r="AG129" s="609"/>
      <c r="AH129" s="816"/>
      <c r="AI129" s="816"/>
      <c r="AJ129" s="609"/>
      <c r="AK129" s="609"/>
      <c r="AL129" s="816"/>
      <c r="AM129" s="816"/>
      <c r="AN129" s="816"/>
      <c r="AO129" s="816"/>
      <c r="AP129" s="816"/>
      <c r="AQ129" s="816"/>
      <c r="AR129" s="609"/>
      <c r="AS129" s="609"/>
      <c r="AT129" s="816"/>
      <c r="AU129" s="816"/>
      <c r="AV129" s="817"/>
      <c r="AW129" s="609"/>
      <c r="AX129" s="609"/>
      <c r="AY129" s="816"/>
      <c r="AZ129" s="816"/>
      <c r="BA129" s="816"/>
      <c r="BB129" s="816"/>
      <c r="BC129" s="816"/>
      <c r="BD129" s="816"/>
      <c r="BE129" s="816"/>
      <c r="BF129" s="816"/>
      <c r="BG129" s="816"/>
      <c r="BH129" s="816"/>
      <c r="BI129" s="816"/>
      <c r="BJ129" s="816"/>
      <c r="BK129" s="816"/>
      <c r="BL129" s="816"/>
      <c r="BM129" s="816"/>
      <c r="BN129" s="816"/>
      <c r="BO129" s="816"/>
      <c r="BP129" s="816"/>
      <c r="BQ129" s="816"/>
      <c r="BR129" s="816"/>
      <c r="BS129" s="816"/>
      <c r="BT129" s="609"/>
      <c r="BU129" s="609"/>
      <c r="BV129" s="609"/>
      <c r="BW129" s="818"/>
      <c r="BX129" s="816"/>
      <c r="BY129" s="816"/>
      <c r="BZ129" s="816"/>
      <c r="CA129" s="816"/>
      <c r="CB129" s="816"/>
      <c r="CC129" s="816"/>
      <c r="CD129" s="816"/>
      <c r="CE129" s="816"/>
      <c r="CF129" s="820"/>
      <c r="CG129" s="820"/>
      <c r="CH129" s="820"/>
      <c r="CI129" s="820"/>
      <c r="CJ129" s="609"/>
      <c r="CK129" s="609"/>
      <c r="CL129" s="816"/>
      <c r="CM129" s="816"/>
      <c r="CN129" s="609"/>
      <c r="CO129" s="609"/>
      <c r="CP129" s="816"/>
      <c r="CQ129" s="816"/>
      <c r="CR129" s="609"/>
      <c r="CS129" s="609"/>
      <c r="CT129" s="816"/>
      <c r="CU129" s="816"/>
      <c r="CV129" s="609"/>
      <c r="CW129" s="609"/>
      <c r="CX129" s="816"/>
      <c r="CY129" s="816"/>
      <c r="CZ129" s="816"/>
      <c r="DA129" s="816"/>
      <c r="DB129" s="816"/>
      <c r="DC129" s="816"/>
      <c r="DD129" s="816"/>
      <c r="DE129" s="816"/>
      <c r="DF129" s="816"/>
      <c r="DG129" s="816"/>
      <c r="DH129" s="816"/>
      <c r="DI129" s="816"/>
      <c r="DJ129" s="816"/>
      <c r="DK129" s="816"/>
      <c r="DL129" s="609"/>
      <c r="DM129" s="609"/>
      <c r="DN129" s="816"/>
      <c r="DO129" s="816"/>
      <c r="DP129" s="816"/>
      <c r="DQ129" s="816"/>
      <c r="DR129" s="816"/>
      <c r="DS129" s="816"/>
      <c r="DT129" s="816"/>
      <c r="DU129" s="816"/>
      <c r="DV129" s="816"/>
      <c r="DW129" s="816"/>
      <c r="DX129" s="816"/>
      <c r="DY129" s="816"/>
      <c r="DZ129" s="816"/>
      <c r="EA129" s="816"/>
      <c r="EB129" s="609"/>
      <c r="EC129" s="609"/>
      <c r="ED129" s="816"/>
      <c r="EE129" s="816"/>
      <c r="EF129" s="816"/>
      <c r="EG129" s="816"/>
      <c r="EH129" s="816"/>
      <c r="EI129" s="816"/>
      <c r="EJ129" s="816"/>
      <c r="EK129" s="816"/>
      <c r="EL129" s="816"/>
      <c r="EM129" s="816"/>
      <c r="EN129" s="816"/>
      <c r="EO129" s="816"/>
      <c r="EP129" s="816"/>
      <c r="EQ129" s="816"/>
      <c r="ER129" s="816"/>
      <c r="ES129" s="816"/>
      <c r="ET129" s="816"/>
      <c r="EU129" s="816"/>
      <c r="EV129" s="816"/>
      <c r="EW129" s="816"/>
      <c r="EX129" s="816"/>
      <c r="EY129" s="816"/>
      <c r="EZ129" s="816"/>
      <c r="FA129" s="816"/>
      <c r="FB129" s="819"/>
      <c r="FC129" s="816"/>
      <c r="FD129" s="820"/>
      <c r="FE129" s="820"/>
      <c r="FF129" s="820"/>
      <c r="FG129" s="820"/>
      <c r="FH129" s="609"/>
      <c r="FI129" s="609"/>
      <c r="FJ129" s="816"/>
      <c r="FK129" s="816"/>
      <c r="FL129" s="816"/>
      <c r="FM129" s="816"/>
      <c r="FN129" s="816"/>
      <c r="FO129" s="816"/>
      <c r="FP129" s="816"/>
      <c r="FQ129" s="816"/>
      <c r="FR129" s="816"/>
      <c r="FS129" s="816"/>
      <c r="FT129" s="816"/>
      <c r="FU129" s="816"/>
      <c r="FV129" s="816"/>
      <c r="FW129" s="816"/>
      <c r="FX129" s="609"/>
      <c r="FY129" s="609"/>
      <c r="FZ129" s="816"/>
      <c r="GA129" s="816"/>
      <c r="GB129" s="609"/>
      <c r="GC129" s="609"/>
      <c r="GD129" s="609"/>
      <c r="GE129" s="816"/>
      <c r="GF129" s="816"/>
      <c r="GG129" s="609"/>
      <c r="GH129" s="609"/>
      <c r="GI129" s="816"/>
      <c r="GJ129" s="816"/>
      <c r="GK129" s="609"/>
      <c r="GL129" s="609"/>
      <c r="GM129" s="816"/>
      <c r="GN129" s="816"/>
      <c r="GO129" s="816"/>
      <c r="GP129" s="816"/>
      <c r="GQ129" s="816"/>
      <c r="GR129" s="816"/>
      <c r="GS129" s="609"/>
      <c r="GT129" s="609"/>
      <c r="GU129" s="816"/>
      <c r="GV129" s="816"/>
      <c r="GW129" s="609"/>
      <c r="GX129" s="609"/>
      <c r="GY129" s="816"/>
      <c r="GZ129" s="816"/>
      <c r="HA129" s="609"/>
      <c r="HB129" s="609"/>
      <c r="HC129" s="816"/>
      <c r="HD129" s="816"/>
      <c r="HE129" s="816"/>
      <c r="HF129" s="816"/>
      <c r="HG129" s="816"/>
      <c r="HH129" s="816"/>
      <c r="HI129" s="821"/>
      <c r="HJ129" s="609"/>
      <c r="HK129" s="816"/>
      <c r="HL129" s="816"/>
      <c r="HM129" s="822"/>
      <c r="HN129" s="609"/>
      <c r="HO129" s="816"/>
      <c r="HP129" s="816"/>
      <c r="HQ129" s="609"/>
      <c r="HR129" s="816"/>
      <c r="HS129" s="816"/>
      <c r="HT129" s="816"/>
      <c r="HU129" s="816"/>
      <c r="HV129" s="816"/>
      <c r="HW129" s="816"/>
      <c r="HX129" s="816"/>
      <c r="HY129" s="816"/>
      <c r="HZ129" s="816"/>
      <c r="IA129" s="816"/>
      <c r="IB129" s="816"/>
      <c r="IC129" s="823"/>
      <c r="ID129" s="824"/>
      <c r="IE129" s="825"/>
      <c r="IF129" s="825"/>
      <c r="IG129" s="816"/>
      <c r="II129" s="826"/>
      <c r="IJ129" s="826"/>
      <c r="IK129" s="826"/>
      <c r="IL129" s="826"/>
    </row>
    <row r="130" spans="2:246" s="780" customFormat="1">
      <c r="B130" s="609"/>
      <c r="C130" s="609"/>
      <c r="D130" s="609"/>
      <c r="E130" s="609"/>
      <c r="F130" s="609"/>
      <c r="G130" s="609"/>
      <c r="H130" s="609"/>
      <c r="I130" s="609"/>
      <c r="J130" s="609"/>
      <c r="K130" s="609"/>
      <c r="L130" s="609"/>
      <c r="M130" s="609"/>
      <c r="N130" s="609"/>
      <c r="O130" s="609"/>
      <c r="P130" s="609"/>
      <c r="Q130" s="609"/>
      <c r="R130" s="609"/>
      <c r="S130" s="609"/>
      <c r="T130" s="609"/>
      <c r="U130" s="609"/>
      <c r="V130" s="609"/>
      <c r="W130" s="609"/>
      <c r="X130" s="609"/>
      <c r="Y130" s="609"/>
      <c r="Z130" s="816"/>
      <c r="AA130" s="816"/>
      <c r="AB130" s="816"/>
      <c r="AC130" s="816"/>
      <c r="AD130" s="816"/>
      <c r="AE130" s="816"/>
      <c r="AF130" s="609"/>
      <c r="AG130" s="609"/>
      <c r="AH130" s="816"/>
      <c r="AI130" s="816"/>
      <c r="AJ130" s="609"/>
      <c r="AK130" s="609"/>
      <c r="AL130" s="816"/>
      <c r="AM130" s="816"/>
      <c r="AN130" s="816"/>
      <c r="AO130" s="816"/>
      <c r="AP130" s="816"/>
      <c r="AQ130" s="816"/>
      <c r="AR130" s="609"/>
      <c r="AS130" s="609"/>
      <c r="AT130" s="816"/>
      <c r="AU130" s="816"/>
      <c r="AV130" s="817"/>
      <c r="AW130" s="609"/>
      <c r="AX130" s="609"/>
      <c r="AY130" s="816"/>
      <c r="AZ130" s="816"/>
      <c r="BA130" s="816"/>
      <c r="BB130" s="816"/>
      <c r="BC130" s="816"/>
      <c r="BD130" s="816"/>
      <c r="BE130" s="816"/>
      <c r="BF130" s="816"/>
      <c r="BG130" s="816"/>
      <c r="BH130" s="816"/>
      <c r="BI130" s="816"/>
      <c r="BJ130" s="816"/>
      <c r="BK130" s="816"/>
      <c r="BL130" s="816"/>
      <c r="BM130" s="816"/>
      <c r="BN130" s="816"/>
      <c r="BO130" s="816"/>
      <c r="BP130" s="816"/>
      <c r="BQ130" s="816"/>
      <c r="BR130" s="816"/>
      <c r="BS130" s="816"/>
      <c r="BT130" s="609"/>
      <c r="BU130" s="609"/>
      <c r="BV130" s="609"/>
      <c r="BW130" s="818"/>
      <c r="BX130" s="816"/>
      <c r="BY130" s="816"/>
      <c r="BZ130" s="816"/>
      <c r="CA130" s="816"/>
      <c r="CB130" s="816"/>
      <c r="CC130" s="816"/>
      <c r="CD130" s="816"/>
      <c r="CE130" s="816"/>
      <c r="CF130" s="820"/>
      <c r="CG130" s="820"/>
      <c r="CH130" s="820"/>
      <c r="CI130" s="820"/>
      <c r="CJ130" s="609"/>
      <c r="CK130" s="609"/>
      <c r="CL130" s="816"/>
      <c r="CM130" s="816"/>
      <c r="CN130" s="609"/>
      <c r="CO130" s="609"/>
      <c r="CP130" s="816"/>
      <c r="CQ130" s="816"/>
      <c r="CR130" s="609"/>
      <c r="CS130" s="609"/>
      <c r="CT130" s="816"/>
      <c r="CU130" s="816"/>
      <c r="CV130" s="609"/>
      <c r="CW130" s="609"/>
      <c r="CX130" s="816"/>
      <c r="CY130" s="816"/>
      <c r="CZ130" s="816"/>
      <c r="DA130" s="816"/>
      <c r="DB130" s="816"/>
      <c r="DC130" s="816"/>
      <c r="DD130" s="816"/>
      <c r="DE130" s="816"/>
      <c r="DF130" s="816"/>
      <c r="DG130" s="816"/>
      <c r="DH130" s="816"/>
      <c r="DI130" s="816"/>
      <c r="DJ130" s="816"/>
      <c r="DK130" s="816"/>
      <c r="DL130" s="609"/>
      <c r="DM130" s="609"/>
      <c r="DN130" s="816"/>
      <c r="DO130" s="816"/>
      <c r="DP130" s="816"/>
      <c r="DQ130" s="816"/>
      <c r="DR130" s="816"/>
      <c r="DS130" s="816"/>
      <c r="DT130" s="816"/>
      <c r="DU130" s="816"/>
      <c r="DV130" s="816"/>
      <c r="DW130" s="816"/>
      <c r="DX130" s="816"/>
      <c r="DY130" s="816"/>
      <c r="DZ130" s="816"/>
      <c r="EA130" s="816"/>
      <c r="EB130" s="609"/>
      <c r="EC130" s="609"/>
      <c r="ED130" s="816"/>
      <c r="EE130" s="816"/>
      <c r="EF130" s="816"/>
      <c r="EG130" s="816"/>
      <c r="EH130" s="816"/>
      <c r="EI130" s="816"/>
      <c r="EJ130" s="816"/>
      <c r="EK130" s="816"/>
      <c r="EL130" s="816"/>
      <c r="EM130" s="816"/>
      <c r="EN130" s="816"/>
      <c r="EO130" s="816"/>
      <c r="EP130" s="816"/>
      <c r="EQ130" s="816"/>
      <c r="ER130" s="816"/>
      <c r="ES130" s="816"/>
      <c r="ET130" s="816"/>
      <c r="EU130" s="816"/>
      <c r="EV130" s="816"/>
      <c r="EW130" s="816"/>
      <c r="EX130" s="816"/>
      <c r="EY130" s="816"/>
      <c r="EZ130" s="816"/>
      <c r="FA130" s="816"/>
      <c r="FB130" s="819"/>
      <c r="FC130" s="816"/>
      <c r="FD130" s="820"/>
      <c r="FE130" s="820"/>
      <c r="FF130" s="820"/>
      <c r="FG130" s="820"/>
      <c r="FH130" s="609"/>
      <c r="FI130" s="609"/>
      <c r="FJ130" s="816"/>
      <c r="FK130" s="816"/>
      <c r="FL130" s="816"/>
      <c r="FM130" s="816"/>
      <c r="FN130" s="816"/>
      <c r="FO130" s="816"/>
      <c r="FP130" s="816"/>
      <c r="FQ130" s="816"/>
      <c r="FR130" s="816"/>
      <c r="FS130" s="816"/>
      <c r="FT130" s="816"/>
      <c r="FU130" s="816"/>
      <c r="FV130" s="816"/>
      <c r="FW130" s="816"/>
      <c r="FX130" s="609"/>
      <c r="FY130" s="609"/>
      <c r="FZ130" s="816"/>
      <c r="GA130" s="816"/>
      <c r="GB130" s="609"/>
      <c r="GC130" s="609"/>
      <c r="GD130" s="609"/>
      <c r="GE130" s="816"/>
      <c r="GF130" s="816"/>
      <c r="GG130" s="609"/>
      <c r="GH130" s="609"/>
      <c r="GI130" s="816"/>
      <c r="GJ130" s="816"/>
      <c r="GK130" s="609"/>
      <c r="GL130" s="609"/>
      <c r="GM130" s="816"/>
      <c r="GN130" s="816"/>
      <c r="GO130" s="816"/>
      <c r="GP130" s="816"/>
      <c r="GQ130" s="816"/>
      <c r="GR130" s="816"/>
      <c r="GS130" s="609"/>
      <c r="GT130" s="609"/>
      <c r="GU130" s="816"/>
      <c r="GV130" s="816"/>
      <c r="GW130" s="609"/>
      <c r="GX130" s="609"/>
      <c r="GY130" s="816"/>
      <c r="GZ130" s="816"/>
      <c r="HA130" s="609"/>
      <c r="HB130" s="609"/>
      <c r="HC130" s="816"/>
      <c r="HD130" s="816"/>
      <c r="HE130" s="816"/>
      <c r="HF130" s="816"/>
      <c r="HG130" s="816"/>
      <c r="HH130" s="816"/>
      <c r="HI130" s="821"/>
      <c r="HJ130" s="609"/>
      <c r="HK130" s="816"/>
      <c r="HL130" s="816"/>
      <c r="HM130" s="822"/>
      <c r="HN130" s="609"/>
      <c r="HO130" s="816"/>
      <c r="HP130" s="816"/>
      <c r="HQ130" s="609"/>
      <c r="HR130" s="816"/>
      <c r="HS130" s="816"/>
      <c r="HT130" s="816"/>
      <c r="HU130" s="816"/>
      <c r="HV130" s="816"/>
      <c r="HW130" s="816"/>
      <c r="HX130" s="816"/>
      <c r="HY130" s="816"/>
      <c r="HZ130" s="816"/>
      <c r="IA130" s="816"/>
      <c r="IB130" s="816"/>
      <c r="IC130" s="823"/>
      <c r="ID130" s="824"/>
      <c r="IE130" s="825"/>
      <c r="IF130" s="825"/>
      <c r="IG130" s="816"/>
      <c r="II130" s="826"/>
      <c r="IJ130" s="826"/>
      <c r="IK130" s="826"/>
      <c r="IL130" s="826"/>
    </row>
    <row r="131" spans="2:246" s="780" customFormat="1">
      <c r="B131" s="609"/>
      <c r="C131" s="609"/>
      <c r="D131" s="609"/>
      <c r="E131" s="609"/>
      <c r="F131" s="609"/>
      <c r="G131" s="609"/>
      <c r="H131" s="609"/>
      <c r="I131" s="609"/>
      <c r="J131" s="609"/>
      <c r="K131" s="609"/>
      <c r="L131" s="609"/>
      <c r="M131" s="609"/>
      <c r="N131" s="609"/>
      <c r="O131" s="609"/>
      <c r="P131" s="609"/>
      <c r="Q131" s="609"/>
      <c r="R131" s="609"/>
      <c r="S131" s="609"/>
      <c r="T131" s="609"/>
      <c r="U131" s="609"/>
      <c r="V131" s="609"/>
      <c r="W131" s="609"/>
      <c r="X131" s="609"/>
      <c r="Y131" s="609"/>
      <c r="Z131" s="816"/>
      <c r="AA131" s="816"/>
      <c r="AB131" s="816"/>
      <c r="AC131" s="816"/>
      <c r="AD131" s="816"/>
      <c r="AE131" s="816"/>
      <c r="AF131" s="609"/>
      <c r="AG131" s="609"/>
      <c r="AH131" s="816"/>
      <c r="AI131" s="816"/>
      <c r="AJ131" s="609"/>
      <c r="AK131" s="609"/>
      <c r="AL131" s="816"/>
      <c r="AM131" s="816"/>
      <c r="AN131" s="816"/>
      <c r="AO131" s="816"/>
      <c r="AP131" s="816"/>
      <c r="AQ131" s="816"/>
      <c r="AR131" s="609"/>
      <c r="AS131" s="609"/>
      <c r="AT131" s="816"/>
      <c r="AU131" s="816"/>
      <c r="AV131" s="817"/>
      <c r="AW131" s="609"/>
      <c r="AX131" s="609"/>
      <c r="AY131" s="816"/>
      <c r="AZ131" s="816"/>
      <c r="BA131" s="816"/>
      <c r="BB131" s="816"/>
      <c r="BC131" s="816"/>
      <c r="BD131" s="816"/>
      <c r="BE131" s="816"/>
      <c r="BF131" s="816"/>
      <c r="BG131" s="816"/>
      <c r="BH131" s="816"/>
      <c r="BI131" s="816"/>
      <c r="BJ131" s="816"/>
      <c r="BK131" s="816"/>
      <c r="BL131" s="816"/>
      <c r="BM131" s="816"/>
      <c r="BN131" s="816"/>
      <c r="BO131" s="816"/>
      <c r="BP131" s="816"/>
      <c r="BQ131" s="816"/>
      <c r="BR131" s="816"/>
      <c r="BS131" s="816"/>
      <c r="BT131" s="609"/>
      <c r="BU131" s="609"/>
      <c r="BV131" s="609"/>
      <c r="BW131" s="818"/>
      <c r="BX131" s="816"/>
      <c r="BY131" s="816"/>
      <c r="BZ131" s="816"/>
      <c r="CA131" s="816"/>
      <c r="CB131" s="816"/>
      <c r="CC131" s="816"/>
      <c r="CD131" s="816"/>
      <c r="CE131" s="816"/>
      <c r="CF131" s="820"/>
      <c r="CG131" s="820"/>
      <c r="CH131" s="820"/>
      <c r="CI131" s="820"/>
      <c r="CJ131" s="609"/>
      <c r="CK131" s="609"/>
      <c r="CL131" s="816"/>
      <c r="CM131" s="816"/>
      <c r="CN131" s="609"/>
      <c r="CO131" s="609"/>
      <c r="CP131" s="816"/>
      <c r="CQ131" s="816"/>
      <c r="CR131" s="609"/>
      <c r="CS131" s="609"/>
      <c r="CT131" s="816"/>
      <c r="CU131" s="816"/>
      <c r="CV131" s="609"/>
      <c r="CW131" s="609"/>
      <c r="CX131" s="816"/>
      <c r="CY131" s="816"/>
      <c r="CZ131" s="816"/>
      <c r="DA131" s="816"/>
      <c r="DB131" s="816"/>
      <c r="DC131" s="816"/>
      <c r="DD131" s="816"/>
      <c r="DE131" s="816"/>
      <c r="DF131" s="816"/>
      <c r="DG131" s="816"/>
      <c r="DH131" s="816"/>
      <c r="DI131" s="816"/>
      <c r="DJ131" s="816"/>
      <c r="DK131" s="816"/>
      <c r="DL131" s="609"/>
      <c r="DM131" s="609"/>
      <c r="DN131" s="816"/>
      <c r="DO131" s="816"/>
      <c r="DP131" s="816"/>
      <c r="DQ131" s="816"/>
      <c r="DR131" s="816"/>
      <c r="DS131" s="816"/>
      <c r="DT131" s="816"/>
      <c r="DU131" s="816"/>
      <c r="DV131" s="816"/>
      <c r="DW131" s="816"/>
      <c r="DX131" s="816"/>
      <c r="DY131" s="816"/>
      <c r="DZ131" s="816"/>
      <c r="EA131" s="816"/>
      <c r="EB131" s="609"/>
      <c r="EC131" s="609"/>
      <c r="ED131" s="816"/>
      <c r="EE131" s="816"/>
      <c r="EF131" s="816"/>
      <c r="EG131" s="816"/>
      <c r="EH131" s="816"/>
      <c r="EI131" s="816"/>
      <c r="EJ131" s="816"/>
      <c r="EK131" s="816"/>
      <c r="EL131" s="816"/>
      <c r="EM131" s="816"/>
      <c r="EN131" s="816"/>
      <c r="EO131" s="816"/>
      <c r="EP131" s="816"/>
      <c r="EQ131" s="816"/>
      <c r="ER131" s="816"/>
      <c r="ES131" s="816"/>
      <c r="ET131" s="816"/>
      <c r="EU131" s="816"/>
      <c r="EV131" s="816"/>
      <c r="EW131" s="816"/>
      <c r="EX131" s="816"/>
      <c r="EY131" s="816"/>
      <c r="EZ131" s="816"/>
      <c r="FA131" s="816"/>
      <c r="FB131" s="819"/>
      <c r="FC131" s="816"/>
      <c r="FD131" s="820"/>
      <c r="FE131" s="820"/>
      <c r="FF131" s="820"/>
      <c r="FG131" s="820"/>
      <c r="FH131" s="609"/>
      <c r="FI131" s="609"/>
      <c r="FJ131" s="816"/>
      <c r="FK131" s="816"/>
      <c r="FL131" s="816"/>
      <c r="FM131" s="816"/>
      <c r="FN131" s="816"/>
      <c r="FO131" s="816"/>
      <c r="FP131" s="816"/>
      <c r="FQ131" s="816"/>
      <c r="FR131" s="816"/>
      <c r="FS131" s="816"/>
      <c r="FT131" s="816"/>
      <c r="FU131" s="816"/>
      <c r="FV131" s="816"/>
      <c r="FW131" s="816"/>
      <c r="FX131" s="609"/>
      <c r="FY131" s="609"/>
      <c r="FZ131" s="816"/>
      <c r="GA131" s="816"/>
      <c r="GB131" s="609"/>
      <c r="GC131" s="609"/>
      <c r="GD131" s="609"/>
      <c r="GE131" s="816"/>
      <c r="GF131" s="816"/>
      <c r="GG131" s="609"/>
      <c r="GH131" s="609"/>
      <c r="GI131" s="816"/>
      <c r="GJ131" s="816"/>
      <c r="GK131" s="609"/>
      <c r="GL131" s="609"/>
      <c r="GM131" s="816"/>
      <c r="GN131" s="816"/>
      <c r="GO131" s="816"/>
      <c r="GP131" s="816"/>
      <c r="GQ131" s="816"/>
      <c r="GR131" s="816"/>
      <c r="GS131" s="609"/>
      <c r="GT131" s="609"/>
      <c r="GU131" s="816"/>
      <c r="GV131" s="816"/>
      <c r="GW131" s="609"/>
      <c r="GX131" s="609"/>
      <c r="GY131" s="816"/>
      <c r="GZ131" s="816"/>
      <c r="HA131" s="609"/>
      <c r="HB131" s="609"/>
      <c r="HC131" s="816"/>
      <c r="HD131" s="816"/>
      <c r="HE131" s="816"/>
      <c r="HF131" s="816"/>
      <c r="HG131" s="816"/>
      <c r="HH131" s="816"/>
      <c r="HI131" s="821"/>
      <c r="HJ131" s="609"/>
      <c r="HK131" s="816"/>
      <c r="HL131" s="816"/>
      <c r="HM131" s="822"/>
      <c r="HN131" s="609"/>
      <c r="HO131" s="816"/>
      <c r="HP131" s="816"/>
      <c r="HQ131" s="609"/>
      <c r="HR131" s="816"/>
      <c r="HS131" s="816"/>
      <c r="HT131" s="816"/>
      <c r="HU131" s="816"/>
      <c r="HV131" s="816"/>
      <c r="HW131" s="816"/>
      <c r="HX131" s="816"/>
      <c r="HY131" s="816"/>
      <c r="HZ131" s="816"/>
      <c r="IA131" s="816"/>
      <c r="IB131" s="816"/>
      <c r="IC131" s="823"/>
      <c r="ID131" s="824"/>
      <c r="IE131" s="825"/>
      <c r="IF131" s="825"/>
      <c r="IG131" s="816"/>
      <c r="II131" s="826"/>
      <c r="IJ131" s="826"/>
      <c r="IK131" s="826"/>
      <c r="IL131" s="826"/>
    </row>
    <row r="132" spans="2:246" s="780" customFormat="1">
      <c r="B132" s="609"/>
      <c r="C132" s="609"/>
      <c r="D132" s="609"/>
      <c r="E132" s="609"/>
      <c r="F132" s="609"/>
      <c r="G132" s="609"/>
      <c r="H132" s="609"/>
      <c r="I132" s="609"/>
      <c r="J132" s="609"/>
      <c r="K132" s="609"/>
      <c r="L132" s="609"/>
      <c r="M132" s="609"/>
      <c r="N132" s="609"/>
      <c r="O132" s="609"/>
      <c r="P132" s="609"/>
      <c r="Q132" s="609"/>
      <c r="R132" s="609"/>
      <c r="S132" s="609"/>
      <c r="T132" s="609"/>
      <c r="U132" s="609"/>
      <c r="V132" s="609"/>
      <c r="W132" s="609"/>
      <c r="X132" s="609"/>
      <c r="Y132" s="609"/>
      <c r="Z132" s="816"/>
      <c r="AA132" s="816"/>
      <c r="AB132" s="816"/>
      <c r="AC132" s="816"/>
      <c r="AD132" s="816"/>
      <c r="AE132" s="816"/>
      <c r="AF132" s="609"/>
      <c r="AG132" s="609"/>
      <c r="AH132" s="816"/>
      <c r="AI132" s="816"/>
      <c r="AJ132" s="609"/>
      <c r="AK132" s="609"/>
      <c r="AL132" s="816"/>
      <c r="AM132" s="816"/>
      <c r="AN132" s="816"/>
      <c r="AO132" s="816"/>
      <c r="AP132" s="816"/>
      <c r="AQ132" s="816"/>
      <c r="AR132" s="609"/>
      <c r="AS132" s="609"/>
      <c r="AT132" s="816"/>
      <c r="AU132" s="816"/>
      <c r="AV132" s="817"/>
      <c r="AW132" s="609"/>
      <c r="AX132" s="609"/>
      <c r="AY132" s="816"/>
      <c r="AZ132" s="816"/>
      <c r="BA132" s="816"/>
      <c r="BB132" s="816"/>
      <c r="BC132" s="816"/>
      <c r="BD132" s="816"/>
      <c r="BE132" s="816"/>
      <c r="BF132" s="816"/>
      <c r="BG132" s="816"/>
      <c r="BH132" s="816"/>
      <c r="BI132" s="816"/>
      <c r="BJ132" s="816"/>
      <c r="BK132" s="816"/>
      <c r="BL132" s="816"/>
      <c r="BM132" s="816"/>
      <c r="BN132" s="816"/>
      <c r="BO132" s="816"/>
      <c r="BP132" s="816"/>
      <c r="BQ132" s="816"/>
      <c r="BR132" s="816"/>
      <c r="BS132" s="816"/>
      <c r="BT132" s="609"/>
      <c r="BU132" s="609"/>
      <c r="BV132" s="609"/>
      <c r="BW132" s="818"/>
      <c r="BX132" s="816"/>
      <c r="BY132" s="816"/>
      <c r="BZ132" s="816"/>
      <c r="CA132" s="816"/>
      <c r="CB132" s="816"/>
      <c r="CC132" s="816"/>
      <c r="CD132" s="816"/>
      <c r="CE132" s="816"/>
      <c r="CF132" s="820"/>
      <c r="CG132" s="820"/>
      <c r="CH132" s="820"/>
      <c r="CI132" s="820"/>
      <c r="CJ132" s="609"/>
      <c r="CK132" s="609"/>
      <c r="CL132" s="816"/>
      <c r="CM132" s="816"/>
      <c r="CN132" s="609"/>
      <c r="CO132" s="609"/>
      <c r="CP132" s="816"/>
      <c r="CQ132" s="816"/>
      <c r="CR132" s="609"/>
      <c r="CS132" s="609"/>
      <c r="CT132" s="816"/>
      <c r="CU132" s="816"/>
      <c r="CV132" s="609"/>
      <c r="CW132" s="609"/>
      <c r="CX132" s="816"/>
      <c r="CY132" s="816"/>
      <c r="CZ132" s="816"/>
      <c r="DA132" s="816"/>
      <c r="DB132" s="816"/>
      <c r="DC132" s="816"/>
      <c r="DD132" s="816"/>
      <c r="DE132" s="816"/>
      <c r="DF132" s="816"/>
      <c r="DG132" s="816"/>
      <c r="DH132" s="816"/>
      <c r="DI132" s="816"/>
      <c r="DJ132" s="816"/>
      <c r="DK132" s="816"/>
      <c r="DL132" s="609"/>
      <c r="DM132" s="609"/>
      <c r="DN132" s="816"/>
      <c r="DO132" s="816"/>
      <c r="DP132" s="816"/>
      <c r="DQ132" s="816"/>
      <c r="DR132" s="816"/>
      <c r="DS132" s="816"/>
      <c r="DT132" s="816"/>
      <c r="DU132" s="816"/>
      <c r="DV132" s="816"/>
      <c r="DW132" s="816"/>
      <c r="DX132" s="816"/>
      <c r="DY132" s="816"/>
      <c r="DZ132" s="816"/>
      <c r="EA132" s="816"/>
      <c r="EB132" s="609"/>
      <c r="EC132" s="609"/>
      <c r="ED132" s="816"/>
      <c r="EE132" s="816"/>
      <c r="EF132" s="816"/>
      <c r="EG132" s="816"/>
      <c r="EH132" s="816"/>
      <c r="EI132" s="816"/>
      <c r="EJ132" s="816"/>
      <c r="EK132" s="816"/>
      <c r="EL132" s="816"/>
      <c r="EM132" s="816"/>
      <c r="EN132" s="816"/>
      <c r="EO132" s="816"/>
      <c r="EP132" s="816"/>
      <c r="EQ132" s="816"/>
      <c r="ER132" s="816"/>
      <c r="ES132" s="816"/>
      <c r="ET132" s="816"/>
      <c r="EU132" s="816"/>
      <c r="EV132" s="816"/>
      <c r="EW132" s="816"/>
      <c r="EX132" s="816"/>
      <c r="EY132" s="816"/>
      <c r="EZ132" s="816"/>
      <c r="FA132" s="816"/>
      <c r="FB132" s="819"/>
      <c r="FC132" s="816"/>
      <c r="FD132" s="820"/>
      <c r="FE132" s="820"/>
      <c r="FF132" s="820"/>
      <c r="FG132" s="820"/>
      <c r="FH132" s="609"/>
      <c r="FI132" s="609"/>
      <c r="FJ132" s="816"/>
      <c r="FK132" s="816"/>
      <c r="FL132" s="816"/>
      <c r="FM132" s="816"/>
      <c r="FN132" s="816"/>
      <c r="FO132" s="816"/>
      <c r="FP132" s="816"/>
      <c r="FQ132" s="816"/>
      <c r="FR132" s="816"/>
      <c r="FS132" s="816"/>
      <c r="FT132" s="816"/>
      <c r="FU132" s="816"/>
      <c r="FV132" s="816"/>
      <c r="FW132" s="816"/>
      <c r="FX132" s="609"/>
      <c r="FY132" s="609"/>
      <c r="FZ132" s="816"/>
      <c r="GA132" s="816"/>
      <c r="GB132" s="609"/>
      <c r="GC132" s="609"/>
      <c r="GD132" s="609"/>
      <c r="GE132" s="816"/>
      <c r="GF132" s="816"/>
      <c r="GG132" s="609"/>
      <c r="GH132" s="609"/>
      <c r="GI132" s="816"/>
      <c r="GJ132" s="816"/>
      <c r="GK132" s="609"/>
      <c r="GL132" s="609"/>
      <c r="GM132" s="816"/>
      <c r="GN132" s="816"/>
      <c r="GO132" s="816"/>
      <c r="GP132" s="816"/>
      <c r="GQ132" s="816"/>
      <c r="GR132" s="816"/>
      <c r="GS132" s="609"/>
      <c r="GT132" s="609"/>
      <c r="GU132" s="816"/>
      <c r="GV132" s="816"/>
      <c r="GW132" s="609"/>
      <c r="GX132" s="609"/>
      <c r="GY132" s="816"/>
      <c r="GZ132" s="816"/>
      <c r="HA132" s="609"/>
      <c r="HB132" s="609"/>
      <c r="HC132" s="816"/>
      <c r="HD132" s="816"/>
      <c r="HE132" s="816"/>
      <c r="HF132" s="816"/>
      <c r="HG132" s="816"/>
      <c r="HH132" s="816"/>
      <c r="HI132" s="821"/>
      <c r="HJ132" s="609"/>
      <c r="HK132" s="816"/>
      <c r="HL132" s="816"/>
      <c r="HM132" s="822"/>
      <c r="HN132" s="609"/>
      <c r="HO132" s="816"/>
      <c r="HP132" s="816"/>
      <c r="HQ132" s="609"/>
      <c r="HR132" s="816"/>
      <c r="HS132" s="816"/>
      <c r="HT132" s="816"/>
      <c r="HU132" s="816"/>
      <c r="HV132" s="816"/>
      <c r="HW132" s="816"/>
      <c r="HX132" s="816"/>
      <c r="HY132" s="816"/>
      <c r="HZ132" s="816"/>
      <c r="IA132" s="816"/>
      <c r="IB132" s="816"/>
      <c r="IC132" s="823"/>
      <c r="ID132" s="824"/>
      <c r="IE132" s="825"/>
      <c r="IF132" s="825"/>
      <c r="IG132" s="816"/>
      <c r="II132" s="826"/>
      <c r="IJ132" s="826"/>
      <c r="IK132" s="826"/>
      <c r="IL132" s="826"/>
    </row>
    <row r="133" spans="2:246" s="780" customFormat="1">
      <c r="B133" s="609"/>
      <c r="C133" s="609"/>
      <c r="D133" s="609"/>
      <c r="E133" s="609"/>
      <c r="F133" s="609"/>
      <c r="G133" s="609"/>
      <c r="H133" s="609"/>
      <c r="I133" s="609"/>
      <c r="J133" s="609"/>
      <c r="K133" s="609"/>
      <c r="L133" s="609"/>
      <c r="M133" s="609"/>
      <c r="N133" s="609"/>
      <c r="O133" s="609"/>
      <c r="P133" s="609"/>
      <c r="Q133" s="609"/>
      <c r="R133" s="609"/>
      <c r="S133" s="609"/>
      <c r="T133" s="609"/>
      <c r="U133" s="609"/>
      <c r="V133" s="609"/>
      <c r="W133" s="609"/>
      <c r="X133" s="609"/>
      <c r="Y133" s="609"/>
      <c r="Z133" s="816"/>
      <c r="AA133" s="816"/>
      <c r="AB133" s="816"/>
      <c r="AC133" s="816"/>
      <c r="AD133" s="816"/>
      <c r="AE133" s="816"/>
      <c r="AF133" s="609"/>
      <c r="AG133" s="609"/>
      <c r="AH133" s="816"/>
      <c r="AI133" s="816"/>
      <c r="AJ133" s="609"/>
      <c r="AK133" s="609"/>
      <c r="AL133" s="816"/>
      <c r="AM133" s="816"/>
      <c r="AN133" s="816"/>
      <c r="AO133" s="816"/>
      <c r="AP133" s="816"/>
      <c r="AQ133" s="816"/>
      <c r="AR133" s="609"/>
      <c r="AS133" s="609"/>
      <c r="AT133" s="816"/>
      <c r="AU133" s="816"/>
      <c r="AV133" s="817"/>
      <c r="AW133" s="609"/>
      <c r="AX133" s="609"/>
      <c r="AY133" s="816"/>
      <c r="AZ133" s="816"/>
      <c r="BA133" s="816"/>
      <c r="BB133" s="816"/>
      <c r="BC133" s="816"/>
      <c r="BD133" s="816"/>
      <c r="BE133" s="816"/>
      <c r="BF133" s="816"/>
      <c r="BG133" s="816"/>
      <c r="BH133" s="816"/>
      <c r="BI133" s="816"/>
      <c r="BJ133" s="816"/>
      <c r="BK133" s="816"/>
      <c r="BL133" s="816"/>
      <c r="BM133" s="816"/>
      <c r="BN133" s="816"/>
      <c r="BO133" s="816"/>
      <c r="BP133" s="816"/>
      <c r="BQ133" s="816"/>
      <c r="BR133" s="816"/>
      <c r="BS133" s="816"/>
      <c r="BT133" s="609"/>
      <c r="BU133" s="609"/>
      <c r="BV133" s="609"/>
      <c r="BW133" s="818"/>
      <c r="BX133" s="816"/>
      <c r="BY133" s="816"/>
      <c r="BZ133" s="816"/>
      <c r="CA133" s="816"/>
      <c r="CB133" s="816"/>
      <c r="CC133" s="816"/>
      <c r="CD133" s="816"/>
      <c r="CE133" s="816"/>
      <c r="CF133" s="820"/>
      <c r="CG133" s="820"/>
      <c r="CH133" s="820"/>
      <c r="CI133" s="820"/>
      <c r="CJ133" s="609"/>
      <c r="CK133" s="609"/>
      <c r="CL133" s="816"/>
      <c r="CM133" s="816"/>
      <c r="CN133" s="609"/>
      <c r="CO133" s="609"/>
      <c r="CP133" s="816"/>
      <c r="CQ133" s="816"/>
      <c r="CR133" s="609"/>
      <c r="CS133" s="609"/>
      <c r="CT133" s="816"/>
      <c r="CU133" s="816"/>
      <c r="CV133" s="609"/>
      <c r="CW133" s="609"/>
      <c r="CX133" s="816"/>
      <c r="CY133" s="816"/>
      <c r="CZ133" s="816"/>
      <c r="DA133" s="816"/>
      <c r="DB133" s="816"/>
      <c r="DC133" s="816"/>
      <c r="DD133" s="816"/>
      <c r="DE133" s="816"/>
      <c r="DF133" s="816"/>
      <c r="DG133" s="816"/>
      <c r="DH133" s="816"/>
      <c r="DI133" s="816"/>
      <c r="DJ133" s="816"/>
      <c r="DK133" s="816"/>
      <c r="DL133" s="609"/>
      <c r="DM133" s="609"/>
      <c r="DN133" s="816"/>
      <c r="DO133" s="816"/>
      <c r="DP133" s="816"/>
      <c r="DQ133" s="816"/>
      <c r="DR133" s="816"/>
      <c r="DS133" s="816"/>
      <c r="DT133" s="816"/>
      <c r="DU133" s="816"/>
      <c r="DV133" s="816"/>
      <c r="DW133" s="816"/>
      <c r="DX133" s="816"/>
      <c r="DY133" s="816"/>
      <c r="DZ133" s="816"/>
      <c r="EA133" s="816"/>
      <c r="EB133" s="609"/>
      <c r="EC133" s="609"/>
      <c r="ED133" s="816"/>
      <c r="EE133" s="816"/>
      <c r="EF133" s="816"/>
      <c r="EG133" s="816"/>
      <c r="EH133" s="816"/>
      <c r="EI133" s="816"/>
      <c r="EJ133" s="816"/>
      <c r="EK133" s="816"/>
      <c r="EL133" s="816"/>
      <c r="EM133" s="816"/>
      <c r="EN133" s="816"/>
      <c r="EO133" s="816"/>
      <c r="EP133" s="816"/>
      <c r="EQ133" s="816"/>
      <c r="ER133" s="816"/>
      <c r="ES133" s="816"/>
      <c r="ET133" s="816"/>
      <c r="EU133" s="816"/>
      <c r="EV133" s="816"/>
      <c r="EW133" s="816"/>
      <c r="EX133" s="816"/>
      <c r="EY133" s="816"/>
      <c r="EZ133" s="816"/>
      <c r="FA133" s="816"/>
      <c r="FB133" s="819"/>
      <c r="FC133" s="816"/>
      <c r="FD133" s="820"/>
      <c r="FE133" s="820"/>
      <c r="FF133" s="820"/>
      <c r="FG133" s="820"/>
      <c r="FH133" s="609"/>
      <c r="FI133" s="609"/>
      <c r="FJ133" s="816"/>
      <c r="FK133" s="816"/>
      <c r="FL133" s="816"/>
      <c r="FM133" s="816"/>
      <c r="FN133" s="816"/>
      <c r="FO133" s="816"/>
      <c r="FP133" s="816"/>
      <c r="FQ133" s="816"/>
      <c r="FR133" s="816"/>
      <c r="FS133" s="816"/>
      <c r="FT133" s="816"/>
      <c r="FU133" s="816"/>
      <c r="FV133" s="816"/>
      <c r="FW133" s="816"/>
      <c r="FX133" s="609"/>
      <c r="FY133" s="609"/>
      <c r="FZ133" s="816"/>
      <c r="GA133" s="816"/>
      <c r="GB133" s="609"/>
      <c r="GC133" s="609"/>
      <c r="GD133" s="609"/>
      <c r="GE133" s="816"/>
      <c r="GF133" s="816"/>
      <c r="GG133" s="609"/>
      <c r="GH133" s="609"/>
      <c r="GI133" s="816"/>
      <c r="GJ133" s="816"/>
      <c r="GK133" s="609"/>
      <c r="GL133" s="609"/>
      <c r="GM133" s="816"/>
      <c r="GN133" s="816"/>
      <c r="GO133" s="816"/>
      <c r="GP133" s="816"/>
      <c r="GQ133" s="816"/>
      <c r="GR133" s="816"/>
      <c r="GS133" s="609"/>
      <c r="GT133" s="609"/>
      <c r="GU133" s="816"/>
      <c r="GV133" s="816"/>
      <c r="GW133" s="609"/>
      <c r="GX133" s="609"/>
      <c r="GY133" s="816"/>
      <c r="GZ133" s="816"/>
      <c r="HA133" s="609"/>
      <c r="HB133" s="609"/>
      <c r="HC133" s="816"/>
      <c r="HD133" s="816"/>
      <c r="HE133" s="816"/>
      <c r="HF133" s="816"/>
      <c r="HG133" s="816"/>
      <c r="HH133" s="816"/>
      <c r="HI133" s="821"/>
      <c r="HJ133" s="609"/>
      <c r="HK133" s="816"/>
      <c r="HL133" s="816"/>
      <c r="HM133" s="822"/>
      <c r="HN133" s="609"/>
      <c r="HO133" s="816"/>
      <c r="HP133" s="816"/>
      <c r="HQ133" s="609"/>
      <c r="HR133" s="816"/>
      <c r="HS133" s="816"/>
      <c r="HT133" s="816"/>
      <c r="HU133" s="816"/>
      <c r="HV133" s="816"/>
      <c r="HW133" s="816"/>
      <c r="HX133" s="816"/>
      <c r="HY133" s="816"/>
      <c r="HZ133" s="816"/>
      <c r="IA133" s="816"/>
      <c r="IB133" s="816"/>
      <c r="IC133" s="823"/>
      <c r="ID133" s="824"/>
      <c r="IE133" s="825"/>
      <c r="IF133" s="825"/>
      <c r="IG133" s="816"/>
      <c r="II133" s="826"/>
      <c r="IJ133" s="826"/>
      <c r="IK133" s="826"/>
      <c r="IL133" s="826"/>
    </row>
    <row r="134" spans="2:246" s="780" customFormat="1">
      <c r="B134" s="609"/>
      <c r="C134" s="609"/>
      <c r="D134" s="609"/>
      <c r="E134" s="609"/>
      <c r="F134" s="609"/>
      <c r="G134" s="609"/>
      <c r="H134" s="609"/>
      <c r="I134" s="609"/>
      <c r="J134" s="609"/>
      <c r="K134" s="609"/>
      <c r="L134" s="609"/>
      <c r="M134" s="609"/>
      <c r="N134" s="609"/>
      <c r="O134" s="609"/>
      <c r="P134" s="609"/>
      <c r="Q134" s="609"/>
      <c r="R134" s="609"/>
      <c r="S134" s="609"/>
      <c r="T134" s="609"/>
      <c r="U134" s="609"/>
      <c r="V134" s="609"/>
      <c r="W134" s="609"/>
      <c r="X134" s="609"/>
      <c r="Y134" s="609"/>
      <c r="Z134" s="816"/>
      <c r="AA134" s="816"/>
      <c r="AB134" s="816"/>
      <c r="AC134" s="816"/>
      <c r="AD134" s="816"/>
      <c r="AE134" s="816"/>
      <c r="AF134" s="609"/>
      <c r="AG134" s="609"/>
      <c r="AH134" s="816"/>
      <c r="AI134" s="816"/>
      <c r="AJ134" s="609"/>
      <c r="AK134" s="609"/>
      <c r="AL134" s="816"/>
      <c r="AM134" s="816"/>
      <c r="AN134" s="816"/>
      <c r="AO134" s="816"/>
      <c r="AP134" s="816"/>
      <c r="AQ134" s="816"/>
      <c r="AR134" s="609"/>
      <c r="AS134" s="609"/>
      <c r="AT134" s="816"/>
      <c r="AU134" s="816"/>
      <c r="AV134" s="817"/>
      <c r="AW134" s="609"/>
      <c r="AX134" s="609"/>
      <c r="AY134" s="816"/>
      <c r="AZ134" s="816"/>
      <c r="BA134" s="816"/>
      <c r="BB134" s="816"/>
      <c r="BC134" s="816"/>
      <c r="BD134" s="816"/>
      <c r="BE134" s="816"/>
      <c r="BF134" s="816"/>
      <c r="BG134" s="816"/>
      <c r="BH134" s="816"/>
      <c r="BI134" s="816"/>
      <c r="BJ134" s="816"/>
      <c r="BK134" s="816"/>
      <c r="BL134" s="816"/>
      <c r="BM134" s="816"/>
      <c r="BN134" s="816"/>
      <c r="BO134" s="816"/>
      <c r="BP134" s="816"/>
      <c r="BQ134" s="816"/>
      <c r="BR134" s="816"/>
      <c r="BS134" s="816"/>
      <c r="BT134" s="609"/>
      <c r="BU134" s="609"/>
      <c r="BV134" s="609"/>
      <c r="BW134" s="818"/>
      <c r="BX134" s="816"/>
      <c r="BY134" s="816"/>
      <c r="BZ134" s="816"/>
      <c r="CA134" s="816"/>
      <c r="CB134" s="816"/>
      <c r="CC134" s="816"/>
      <c r="CD134" s="816"/>
      <c r="CE134" s="816"/>
      <c r="CF134" s="820"/>
      <c r="CG134" s="820"/>
      <c r="CH134" s="820"/>
      <c r="CI134" s="820"/>
      <c r="CJ134" s="609"/>
      <c r="CK134" s="609"/>
      <c r="CL134" s="816"/>
      <c r="CM134" s="816"/>
      <c r="CN134" s="609"/>
      <c r="CO134" s="609"/>
      <c r="CP134" s="816"/>
      <c r="CQ134" s="816"/>
      <c r="CR134" s="609"/>
      <c r="CS134" s="609"/>
      <c r="CT134" s="816"/>
      <c r="CU134" s="816"/>
      <c r="CV134" s="609"/>
      <c r="CW134" s="609"/>
      <c r="CX134" s="816"/>
      <c r="CY134" s="816"/>
      <c r="CZ134" s="816"/>
      <c r="DA134" s="816"/>
      <c r="DB134" s="816"/>
      <c r="DC134" s="816"/>
      <c r="DD134" s="816"/>
      <c r="DE134" s="816"/>
      <c r="DF134" s="816"/>
      <c r="DG134" s="816"/>
      <c r="DH134" s="816"/>
      <c r="DI134" s="816"/>
      <c r="DJ134" s="816"/>
      <c r="DK134" s="816"/>
      <c r="DL134" s="609"/>
      <c r="DM134" s="609"/>
      <c r="DN134" s="816"/>
      <c r="DO134" s="816"/>
      <c r="DP134" s="816"/>
      <c r="DQ134" s="816"/>
      <c r="DR134" s="816"/>
      <c r="DS134" s="816"/>
      <c r="DT134" s="816"/>
      <c r="DU134" s="816"/>
      <c r="DV134" s="816"/>
      <c r="DW134" s="816"/>
      <c r="DX134" s="816"/>
      <c r="DY134" s="816"/>
      <c r="DZ134" s="816"/>
      <c r="EA134" s="816"/>
      <c r="EB134" s="609"/>
      <c r="EC134" s="609"/>
      <c r="ED134" s="816"/>
      <c r="EE134" s="816"/>
      <c r="EF134" s="816"/>
      <c r="EG134" s="816"/>
      <c r="EH134" s="816"/>
      <c r="EI134" s="816"/>
      <c r="EJ134" s="816"/>
      <c r="EK134" s="816"/>
      <c r="EL134" s="816"/>
      <c r="EM134" s="816"/>
      <c r="EN134" s="816"/>
      <c r="EO134" s="816"/>
      <c r="EP134" s="816"/>
      <c r="EQ134" s="816"/>
      <c r="ER134" s="816"/>
      <c r="ES134" s="816"/>
      <c r="ET134" s="816"/>
      <c r="EU134" s="816"/>
      <c r="EV134" s="816"/>
      <c r="EW134" s="816"/>
      <c r="EX134" s="816"/>
      <c r="EY134" s="816"/>
      <c r="EZ134" s="816"/>
      <c r="FA134" s="816"/>
      <c r="FB134" s="819"/>
      <c r="FC134" s="816"/>
      <c r="FD134" s="820"/>
      <c r="FE134" s="820"/>
      <c r="FF134" s="820"/>
      <c r="FG134" s="820"/>
      <c r="FH134" s="609"/>
      <c r="FI134" s="609"/>
      <c r="FJ134" s="816"/>
      <c r="FK134" s="816"/>
      <c r="FL134" s="816"/>
      <c r="FM134" s="816"/>
      <c r="FN134" s="816"/>
      <c r="FO134" s="816"/>
      <c r="FP134" s="816"/>
      <c r="FQ134" s="816"/>
      <c r="FR134" s="816"/>
      <c r="FS134" s="816"/>
      <c r="FT134" s="816"/>
      <c r="FU134" s="816"/>
      <c r="FV134" s="816"/>
      <c r="FW134" s="816"/>
      <c r="FX134" s="609"/>
      <c r="FY134" s="609"/>
      <c r="FZ134" s="816"/>
      <c r="GA134" s="816"/>
      <c r="GB134" s="609"/>
      <c r="GC134" s="609"/>
      <c r="GD134" s="609"/>
      <c r="GE134" s="816"/>
      <c r="GF134" s="816"/>
      <c r="GG134" s="609"/>
      <c r="GH134" s="609"/>
      <c r="GI134" s="816"/>
      <c r="GJ134" s="816"/>
      <c r="GK134" s="609"/>
      <c r="GL134" s="609"/>
      <c r="GM134" s="816"/>
      <c r="GN134" s="816"/>
      <c r="GO134" s="816"/>
      <c r="GP134" s="816"/>
      <c r="GQ134" s="816"/>
      <c r="GR134" s="816"/>
      <c r="GS134" s="609"/>
      <c r="GT134" s="609"/>
      <c r="GU134" s="816"/>
      <c r="GV134" s="816"/>
      <c r="GW134" s="609"/>
      <c r="GX134" s="609"/>
      <c r="GY134" s="816"/>
      <c r="GZ134" s="816"/>
      <c r="HA134" s="609"/>
      <c r="HB134" s="609"/>
      <c r="HC134" s="816"/>
      <c r="HD134" s="816"/>
      <c r="HE134" s="816"/>
      <c r="HF134" s="816"/>
      <c r="HG134" s="816"/>
      <c r="HH134" s="816"/>
      <c r="HI134" s="821"/>
      <c r="HJ134" s="609"/>
      <c r="HK134" s="816"/>
      <c r="HL134" s="816"/>
      <c r="HM134" s="822"/>
      <c r="HN134" s="609"/>
      <c r="HO134" s="816"/>
      <c r="HP134" s="816"/>
      <c r="HQ134" s="609"/>
      <c r="HR134" s="816"/>
      <c r="HS134" s="816"/>
      <c r="HT134" s="816"/>
      <c r="HU134" s="816"/>
      <c r="HV134" s="816"/>
      <c r="HW134" s="816"/>
      <c r="HX134" s="816"/>
      <c r="HY134" s="816"/>
      <c r="HZ134" s="816"/>
      <c r="IA134" s="816"/>
      <c r="IB134" s="816"/>
      <c r="IC134" s="823"/>
      <c r="ID134" s="824"/>
      <c r="IE134" s="825"/>
      <c r="IF134" s="825"/>
      <c r="IG134" s="816"/>
      <c r="II134" s="826"/>
      <c r="IJ134" s="826"/>
      <c r="IK134" s="826"/>
      <c r="IL134" s="826"/>
    </row>
    <row r="135" spans="2:246" s="780" customFormat="1">
      <c r="B135" s="609"/>
      <c r="C135" s="609"/>
      <c r="D135" s="609"/>
      <c r="E135" s="609"/>
      <c r="F135" s="609"/>
      <c r="G135" s="609"/>
      <c r="H135" s="609"/>
      <c r="I135" s="609"/>
      <c r="J135" s="609"/>
      <c r="K135" s="609"/>
      <c r="L135" s="609"/>
      <c r="M135" s="609"/>
      <c r="N135" s="609"/>
      <c r="O135" s="609"/>
      <c r="P135" s="609"/>
      <c r="Q135" s="609"/>
      <c r="R135" s="609"/>
      <c r="S135" s="609"/>
      <c r="T135" s="609"/>
      <c r="U135" s="609"/>
      <c r="V135" s="609"/>
      <c r="W135" s="609"/>
      <c r="X135" s="609"/>
      <c r="Y135" s="609"/>
      <c r="Z135" s="816"/>
      <c r="AA135" s="816"/>
      <c r="AB135" s="816"/>
      <c r="AC135" s="816"/>
      <c r="AD135" s="816"/>
      <c r="AE135" s="816"/>
      <c r="AF135" s="609"/>
      <c r="AG135" s="609"/>
      <c r="AH135" s="816"/>
      <c r="AI135" s="816"/>
      <c r="AJ135" s="609"/>
      <c r="AK135" s="609"/>
      <c r="AL135" s="816"/>
      <c r="AM135" s="816"/>
      <c r="AN135" s="816"/>
      <c r="AO135" s="816"/>
      <c r="AP135" s="816"/>
      <c r="AQ135" s="816"/>
      <c r="AR135" s="609"/>
      <c r="AS135" s="609"/>
      <c r="AT135" s="816"/>
      <c r="AU135" s="816"/>
      <c r="AV135" s="817"/>
      <c r="AW135" s="609"/>
      <c r="AX135" s="609"/>
      <c r="AY135" s="816"/>
      <c r="AZ135" s="816"/>
      <c r="BA135" s="816"/>
      <c r="BB135" s="816"/>
      <c r="BC135" s="816"/>
      <c r="BD135" s="816"/>
      <c r="BE135" s="816"/>
      <c r="BF135" s="816"/>
      <c r="BG135" s="816"/>
      <c r="BH135" s="816"/>
      <c r="BI135" s="816"/>
      <c r="BJ135" s="816"/>
      <c r="BK135" s="816"/>
      <c r="BL135" s="816"/>
      <c r="BM135" s="816"/>
      <c r="BN135" s="816"/>
      <c r="BO135" s="816"/>
      <c r="BP135" s="816"/>
      <c r="BQ135" s="816"/>
      <c r="BR135" s="816"/>
      <c r="BS135" s="816"/>
      <c r="BT135" s="609"/>
      <c r="BU135" s="609"/>
      <c r="BV135" s="609"/>
      <c r="BW135" s="818"/>
      <c r="BX135" s="816"/>
      <c r="BY135" s="816"/>
      <c r="BZ135" s="816"/>
      <c r="CA135" s="816"/>
      <c r="CB135" s="816"/>
      <c r="CC135" s="816"/>
      <c r="CD135" s="816"/>
      <c r="CE135" s="816"/>
      <c r="CF135" s="820"/>
      <c r="CG135" s="820"/>
      <c r="CH135" s="820"/>
      <c r="CI135" s="820"/>
      <c r="CJ135" s="609"/>
      <c r="CK135" s="609"/>
      <c r="CL135" s="816"/>
      <c r="CM135" s="816"/>
      <c r="CN135" s="609"/>
      <c r="CO135" s="609"/>
      <c r="CP135" s="816"/>
      <c r="CQ135" s="816"/>
      <c r="CR135" s="609"/>
      <c r="CS135" s="609"/>
      <c r="CT135" s="816"/>
      <c r="CU135" s="816"/>
      <c r="CV135" s="609"/>
      <c r="CW135" s="609"/>
      <c r="CX135" s="816"/>
      <c r="CY135" s="816"/>
      <c r="CZ135" s="816"/>
      <c r="DA135" s="816"/>
      <c r="DB135" s="816"/>
      <c r="DC135" s="816"/>
      <c r="DD135" s="816"/>
      <c r="DE135" s="816"/>
      <c r="DF135" s="816"/>
      <c r="DG135" s="816"/>
      <c r="DH135" s="816"/>
      <c r="DI135" s="816"/>
      <c r="DJ135" s="816"/>
      <c r="DK135" s="816"/>
      <c r="DL135" s="609"/>
      <c r="DM135" s="609"/>
      <c r="DN135" s="816"/>
      <c r="DO135" s="816"/>
      <c r="DP135" s="816"/>
      <c r="DQ135" s="816"/>
      <c r="DR135" s="816"/>
      <c r="DS135" s="816"/>
      <c r="DT135" s="816"/>
      <c r="DU135" s="816"/>
      <c r="DV135" s="816"/>
      <c r="DW135" s="816"/>
      <c r="DX135" s="816"/>
      <c r="DY135" s="816"/>
      <c r="DZ135" s="816"/>
      <c r="EA135" s="816"/>
      <c r="EB135" s="609"/>
      <c r="EC135" s="609"/>
      <c r="ED135" s="816"/>
      <c r="EE135" s="816"/>
      <c r="EF135" s="816"/>
      <c r="EG135" s="816"/>
      <c r="EH135" s="816"/>
      <c r="EI135" s="816"/>
      <c r="EJ135" s="816"/>
      <c r="EK135" s="816"/>
      <c r="EL135" s="816"/>
      <c r="EM135" s="816"/>
      <c r="EN135" s="816"/>
      <c r="EO135" s="816"/>
      <c r="EP135" s="816"/>
      <c r="EQ135" s="816"/>
      <c r="ER135" s="816"/>
      <c r="ES135" s="816"/>
      <c r="ET135" s="816"/>
      <c r="EU135" s="816"/>
      <c r="EV135" s="816"/>
      <c r="EW135" s="816"/>
      <c r="EX135" s="816"/>
      <c r="EY135" s="816"/>
      <c r="EZ135" s="816"/>
      <c r="FA135" s="816"/>
      <c r="FB135" s="819"/>
      <c r="FC135" s="816"/>
      <c r="FD135" s="820"/>
      <c r="FE135" s="820"/>
      <c r="FF135" s="820"/>
      <c r="FG135" s="820"/>
      <c r="FH135" s="609"/>
      <c r="FI135" s="609"/>
      <c r="FJ135" s="816"/>
      <c r="FK135" s="816"/>
      <c r="FL135" s="816"/>
      <c r="FM135" s="816"/>
      <c r="FN135" s="816"/>
      <c r="FO135" s="816"/>
      <c r="FP135" s="816"/>
      <c r="FQ135" s="816"/>
      <c r="FR135" s="816"/>
      <c r="FS135" s="816"/>
      <c r="FT135" s="816"/>
      <c r="FU135" s="816"/>
      <c r="FV135" s="816"/>
      <c r="FW135" s="816"/>
      <c r="FX135" s="609"/>
      <c r="FY135" s="609"/>
      <c r="FZ135" s="816"/>
      <c r="GA135" s="816"/>
      <c r="GB135" s="609"/>
      <c r="GC135" s="609"/>
      <c r="GD135" s="609"/>
      <c r="GE135" s="816"/>
      <c r="GF135" s="816"/>
      <c r="GG135" s="609"/>
      <c r="GH135" s="609"/>
      <c r="GI135" s="816"/>
      <c r="GJ135" s="816"/>
      <c r="GK135" s="609"/>
      <c r="GL135" s="609"/>
      <c r="GM135" s="816"/>
      <c r="GN135" s="816"/>
      <c r="GO135" s="816"/>
      <c r="GP135" s="816"/>
      <c r="GQ135" s="816"/>
      <c r="GR135" s="816"/>
      <c r="GS135" s="609"/>
      <c r="GT135" s="609"/>
      <c r="GU135" s="816"/>
      <c r="GV135" s="816"/>
      <c r="GW135" s="609"/>
      <c r="GX135" s="609"/>
      <c r="GY135" s="816"/>
      <c r="GZ135" s="816"/>
      <c r="HA135" s="609"/>
      <c r="HB135" s="609"/>
      <c r="HC135" s="816"/>
      <c r="HD135" s="816"/>
      <c r="HE135" s="816"/>
      <c r="HF135" s="816"/>
      <c r="HG135" s="816"/>
      <c r="HH135" s="816"/>
      <c r="HI135" s="821"/>
      <c r="HJ135" s="609"/>
      <c r="HK135" s="816"/>
      <c r="HL135" s="816"/>
      <c r="HM135" s="822"/>
      <c r="HN135" s="609"/>
      <c r="HO135" s="816"/>
      <c r="HP135" s="816"/>
      <c r="HQ135" s="609"/>
      <c r="HR135" s="816"/>
      <c r="HS135" s="816"/>
      <c r="HT135" s="816"/>
      <c r="HU135" s="816"/>
      <c r="HV135" s="816"/>
      <c r="HW135" s="816"/>
      <c r="HX135" s="816"/>
      <c r="HY135" s="816"/>
      <c r="HZ135" s="816"/>
      <c r="IA135" s="816"/>
      <c r="IB135" s="816"/>
      <c r="IC135" s="823"/>
      <c r="ID135" s="824"/>
      <c r="IE135" s="825"/>
      <c r="IF135" s="825"/>
      <c r="IG135" s="816"/>
      <c r="II135" s="826"/>
      <c r="IJ135" s="826"/>
      <c r="IK135" s="826"/>
      <c r="IL135" s="826"/>
    </row>
    <row r="136" spans="2:246" s="780" customFormat="1">
      <c r="B136" s="609"/>
      <c r="C136" s="609"/>
      <c r="D136" s="609"/>
      <c r="E136" s="609"/>
      <c r="F136" s="609"/>
      <c r="G136" s="609"/>
      <c r="H136" s="609"/>
      <c r="I136" s="609"/>
      <c r="J136" s="609"/>
      <c r="K136" s="609"/>
      <c r="L136" s="609"/>
      <c r="M136" s="609"/>
      <c r="N136" s="609"/>
      <c r="O136" s="609"/>
      <c r="P136" s="609"/>
      <c r="Q136" s="609"/>
      <c r="R136" s="609"/>
      <c r="S136" s="609"/>
      <c r="T136" s="609"/>
      <c r="U136" s="609"/>
      <c r="V136" s="609"/>
      <c r="W136" s="609"/>
      <c r="X136" s="609"/>
      <c r="Y136" s="609"/>
      <c r="Z136" s="816"/>
      <c r="AA136" s="816"/>
      <c r="AB136" s="816"/>
      <c r="AC136" s="816"/>
      <c r="AD136" s="816"/>
      <c r="AE136" s="816"/>
      <c r="AF136" s="609"/>
      <c r="AG136" s="609"/>
      <c r="AH136" s="816"/>
      <c r="AI136" s="816"/>
      <c r="AJ136" s="609"/>
      <c r="AK136" s="609"/>
      <c r="AL136" s="816"/>
      <c r="AM136" s="816"/>
      <c r="AN136" s="816"/>
      <c r="AO136" s="816"/>
      <c r="AP136" s="816"/>
      <c r="AQ136" s="816"/>
      <c r="AR136" s="609"/>
      <c r="AS136" s="609"/>
      <c r="AT136" s="816"/>
      <c r="AU136" s="816"/>
      <c r="AV136" s="817"/>
      <c r="AW136" s="609"/>
      <c r="AX136" s="609"/>
      <c r="AY136" s="816"/>
      <c r="AZ136" s="816"/>
      <c r="BA136" s="816"/>
      <c r="BB136" s="816"/>
      <c r="BC136" s="816"/>
      <c r="BD136" s="816"/>
      <c r="BE136" s="816"/>
      <c r="BF136" s="816"/>
      <c r="BG136" s="816"/>
      <c r="BH136" s="816"/>
      <c r="BI136" s="816"/>
      <c r="BJ136" s="816"/>
      <c r="BK136" s="816"/>
      <c r="BL136" s="816"/>
      <c r="BM136" s="816"/>
      <c r="BN136" s="816"/>
      <c r="BO136" s="816"/>
      <c r="BP136" s="816"/>
      <c r="BQ136" s="816"/>
      <c r="BR136" s="816"/>
      <c r="BS136" s="816"/>
      <c r="BT136" s="609"/>
      <c r="BU136" s="609"/>
      <c r="BV136" s="609"/>
      <c r="BW136" s="818"/>
      <c r="BX136" s="816"/>
      <c r="BY136" s="816"/>
      <c r="BZ136" s="816"/>
      <c r="CA136" s="816"/>
      <c r="CB136" s="816"/>
      <c r="CC136" s="816"/>
      <c r="CD136" s="816"/>
      <c r="CE136" s="816"/>
      <c r="CF136" s="820"/>
      <c r="CG136" s="820"/>
      <c r="CH136" s="820"/>
      <c r="CI136" s="820"/>
      <c r="CJ136" s="609"/>
      <c r="CK136" s="609"/>
      <c r="CL136" s="816"/>
      <c r="CM136" s="816"/>
      <c r="CN136" s="609"/>
      <c r="CO136" s="609"/>
      <c r="CP136" s="816"/>
      <c r="CQ136" s="816"/>
      <c r="CR136" s="609"/>
      <c r="CS136" s="609"/>
      <c r="CT136" s="816"/>
      <c r="CU136" s="816"/>
      <c r="CV136" s="609"/>
      <c r="CW136" s="609"/>
      <c r="CX136" s="816"/>
      <c r="CY136" s="816"/>
      <c r="CZ136" s="816"/>
      <c r="DA136" s="816"/>
      <c r="DB136" s="816"/>
      <c r="DC136" s="816"/>
      <c r="DD136" s="816"/>
      <c r="DE136" s="816"/>
      <c r="DF136" s="816"/>
      <c r="DG136" s="816"/>
      <c r="DH136" s="816"/>
      <c r="DI136" s="816"/>
      <c r="DJ136" s="816"/>
      <c r="DK136" s="816"/>
      <c r="DL136" s="609"/>
      <c r="DM136" s="609"/>
      <c r="DN136" s="816"/>
      <c r="DO136" s="816"/>
      <c r="DP136" s="816"/>
      <c r="DQ136" s="816"/>
      <c r="DR136" s="816"/>
      <c r="DS136" s="816"/>
      <c r="DT136" s="816"/>
      <c r="DU136" s="816"/>
      <c r="DV136" s="816"/>
      <c r="DW136" s="816"/>
      <c r="DX136" s="816"/>
      <c r="DY136" s="816"/>
      <c r="DZ136" s="816"/>
      <c r="EA136" s="816"/>
      <c r="EB136" s="609"/>
      <c r="EC136" s="609"/>
      <c r="ED136" s="816"/>
      <c r="EE136" s="816"/>
      <c r="EF136" s="816"/>
      <c r="EG136" s="816"/>
      <c r="EH136" s="816"/>
      <c r="EI136" s="816"/>
      <c r="EJ136" s="816"/>
      <c r="EK136" s="816"/>
      <c r="EL136" s="816"/>
      <c r="EM136" s="816"/>
      <c r="EN136" s="816"/>
      <c r="EO136" s="816"/>
      <c r="EP136" s="816"/>
      <c r="EQ136" s="816"/>
      <c r="ER136" s="816"/>
      <c r="ES136" s="816"/>
      <c r="ET136" s="816"/>
      <c r="EU136" s="816"/>
      <c r="EV136" s="816"/>
      <c r="EW136" s="816"/>
      <c r="EX136" s="816"/>
      <c r="EY136" s="816"/>
      <c r="EZ136" s="816"/>
      <c r="FA136" s="816"/>
      <c r="FB136" s="819"/>
      <c r="FC136" s="816"/>
      <c r="FD136" s="820"/>
      <c r="FE136" s="820"/>
      <c r="FF136" s="820"/>
      <c r="FG136" s="820"/>
      <c r="FH136" s="609"/>
      <c r="FI136" s="609"/>
      <c r="FJ136" s="816"/>
      <c r="FK136" s="816"/>
      <c r="FL136" s="816"/>
      <c r="FM136" s="816"/>
      <c r="FN136" s="816"/>
      <c r="FO136" s="816"/>
      <c r="FP136" s="816"/>
      <c r="FQ136" s="816"/>
      <c r="FR136" s="816"/>
      <c r="FS136" s="816"/>
      <c r="FT136" s="816"/>
      <c r="FU136" s="816"/>
      <c r="FV136" s="816"/>
      <c r="FW136" s="816"/>
      <c r="FX136" s="609"/>
      <c r="FY136" s="609"/>
      <c r="FZ136" s="816"/>
      <c r="GA136" s="816"/>
      <c r="GB136" s="609"/>
      <c r="GC136" s="609"/>
      <c r="GD136" s="609"/>
      <c r="GE136" s="816"/>
      <c r="GF136" s="816"/>
      <c r="GG136" s="609"/>
      <c r="GH136" s="609"/>
      <c r="GI136" s="816"/>
      <c r="GJ136" s="816"/>
      <c r="GK136" s="609"/>
      <c r="GL136" s="609"/>
      <c r="GM136" s="816"/>
      <c r="GN136" s="816"/>
      <c r="GO136" s="816"/>
      <c r="GP136" s="816"/>
      <c r="GQ136" s="816"/>
      <c r="GR136" s="816"/>
      <c r="GS136" s="609"/>
      <c r="GT136" s="609"/>
      <c r="GU136" s="816"/>
      <c r="GV136" s="816"/>
      <c r="GW136" s="609"/>
      <c r="GX136" s="609"/>
      <c r="GY136" s="816"/>
      <c r="GZ136" s="816"/>
      <c r="HA136" s="609"/>
      <c r="HB136" s="609"/>
      <c r="HC136" s="816"/>
      <c r="HD136" s="816"/>
      <c r="HE136" s="816"/>
      <c r="HF136" s="816"/>
      <c r="HG136" s="816"/>
      <c r="HH136" s="816"/>
      <c r="HI136" s="821"/>
      <c r="HJ136" s="609"/>
      <c r="HK136" s="816"/>
      <c r="HL136" s="816"/>
      <c r="HM136" s="822"/>
      <c r="HN136" s="609"/>
      <c r="HO136" s="816"/>
      <c r="HP136" s="816"/>
      <c r="HQ136" s="609"/>
      <c r="HR136" s="816"/>
      <c r="HS136" s="816"/>
      <c r="HT136" s="816"/>
      <c r="HU136" s="816"/>
      <c r="HV136" s="816"/>
      <c r="HW136" s="816"/>
      <c r="HX136" s="816"/>
      <c r="HY136" s="816"/>
      <c r="HZ136" s="816"/>
      <c r="IA136" s="816"/>
      <c r="IB136" s="816"/>
      <c r="IC136" s="823"/>
      <c r="ID136" s="824"/>
      <c r="IE136" s="825"/>
      <c r="IF136" s="825"/>
      <c r="IG136" s="816"/>
      <c r="II136" s="826"/>
      <c r="IJ136" s="826"/>
      <c r="IK136" s="826"/>
      <c r="IL136" s="826"/>
    </row>
    <row r="137" spans="2:246" s="780" customFormat="1"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09"/>
      <c r="T137" s="609"/>
      <c r="U137" s="609"/>
      <c r="V137" s="609"/>
      <c r="W137" s="609"/>
      <c r="X137" s="609"/>
      <c r="Y137" s="609"/>
      <c r="Z137" s="816"/>
      <c r="AA137" s="816"/>
      <c r="AB137" s="816"/>
      <c r="AC137" s="816"/>
      <c r="AD137" s="816"/>
      <c r="AE137" s="816"/>
      <c r="AF137" s="609"/>
      <c r="AG137" s="609"/>
      <c r="AH137" s="816"/>
      <c r="AI137" s="816"/>
      <c r="AJ137" s="609"/>
      <c r="AK137" s="609"/>
      <c r="AL137" s="816"/>
      <c r="AM137" s="816"/>
      <c r="AN137" s="816"/>
      <c r="AO137" s="816"/>
      <c r="AP137" s="816"/>
      <c r="AQ137" s="816"/>
      <c r="AR137" s="609"/>
      <c r="AS137" s="609"/>
      <c r="AT137" s="816"/>
      <c r="AU137" s="816"/>
      <c r="AV137" s="817"/>
      <c r="AW137" s="609"/>
      <c r="AX137" s="609"/>
      <c r="AY137" s="816"/>
      <c r="AZ137" s="816"/>
      <c r="BA137" s="816"/>
      <c r="BB137" s="816"/>
      <c r="BC137" s="816"/>
      <c r="BD137" s="816"/>
      <c r="BE137" s="816"/>
      <c r="BF137" s="816"/>
      <c r="BG137" s="816"/>
      <c r="BH137" s="816"/>
      <c r="BI137" s="816"/>
      <c r="BJ137" s="816"/>
      <c r="BK137" s="816"/>
      <c r="BL137" s="816"/>
      <c r="BM137" s="816"/>
      <c r="BN137" s="816"/>
      <c r="BO137" s="816"/>
      <c r="BP137" s="816"/>
      <c r="BQ137" s="816"/>
      <c r="BR137" s="816"/>
      <c r="BS137" s="816"/>
      <c r="BT137" s="609"/>
      <c r="BU137" s="609"/>
      <c r="BV137" s="609"/>
      <c r="BW137" s="818"/>
      <c r="BX137" s="816"/>
      <c r="BY137" s="816"/>
      <c r="BZ137" s="816"/>
      <c r="CA137" s="816"/>
      <c r="CB137" s="816"/>
      <c r="CC137" s="816"/>
      <c r="CD137" s="816"/>
      <c r="CE137" s="816"/>
      <c r="CF137" s="820"/>
      <c r="CG137" s="820"/>
      <c r="CH137" s="820"/>
      <c r="CI137" s="820"/>
      <c r="CJ137" s="609"/>
      <c r="CK137" s="609"/>
      <c r="CL137" s="816"/>
      <c r="CM137" s="816"/>
      <c r="CN137" s="609"/>
      <c r="CO137" s="609"/>
      <c r="CP137" s="816"/>
      <c r="CQ137" s="816"/>
      <c r="CR137" s="609"/>
      <c r="CS137" s="609"/>
      <c r="CT137" s="816"/>
      <c r="CU137" s="816"/>
      <c r="CV137" s="609"/>
      <c r="CW137" s="609"/>
      <c r="CX137" s="816"/>
      <c r="CY137" s="816"/>
      <c r="CZ137" s="816"/>
      <c r="DA137" s="816"/>
      <c r="DB137" s="816"/>
      <c r="DC137" s="816"/>
      <c r="DD137" s="816"/>
      <c r="DE137" s="816"/>
      <c r="DF137" s="816"/>
      <c r="DG137" s="816"/>
      <c r="DH137" s="816"/>
      <c r="DI137" s="816"/>
      <c r="DJ137" s="816"/>
      <c r="DK137" s="816"/>
      <c r="DL137" s="609"/>
      <c r="DM137" s="609"/>
      <c r="DN137" s="816"/>
      <c r="DO137" s="816"/>
      <c r="DP137" s="816"/>
      <c r="DQ137" s="816"/>
      <c r="DR137" s="816"/>
      <c r="DS137" s="816"/>
      <c r="DT137" s="816"/>
      <c r="DU137" s="816"/>
      <c r="DV137" s="816"/>
      <c r="DW137" s="816"/>
      <c r="DX137" s="816"/>
      <c r="DY137" s="816"/>
      <c r="DZ137" s="816"/>
      <c r="EA137" s="816"/>
      <c r="EB137" s="609"/>
      <c r="EC137" s="609"/>
      <c r="ED137" s="816"/>
      <c r="EE137" s="816"/>
      <c r="EF137" s="816"/>
      <c r="EG137" s="816"/>
      <c r="EH137" s="816"/>
      <c r="EI137" s="816"/>
      <c r="EJ137" s="816"/>
      <c r="EK137" s="816"/>
      <c r="EL137" s="816"/>
      <c r="EM137" s="816"/>
      <c r="EN137" s="816"/>
      <c r="EO137" s="816"/>
      <c r="EP137" s="816"/>
      <c r="EQ137" s="816"/>
      <c r="ER137" s="816"/>
      <c r="ES137" s="816"/>
      <c r="ET137" s="816"/>
      <c r="EU137" s="816"/>
      <c r="EV137" s="816"/>
      <c r="EW137" s="816"/>
      <c r="EX137" s="816"/>
      <c r="EY137" s="816"/>
      <c r="EZ137" s="816"/>
      <c r="FA137" s="816"/>
      <c r="FB137" s="819"/>
      <c r="FC137" s="816"/>
      <c r="FD137" s="820"/>
      <c r="FE137" s="820"/>
      <c r="FF137" s="820"/>
      <c r="FG137" s="820"/>
      <c r="FH137" s="609"/>
      <c r="FI137" s="609"/>
      <c r="FJ137" s="816"/>
      <c r="FK137" s="816"/>
      <c r="FL137" s="816"/>
      <c r="FM137" s="816"/>
      <c r="FN137" s="816"/>
      <c r="FO137" s="816"/>
      <c r="FP137" s="816"/>
      <c r="FQ137" s="816"/>
      <c r="FR137" s="816"/>
      <c r="FS137" s="816"/>
      <c r="FT137" s="816"/>
      <c r="FU137" s="816"/>
      <c r="FV137" s="816"/>
      <c r="FW137" s="816"/>
      <c r="FX137" s="609"/>
      <c r="FY137" s="609"/>
      <c r="FZ137" s="816"/>
      <c r="GA137" s="816"/>
      <c r="GB137" s="609"/>
      <c r="GC137" s="609"/>
      <c r="GD137" s="609"/>
      <c r="GE137" s="816"/>
      <c r="GF137" s="816"/>
      <c r="GG137" s="609"/>
      <c r="GH137" s="609"/>
      <c r="GI137" s="816"/>
      <c r="GJ137" s="816"/>
      <c r="GK137" s="609"/>
      <c r="GL137" s="609"/>
      <c r="GM137" s="816"/>
      <c r="GN137" s="816"/>
      <c r="GO137" s="816"/>
      <c r="GP137" s="816"/>
      <c r="GQ137" s="816"/>
      <c r="GR137" s="816"/>
      <c r="GS137" s="609"/>
      <c r="GT137" s="609"/>
      <c r="GU137" s="816"/>
      <c r="GV137" s="816"/>
      <c r="GW137" s="609"/>
      <c r="GX137" s="609"/>
      <c r="GY137" s="816"/>
      <c r="GZ137" s="816"/>
      <c r="HA137" s="609"/>
      <c r="HB137" s="609"/>
      <c r="HC137" s="816"/>
      <c r="HD137" s="816"/>
      <c r="HE137" s="816"/>
      <c r="HF137" s="816"/>
      <c r="HG137" s="816"/>
      <c r="HH137" s="816"/>
      <c r="HI137" s="821"/>
      <c r="HJ137" s="609"/>
      <c r="HK137" s="816"/>
      <c r="HL137" s="816"/>
      <c r="HM137" s="822"/>
      <c r="HN137" s="609"/>
      <c r="HO137" s="816"/>
      <c r="HP137" s="816"/>
      <c r="HQ137" s="609"/>
      <c r="HR137" s="816"/>
      <c r="HS137" s="816"/>
      <c r="HT137" s="816"/>
      <c r="HU137" s="816"/>
      <c r="HV137" s="816"/>
      <c r="HW137" s="816"/>
      <c r="HX137" s="816"/>
      <c r="HY137" s="816"/>
      <c r="HZ137" s="816"/>
      <c r="IA137" s="816"/>
      <c r="IB137" s="816"/>
      <c r="IC137" s="823"/>
      <c r="ID137" s="824"/>
      <c r="IE137" s="825"/>
      <c r="IF137" s="825"/>
      <c r="IG137" s="816"/>
      <c r="II137" s="826"/>
      <c r="IJ137" s="826"/>
      <c r="IK137" s="826"/>
      <c r="IL137" s="826"/>
    </row>
    <row r="138" spans="2:246" s="780" customFormat="1">
      <c r="B138" s="609"/>
      <c r="C138" s="609"/>
      <c r="D138" s="609"/>
      <c r="E138" s="609"/>
      <c r="F138" s="609"/>
      <c r="G138" s="609"/>
      <c r="H138" s="609"/>
      <c r="I138" s="609"/>
      <c r="J138" s="609"/>
      <c r="K138" s="609"/>
      <c r="L138" s="609"/>
      <c r="M138" s="609"/>
      <c r="N138" s="609"/>
      <c r="O138" s="609"/>
      <c r="P138" s="609"/>
      <c r="Q138" s="609"/>
      <c r="R138" s="609"/>
      <c r="S138" s="609"/>
      <c r="T138" s="609"/>
      <c r="U138" s="609"/>
      <c r="V138" s="609"/>
      <c r="W138" s="609"/>
      <c r="X138" s="609"/>
      <c r="Y138" s="609"/>
      <c r="Z138" s="816"/>
      <c r="AA138" s="816"/>
      <c r="AB138" s="816"/>
      <c r="AC138" s="816"/>
      <c r="AD138" s="816"/>
      <c r="AE138" s="816"/>
      <c r="AF138" s="609"/>
      <c r="AG138" s="609"/>
      <c r="AH138" s="816"/>
      <c r="AI138" s="816"/>
      <c r="AJ138" s="609"/>
      <c r="AK138" s="609"/>
      <c r="AL138" s="816"/>
      <c r="AM138" s="816"/>
      <c r="AN138" s="816"/>
      <c r="AO138" s="816"/>
      <c r="AP138" s="816"/>
      <c r="AQ138" s="816"/>
      <c r="AR138" s="609"/>
      <c r="AS138" s="609"/>
      <c r="AT138" s="816"/>
      <c r="AU138" s="816"/>
      <c r="AV138" s="817"/>
      <c r="AW138" s="609"/>
      <c r="AX138" s="609"/>
      <c r="AY138" s="816"/>
      <c r="AZ138" s="816"/>
      <c r="BA138" s="816"/>
      <c r="BB138" s="816"/>
      <c r="BC138" s="816"/>
      <c r="BD138" s="816"/>
      <c r="BE138" s="816"/>
      <c r="BF138" s="816"/>
      <c r="BG138" s="816"/>
      <c r="BH138" s="816"/>
      <c r="BI138" s="816"/>
      <c r="BJ138" s="816"/>
      <c r="BK138" s="816"/>
      <c r="BL138" s="816"/>
      <c r="BM138" s="816"/>
      <c r="BN138" s="816"/>
      <c r="BO138" s="816"/>
      <c r="BP138" s="816"/>
      <c r="BQ138" s="816"/>
      <c r="BR138" s="816"/>
      <c r="BS138" s="816"/>
      <c r="BT138" s="609"/>
      <c r="BU138" s="609"/>
      <c r="BV138" s="609"/>
      <c r="BW138" s="818"/>
      <c r="BX138" s="816"/>
      <c r="BY138" s="816"/>
      <c r="BZ138" s="816"/>
      <c r="CA138" s="816"/>
      <c r="CB138" s="816"/>
      <c r="CC138" s="816"/>
      <c r="CD138" s="816"/>
      <c r="CE138" s="816"/>
      <c r="CF138" s="820"/>
      <c r="CG138" s="820"/>
      <c r="CH138" s="820"/>
      <c r="CI138" s="820"/>
      <c r="CJ138" s="609"/>
      <c r="CK138" s="609"/>
      <c r="CL138" s="816"/>
      <c r="CM138" s="816"/>
      <c r="CN138" s="609"/>
      <c r="CO138" s="609"/>
      <c r="CP138" s="816"/>
      <c r="CQ138" s="816"/>
      <c r="CR138" s="609"/>
      <c r="CS138" s="609"/>
      <c r="CT138" s="816"/>
      <c r="CU138" s="816"/>
      <c r="CV138" s="609"/>
      <c r="CW138" s="609"/>
      <c r="CX138" s="816"/>
      <c r="CY138" s="816"/>
      <c r="CZ138" s="816"/>
      <c r="DA138" s="816"/>
      <c r="DB138" s="816"/>
      <c r="DC138" s="816"/>
      <c r="DD138" s="816"/>
      <c r="DE138" s="816"/>
      <c r="DF138" s="816"/>
      <c r="DG138" s="816"/>
      <c r="DH138" s="816"/>
      <c r="DI138" s="816"/>
      <c r="DJ138" s="816"/>
      <c r="DK138" s="816"/>
      <c r="DL138" s="609"/>
      <c r="DM138" s="609"/>
      <c r="DN138" s="816"/>
      <c r="DO138" s="816"/>
      <c r="DP138" s="816"/>
      <c r="DQ138" s="816"/>
      <c r="DR138" s="816"/>
      <c r="DS138" s="816"/>
      <c r="DT138" s="816"/>
      <c r="DU138" s="816"/>
      <c r="DV138" s="816"/>
      <c r="DW138" s="816"/>
      <c r="DX138" s="816"/>
      <c r="DY138" s="816"/>
      <c r="DZ138" s="816"/>
      <c r="EA138" s="816"/>
      <c r="EB138" s="609"/>
      <c r="EC138" s="609"/>
      <c r="ED138" s="816"/>
      <c r="EE138" s="816"/>
      <c r="EF138" s="816"/>
      <c r="EG138" s="816"/>
      <c r="EH138" s="816"/>
      <c r="EI138" s="816"/>
      <c r="EJ138" s="816"/>
      <c r="EK138" s="816"/>
      <c r="EL138" s="816"/>
      <c r="EM138" s="816"/>
      <c r="EN138" s="816"/>
      <c r="EO138" s="816"/>
      <c r="EP138" s="816"/>
      <c r="EQ138" s="816"/>
      <c r="ER138" s="816"/>
      <c r="ES138" s="816"/>
      <c r="ET138" s="816"/>
      <c r="EU138" s="816"/>
      <c r="EV138" s="816"/>
      <c r="EW138" s="816"/>
      <c r="EX138" s="816"/>
      <c r="EY138" s="816"/>
      <c r="EZ138" s="816"/>
      <c r="FA138" s="816"/>
      <c r="FB138" s="819"/>
      <c r="FC138" s="816"/>
      <c r="FD138" s="820"/>
      <c r="FE138" s="820"/>
      <c r="FF138" s="820"/>
      <c r="FG138" s="820"/>
      <c r="FH138" s="609"/>
      <c r="FI138" s="609"/>
      <c r="FJ138" s="816"/>
      <c r="FK138" s="816"/>
      <c r="FL138" s="816"/>
      <c r="FM138" s="816"/>
      <c r="FN138" s="816"/>
      <c r="FO138" s="816"/>
      <c r="FP138" s="816"/>
      <c r="FQ138" s="816"/>
      <c r="FR138" s="816"/>
      <c r="FS138" s="816"/>
      <c r="FT138" s="816"/>
      <c r="FU138" s="816"/>
      <c r="FV138" s="816"/>
      <c r="FW138" s="816"/>
      <c r="FX138" s="609"/>
      <c r="FY138" s="609"/>
      <c r="FZ138" s="816"/>
      <c r="GA138" s="816"/>
      <c r="GB138" s="609"/>
      <c r="GC138" s="609"/>
      <c r="GD138" s="609"/>
      <c r="GE138" s="816"/>
      <c r="GF138" s="816"/>
      <c r="GG138" s="609"/>
      <c r="GH138" s="609"/>
      <c r="GI138" s="816"/>
      <c r="GJ138" s="816"/>
      <c r="GK138" s="609"/>
      <c r="GL138" s="609"/>
      <c r="GM138" s="816"/>
      <c r="GN138" s="816"/>
      <c r="GO138" s="816"/>
      <c r="GP138" s="816"/>
      <c r="GQ138" s="816"/>
      <c r="GR138" s="816"/>
      <c r="GS138" s="609"/>
      <c r="GT138" s="609"/>
      <c r="GU138" s="816"/>
      <c r="GV138" s="816"/>
      <c r="GW138" s="609"/>
      <c r="GX138" s="609"/>
      <c r="GY138" s="816"/>
      <c r="GZ138" s="816"/>
      <c r="HA138" s="609"/>
      <c r="HB138" s="609"/>
      <c r="HC138" s="816"/>
      <c r="HD138" s="816"/>
      <c r="HE138" s="816"/>
      <c r="HF138" s="816"/>
      <c r="HG138" s="816"/>
      <c r="HH138" s="816"/>
      <c r="HI138" s="821"/>
      <c r="HJ138" s="609"/>
      <c r="HK138" s="816"/>
      <c r="HL138" s="816"/>
      <c r="HM138" s="822"/>
      <c r="HN138" s="609"/>
      <c r="HO138" s="816"/>
      <c r="HP138" s="816"/>
      <c r="HQ138" s="609"/>
      <c r="HR138" s="816"/>
      <c r="HS138" s="816"/>
      <c r="HT138" s="816"/>
      <c r="HU138" s="816"/>
      <c r="HV138" s="816"/>
      <c r="HW138" s="816"/>
      <c r="HX138" s="816"/>
      <c r="HY138" s="816"/>
      <c r="HZ138" s="816"/>
      <c r="IA138" s="816"/>
      <c r="IB138" s="816"/>
      <c r="IC138" s="823"/>
      <c r="ID138" s="824"/>
      <c r="IE138" s="825"/>
      <c r="IF138" s="825"/>
      <c r="IG138" s="816"/>
      <c r="II138" s="826"/>
      <c r="IJ138" s="826"/>
      <c r="IK138" s="826"/>
      <c r="IL138" s="826"/>
    </row>
    <row r="139" spans="2:246" s="780" customFormat="1">
      <c r="B139" s="609"/>
      <c r="C139" s="609"/>
      <c r="D139" s="609"/>
      <c r="E139" s="609"/>
      <c r="F139" s="609"/>
      <c r="G139" s="609"/>
      <c r="H139" s="609"/>
      <c r="I139" s="609"/>
      <c r="J139" s="609"/>
      <c r="K139" s="609"/>
      <c r="L139" s="609"/>
      <c r="M139" s="609"/>
      <c r="N139" s="609"/>
      <c r="O139" s="609"/>
      <c r="P139" s="609"/>
      <c r="Q139" s="609"/>
      <c r="R139" s="609"/>
      <c r="S139" s="609"/>
      <c r="T139" s="609"/>
      <c r="U139" s="609"/>
      <c r="V139" s="609"/>
      <c r="W139" s="609"/>
      <c r="X139" s="609"/>
      <c r="Y139" s="609"/>
      <c r="Z139" s="816"/>
      <c r="AA139" s="816"/>
      <c r="AB139" s="816"/>
      <c r="AC139" s="816"/>
      <c r="AD139" s="816"/>
      <c r="AE139" s="816"/>
      <c r="AF139" s="609"/>
      <c r="AG139" s="609"/>
      <c r="AH139" s="816"/>
      <c r="AI139" s="816"/>
      <c r="AJ139" s="609"/>
      <c r="AK139" s="609"/>
      <c r="AL139" s="816"/>
      <c r="AM139" s="816"/>
      <c r="AN139" s="816"/>
      <c r="AO139" s="816"/>
      <c r="AP139" s="816"/>
      <c r="AQ139" s="816"/>
      <c r="AR139" s="609"/>
      <c r="AS139" s="609"/>
      <c r="AT139" s="816"/>
      <c r="AU139" s="816"/>
      <c r="AV139" s="817"/>
      <c r="AW139" s="609"/>
      <c r="AX139" s="609"/>
      <c r="AY139" s="816"/>
      <c r="AZ139" s="816"/>
      <c r="BA139" s="816"/>
      <c r="BB139" s="816"/>
      <c r="BC139" s="816"/>
      <c r="BD139" s="816"/>
      <c r="BE139" s="816"/>
      <c r="BF139" s="816"/>
      <c r="BG139" s="816"/>
      <c r="BH139" s="816"/>
      <c r="BI139" s="816"/>
      <c r="BJ139" s="816"/>
      <c r="BK139" s="816"/>
      <c r="BL139" s="816"/>
      <c r="BM139" s="816"/>
      <c r="BN139" s="816"/>
      <c r="BO139" s="816"/>
      <c r="BP139" s="816"/>
      <c r="BQ139" s="816"/>
      <c r="BR139" s="816"/>
      <c r="BS139" s="816"/>
      <c r="BT139" s="609"/>
      <c r="BU139" s="609"/>
      <c r="BV139" s="609"/>
      <c r="BW139" s="818"/>
      <c r="BX139" s="816"/>
      <c r="BY139" s="816"/>
      <c r="BZ139" s="816"/>
      <c r="CA139" s="816"/>
      <c r="CB139" s="816"/>
      <c r="CC139" s="816"/>
      <c r="CD139" s="816"/>
      <c r="CE139" s="816"/>
      <c r="CF139" s="820"/>
      <c r="CG139" s="820"/>
      <c r="CH139" s="820"/>
      <c r="CI139" s="820"/>
      <c r="CJ139" s="609"/>
      <c r="CK139" s="609"/>
      <c r="CL139" s="816"/>
      <c r="CM139" s="816"/>
      <c r="CN139" s="609"/>
      <c r="CO139" s="609"/>
      <c r="CP139" s="816"/>
      <c r="CQ139" s="816"/>
      <c r="CR139" s="609"/>
      <c r="CS139" s="609"/>
      <c r="CT139" s="816"/>
      <c r="CU139" s="816"/>
      <c r="CV139" s="609"/>
      <c r="CW139" s="609"/>
      <c r="CX139" s="816"/>
      <c r="CY139" s="816"/>
      <c r="CZ139" s="816"/>
      <c r="DA139" s="816"/>
      <c r="DB139" s="816"/>
      <c r="DC139" s="816"/>
      <c r="DD139" s="816"/>
      <c r="DE139" s="816"/>
      <c r="DF139" s="816"/>
      <c r="DG139" s="816"/>
      <c r="DH139" s="816"/>
      <c r="DI139" s="816"/>
      <c r="DJ139" s="816"/>
      <c r="DK139" s="816"/>
      <c r="DL139" s="609"/>
      <c r="DM139" s="609"/>
      <c r="DN139" s="816"/>
      <c r="DO139" s="816"/>
      <c r="DP139" s="816"/>
      <c r="DQ139" s="816"/>
      <c r="DR139" s="816"/>
      <c r="DS139" s="816"/>
      <c r="DT139" s="816"/>
      <c r="DU139" s="816"/>
      <c r="DV139" s="816"/>
      <c r="DW139" s="816"/>
      <c r="DX139" s="816"/>
      <c r="DY139" s="816"/>
      <c r="DZ139" s="816"/>
      <c r="EA139" s="816"/>
      <c r="EB139" s="609"/>
      <c r="EC139" s="609"/>
      <c r="ED139" s="816"/>
      <c r="EE139" s="816"/>
      <c r="EF139" s="816"/>
      <c r="EG139" s="816"/>
      <c r="EH139" s="816"/>
      <c r="EI139" s="816"/>
      <c r="EJ139" s="816"/>
      <c r="EK139" s="816"/>
      <c r="EL139" s="816"/>
      <c r="EM139" s="816"/>
      <c r="EN139" s="816"/>
      <c r="EO139" s="816"/>
      <c r="EP139" s="816"/>
      <c r="EQ139" s="816"/>
      <c r="ER139" s="816"/>
      <c r="ES139" s="816"/>
      <c r="ET139" s="816"/>
      <c r="EU139" s="816"/>
      <c r="EV139" s="816"/>
      <c r="EW139" s="816"/>
      <c r="EX139" s="816"/>
      <c r="EY139" s="816"/>
      <c r="EZ139" s="816"/>
      <c r="FA139" s="816"/>
      <c r="FB139" s="819"/>
      <c r="FC139" s="816"/>
      <c r="FD139" s="820"/>
      <c r="FE139" s="820"/>
      <c r="FF139" s="820"/>
      <c r="FG139" s="820"/>
      <c r="FH139" s="609"/>
      <c r="FI139" s="609"/>
      <c r="FJ139" s="816"/>
      <c r="FK139" s="816"/>
      <c r="FL139" s="816"/>
      <c r="FM139" s="816"/>
      <c r="FN139" s="816"/>
      <c r="FO139" s="816"/>
      <c r="FP139" s="816"/>
      <c r="FQ139" s="816"/>
      <c r="FR139" s="816"/>
      <c r="FS139" s="816"/>
      <c r="FT139" s="816"/>
      <c r="FU139" s="816"/>
      <c r="FV139" s="816"/>
      <c r="FW139" s="816"/>
      <c r="FX139" s="609"/>
      <c r="FY139" s="609"/>
      <c r="FZ139" s="816"/>
      <c r="GA139" s="816"/>
      <c r="GB139" s="609"/>
      <c r="GC139" s="609"/>
      <c r="GD139" s="609"/>
      <c r="GE139" s="816"/>
      <c r="GF139" s="816"/>
      <c r="GG139" s="609"/>
      <c r="GH139" s="609"/>
      <c r="GI139" s="816"/>
      <c r="GJ139" s="816"/>
      <c r="GK139" s="609"/>
      <c r="GL139" s="609"/>
      <c r="GM139" s="816"/>
      <c r="GN139" s="816"/>
      <c r="GO139" s="816"/>
      <c r="GP139" s="816"/>
      <c r="GQ139" s="816"/>
      <c r="GR139" s="816"/>
      <c r="GS139" s="609"/>
      <c r="GT139" s="609"/>
      <c r="GU139" s="816"/>
      <c r="GV139" s="816"/>
      <c r="GW139" s="609"/>
      <c r="GX139" s="609"/>
      <c r="GY139" s="816"/>
      <c r="GZ139" s="816"/>
      <c r="HA139" s="609"/>
      <c r="HB139" s="609"/>
      <c r="HC139" s="816"/>
      <c r="HD139" s="816"/>
      <c r="HE139" s="816"/>
      <c r="HF139" s="816"/>
      <c r="HG139" s="816"/>
      <c r="HH139" s="816"/>
      <c r="HI139" s="821"/>
      <c r="HJ139" s="609"/>
      <c r="HK139" s="816"/>
      <c r="HL139" s="816"/>
      <c r="HM139" s="822"/>
      <c r="HN139" s="609"/>
      <c r="HO139" s="816"/>
      <c r="HP139" s="816"/>
      <c r="HQ139" s="609"/>
      <c r="HR139" s="816"/>
      <c r="HS139" s="816"/>
      <c r="HT139" s="816"/>
      <c r="HU139" s="816"/>
      <c r="HV139" s="816"/>
      <c r="HW139" s="816"/>
      <c r="HX139" s="816"/>
      <c r="HY139" s="816"/>
      <c r="HZ139" s="816"/>
      <c r="IA139" s="816"/>
      <c r="IB139" s="816"/>
      <c r="IC139" s="823"/>
      <c r="ID139" s="824"/>
      <c r="IE139" s="825"/>
      <c r="IF139" s="825"/>
      <c r="IG139" s="816"/>
      <c r="II139" s="826"/>
      <c r="IJ139" s="826"/>
      <c r="IK139" s="826"/>
      <c r="IL139" s="826"/>
    </row>
    <row r="140" spans="2:246" s="780" customFormat="1"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9"/>
      <c r="T140" s="609"/>
      <c r="U140" s="609"/>
      <c r="V140" s="609"/>
      <c r="W140" s="609"/>
      <c r="X140" s="609"/>
      <c r="Y140" s="609"/>
      <c r="Z140" s="816"/>
      <c r="AA140" s="816"/>
      <c r="AB140" s="816"/>
      <c r="AC140" s="816"/>
      <c r="AD140" s="816"/>
      <c r="AE140" s="816"/>
      <c r="AF140" s="609"/>
      <c r="AG140" s="609"/>
      <c r="AH140" s="816"/>
      <c r="AI140" s="816"/>
      <c r="AJ140" s="609"/>
      <c r="AK140" s="609"/>
      <c r="AL140" s="816"/>
      <c r="AM140" s="816"/>
      <c r="AN140" s="816"/>
      <c r="AO140" s="816"/>
      <c r="AP140" s="816"/>
      <c r="AQ140" s="816"/>
      <c r="AR140" s="609"/>
      <c r="AS140" s="609"/>
      <c r="AT140" s="816"/>
      <c r="AU140" s="816"/>
      <c r="AV140" s="817"/>
      <c r="AW140" s="609"/>
      <c r="AX140" s="609"/>
      <c r="AY140" s="816"/>
      <c r="AZ140" s="816"/>
      <c r="BA140" s="816"/>
      <c r="BB140" s="816"/>
      <c r="BC140" s="816"/>
      <c r="BD140" s="816"/>
      <c r="BE140" s="816"/>
      <c r="BF140" s="816"/>
      <c r="BG140" s="816"/>
      <c r="BH140" s="816"/>
      <c r="BI140" s="816"/>
      <c r="BJ140" s="816"/>
      <c r="BK140" s="816"/>
      <c r="BL140" s="816"/>
      <c r="BM140" s="816"/>
      <c r="BN140" s="816"/>
      <c r="BO140" s="816"/>
      <c r="BP140" s="816"/>
      <c r="BQ140" s="816"/>
      <c r="BR140" s="816"/>
      <c r="BS140" s="816"/>
      <c r="BT140" s="609"/>
      <c r="BU140" s="609"/>
      <c r="BV140" s="609"/>
      <c r="BW140" s="818"/>
      <c r="BX140" s="816"/>
      <c r="BY140" s="816"/>
      <c r="BZ140" s="816"/>
      <c r="CA140" s="816"/>
      <c r="CB140" s="816"/>
      <c r="CC140" s="816"/>
      <c r="CD140" s="816"/>
      <c r="CE140" s="816"/>
      <c r="CF140" s="820"/>
      <c r="CG140" s="820"/>
      <c r="CH140" s="820"/>
      <c r="CI140" s="820"/>
      <c r="CJ140" s="609"/>
      <c r="CK140" s="609"/>
      <c r="CL140" s="816"/>
      <c r="CM140" s="816"/>
      <c r="CN140" s="609"/>
      <c r="CO140" s="609"/>
      <c r="CP140" s="816"/>
      <c r="CQ140" s="816"/>
      <c r="CR140" s="609"/>
      <c r="CS140" s="609"/>
      <c r="CT140" s="816"/>
      <c r="CU140" s="816"/>
      <c r="CV140" s="609"/>
      <c r="CW140" s="609"/>
      <c r="CX140" s="816"/>
      <c r="CY140" s="816"/>
      <c r="CZ140" s="816"/>
      <c r="DA140" s="816"/>
      <c r="DB140" s="816"/>
      <c r="DC140" s="816"/>
      <c r="DD140" s="816"/>
      <c r="DE140" s="816"/>
      <c r="DF140" s="816"/>
      <c r="DG140" s="816"/>
      <c r="DH140" s="816"/>
      <c r="DI140" s="816"/>
      <c r="DJ140" s="816"/>
      <c r="DK140" s="816"/>
      <c r="DL140" s="609"/>
      <c r="DM140" s="609"/>
      <c r="DN140" s="816"/>
      <c r="DO140" s="816"/>
      <c r="DP140" s="816"/>
      <c r="DQ140" s="816"/>
      <c r="DR140" s="816"/>
      <c r="DS140" s="816"/>
      <c r="DT140" s="816"/>
      <c r="DU140" s="816"/>
      <c r="DV140" s="816"/>
      <c r="DW140" s="816"/>
      <c r="DX140" s="816"/>
      <c r="DY140" s="816"/>
      <c r="DZ140" s="816"/>
      <c r="EA140" s="816"/>
      <c r="EB140" s="609"/>
      <c r="EC140" s="609"/>
      <c r="ED140" s="816"/>
      <c r="EE140" s="816"/>
      <c r="EF140" s="816"/>
      <c r="EG140" s="816"/>
      <c r="EH140" s="816"/>
      <c r="EI140" s="816"/>
      <c r="EJ140" s="816"/>
      <c r="EK140" s="816"/>
      <c r="EL140" s="816"/>
      <c r="EM140" s="816"/>
      <c r="EN140" s="816"/>
      <c r="EO140" s="816"/>
      <c r="EP140" s="816"/>
      <c r="EQ140" s="816"/>
      <c r="ER140" s="816"/>
      <c r="ES140" s="816"/>
      <c r="ET140" s="816"/>
      <c r="EU140" s="816"/>
      <c r="EV140" s="816"/>
      <c r="EW140" s="816"/>
      <c r="EX140" s="816"/>
      <c r="EY140" s="816"/>
      <c r="EZ140" s="816"/>
      <c r="FA140" s="816"/>
      <c r="FB140" s="819"/>
      <c r="FC140" s="816"/>
      <c r="FD140" s="820"/>
      <c r="FE140" s="820"/>
      <c r="FF140" s="820"/>
      <c r="FG140" s="820"/>
      <c r="FH140" s="609"/>
      <c r="FI140" s="609"/>
      <c r="FJ140" s="816"/>
      <c r="FK140" s="816"/>
      <c r="FL140" s="816"/>
      <c r="FM140" s="816"/>
      <c r="FN140" s="816"/>
      <c r="FO140" s="816"/>
      <c r="FP140" s="816"/>
      <c r="FQ140" s="816"/>
      <c r="FR140" s="816"/>
      <c r="FS140" s="816"/>
      <c r="FT140" s="816"/>
      <c r="FU140" s="816"/>
      <c r="FV140" s="816"/>
      <c r="FW140" s="816"/>
      <c r="FX140" s="609"/>
      <c r="FY140" s="609"/>
      <c r="FZ140" s="816"/>
      <c r="GA140" s="816"/>
      <c r="GB140" s="609"/>
      <c r="GC140" s="609"/>
      <c r="GD140" s="609"/>
      <c r="GE140" s="816"/>
      <c r="GF140" s="816"/>
      <c r="GG140" s="609"/>
      <c r="GH140" s="609"/>
      <c r="GI140" s="816"/>
      <c r="GJ140" s="816"/>
      <c r="GK140" s="609"/>
      <c r="GL140" s="609"/>
      <c r="GM140" s="816"/>
      <c r="GN140" s="816"/>
      <c r="GO140" s="816"/>
      <c r="GP140" s="816"/>
      <c r="GQ140" s="816"/>
      <c r="GR140" s="816"/>
      <c r="GS140" s="609"/>
      <c r="GT140" s="609"/>
      <c r="GU140" s="816"/>
      <c r="GV140" s="816"/>
      <c r="GW140" s="609"/>
      <c r="GX140" s="609"/>
      <c r="GY140" s="816"/>
      <c r="GZ140" s="816"/>
      <c r="HA140" s="609"/>
      <c r="HB140" s="609"/>
      <c r="HC140" s="816"/>
      <c r="HD140" s="816"/>
      <c r="HE140" s="816"/>
      <c r="HF140" s="816"/>
      <c r="HG140" s="816"/>
      <c r="HH140" s="816"/>
      <c r="HI140" s="821"/>
      <c r="HJ140" s="609"/>
      <c r="HK140" s="816"/>
      <c r="HL140" s="816"/>
      <c r="HM140" s="822"/>
      <c r="HN140" s="609"/>
      <c r="HO140" s="816"/>
      <c r="HP140" s="816"/>
      <c r="HQ140" s="609"/>
      <c r="HR140" s="816"/>
      <c r="HS140" s="816"/>
      <c r="HT140" s="816"/>
      <c r="HU140" s="816"/>
      <c r="HV140" s="816"/>
      <c r="HW140" s="816"/>
      <c r="HX140" s="816"/>
      <c r="HY140" s="816"/>
      <c r="HZ140" s="816"/>
      <c r="IA140" s="816"/>
      <c r="IB140" s="816"/>
      <c r="IC140" s="823"/>
      <c r="ID140" s="824"/>
      <c r="IE140" s="825"/>
      <c r="IF140" s="825"/>
      <c r="IG140" s="816"/>
      <c r="II140" s="826"/>
      <c r="IJ140" s="826"/>
      <c r="IK140" s="826"/>
      <c r="IL140" s="826"/>
    </row>
    <row r="141" spans="2:246" s="780" customFormat="1"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609"/>
      <c r="T141" s="609"/>
      <c r="U141" s="609"/>
      <c r="V141" s="609"/>
      <c r="W141" s="609"/>
      <c r="X141" s="609"/>
      <c r="Y141" s="609"/>
      <c r="Z141" s="816"/>
      <c r="AA141" s="816"/>
      <c r="AB141" s="816"/>
      <c r="AC141" s="816"/>
      <c r="AD141" s="816"/>
      <c r="AE141" s="816"/>
      <c r="AF141" s="609"/>
      <c r="AG141" s="609"/>
      <c r="AH141" s="816"/>
      <c r="AI141" s="816"/>
      <c r="AJ141" s="609"/>
      <c r="AK141" s="609"/>
      <c r="AL141" s="816"/>
      <c r="AM141" s="816"/>
      <c r="AN141" s="816"/>
      <c r="AO141" s="816"/>
      <c r="AP141" s="816"/>
      <c r="AQ141" s="816"/>
      <c r="AR141" s="609"/>
      <c r="AS141" s="609"/>
      <c r="AT141" s="816"/>
      <c r="AU141" s="816"/>
      <c r="AV141" s="817"/>
      <c r="AW141" s="609"/>
      <c r="AX141" s="609"/>
      <c r="AY141" s="816"/>
      <c r="AZ141" s="816"/>
      <c r="BA141" s="816"/>
      <c r="BB141" s="816"/>
      <c r="BC141" s="816"/>
      <c r="BD141" s="816"/>
      <c r="BE141" s="816"/>
      <c r="BF141" s="816"/>
      <c r="BG141" s="816"/>
      <c r="BH141" s="816"/>
      <c r="BI141" s="816"/>
      <c r="BJ141" s="816"/>
      <c r="BK141" s="816"/>
      <c r="BL141" s="816"/>
      <c r="BM141" s="816"/>
      <c r="BN141" s="816"/>
      <c r="BO141" s="816"/>
      <c r="BP141" s="816"/>
      <c r="BQ141" s="816"/>
      <c r="BR141" s="816"/>
      <c r="BS141" s="816"/>
      <c r="BT141" s="609"/>
      <c r="BU141" s="609"/>
      <c r="BV141" s="609"/>
      <c r="BW141" s="818"/>
      <c r="BX141" s="816"/>
      <c r="BY141" s="816"/>
      <c r="BZ141" s="816"/>
      <c r="CA141" s="816"/>
      <c r="CB141" s="816"/>
      <c r="CC141" s="816"/>
      <c r="CD141" s="816"/>
      <c r="CE141" s="816"/>
      <c r="CF141" s="820"/>
      <c r="CG141" s="820"/>
      <c r="CH141" s="820"/>
      <c r="CI141" s="820"/>
      <c r="CJ141" s="609"/>
      <c r="CK141" s="609"/>
      <c r="CL141" s="816"/>
      <c r="CM141" s="816"/>
      <c r="CN141" s="609"/>
      <c r="CO141" s="609"/>
      <c r="CP141" s="816"/>
      <c r="CQ141" s="816"/>
      <c r="CR141" s="609"/>
      <c r="CS141" s="609"/>
      <c r="CT141" s="816"/>
      <c r="CU141" s="816"/>
      <c r="CV141" s="609"/>
      <c r="CW141" s="609"/>
      <c r="CX141" s="816"/>
      <c r="CY141" s="816"/>
      <c r="CZ141" s="816"/>
      <c r="DA141" s="816"/>
      <c r="DB141" s="816"/>
      <c r="DC141" s="816"/>
      <c r="DD141" s="816"/>
      <c r="DE141" s="816"/>
      <c r="DF141" s="816"/>
      <c r="DG141" s="816"/>
      <c r="DH141" s="816"/>
      <c r="DI141" s="816"/>
      <c r="DJ141" s="816"/>
      <c r="DK141" s="816"/>
      <c r="DL141" s="609"/>
      <c r="DM141" s="609"/>
      <c r="DN141" s="816"/>
      <c r="DO141" s="816"/>
      <c r="DP141" s="816"/>
      <c r="DQ141" s="816"/>
      <c r="DR141" s="816"/>
      <c r="DS141" s="816"/>
      <c r="DT141" s="816"/>
      <c r="DU141" s="816"/>
      <c r="DV141" s="816"/>
      <c r="DW141" s="816"/>
      <c r="DX141" s="816"/>
      <c r="DY141" s="816"/>
      <c r="DZ141" s="816"/>
      <c r="EA141" s="816"/>
      <c r="EB141" s="609"/>
      <c r="EC141" s="609"/>
      <c r="ED141" s="816"/>
      <c r="EE141" s="816"/>
      <c r="EF141" s="816"/>
      <c r="EG141" s="816"/>
      <c r="EH141" s="816"/>
      <c r="EI141" s="816"/>
      <c r="EJ141" s="816"/>
      <c r="EK141" s="816"/>
      <c r="EL141" s="816"/>
      <c r="EM141" s="816"/>
      <c r="EN141" s="816"/>
      <c r="EO141" s="816"/>
      <c r="EP141" s="816"/>
      <c r="EQ141" s="816"/>
      <c r="ER141" s="816"/>
      <c r="ES141" s="816"/>
      <c r="ET141" s="816"/>
      <c r="EU141" s="816"/>
      <c r="EV141" s="816"/>
      <c r="EW141" s="816"/>
      <c r="EX141" s="816"/>
      <c r="EY141" s="816"/>
      <c r="EZ141" s="816"/>
      <c r="FA141" s="816"/>
      <c r="FB141" s="819"/>
      <c r="FC141" s="816"/>
      <c r="FD141" s="820"/>
      <c r="FE141" s="820"/>
      <c r="FF141" s="820"/>
      <c r="FG141" s="820"/>
      <c r="FH141" s="609"/>
      <c r="FI141" s="609"/>
      <c r="FJ141" s="816"/>
      <c r="FK141" s="816"/>
      <c r="FL141" s="816"/>
      <c r="FM141" s="816"/>
      <c r="FN141" s="816"/>
      <c r="FO141" s="816"/>
      <c r="FP141" s="816"/>
      <c r="FQ141" s="816"/>
      <c r="FR141" s="816"/>
      <c r="FS141" s="816"/>
      <c r="FT141" s="816"/>
      <c r="FU141" s="816"/>
      <c r="FV141" s="816"/>
      <c r="FW141" s="816"/>
      <c r="FX141" s="609"/>
      <c r="FY141" s="609"/>
      <c r="FZ141" s="816"/>
      <c r="GA141" s="816"/>
      <c r="GB141" s="609"/>
      <c r="GC141" s="609"/>
      <c r="GD141" s="609"/>
      <c r="GE141" s="816"/>
      <c r="GF141" s="816"/>
      <c r="GG141" s="609"/>
      <c r="GH141" s="609"/>
      <c r="GI141" s="816"/>
      <c r="GJ141" s="816"/>
      <c r="GK141" s="609"/>
      <c r="GL141" s="609"/>
      <c r="GM141" s="816"/>
      <c r="GN141" s="816"/>
      <c r="GO141" s="816"/>
      <c r="GP141" s="816"/>
      <c r="GQ141" s="816"/>
      <c r="GR141" s="816"/>
      <c r="GS141" s="609"/>
      <c r="GT141" s="609"/>
      <c r="GU141" s="816"/>
      <c r="GV141" s="816"/>
      <c r="GW141" s="609"/>
      <c r="GX141" s="609"/>
      <c r="GY141" s="816"/>
      <c r="GZ141" s="816"/>
      <c r="HA141" s="609"/>
      <c r="HB141" s="609"/>
      <c r="HC141" s="816"/>
      <c r="HD141" s="816"/>
      <c r="HE141" s="816"/>
      <c r="HF141" s="816"/>
      <c r="HG141" s="816"/>
      <c r="HH141" s="816"/>
      <c r="HI141" s="821"/>
      <c r="HJ141" s="609"/>
      <c r="HK141" s="816"/>
      <c r="HL141" s="816"/>
      <c r="HM141" s="822"/>
      <c r="HN141" s="609"/>
      <c r="HO141" s="816"/>
      <c r="HP141" s="816"/>
      <c r="HQ141" s="609"/>
      <c r="HR141" s="816"/>
      <c r="HS141" s="816"/>
      <c r="HT141" s="816"/>
      <c r="HU141" s="816"/>
      <c r="HV141" s="816"/>
      <c r="HW141" s="816"/>
      <c r="HX141" s="816"/>
      <c r="HY141" s="816"/>
      <c r="HZ141" s="816"/>
      <c r="IA141" s="816"/>
      <c r="IB141" s="816"/>
      <c r="IC141" s="823"/>
      <c r="ID141" s="824"/>
      <c r="IE141" s="825"/>
      <c r="IF141" s="825"/>
      <c r="IG141" s="816"/>
      <c r="II141" s="826"/>
      <c r="IJ141" s="826"/>
      <c r="IK141" s="826"/>
      <c r="IL141" s="826"/>
    </row>
    <row r="142" spans="2:246" s="780" customFormat="1">
      <c r="B142" s="609"/>
      <c r="C142" s="609"/>
      <c r="D142" s="609"/>
      <c r="E142" s="609"/>
      <c r="F142" s="609"/>
      <c r="G142" s="609"/>
      <c r="H142" s="609"/>
      <c r="I142" s="609"/>
      <c r="J142" s="609"/>
      <c r="K142" s="609"/>
      <c r="L142" s="609"/>
      <c r="M142" s="609"/>
      <c r="N142" s="609"/>
      <c r="O142" s="609"/>
      <c r="P142" s="609"/>
      <c r="Q142" s="609"/>
      <c r="R142" s="609"/>
      <c r="S142" s="609"/>
      <c r="T142" s="609"/>
      <c r="U142" s="609"/>
      <c r="V142" s="609"/>
      <c r="W142" s="609"/>
      <c r="X142" s="609"/>
      <c r="Y142" s="609"/>
      <c r="Z142" s="816"/>
      <c r="AA142" s="816"/>
      <c r="AB142" s="816"/>
      <c r="AC142" s="816"/>
      <c r="AD142" s="816"/>
      <c r="AE142" s="816"/>
      <c r="AF142" s="609"/>
      <c r="AG142" s="609"/>
      <c r="AH142" s="816"/>
      <c r="AI142" s="816"/>
      <c r="AJ142" s="609"/>
      <c r="AK142" s="609"/>
      <c r="AL142" s="816"/>
      <c r="AM142" s="816"/>
      <c r="AN142" s="816"/>
      <c r="AO142" s="816"/>
      <c r="AP142" s="816"/>
      <c r="AQ142" s="816"/>
      <c r="AR142" s="609"/>
      <c r="AS142" s="609"/>
      <c r="AT142" s="816"/>
      <c r="AU142" s="816"/>
      <c r="AV142" s="817"/>
      <c r="AW142" s="609"/>
      <c r="AX142" s="609"/>
      <c r="AY142" s="816"/>
      <c r="AZ142" s="816"/>
      <c r="BA142" s="816"/>
      <c r="BB142" s="816"/>
      <c r="BC142" s="816"/>
      <c r="BD142" s="816"/>
      <c r="BE142" s="816"/>
      <c r="BF142" s="816"/>
      <c r="BG142" s="816"/>
      <c r="BH142" s="816"/>
      <c r="BI142" s="816"/>
      <c r="BJ142" s="816"/>
      <c r="BK142" s="816"/>
      <c r="BL142" s="816"/>
      <c r="BM142" s="816"/>
      <c r="BN142" s="816"/>
      <c r="BO142" s="816"/>
      <c r="BP142" s="816"/>
      <c r="BQ142" s="816"/>
      <c r="BR142" s="816"/>
      <c r="BS142" s="816"/>
      <c r="BT142" s="609"/>
      <c r="BU142" s="609"/>
      <c r="BV142" s="609"/>
      <c r="BW142" s="818"/>
      <c r="BX142" s="816"/>
      <c r="BY142" s="816"/>
      <c r="BZ142" s="816"/>
      <c r="CA142" s="816"/>
      <c r="CB142" s="816"/>
      <c r="CC142" s="816"/>
      <c r="CD142" s="816"/>
      <c r="CE142" s="816"/>
      <c r="CF142" s="820"/>
      <c r="CG142" s="820"/>
      <c r="CH142" s="820"/>
      <c r="CI142" s="820"/>
      <c r="CJ142" s="609"/>
      <c r="CK142" s="609"/>
      <c r="CL142" s="816"/>
      <c r="CM142" s="816"/>
      <c r="CN142" s="609"/>
      <c r="CO142" s="609"/>
      <c r="CP142" s="816"/>
      <c r="CQ142" s="816"/>
      <c r="CR142" s="609"/>
      <c r="CS142" s="609"/>
      <c r="CT142" s="816"/>
      <c r="CU142" s="816"/>
      <c r="CV142" s="609"/>
      <c r="CW142" s="609"/>
      <c r="CX142" s="816"/>
      <c r="CY142" s="816"/>
      <c r="CZ142" s="816"/>
      <c r="DA142" s="816"/>
      <c r="DB142" s="816"/>
      <c r="DC142" s="816"/>
      <c r="DD142" s="816"/>
      <c r="DE142" s="816"/>
      <c r="DF142" s="816"/>
      <c r="DG142" s="816"/>
      <c r="DH142" s="816"/>
      <c r="DI142" s="816"/>
      <c r="DJ142" s="816"/>
      <c r="DK142" s="816"/>
      <c r="DL142" s="609"/>
      <c r="DM142" s="609"/>
      <c r="DN142" s="816"/>
      <c r="DO142" s="816"/>
      <c r="DP142" s="816"/>
      <c r="DQ142" s="816"/>
      <c r="DR142" s="816"/>
      <c r="DS142" s="816"/>
      <c r="DT142" s="816"/>
      <c r="DU142" s="816"/>
      <c r="DV142" s="816"/>
      <c r="DW142" s="816"/>
      <c r="DX142" s="816"/>
      <c r="DY142" s="816"/>
      <c r="DZ142" s="816"/>
      <c r="EA142" s="816"/>
      <c r="EB142" s="609"/>
      <c r="EC142" s="609"/>
      <c r="ED142" s="816"/>
      <c r="EE142" s="816"/>
      <c r="EF142" s="816"/>
      <c r="EG142" s="816"/>
      <c r="EH142" s="816"/>
      <c r="EI142" s="816"/>
      <c r="EJ142" s="816"/>
      <c r="EK142" s="816"/>
      <c r="EL142" s="816"/>
      <c r="EM142" s="816"/>
      <c r="EN142" s="816"/>
      <c r="EO142" s="816"/>
      <c r="EP142" s="816"/>
      <c r="EQ142" s="816"/>
      <c r="ER142" s="816"/>
      <c r="ES142" s="816"/>
      <c r="ET142" s="816"/>
      <c r="EU142" s="816"/>
      <c r="EV142" s="816"/>
      <c r="EW142" s="816"/>
      <c r="EX142" s="816"/>
      <c r="EY142" s="816"/>
      <c r="EZ142" s="816"/>
      <c r="FA142" s="816"/>
      <c r="FB142" s="819"/>
      <c r="FC142" s="816"/>
      <c r="FD142" s="820"/>
      <c r="FE142" s="820"/>
      <c r="FF142" s="820"/>
      <c r="FG142" s="820"/>
      <c r="FH142" s="609"/>
      <c r="FI142" s="609"/>
      <c r="FJ142" s="816"/>
      <c r="FK142" s="816"/>
      <c r="FL142" s="816"/>
      <c r="FM142" s="816"/>
      <c r="FN142" s="816"/>
      <c r="FO142" s="816"/>
      <c r="FP142" s="816"/>
      <c r="FQ142" s="816"/>
      <c r="FR142" s="816"/>
      <c r="FS142" s="816"/>
      <c r="FT142" s="816"/>
      <c r="FU142" s="816"/>
      <c r="FV142" s="816"/>
      <c r="FW142" s="816"/>
      <c r="FX142" s="609"/>
      <c r="FY142" s="609"/>
      <c r="FZ142" s="816"/>
      <c r="GA142" s="816"/>
      <c r="GB142" s="609"/>
      <c r="GC142" s="609"/>
      <c r="GD142" s="609"/>
      <c r="GE142" s="816"/>
      <c r="GF142" s="816"/>
      <c r="GG142" s="609"/>
      <c r="GH142" s="609"/>
      <c r="GI142" s="816"/>
      <c r="GJ142" s="816"/>
      <c r="GK142" s="609"/>
      <c r="GL142" s="609"/>
      <c r="GM142" s="816"/>
      <c r="GN142" s="816"/>
      <c r="GO142" s="816"/>
      <c r="GP142" s="816"/>
      <c r="GQ142" s="816"/>
      <c r="GR142" s="816"/>
      <c r="GS142" s="609"/>
      <c r="GT142" s="609"/>
      <c r="GU142" s="816"/>
      <c r="GV142" s="816"/>
      <c r="GW142" s="609"/>
      <c r="GX142" s="609"/>
      <c r="GY142" s="816"/>
      <c r="GZ142" s="816"/>
      <c r="HA142" s="609"/>
      <c r="HB142" s="609"/>
      <c r="HC142" s="816"/>
      <c r="HD142" s="816"/>
      <c r="HE142" s="816"/>
      <c r="HF142" s="816"/>
      <c r="HG142" s="816"/>
      <c r="HH142" s="816"/>
      <c r="HI142" s="821"/>
      <c r="HJ142" s="609"/>
      <c r="HK142" s="816"/>
      <c r="HL142" s="816"/>
      <c r="HM142" s="822"/>
      <c r="HN142" s="609"/>
      <c r="HO142" s="816"/>
      <c r="HP142" s="816"/>
      <c r="HQ142" s="609"/>
      <c r="HR142" s="816"/>
      <c r="HS142" s="816"/>
      <c r="HT142" s="816"/>
      <c r="HU142" s="816"/>
      <c r="HV142" s="816"/>
      <c r="HW142" s="816"/>
      <c r="HX142" s="816"/>
      <c r="HY142" s="816"/>
      <c r="HZ142" s="816"/>
      <c r="IA142" s="816"/>
      <c r="IB142" s="816"/>
      <c r="IC142" s="823"/>
      <c r="ID142" s="824"/>
      <c r="IE142" s="825"/>
      <c r="IF142" s="825"/>
      <c r="IG142" s="816"/>
      <c r="II142" s="826"/>
      <c r="IJ142" s="826"/>
      <c r="IK142" s="826"/>
      <c r="IL142" s="826"/>
    </row>
    <row r="143" spans="2:246" s="780" customFormat="1">
      <c r="B143" s="609"/>
      <c r="C143" s="609"/>
      <c r="D143" s="609"/>
      <c r="E143" s="609"/>
      <c r="F143" s="609"/>
      <c r="G143" s="609"/>
      <c r="H143" s="609"/>
      <c r="I143" s="609"/>
      <c r="J143" s="609"/>
      <c r="K143" s="609"/>
      <c r="L143" s="609"/>
      <c r="M143" s="609"/>
      <c r="N143" s="609"/>
      <c r="O143" s="609"/>
      <c r="P143" s="609"/>
      <c r="Q143" s="609"/>
      <c r="R143" s="609"/>
      <c r="S143" s="609"/>
      <c r="T143" s="609"/>
      <c r="U143" s="609"/>
      <c r="V143" s="609"/>
      <c r="W143" s="609"/>
      <c r="X143" s="609"/>
      <c r="Y143" s="609"/>
      <c r="Z143" s="816"/>
      <c r="AA143" s="816"/>
      <c r="AB143" s="816"/>
      <c r="AC143" s="816"/>
      <c r="AD143" s="816"/>
      <c r="AE143" s="816"/>
      <c r="AF143" s="609"/>
      <c r="AG143" s="609"/>
      <c r="AH143" s="816"/>
      <c r="AI143" s="816"/>
      <c r="AJ143" s="609"/>
      <c r="AK143" s="609"/>
      <c r="AL143" s="816"/>
      <c r="AM143" s="816"/>
      <c r="AN143" s="816"/>
      <c r="AO143" s="816"/>
      <c r="AP143" s="816"/>
      <c r="AQ143" s="816"/>
      <c r="AR143" s="609"/>
      <c r="AS143" s="609"/>
      <c r="AT143" s="816"/>
      <c r="AU143" s="816"/>
      <c r="AV143" s="817"/>
      <c r="AW143" s="609"/>
      <c r="AX143" s="609"/>
      <c r="AY143" s="816"/>
      <c r="AZ143" s="816"/>
      <c r="BA143" s="816"/>
      <c r="BB143" s="816"/>
      <c r="BC143" s="816"/>
      <c r="BD143" s="816"/>
      <c r="BE143" s="816"/>
      <c r="BF143" s="816"/>
      <c r="BG143" s="816"/>
      <c r="BH143" s="816"/>
      <c r="BI143" s="816"/>
      <c r="BJ143" s="816"/>
      <c r="BK143" s="816"/>
      <c r="BL143" s="816"/>
      <c r="BM143" s="816"/>
      <c r="BN143" s="816"/>
      <c r="BO143" s="816"/>
      <c r="BP143" s="816"/>
      <c r="BQ143" s="816"/>
      <c r="BR143" s="816"/>
      <c r="BS143" s="816"/>
      <c r="BT143" s="609"/>
      <c r="BU143" s="609"/>
      <c r="BV143" s="609"/>
      <c r="BW143" s="818"/>
      <c r="BX143" s="816"/>
      <c r="BY143" s="816"/>
      <c r="BZ143" s="816"/>
      <c r="CA143" s="816"/>
      <c r="CB143" s="816"/>
      <c r="CC143" s="816"/>
      <c r="CD143" s="816"/>
      <c r="CE143" s="816"/>
      <c r="CF143" s="820"/>
      <c r="CG143" s="820"/>
      <c r="CH143" s="820"/>
      <c r="CI143" s="820"/>
      <c r="CJ143" s="609"/>
      <c r="CK143" s="609"/>
      <c r="CL143" s="816"/>
      <c r="CM143" s="816"/>
      <c r="CN143" s="609"/>
      <c r="CO143" s="609"/>
      <c r="CP143" s="816"/>
      <c r="CQ143" s="816"/>
      <c r="CR143" s="609"/>
      <c r="CS143" s="609"/>
      <c r="CT143" s="816"/>
      <c r="CU143" s="816"/>
      <c r="CV143" s="609"/>
      <c r="CW143" s="609"/>
      <c r="CX143" s="816"/>
      <c r="CY143" s="816"/>
      <c r="CZ143" s="816"/>
      <c r="DA143" s="816"/>
      <c r="DB143" s="816"/>
      <c r="DC143" s="816"/>
      <c r="DD143" s="816"/>
      <c r="DE143" s="816"/>
      <c r="DF143" s="816"/>
      <c r="DG143" s="816"/>
      <c r="DH143" s="816"/>
      <c r="DI143" s="816"/>
      <c r="DJ143" s="816"/>
      <c r="DK143" s="816"/>
      <c r="DL143" s="609"/>
      <c r="DM143" s="609"/>
      <c r="DN143" s="816"/>
      <c r="DO143" s="816"/>
      <c r="DP143" s="816"/>
      <c r="DQ143" s="816"/>
      <c r="DR143" s="816"/>
      <c r="DS143" s="816"/>
      <c r="DT143" s="816"/>
      <c r="DU143" s="816"/>
      <c r="DV143" s="816"/>
      <c r="DW143" s="816"/>
      <c r="DX143" s="816"/>
      <c r="DY143" s="816"/>
      <c r="DZ143" s="816"/>
      <c r="EA143" s="816"/>
      <c r="EB143" s="609"/>
      <c r="EC143" s="609"/>
      <c r="ED143" s="816"/>
      <c r="EE143" s="816"/>
      <c r="EF143" s="816"/>
      <c r="EG143" s="816"/>
      <c r="EH143" s="816"/>
      <c r="EI143" s="816"/>
      <c r="EJ143" s="816"/>
      <c r="EK143" s="816"/>
      <c r="EL143" s="816"/>
      <c r="EM143" s="816"/>
      <c r="EN143" s="816"/>
      <c r="EO143" s="816"/>
      <c r="EP143" s="816"/>
      <c r="EQ143" s="816"/>
      <c r="ER143" s="816"/>
      <c r="ES143" s="816"/>
      <c r="ET143" s="816"/>
      <c r="EU143" s="816"/>
      <c r="EV143" s="816"/>
      <c r="EW143" s="816"/>
      <c r="EX143" s="816"/>
      <c r="EY143" s="816"/>
      <c r="EZ143" s="816"/>
      <c r="FA143" s="816"/>
      <c r="FB143" s="819"/>
      <c r="FC143" s="816"/>
      <c r="FD143" s="820"/>
      <c r="FE143" s="820"/>
      <c r="FF143" s="820"/>
      <c r="FG143" s="820"/>
      <c r="FH143" s="609"/>
      <c r="FI143" s="609"/>
      <c r="FJ143" s="816"/>
      <c r="FK143" s="816"/>
      <c r="FL143" s="816"/>
      <c r="FM143" s="816"/>
      <c r="FN143" s="816"/>
      <c r="FO143" s="816"/>
      <c r="FP143" s="816"/>
      <c r="FQ143" s="816"/>
      <c r="FR143" s="816"/>
      <c r="FS143" s="816"/>
      <c r="FT143" s="816"/>
      <c r="FU143" s="816"/>
      <c r="FV143" s="816"/>
      <c r="FW143" s="816"/>
      <c r="FX143" s="609"/>
      <c r="FY143" s="609"/>
      <c r="FZ143" s="816"/>
      <c r="GA143" s="816"/>
      <c r="GB143" s="609"/>
      <c r="GC143" s="609"/>
      <c r="GD143" s="609"/>
      <c r="GE143" s="816"/>
      <c r="GF143" s="816"/>
      <c r="GG143" s="609"/>
      <c r="GH143" s="609"/>
      <c r="GI143" s="816"/>
      <c r="GJ143" s="816"/>
      <c r="GK143" s="609"/>
      <c r="GL143" s="609"/>
      <c r="GM143" s="816"/>
      <c r="GN143" s="816"/>
      <c r="GO143" s="816"/>
      <c r="GP143" s="816"/>
      <c r="GQ143" s="816"/>
      <c r="GR143" s="816"/>
      <c r="GS143" s="609"/>
      <c r="GT143" s="609"/>
      <c r="GU143" s="816"/>
      <c r="GV143" s="816"/>
      <c r="GW143" s="609"/>
      <c r="GX143" s="609"/>
      <c r="GY143" s="816"/>
      <c r="GZ143" s="816"/>
      <c r="HA143" s="609"/>
      <c r="HB143" s="609"/>
      <c r="HC143" s="816"/>
      <c r="HD143" s="816"/>
      <c r="HE143" s="816"/>
      <c r="HF143" s="816"/>
      <c r="HG143" s="816"/>
      <c r="HH143" s="816"/>
      <c r="HI143" s="821"/>
      <c r="HJ143" s="609"/>
      <c r="HK143" s="816"/>
      <c r="HL143" s="816"/>
      <c r="HM143" s="822"/>
      <c r="HN143" s="609"/>
      <c r="HO143" s="816"/>
      <c r="HP143" s="816"/>
      <c r="HQ143" s="609"/>
      <c r="HR143" s="816"/>
      <c r="HS143" s="816"/>
      <c r="HT143" s="816"/>
      <c r="HU143" s="816"/>
      <c r="HV143" s="816"/>
      <c r="HW143" s="816"/>
      <c r="HX143" s="816"/>
      <c r="HY143" s="816"/>
      <c r="HZ143" s="816"/>
      <c r="IA143" s="816"/>
      <c r="IB143" s="816"/>
      <c r="IC143" s="823"/>
      <c r="ID143" s="824"/>
      <c r="IE143" s="825"/>
      <c r="IF143" s="825"/>
      <c r="IG143" s="816"/>
      <c r="II143" s="826"/>
      <c r="IJ143" s="826"/>
      <c r="IK143" s="826"/>
      <c r="IL143" s="826"/>
    </row>
    <row r="144" spans="2:246" s="780" customFormat="1">
      <c r="B144" s="609"/>
      <c r="C144" s="609"/>
      <c r="D144" s="609"/>
      <c r="E144" s="609"/>
      <c r="F144" s="609"/>
      <c r="G144" s="609"/>
      <c r="H144" s="609"/>
      <c r="I144" s="609"/>
      <c r="J144" s="609"/>
      <c r="K144" s="609"/>
      <c r="L144" s="609"/>
      <c r="M144" s="609"/>
      <c r="N144" s="609"/>
      <c r="O144" s="609"/>
      <c r="P144" s="609"/>
      <c r="Q144" s="609"/>
      <c r="R144" s="609"/>
      <c r="S144" s="609"/>
      <c r="T144" s="609"/>
      <c r="U144" s="609"/>
      <c r="V144" s="609"/>
      <c r="W144" s="609"/>
      <c r="X144" s="609"/>
      <c r="Y144" s="609"/>
      <c r="Z144" s="816"/>
      <c r="AA144" s="816"/>
      <c r="AB144" s="816"/>
      <c r="AC144" s="816"/>
      <c r="AD144" s="816"/>
      <c r="AE144" s="816"/>
      <c r="AF144" s="609"/>
      <c r="AG144" s="609"/>
      <c r="AH144" s="816"/>
      <c r="AI144" s="816"/>
      <c r="AJ144" s="609"/>
      <c r="AK144" s="609"/>
      <c r="AL144" s="816"/>
      <c r="AM144" s="816"/>
      <c r="AN144" s="816"/>
      <c r="AO144" s="816"/>
      <c r="AP144" s="816"/>
      <c r="AQ144" s="816"/>
      <c r="AR144" s="609"/>
      <c r="AS144" s="609"/>
      <c r="AT144" s="816"/>
      <c r="AU144" s="816"/>
      <c r="AV144" s="817"/>
      <c r="AW144" s="609"/>
      <c r="AX144" s="609"/>
      <c r="AY144" s="816"/>
      <c r="AZ144" s="816"/>
      <c r="BA144" s="816"/>
      <c r="BB144" s="816"/>
      <c r="BC144" s="816"/>
      <c r="BD144" s="816"/>
      <c r="BE144" s="816"/>
      <c r="BF144" s="816"/>
      <c r="BG144" s="816"/>
      <c r="BH144" s="816"/>
      <c r="BI144" s="816"/>
      <c r="BJ144" s="816"/>
      <c r="BK144" s="816"/>
      <c r="BL144" s="816"/>
      <c r="BM144" s="816"/>
      <c r="BN144" s="816"/>
      <c r="BO144" s="816"/>
      <c r="BP144" s="816"/>
      <c r="BQ144" s="816"/>
      <c r="BR144" s="816"/>
      <c r="BS144" s="816"/>
      <c r="BT144" s="609"/>
      <c r="BU144" s="609"/>
      <c r="BV144" s="609"/>
      <c r="BW144" s="818"/>
      <c r="BX144" s="816"/>
      <c r="BY144" s="816"/>
      <c r="BZ144" s="816"/>
      <c r="CA144" s="816"/>
      <c r="CB144" s="816"/>
      <c r="CC144" s="816"/>
      <c r="CD144" s="816"/>
      <c r="CE144" s="816"/>
      <c r="CF144" s="820"/>
      <c r="CG144" s="820"/>
      <c r="CH144" s="820"/>
      <c r="CI144" s="820"/>
      <c r="CJ144" s="609"/>
      <c r="CK144" s="609"/>
      <c r="CL144" s="816"/>
      <c r="CM144" s="816"/>
      <c r="CN144" s="609"/>
      <c r="CO144" s="609"/>
      <c r="CP144" s="816"/>
      <c r="CQ144" s="816"/>
      <c r="CR144" s="609"/>
      <c r="CS144" s="609"/>
      <c r="CT144" s="816"/>
      <c r="CU144" s="816"/>
      <c r="CV144" s="609"/>
      <c r="CW144" s="609"/>
      <c r="CX144" s="816"/>
      <c r="CY144" s="816"/>
      <c r="CZ144" s="816"/>
      <c r="DA144" s="816"/>
      <c r="DB144" s="816"/>
      <c r="DC144" s="816"/>
      <c r="DD144" s="816"/>
      <c r="DE144" s="816"/>
      <c r="DF144" s="816"/>
      <c r="DG144" s="816"/>
      <c r="DH144" s="816"/>
      <c r="DI144" s="816"/>
      <c r="DJ144" s="816"/>
      <c r="DK144" s="816"/>
      <c r="DL144" s="609"/>
      <c r="DM144" s="609"/>
      <c r="DN144" s="816"/>
      <c r="DO144" s="816"/>
      <c r="DP144" s="816"/>
      <c r="DQ144" s="816"/>
      <c r="DR144" s="816"/>
      <c r="DS144" s="816"/>
      <c r="DT144" s="816"/>
      <c r="DU144" s="816"/>
      <c r="DV144" s="816"/>
      <c r="DW144" s="816"/>
      <c r="DX144" s="816"/>
      <c r="DY144" s="816"/>
      <c r="DZ144" s="816"/>
      <c r="EA144" s="816"/>
      <c r="EB144" s="609"/>
      <c r="EC144" s="609"/>
      <c r="ED144" s="816"/>
      <c r="EE144" s="816"/>
      <c r="EF144" s="816"/>
      <c r="EG144" s="816"/>
      <c r="EH144" s="816"/>
      <c r="EI144" s="816"/>
      <c r="EJ144" s="816"/>
      <c r="EK144" s="816"/>
      <c r="EL144" s="816"/>
      <c r="EM144" s="816"/>
      <c r="EN144" s="816"/>
      <c r="EO144" s="816"/>
      <c r="EP144" s="816"/>
      <c r="EQ144" s="816"/>
      <c r="ER144" s="816"/>
      <c r="ES144" s="816"/>
      <c r="ET144" s="816"/>
      <c r="EU144" s="816"/>
      <c r="EV144" s="816"/>
      <c r="EW144" s="816"/>
      <c r="EX144" s="816"/>
      <c r="EY144" s="816"/>
      <c r="EZ144" s="816"/>
      <c r="FA144" s="816"/>
      <c r="FB144" s="819"/>
      <c r="FC144" s="816"/>
      <c r="FD144" s="820"/>
      <c r="FE144" s="820"/>
      <c r="FF144" s="820"/>
      <c r="FG144" s="820"/>
      <c r="FH144" s="609"/>
      <c r="FI144" s="609"/>
      <c r="FJ144" s="816"/>
      <c r="FK144" s="816"/>
      <c r="FL144" s="816"/>
      <c r="FM144" s="816"/>
      <c r="FN144" s="816"/>
      <c r="FO144" s="816"/>
      <c r="FP144" s="816"/>
      <c r="FQ144" s="816"/>
      <c r="FR144" s="816"/>
      <c r="FS144" s="816"/>
      <c r="FT144" s="816"/>
      <c r="FU144" s="816"/>
      <c r="FV144" s="816"/>
      <c r="FW144" s="816"/>
      <c r="FX144" s="609"/>
      <c r="FY144" s="609"/>
      <c r="FZ144" s="816"/>
      <c r="GA144" s="816"/>
      <c r="GB144" s="609"/>
      <c r="GC144" s="609"/>
      <c r="GD144" s="609"/>
      <c r="GE144" s="816"/>
      <c r="GF144" s="816"/>
      <c r="GG144" s="609"/>
      <c r="GH144" s="609"/>
      <c r="GI144" s="816"/>
      <c r="GJ144" s="816"/>
      <c r="GK144" s="609"/>
      <c r="GL144" s="609"/>
      <c r="GM144" s="816"/>
      <c r="GN144" s="816"/>
      <c r="GO144" s="816"/>
      <c r="GP144" s="816"/>
      <c r="GQ144" s="816"/>
      <c r="GR144" s="816"/>
      <c r="GS144" s="609"/>
      <c r="GT144" s="609"/>
      <c r="GU144" s="816"/>
      <c r="GV144" s="816"/>
      <c r="GW144" s="609"/>
      <c r="GX144" s="609"/>
      <c r="GY144" s="816"/>
      <c r="GZ144" s="816"/>
      <c r="HA144" s="609"/>
      <c r="HB144" s="609"/>
      <c r="HC144" s="816"/>
      <c r="HD144" s="816"/>
      <c r="HE144" s="816"/>
      <c r="HF144" s="816"/>
      <c r="HG144" s="816"/>
      <c r="HH144" s="816"/>
      <c r="HI144" s="821"/>
      <c r="HJ144" s="609"/>
      <c r="HK144" s="816"/>
      <c r="HL144" s="816"/>
      <c r="HM144" s="822"/>
      <c r="HN144" s="609"/>
      <c r="HO144" s="816"/>
      <c r="HP144" s="816"/>
      <c r="HQ144" s="609"/>
      <c r="HR144" s="816"/>
      <c r="HS144" s="816"/>
      <c r="HT144" s="816"/>
      <c r="HU144" s="816"/>
      <c r="HV144" s="816"/>
      <c r="HW144" s="816"/>
      <c r="HX144" s="816"/>
      <c r="HY144" s="816"/>
      <c r="HZ144" s="816"/>
      <c r="IA144" s="816"/>
      <c r="IB144" s="816"/>
      <c r="IC144" s="823"/>
      <c r="ID144" s="824"/>
      <c r="IE144" s="825"/>
      <c r="IF144" s="825"/>
      <c r="IG144" s="816"/>
      <c r="II144" s="826"/>
      <c r="IJ144" s="826"/>
      <c r="IK144" s="826"/>
      <c r="IL144" s="826"/>
    </row>
    <row r="145" spans="2:246" s="780" customFormat="1">
      <c r="B145" s="609"/>
      <c r="C145" s="609"/>
      <c r="D145" s="609"/>
      <c r="E145" s="609"/>
      <c r="F145" s="609"/>
      <c r="G145" s="609"/>
      <c r="H145" s="609"/>
      <c r="I145" s="609"/>
      <c r="J145" s="609"/>
      <c r="K145" s="609"/>
      <c r="L145" s="609"/>
      <c r="M145" s="609"/>
      <c r="N145" s="609"/>
      <c r="O145" s="609"/>
      <c r="P145" s="609"/>
      <c r="Q145" s="609"/>
      <c r="R145" s="609"/>
      <c r="S145" s="609"/>
      <c r="T145" s="609"/>
      <c r="U145" s="609"/>
      <c r="V145" s="609"/>
      <c r="W145" s="609"/>
      <c r="X145" s="609"/>
      <c r="Y145" s="609"/>
      <c r="Z145" s="816"/>
      <c r="AA145" s="816"/>
      <c r="AB145" s="816"/>
      <c r="AC145" s="816"/>
      <c r="AD145" s="816"/>
      <c r="AE145" s="816"/>
      <c r="AF145" s="609"/>
      <c r="AG145" s="609"/>
      <c r="AH145" s="816"/>
      <c r="AI145" s="816"/>
      <c r="AJ145" s="609"/>
      <c r="AK145" s="609"/>
      <c r="AL145" s="816"/>
      <c r="AM145" s="816"/>
      <c r="AN145" s="816"/>
      <c r="AO145" s="816"/>
      <c r="AP145" s="816"/>
      <c r="AQ145" s="816"/>
      <c r="AR145" s="609"/>
      <c r="AS145" s="609"/>
      <c r="AT145" s="816"/>
      <c r="AU145" s="816"/>
      <c r="AV145" s="817"/>
      <c r="AW145" s="609"/>
      <c r="AX145" s="609"/>
      <c r="AY145" s="816"/>
      <c r="AZ145" s="816"/>
      <c r="BA145" s="816"/>
      <c r="BB145" s="816"/>
      <c r="BC145" s="816"/>
      <c r="BD145" s="816"/>
      <c r="BE145" s="816"/>
      <c r="BF145" s="816"/>
      <c r="BG145" s="816"/>
      <c r="BH145" s="816"/>
      <c r="BI145" s="816"/>
      <c r="BJ145" s="816"/>
      <c r="BK145" s="816"/>
      <c r="BL145" s="816"/>
      <c r="BM145" s="816"/>
      <c r="BN145" s="816"/>
      <c r="BO145" s="816"/>
      <c r="BP145" s="816"/>
      <c r="BQ145" s="816"/>
      <c r="BR145" s="816"/>
      <c r="BS145" s="816"/>
      <c r="BT145" s="609"/>
      <c r="BU145" s="609"/>
      <c r="BV145" s="609"/>
      <c r="BW145" s="818"/>
      <c r="BX145" s="816"/>
      <c r="BY145" s="816"/>
      <c r="BZ145" s="816"/>
      <c r="CA145" s="816"/>
      <c r="CB145" s="816"/>
      <c r="CC145" s="816"/>
      <c r="CD145" s="816"/>
      <c r="CE145" s="816"/>
      <c r="CF145" s="820"/>
      <c r="CG145" s="820"/>
      <c r="CH145" s="820"/>
      <c r="CI145" s="820"/>
      <c r="CJ145" s="609"/>
      <c r="CK145" s="609"/>
      <c r="CL145" s="816"/>
      <c r="CM145" s="816"/>
      <c r="CN145" s="609"/>
      <c r="CO145" s="609"/>
      <c r="CP145" s="816"/>
      <c r="CQ145" s="816"/>
      <c r="CR145" s="609"/>
      <c r="CS145" s="609"/>
      <c r="CT145" s="816"/>
      <c r="CU145" s="816"/>
      <c r="CV145" s="609"/>
      <c r="CW145" s="609"/>
      <c r="CX145" s="816"/>
      <c r="CY145" s="816"/>
      <c r="CZ145" s="816"/>
      <c r="DA145" s="816"/>
      <c r="DB145" s="816"/>
      <c r="DC145" s="816"/>
      <c r="DD145" s="816"/>
      <c r="DE145" s="816"/>
      <c r="DF145" s="816"/>
      <c r="DG145" s="816"/>
      <c r="DH145" s="816"/>
      <c r="DI145" s="816"/>
      <c r="DJ145" s="816"/>
      <c r="DK145" s="816"/>
      <c r="DL145" s="609"/>
      <c r="DM145" s="609"/>
      <c r="DN145" s="816"/>
      <c r="DO145" s="816"/>
      <c r="DP145" s="816"/>
      <c r="DQ145" s="816"/>
      <c r="DR145" s="816"/>
      <c r="DS145" s="816"/>
      <c r="DT145" s="816"/>
      <c r="DU145" s="816"/>
      <c r="DV145" s="816"/>
      <c r="DW145" s="816"/>
      <c r="DX145" s="816"/>
      <c r="DY145" s="816"/>
      <c r="DZ145" s="816"/>
      <c r="EA145" s="816"/>
      <c r="EB145" s="609"/>
      <c r="EC145" s="609"/>
      <c r="ED145" s="816"/>
      <c r="EE145" s="816"/>
      <c r="EF145" s="816"/>
      <c r="EG145" s="816"/>
      <c r="EH145" s="816"/>
      <c r="EI145" s="816"/>
      <c r="EJ145" s="816"/>
      <c r="EK145" s="816"/>
      <c r="EL145" s="816"/>
      <c r="EM145" s="816"/>
      <c r="EN145" s="816"/>
      <c r="EO145" s="816"/>
      <c r="EP145" s="816"/>
      <c r="EQ145" s="816"/>
      <c r="ER145" s="816"/>
      <c r="ES145" s="816"/>
      <c r="ET145" s="816"/>
      <c r="EU145" s="816"/>
      <c r="EV145" s="816"/>
      <c r="EW145" s="816"/>
      <c r="EX145" s="816"/>
      <c r="EY145" s="816"/>
      <c r="EZ145" s="816"/>
      <c r="FA145" s="816"/>
      <c r="FB145" s="819"/>
      <c r="FC145" s="816"/>
      <c r="FD145" s="820"/>
      <c r="FE145" s="820"/>
      <c r="FF145" s="820"/>
      <c r="FG145" s="820"/>
      <c r="FH145" s="609"/>
      <c r="FI145" s="609"/>
      <c r="FJ145" s="816"/>
      <c r="FK145" s="816"/>
      <c r="FL145" s="816"/>
      <c r="FM145" s="816"/>
      <c r="FN145" s="816"/>
      <c r="FO145" s="816"/>
      <c r="FP145" s="816"/>
      <c r="FQ145" s="816"/>
      <c r="FR145" s="816"/>
      <c r="FS145" s="816"/>
      <c r="FT145" s="816"/>
      <c r="FU145" s="816"/>
      <c r="FV145" s="816"/>
      <c r="FW145" s="816"/>
      <c r="FX145" s="609"/>
      <c r="FY145" s="609"/>
      <c r="FZ145" s="816"/>
      <c r="GA145" s="816"/>
      <c r="GB145" s="609"/>
      <c r="GC145" s="609"/>
      <c r="GD145" s="609"/>
      <c r="GE145" s="816"/>
      <c r="GF145" s="816"/>
      <c r="GG145" s="609"/>
      <c r="GH145" s="609"/>
      <c r="GI145" s="816"/>
      <c r="GJ145" s="816"/>
      <c r="GK145" s="609"/>
      <c r="GL145" s="609"/>
      <c r="GM145" s="816"/>
      <c r="GN145" s="816"/>
      <c r="GO145" s="816"/>
      <c r="GP145" s="816"/>
      <c r="GQ145" s="816"/>
      <c r="GR145" s="816"/>
      <c r="GS145" s="609"/>
      <c r="GT145" s="609"/>
      <c r="GU145" s="816"/>
      <c r="GV145" s="816"/>
      <c r="GW145" s="609"/>
      <c r="GX145" s="609"/>
      <c r="GY145" s="816"/>
      <c r="GZ145" s="816"/>
      <c r="HA145" s="609"/>
      <c r="HB145" s="609"/>
      <c r="HC145" s="816"/>
      <c r="HD145" s="816"/>
      <c r="HE145" s="816"/>
      <c r="HF145" s="816"/>
      <c r="HG145" s="816"/>
      <c r="HH145" s="816"/>
      <c r="HI145" s="821"/>
      <c r="HJ145" s="609"/>
      <c r="HK145" s="816"/>
      <c r="HL145" s="816"/>
      <c r="HM145" s="822"/>
      <c r="HN145" s="609"/>
      <c r="HO145" s="816"/>
      <c r="HP145" s="816"/>
      <c r="HQ145" s="609"/>
      <c r="HR145" s="816"/>
      <c r="HS145" s="816"/>
      <c r="HT145" s="816"/>
      <c r="HU145" s="816"/>
      <c r="HV145" s="816"/>
      <c r="HW145" s="816"/>
      <c r="HX145" s="816"/>
      <c r="HY145" s="816"/>
      <c r="HZ145" s="816"/>
      <c r="IA145" s="816"/>
      <c r="IB145" s="816"/>
      <c r="IC145" s="823"/>
      <c r="ID145" s="824"/>
      <c r="IE145" s="825"/>
      <c r="IF145" s="825"/>
      <c r="IG145" s="816"/>
      <c r="II145" s="826"/>
      <c r="IJ145" s="826"/>
      <c r="IK145" s="826"/>
      <c r="IL145" s="826"/>
    </row>
    <row r="146" spans="2:246" s="780" customFormat="1">
      <c r="B146" s="609"/>
      <c r="C146" s="609"/>
      <c r="D146" s="609"/>
      <c r="E146" s="609"/>
      <c r="F146" s="609"/>
      <c r="G146" s="609"/>
      <c r="H146" s="609"/>
      <c r="I146" s="609"/>
      <c r="J146" s="609"/>
      <c r="K146" s="609"/>
      <c r="L146" s="609"/>
      <c r="M146" s="609"/>
      <c r="N146" s="609"/>
      <c r="O146" s="609"/>
      <c r="P146" s="609"/>
      <c r="Q146" s="609"/>
      <c r="R146" s="609"/>
      <c r="S146" s="609"/>
      <c r="T146" s="609"/>
      <c r="U146" s="609"/>
      <c r="V146" s="609"/>
      <c r="W146" s="609"/>
      <c r="X146" s="609"/>
      <c r="Y146" s="609"/>
      <c r="Z146" s="816"/>
      <c r="AA146" s="816"/>
      <c r="AB146" s="816"/>
      <c r="AC146" s="816"/>
      <c r="AD146" s="816"/>
      <c r="AE146" s="816"/>
      <c r="AF146" s="609"/>
      <c r="AG146" s="609"/>
      <c r="AH146" s="816"/>
      <c r="AI146" s="816"/>
      <c r="AJ146" s="609"/>
      <c r="AK146" s="609"/>
      <c r="AL146" s="816"/>
      <c r="AM146" s="816"/>
      <c r="AN146" s="816"/>
      <c r="AO146" s="816"/>
      <c r="AP146" s="816"/>
      <c r="AQ146" s="816"/>
      <c r="AR146" s="609"/>
      <c r="AS146" s="609"/>
      <c r="AT146" s="816"/>
      <c r="AU146" s="816"/>
      <c r="AV146" s="817"/>
      <c r="AW146" s="609"/>
      <c r="AX146" s="609"/>
      <c r="AY146" s="816"/>
      <c r="AZ146" s="816"/>
      <c r="BA146" s="816"/>
      <c r="BB146" s="816"/>
      <c r="BC146" s="816"/>
      <c r="BD146" s="816"/>
      <c r="BE146" s="816"/>
      <c r="BF146" s="816"/>
      <c r="BG146" s="816"/>
      <c r="BH146" s="816"/>
      <c r="BI146" s="816"/>
      <c r="BJ146" s="816"/>
      <c r="BK146" s="816"/>
      <c r="BL146" s="816"/>
      <c r="BM146" s="816"/>
      <c r="BN146" s="816"/>
      <c r="BO146" s="816"/>
      <c r="BP146" s="816"/>
      <c r="BQ146" s="816"/>
      <c r="BR146" s="816"/>
      <c r="BS146" s="816"/>
      <c r="BT146" s="609"/>
      <c r="BU146" s="609"/>
      <c r="BV146" s="609"/>
      <c r="BW146" s="818"/>
      <c r="BX146" s="816"/>
      <c r="BY146" s="816"/>
      <c r="BZ146" s="816"/>
      <c r="CA146" s="816"/>
      <c r="CB146" s="816"/>
      <c r="CC146" s="816"/>
      <c r="CD146" s="816"/>
      <c r="CE146" s="816"/>
      <c r="CF146" s="820"/>
      <c r="CG146" s="820"/>
      <c r="CH146" s="820"/>
      <c r="CI146" s="820"/>
      <c r="CJ146" s="609"/>
      <c r="CK146" s="609"/>
      <c r="CL146" s="816"/>
      <c r="CM146" s="816"/>
      <c r="CN146" s="609"/>
      <c r="CO146" s="609"/>
      <c r="CP146" s="816"/>
      <c r="CQ146" s="816"/>
      <c r="CR146" s="609"/>
      <c r="CS146" s="609"/>
      <c r="CT146" s="816"/>
      <c r="CU146" s="816"/>
      <c r="CV146" s="609"/>
      <c r="CW146" s="609"/>
      <c r="CX146" s="816"/>
      <c r="CY146" s="816"/>
      <c r="CZ146" s="816"/>
      <c r="DA146" s="816"/>
      <c r="DB146" s="816"/>
      <c r="DC146" s="816"/>
      <c r="DD146" s="816"/>
      <c r="DE146" s="816"/>
      <c r="DF146" s="816"/>
      <c r="DG146" s="816"/>
      <c r="DH146" s="816"/>
      <c r="DI146" s="816"/>
      <c r="DJ146" s="816"/>
      <c r="DK146" s="816"/>
      <c r="DL146" s="609"/>
      <c r="DM146" s="609"/>
      <c r="DN146" s="816"/>
      <c r="DO146" s="816"/>
      <c r="DP146" s="816"/>
      <c r="DQ146" s="816"/>
      <c r="DR146" s="816"/>
      <c r="DS146" s="816"/>
      <c r="DT146" s="816"/>
      <c r="DU146" s="816"/>
      <c r="DV146" s="816"/>
      <c r="DW146" s="816"/>
      <c r="DX146" s="816"/>
      <c r="DY146" s="816"/>
      <c r="DZ146" s="816"/>
      <c r="EA146" s="816"/>
      <c r="EB146" s="609"/>
      <c r="EC146" s="609"/>
      <c r="ED146" s="816"/>
      <c r="EE146" s="816"/>
      <c r="EF146" s="816"/>
      <c r="EG146" s="816"/>
      <c r="EH146" s="816"/>
      <c r="EI146" s="816"/>
      <c r="EJ146" s="816"/>
      <c r="EK146" s="816"/>
      <c r="EL146" s="816"/>
      <c r="EM146" s="816"/>
      <c r="EN146" s="816"/>
      <c r="EO146" s="816"/>
      <c r="EP146" s="816"/>
      <c r="EQ146" s="816"/>
      <c r="ER146" s="816"/>
      <c r="ES146" s="816"/>
      <c r="ET146" s="816"/>
      <c r="EU146" s="816"/>
      <c r="EV146" s="816"/>
      <c r="EW146" s="816"/>
      <c r="EX146" s="816"/>
      <c r="EY146" s="816"/>
      <c r="EZ146" s="816"/>
      <c r="FA146" s="816"/>
      <c r="FB146" s="819"/>
      <c r="FC146" s="816"/>
      <c r="FD146" s="820"/>
      <c r="FE146" s="820"/>
      <c r="FF146" s="820"/>
      <c r="FG146" s="820"/>
      <c r="FH146" s="609"/>
      <c r="FI146" s="609"/>
      <c r="FJ146" s="816"/>
      <c r="FK146" s="816"/>
      <c r="FL146" s="816"/>
      <c r="FM146" s="816"/>
      <c r="FN146" s="816"/>
      <c r="FO146" s="816"/>
      <c r="FP146" s="816"/>
      <c r="FQ146" s="816"/>
      <c r="FR146" s="816"/>
      <c r="FS146" s="816"/>
      <c r="FT146" s="816"/>
      <c r="FU146" s="816"/>
      <c r="FV146" s="816"/>
      <c r="FW146" s="816"/>
      <c r="FX146" s="609"/>
      <c r="FY146" s="609"/>
      <c r="FZ146" s="816"/>
      <c r="GA146" s="816"/>
      <c r="GB146" s="609"/>
      <c r="GC146" s="609"/>
      <c r="GD146" s="609"/>
      <c r="GE146" s="816"/>
      <c r="GF146" s="816"/>
      <c r="GG146" s="609"/>
      <c r="GH146" s="609"/>
      <c r="GI146" s="816"/>
      <c r="GJ146" s="816"/>
      <c r="GK146" s="609"/>
      <c r="GL146" s="609"/>
      <c r="GM146" s="816"/>
      <c r="GN146" s="816"/>
      <c r="GO146" s="816"/>
      <c r="GP146" s="816"/>
      <c r="GQ146" s="816"/>
      <c r="GR146" s="816"/>
      <c r="GS146" s="609"/>
      <c r="GT146" s="609"/>
      <c r="GU146" s="816"/>
      <c r="GV146" s="816"/>
      <c r="GW146" s="609"/>
      <c r="GX146" s="609"/>
      <c r="GY146" s="816"/>
      <c r="GZ146" s="816"/>
      <c r="HA146" s="609"/>
      <c r="HB146" s="609"/>
      <c r="HC146" s="816"/>
      <c r="HD146" s="816"/>
      <c r="HE146" s="816"/>
      <c r="HF146" s="816"/>
      <c r="HG146" s="816"/>
      <c r="HH146" s="816"/>
      <c r="HI146" s="821"/>
      <c r="HJ146" s="609"/>
      <c r="HK146" s="816"/>
      <c r="HL146" s="816"/>
      <c r="HM146" s="822"/>
      <c r="HN146" s="609"/>
      <c r="HO146" s="816"/>
      <c r="HP146" s="816"/>
      <c r="HQ146" s="609"/>
      <c r="HR146" s="816"/>
      <c r="HS146" s="816"/>
      <c r="HT146" s="816"/>
      <c r="HU146" s="816"/>
      <c r="HV146" s="816"/>
      <c r="HW146" s="816"/>
      <c r="HX146" s="816"/>
      <c r="HY146" s="816"/>
      <c r="HZ146" s="816"/>
      <c r="IA146" s="816"/>
      <c r="IB146" s="816"/>
      <c r="IC146" s="823"/>
      <c r="ID146" s="824"/>
      <c r="IE146" s="825"/>
      <c r="IF146" s="825"/>
      <c r="IG146" s="816"/>
      <c r="II146" s="826"/>
      <c r="IJ146" s="826"/>
      <c r="IK146" s="826"/>
      <c r="IL146" s="826"/>
    </row>
    <row r="147" spans="2:246" s="780" customFormat="1">
      <c r="B147" s="609"/>
      <c r="C147" s="609"/>
      <c r="D147" s="609"/>
      <c r="E147" s="609"/>
      <c r="F147" s="609"/>
      <c r="G147" s="609"/>
      <c r="H147" s="609"/>
      <c r="I147" s="609"/>
      <c r="J147" s="609"/>
      <c r="K147" s="609"/>
      <c r="L147" s="609"/>
      <c r="M147" s="609"/>
      <c r="N147" s="609"/>
      <c r="O147" s="609"/>
      <c r="P147" s="609"/>
      <c r="Q147" s="609"/>
      <c r="R147" s="609"/>
      <c r="S147" s="609"/>
      <c r="T147" s="609"/>
      <c r="U147" s="609"/>
      <c r="V147" s="609"/>
      <c r="W147" s="609"/>
      <c r="X147" s="609"/>
      <c r="Y147" s="609"/>
      <c r="Z147" s="816"/>
      <c r="AA147" s="816"/>
      <c r="AB147" s="816"/>
      <c r="AC147" s="816"/>
      <c r="AD147" s="816"/>
      <c r="AE147" s="816"/>
      <c r="AF147" s="609"/>
      <c r="AG147" s="609"/>
      <c r="AH147" s="816"/>
      <c r="AI147" s="816"/>
      <c r="AJ147" s="609"/>
      <c r="AK147" s="609"/>
      <c r="AL147" s="816"/>
      <c r="AM147" s="816"/>
      <c r="AN147" s="816"/>
      <c r="AO147" s="816"/>
      <c r="AP147" s="816"/>
      <c r="AQ147" s="816"/>
      <c r="AR147" s="609"/>
      <c r="AS147" s="609"/>
      <c r="AT147" s="816"/>
      <c r="AU147" s="816"/>
      <c r="AV147" s="817"/>
      <c r="AW147" s="609"/>
      <c r="AX147" s="609"/>
      <c r="AY147" s="816"/>
      <c r="AZ147" s="816"/>
      <c r="BA147" s="816"/>
      <c r="BB147" s="816"/>
      <c r="BC147" s="816"/>
      <c r="BD147" s="816"/>
      <c r="BE147" s="816"/>
      <c r="BF147" s="816"/>
      <c r="BG147" s="816"/>
      <c r="BH147" s="816"/>
      <c r="BI147" s="816"/>
      <c r="BJ147" s="816"/>
      <c r="BK147" s="816"/>
      <c r="BL147" s="816"/>
      <c r="BM147" s="816"/>
      <c r="BN147" s="816"/>
      <c r="BO147" s="816"/>
      <c r="BP147" s="816"/>
      <c r="BQ147" s="816"/>
      <c r="BR147" s="816"/>
      <c r="BS147" s="816"/>
      <c r="BT147" s="609"/>
      <c r="BU147" s="609"/>
      <c r="BV147" s="609"/>
      <c r="BW147" s="818"/>
      <c r="BX147" s="816"/>
      <c r="BY147" s="816"/>
      <c r="BZ147" s="816"/>
      <c r="CA147" s="816"/>
      <c r="CB147" s="816"/>
      <c r="CC147" s="816"/>
      <c r="CD147" s="816"/>
      <c r="CE147" s="816"/>
      <c r="CF147" s="820"/>
      <c r="CG147" s="820"/>
      <c r="CH147" s="820"/>
      <c r="CI147" s="820"/>
      <c r="CJ147" s="609"/>
      <c r="CK147" s="609"/>
      <c r="CL147" s="816"/>
      <c r="CM147" s="816"/>
      <c r="CN147" s="609"/>
      <c r="CO147" s="609"/>
      <c r="CP147" s="816"/>
      <c r="CQ147" s="816"/>
      <c r="CR147" s="609"/>
      <c r="CS147" s="609"/>
      <c r="CT147" s="816"/>
      <c r="CU147" s="816"/>
      <c r="CV147" s="609"/>
      <c r="CW147" s="609"/>
      <c r="CX147" s="816"/>
      <c r="CY147" s="816"/>
      <c r="CZ147" s="816"/>
      <c r="DA147" s="816"/>
      <c r="DB147" s="816"/>
      <c r="DC147" s="816"/>
      <c r="DD147" s="816"/>
      <c r="DE147" s="816"/>
      <c r="DF147" s="816"/>
      <c r="DG147" s="816"/>
      <c r="DH147" s="816"/>
      <c r="DI147" s="816"/>
      <c r="DJ147" s="816"/>
      <c r="DK147" s="816"/>
      <c r="DL147" s="609"/>
      <c r="DM147" s="609"/>
      <c r="DN147" s="816"/>
      <c r="DO147" s="816"/>
      <c r="DP147" s="816"/>
      <c r="DQ147" s="816"/>
      <c r="DR147" s="816"/>
      <c r="DS147" s="816"/>
      <c r="DT147" s="816"/>
      <c r="DU147" s="816"/>
      <c r="DV147" s="816"/>
      <c r="DW147" s="816"/>
      <c r="DX147" s="816"/>
      <c r="DY147" s="816"/>
      <c r="DZ147" s="816"/>
      <c r="EA147" s="816"/>
      <c r="EB147" s="609"/>
      <c r="EC147" s="609"/>
      <c r="ED147" s="816"/>
      <c r="EE147" s="816"/>
      <c r="EF147" s="816"/>
      <c r="EG147" s="816"/>
      <c r="EH147" s="816"/>
      <c r="EI147" s="816"/>
      <c r="EJ147" s="816"/>
      <c r="EK147" s="816"/>
      <c r="EL147" s="816"/>
      <c r="EM147" s="816"/>
      <c r="EN147" s="816"/>
      <c r="EO147" s="816"/>
      <c r="EP147" s="816"/>
      <c r="EQ147" s="816"/>
      <c r="ER147" s="816"/>
      <c r="ES147" s="816"/>
      <c r="ET147" s="816"/>
      <c r="EU147" s="816"/>
      <c r="EV147" s="816"/>
      <c r="EW147" s="816"/>
      <c r="EX147" s="816"/>
      <c r="EY147" s="816"/>
      <c r="EZ147" s="816"/>
      <c r="FA147" s="816"/>
      <c r="FB147" s="819"/>
      <c r="FC147" s="816"/>
      <c r="FD147" s="820"/>
      <c r="FE147" s="820"/>
      <c r="FF147" s="820"/>
      <c r="FG147" s="820"/>
      <c r="FH147" s="609"/>
      <c r="FI147" s="609"/>
      <c r="FJ147" s="816"/>
      <c r="FK147" s="816"/>
      <c r="FL147" s="816"/>
      <c r="FM147" s="816"/>
      <c r="FN147" s="816"/>
      <c r="FO147" s="816"/>
      <c r="FP147" s="816"/>
      <c r="FQ147" s="816"/>
      <c r="FR147" s="816"/>
      <c r="FS147" s="816"/>
      <c r="FT147" s="816"/>
      <c r="FU147" s="816"/>
      <c r="FV147" s="816"/>
      <c r="FW147" s="816"/>
      <c r="FX147" s="609"/>
      <c r="FY147" s="609"/>
      <c r="FZ147" s="816"/>
      <c r="GA147" s="816"/>
      <c r="GB147" s="609"/>
      <c r="GC147" s="609"/>
      <c r="GD147" s="609"/>
      <c r="GE147" s="816"/>
      <c r="GF147" s="816"/>
      <c r="GG147" s="609"/>
      <c r="GH147" s="609"/>
      <c r="GI147" s="816"/>
      <c r="GJ147" s="816"/>
      <c r="GK147" s="609"/>
      <c r="GL147" s="609"/>
      <c r="GM147" s="816"/>
      <c r="GN147" s="816"/>
      <c r="GO147" s="816"/>
      <c r="GP147" s="816"/>
      <c r="GQ147" s="816"/>
      <c r="GR147" s="816"/>
      <c r="GS147" s="609"/>
      <c r="GT147" s="609"/>
      <c r="GU147" s="816"/>
      <c r="GV147" s="816"/>
      <c r="GW147" s="609"/>
      <c r="GX147" s="609"/>
      <c r="GY147" s="816"/>
      <c r="GZ147" s="816"/>
      <c r="HA147" s="609"/>
      <c r="HB147" s="609"/>
      <c r="HC147" s="816"/>
      <c r="HD147" s="816"/>
      <c r="HE147" s="816"/>
      <c r="HF147" s="816"/>
      <c r="HG147" s="816"/>
      <c r="HH147" s="816"/>
      <c r="HI147" s="821"/>
      <c r="HJ147" s="609"/>
      <c r="HK147" s="816"/>
      <c r="HL147" s="816"/>
      <c r="HM147" s="822"/>
      <c r="HN147" s="609"/>
      <c r="HO147" s="816"/>
      <c r="HP147" s="816"/>
      <c r="HQ147" s="609"/>
      <c r="HR147" s="816"/>
      <c r="HS147" s="816"/>
      <c r="HT147" s="816"/>
      <c r="HU147" s="816"/>
      <c r="HV147" s="816"/>
      <c r="HW147" s="816"/>
      <c r="HX147" s="816"/>
      <c r="HY147" s="816"/>
      <c r="HZ147" s="816"/>
      <c r="IA147" s="816"/>
      <c r="IB147" s="816"/>
      <c r="IC147" s="823"/>
      <c r="ID147" s="824"/>
      <c r="IE147" s="825"/>
      <c r="IF147" s="825"/>
      <c r="IG147" s="816"/>
      <c r="II147" s="826"/>
      <c r="IJ147" s="826"/>
      <c r="IK147" s="826"/>
      <c r="IL147" s="826"/>
    </row>
    <row r="148" spans="2:246" s="780" customFormat="1">
      <c r="B148" s="609"/>
      <c r="C148" s="609"/>
      <c r="D148" s="609"/>
      <c r="E148" s="609"/>
      <c r="F148" s="609"/>
      <c r="G148" s="609"/>
      <c r="H148" s="609"/>
      <c r="I148" s="609"/>
      <c r="J148" s="609"/>
      <c r="K148" s="609"/>
      <c r="L148" s="609"/>
      <c r="M148" s="609"/>
      <c r="N148" s="609"/>
      <c r="O148" s="609"/>
      <c r="P148" s="609"/>
      <c r="Q148" s="609"/>
      <c r="R148" s="609"/>
      <c r="S148" s="609"/>
      <c r="T148" s="609"/>
      <c r="U148" s="609"/>
      <c r="V148" s="609"/>
      <c r="W148" s="609"/>
      <c r="X148" s="609"/>
      <c r="Y148" s="609"/>
      <c r="Z148" s="816"/>
      <c r="AA148" s="816"/>
      <c r="AB148" s="816"/>
      <c r="AC148" s="816"/>
      <c r="AD148" s="816"/>
      <c r="AE148" s="816"/>
      <c r="AF148" s="609"/>
      <c r="AG148" s="609"/>
      <c r="AH148" s="816"/>
      <c r="AI148" s="816"/>
      <c r="AJ148" s="609"/>
      <c r="AK148" s="609"/>
      <c r="AL148" s="816"/>
      <c r="AM148" s="816"/>
      <c r="AN148" s="816"/>
      <c r="AO148" s="816"/>
      <c r="AP148" s="816"/>
      <c r="AQ148" s="816"/>
      <c r="AR148" s="609"/>
      <c r="AS148" s="609"/>
      <c r="AT148" s="816"/>
      <c r="AU148" s="816"/>
      <c r="AV148" s="817"/>
      <c r="AW148" s="609"/>
      <c r="AX148" s="609"/>
      <c r="AY148" s="816"/>
      <c r="AZ148" s="816"/>
      <c r="BA148" s="816"/>
      <c r="BB148" s="816"/>
      <c r="BC148" s="816"/>
      <c r="BD148" s="816"/>
      <c r="BE148" s="816"/>
      <c r="BF148" s="816"/>
      <c r="BG148" s="816"/>
      <c r="BH148" s="816"/>
      <c r="BI148" s="816"/>
      <c r="BJ148" s="816"/>
      <c r="BK148" s="816"/>
      <c r="BL148" s="816"/>
      <c r="BM148" s="816"/>
      <c r="BN148" s="816"/>
      <c r="BO148" s="816"/>
      <c r="BP148" s="816"/>
      <c r="BQ148" s="816"/>
      <c r="BR148" s="816"/>
      <c r="BS148" s="816"/>
      <c r="BT148" s="609"/>
      <c r="BU148" s="609"/>
      <c r="BV148" s="609"/>
      <c r="BW148" s="818"/>
      <c r="BX148" s="816"/>
      <c r="BY148" s="816"/>
      <c r="BZ148" s="816"/>
      <c r="CA148" s="816"/>
      <c r="CB148" s="816"/>
      <c r="CC148" s="816"/>
      <c r="CD148" s="816"/>
      <c r="CE148" s="816"/>
      <c r="CF148" s="820"/>
      <c r="CG148" s="820"/>
      <c r="CH148" s="820"/>
      <c r="CI148" s="820"/>
      <c r="CJ148" s="609"/>
      <c r="CK148" s="609"/>
      <c r="CL148" s="816"/>
      <c r="CM148" s="816"/>
      <c r="CN148" s="609"/>
      <c r="CO148" s="609"/>
      <c r="CP148" s="816"/>
      <c r="CQ148" s="816"/>
      <c r="CR148" s="609"/>
      <c r="CS148" s="609"/>
      <c r="CT148" s="816"/>
      <c r="CU148" s="816"/>
      <c r="CV148" s="609"/>
      <c r="CW148" s="609"/>
      <c r="CX148" s="816"/>
      <c r="CY148" s="816"/>
      <c r="CZ148" s="816"/>
      <c r="DA148" s="816"/>
      <c r="DB148" s="816"/>
      <c r="DC148" s="816"/>
      <c r="DD148" s="816"/>
      <c r="DE148" s="816"/>
      <c r="DF148" s="816"/>
      <c r="DG148" s="816"/>
      <c r="DH148" s="816"/>
      <c r="DI148" s="816"/>
      <c r="DJ148" s="816"/>
      <c r="DK148" s="816"/>
      <c r="DL148" s="609"/>
      <c r="DM148" s="609"/>
      <c r="DN148" s="816"/>
      <c r="DO148" s="816"/>
      <c r="DP148" s="816"/>
      <c r="DQ148" s="816"/>
      <c r="DR148" s="816"/>
      <c r="DS148" s="816"/>
      <c r="DT148" s="816"/>
      <c r="DU148" s="816"/>
      <c r="DV148" s="816"/>
      <c r="DW148" s="816"/>
      <c r="DX148" s="816"/>
      <c r="DY148" s="816"/>
      <c r="DZ148" s="816"/>
      <c r="EA148" s="816"/>
      <c r="EB148" s="609"/>
      <c r="EC148" s="609"/>
      <c r="ED148" s="816"/>
      <c r="EE148" s="816"/>
      <c r="EF148" s="816"/>
      <c r="EG148" s="816"/>
      <c r="EH148" s="816"/>
      <c r="EI148" s="816"/>
      <c r="EJ148" s="816"/>
      <c r="EK148" s="816"/>
      <c r="EL148" s="816"/>
      <c r="EM148" s="816"/>
      <c r="EN148" s="816"/>
      <c r="EO148" s="816"/>
      <c r="EP148" s="816"/>
      <c r="EQ148" s="816"/>
      <c r="ER148" s="816"/>
      <c r="ES148" s="816"/>
      <c r="ET148" s="816"/>
      <c r="EU148" s="816"/>
      <c r="EV148" s="816"/>
      <c r="EW148" s="816"/>
      <c r="EX148" s="816"/>
      <c r="EY148" s="816"/>
      <c r="EZ148" s="816"/>
      <c r="FA148" s="816"/>
      <c r="FB148" s="819"/>
      <c r="FC148" s="816"/>
      <c r="FD148" s="820"/>
      <c r="FE148" s="820"/>
      <c r="FF148" s="820"/>
      <c r="FG148" s="820"/>
      <c r="FH148" s="609"/>
      <c r="FI148" s="609"/>
      <c r="FJ148" s="816"/>
      <c r="FK148" s="816"/>
      <c r="FL148" s="816"/>
      <c r="FM148" s="816"/>
      <c r="FN148" s="816"/>
      <c r="FO148" s="816"/>
      <c r="FP148" s="816"/>
      <c r="FQ148" s="816"/>
      <c r="FR148" s="816"/>
      <c r="FS148" s="816"/>
      <c r="FT148" s="816"/>
      <c r="FU148" s="816"/>
      <c r="FV148" s="816"/>
      <c r="FW148" s="816"/>
      <c r="FX148" s="609"/>
      <c r="FY148" s="609"/>
      <c r="FZ148" s="816"/>
      <c r="GA148" s="816"/>
      <c r="GB148" s="609"/>
      <c r="GC148" s="609"/>
      <c r="GD148" s="609"/>
      <c r="GE148" s="816"/>
      <c r="GF148" s="816"/>
      <c r="GG148" s="609"/>
      <c r="GH148" s="609"/>
      <c r="GI148" s="816"/>
      <c r="GJ148" s="816"/>
      <c r="GK148" s="609"/>
      <c r="GL148" s="609"/>
      <c r="GM148" s="816"/>
      <c r="GN148" s="816"/>
      <c r="GO148" s="816"/>
      <c r="GP148" s="816"/>
      <c r="GQ148" s="816"/>
      <c r="GR148" s="816"/>
      <c r="GS148" s="609"/>
      <c r="GT148" s="609"/>
      <c r="GU148" s="816"/>
      <c r="GV148" s="816"/>
      <c r="GW148" s="609"/>
      <c r="GX148" s="609"/>
      <c r="GY148" s="816"/>
      <c r="GZ148" s="816"/>
      <c r="HA148" s="609"/>
      <c r="HB148" s="609"/>
      <c r="HC148" s="816"/>
      <c r="HD148" s="816"/>
      <c r="HE148" s="816"/>
      <c r="HF148" s="816"/>
      <c r="HG148" s="816"/>
      <c r="HH148" s="816"/>
      <c r="HI148" s="821"/>
      <c r="HJ148" s="609"/>
      <c r="HK148" s="816"/>
      <c r="HL148" s="816"/>
      <c r="HM148" s="822"/>
      <c r="HN148" s="609"/>
      <c r="HO148" s="816"/>
      <c r="HP148" s="816"/>
      <c r="HQ148" s="609"/>
      <c r="HR148" s="816"/>
      <c r="HS148" s="816"/>
      <c r="HT148" s="816"/>
      <c r="HU148" s="816"/>
      <c r="HV148" s="816"/>
      <c r="HW148" s="816"/>
      <c r="HX148" s="816"/>
      <c r="HY148" s="816"/>
      <c r="HZ148" s="816"/>
      <c r="IA148" s="816"/>
      <c r="IB148" s="816"/>
      <c r="IC148" s="823"/>
      <c r="ID148" s="824"/>
      <c r="IE148" s="825"/>
      <c r="IF148" s="825"/>
      <c r="IG148" s="816"/>
      <c r="II148" s="826"/>
      <c r="IJ148" s="826"/>
      <c r="IK148" s="826"/>
      <c r="IL148" s="826"/>
    </row>
    <row r="149" spans="2:246" s="780" customFormat="1"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609"/>
      <c r="S149" s="609"/>
      <c r="T149" s="609"/>
      <c r="U149" s="609"/>
      <c r="V149" s="609"/>
      <c r="W149" s="609"/>
      <c r="X149" s="609"/>
      <c r="Y149" s="609"/>
      <c r="Z149" s="816"/>
      <c r="AA149" s="816"/>
      <c r="AB149" s="816"/>
      <c r="AC149" s="816"/>
      <c r="AD149" s="816"/>
      <c r="AE149" s="816"/>
      <c r="AF149" s="609"/>
      <c r="AG149" s="609"/>
      <c r="AH149" s="816"/>
      <c r="AI149" s="816"/>
      <c r="AJ149" s="609"/>
      <c r="AK149" s="609"/>
      <c r="AL149" s="816"/>
      <c r="AM149" s="816"/>
      <c r="AN149" s="816"/>
      <c r="AO149" s="816"/>
      <c r="AP149" s="816"/>
      <c r="AQ149" s="816"/>
      <c r="AR149" s="609"/>
      <c r="AS149" s="609"/>
      <c r="AT149" s="816"/>
      <c r="AU149" s="816"/>
      <c r="AV149" s="817"/>
      <c r="AW149" s="609"/>
      <c r="AX149" s="609"/>
      <c r="AY149" s="816"/>
      <c r="AZ149" s="816"/>
      <c r="BA149" s="816"/>
      <c r="BB149" s="816"/>
      <c r="BC149" s="816"/>
      <c r="BD149" s="816"/>
      <c r="BE149" s="816"/>
      <c r="BF149" s="816"/>
      <c r="BG149" s="816"/>
      <c r="BH149" s="816"/>
      <c r="BI149" s="816"/>
      <c r="BJ149" s="816"/>
      <c r="BK149" s="816"/>
      <c r="BL149" s="816"/>
      <c r="BM149" s="816"/>
      <c r="BN149" s="816"/>
      <c r="BO149" s="816"/>
      <c r="BP149" s="816"/>
      <c r="BQ149" s="816"/>
      <c r="BR149" s="816"/>
      <c r="BS149" s="816"/>
      <c r="BT149" s="609"/>
      <c r="BU149" s="609"/>
      <c r="BV149" s="609"/>
      <c r="BW149" s="818"/>
      <c r="BX149" s="816"/>
      <c r="BY149" s="816"/>
      <c r="BZ149" s="816"/>
      <c r="CA149" s="816"/>
      <c r="CB149" s="816"/>
      <c r="CC149" s="816"/>
      <c r="CD149" s="816"/>
      <c r="CE149" s="816"/>
      <c r="CF149" s="820"/>
      <c r="CG149" s="820"/>
      <c r="CH149" s="820"/>
      <c r="CI149" s="820"/>
      <c r="CJ149" s="609"/>
      <c r="CK149" s="609"/>
      <c r="CL149" s="816"/>
      <c r="CM149" s="816"/>
      <c r="CN149" s="609"/>
      <c r="CO149" s="609"/>
      <c r="CP149" s="816"/>
      <c r="CQ149" s="816"/>
      <c r="CR149" s="609"/>
      <c r="CS149" s="609"/>
      <c r="CT149" s="816"/>
      <c r="CU149" s="816"/>
      <c r="CV149" s="609"/>
      <c r="CW149" s="609"/>
      <c r="CX149" s="816"/>
      <c r="CY149" s="816"/>
      <c r="CZ149" s="816"/>
      <c r="DA149" s="816"/>
      <c r="DB149" s="816"/>
      <c r="DC149" s="816"/>
      <c r="DD149" s="816"/>
      <c r="DE149" s="816"/>
      <c r="DF149" s="816"/>
      <c r="DG149" s="816"/>
      <c r="DH149" s="816"/>
      <c r="DI149" s="816"/>
      <c r="DJ149" s="816"/>
      <c r="DK149" s="816"/>
      <c r="DL149" s="609"/>
      <c r="DM149" s="609"/>
      <c r="DN149" s="816"/>
      <c r="DO149" s="816"/>
      <c r="DP149" s="816"/>
      <c r="DQ149" s="816"/>
      <c r="DR149" s="816"/>
      <c r="DS149" s="816"/>
      <c r="DT149" s="816"/>
      <c r="DU149" s="816"/>
      <c r="DV149" s="816"/>
      <c r="DW149" s="816"/>
      <c r="DX149" s="816"/>
      <c r="DY149" s="816"/>
      <c r="DZ149" s="816"/>
      <c r="EA149" s="816"/>
      <c r="EB149" s="609"/>
      <c r="EC149" s="609"/>
      <c r="ED149" s="816"/>
      <c r="EE149" s="816"/>
      <c r="EF149" s="816"/>
      <c r="EG149" s="816"/>
      <c r="EH149" s="816"/>
      <c r="EI149" s="816"/>
      <c r="EJ149" s="816"/>
      <c r="EK149" s="816"/>
      <c r="EL149" s="816"/>
      <c r="EM149" s="816"/>
      <c r="EN149" s="816"/>
      <c r="EO149" s="816"/>
      <c r="EP149" s="816"/>
      <c r="EQ149" s="816"/>
      <c r="ER149" s="816"/>
      <c r="ES149" s="816"/>
      <c r="ET149" s="816"/>
      <c r="EU149" s="816"/>
      <c r="EV149" s="816"/>
      <c r="EW149" s="816"/>
      <c r="EX149" s="816"/>
      <c r="EY149" s="816"/>
      <c r="EZ149" s="816"/>
      <c r="FA149" s="816"/>
      <c r="FB149" s="819"/>
      <c r="FC149" s="816"/>
      <c r="FD149" s="820"/>
      <c r="FE149" s="820"/>
      <c r="FF149" s="820"/>
      <c r="FG149" s="820"/>
      <c r="FH149" s="609"/>
      <c r="FI149" s="609"/>
      <c r="FJ149" s="816"/>
      <c r="FK149" s="816"/>
      <c r="FL149" s="816"/>
      <c r="FM149" s="816"/>
      <c r="FN149" s="816"/>
      <c r="FO149" s="816"/>
      <c r="FP149" s="816"/>
      <c r="FQ149" s="816"/>
      <c r="FR149" s="816"/>
      <c r="FS149" s="816"/>
      <c r="FT149" s="816"/>
      <c r="FU149" s="816"/>
      <c r="FV149" s="816"/>
      <c r="FW149" s="816"/>
      <c r="FX149" s="609"/>
      <c r="FY149" s="609"/>
      <c r="FZ149" s="816"/>
      <c r="GA149" s="816"/>
      <c r="GB149" s="609"/>
      <c r="GC149" s="609"/>
      <c r="GD149" s="609"/>
      <c r="GE149" s="816"/>
      <c r="GF149" s="816"/>
      <c r="GG149" s="609"/>
      <c r="GH149" s="609"/>
      <c r="GI149" s="816"/>
      <c r="GJ149" s="816"/>
      <c r="GK149" s="609"/>
      <c r="GL149" s="609"/>
      <c r="GM149" s="816"/>
      <c r="GN149" s="816"/>
      <c r="GO149" s="816"/>
      <c r="GP149" s="816"/>
      <c r="GQ149" s="816"/>
      <c r="GR149" s="816"/>
      <c r="GS149" s="609"/>
      <c r="GT149" s="609"/>
      <c r="GU149" s="816"/>
      <c r="GV149" s="816"/>
      <c r="GW149" s="609"/>
      <c r="GX149" s="609"/>
      <c r="GY149" s="816"/>
      <c r="GZ149" s="816"/>
      <c r="HA149" s="609"/>
      <c r="HB149" s="609"/>
      <c r="HC149" s="816"/>
      <c r="HD149" s="816"/>
      <c r="HE149" s="816"/>
      <c r="HF149" s="816"/>
      <c r="HG149" s="816"/>
      <c r="HH149" s="816"/>
      <c r="HI149" s="821"/>
      <c r="HJ149" s="609"/>
      <c r="HK149" s="816"/>
      <c r="HL149" s="816"/>
      <c r="HM149" s="822"/>
      <c r="HN149" s="609"/>
      <c r="HO149" s="816"/>
      <c r="HP149" s="816"/>
      <c r="HQ149" s="609"/>
      <c r="HR149" s="816"/>
      <c r="HS149" s="816"/>
      <c r="HT149" s="816"/>
      <c r="HU149" s="816"/>
      <c r="HV149" s="816"/>
      <c r="HW149" s="816"/>
      <c r="HX149" s="816"/>
      <c r="HY149" s="816"/>
      <c r="HZ149" s="816"/>
      <c r="IA149" s="816"/>
      <c r="IB149" s="816"/>
      <c r="IC149" s="823"/>
      <c r="ID149" s="824"/>
      <c r="IE149" s="825"/>
      <c r="IF149" s="825"/>
      <c r="IG149" s="816"/>
      <c r="II149" s="826"/>
      <c r="IJ149" s="826"/>
      <c r="IK149" s="826"/>
      <c r="IL149" s="826"/>
    </row>
    <row r="150" spans="2:246" s="780" customFormat="1"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609"/>
      <c r="S150" s="609"/>
      <c r="T150" s="609"/>
      <c r="U150" s="609"/>
      <c r="V150" s="609"/>
      <c r="W150" s="609"/>
      <c r="X150" s="609"/>
      <c r="Y150" s="609"/>
      <c r="Z150" s="816"/>
      <c r="AA150" s="816"/>
      <c r="AB150" s="816"/>
      <c r="AC150" s="816"/>
      <c r="AD150" s="816"/>
      <c r="AE150" s="816"/>
      <c r="AF150" s="609"/>
      <c r="AG150" s="609"/>
      <c r="AH150" s="816"/>
      <c r="AI150" s="816"/>
      <c r="AJ150" s="609"/>
      <c r="AK150" s="609"/>
      <c r="AL150" s="816"/>
      <c r="AM150" s="816"/>
      <c r="AN150" s="816"/>
      <c r="AO150" s="816"/>
      <c r="AP150" s="816"/>
      <c r="AQ150" s="816"/>
      <c r="AR150" s="609"/>
      <c r="AS150" s="609"/>
      <c r="AT150" s="816"/>
      <c r="AU150" s="816"/>
      <c r="AV150" s="817"/>
      <c r="AW150" s="609"/>
      <c r="AX150" s="609"/>
      <c r="AY150" s="816"/>
      <c r="AZ150" s="816"/>
      <c r="BA150" s="816"/>
      <c r="BB150" s="816"/>
      <c r="BC150" s="816"/>
      <c r="BD150" s="816"/>
      <c r="BE150" s="816"/>
      <c r="BF150" s="816"/>
      <c r="BG150" s="816"/>
      <c r="BH150" s="816"/>
      <c r="BI150" s="816"/>
      <c r="BJ150" s="816"/>
      <c r="BK150" s="816"/>
      <c r="BL150" s="816"/>
      <c r="BM150" s="816"/>
      <c r="BN150" s="816"/>
      <c r="BO150" s="816"/>
      <c r="BP150" s="816"/>
      <c r="BQ150" s="816"/>
      <c r="BR150" s="816"/>
      <c r="BS150" s="816"/>
      <c r="BT150" s="609"/>
      <c r="BU150" s="609"/>
      <c r="BV150" s="609"/>
      <c r="BW150" s="818"/>
      <c r="BX150" s="816"/>
      <c r="BY150" s="816"/>
      <c r="BZ150" s="816"/>
      <c r="CA150" s="816"/>
      <c r="CB150" s="816"/>
      <c r="CC150" s="816"/>
      <c r="CD150" s="816"/>
      <c r="CE150" s="816"/>
      <c r="CF150" s="820"/>
      <c r="CG150" s="820"/>
      <c r="CH150" s="820"/>
      <c r="CI150" s="820"/>
      <c r="CJ150" s="609"/>
      <c r="CK150" s="609"/>
      <c r="CL150" s="816"/>
      <c r="CM150" s="816"/>
      <c r="CN150" s="609"/>
      <c r="CO150" s="609"/>
      <c r="CP150" s="816"/>
      <c r="CQ150" s="816"/>
      <c r="CR150" s="609"/>
      <c r="CS150" s="609"/>
      <c r="CT150" s="816"/>
      <c r="CU150" s="816"/>
      <c r="CV150" s="609"/>
      <c r="CW150" s="609"/>
      <c r="CX150" s="816"/>
      <c r="CY150" s="816"/>
      <c r="CZ150" s="816"/>
      <c r="DA150" s="816"/>
      <c r="DB150" s="816"/>
      <c r="DC150" s="816"/>
      <c r="DD150" s="816"/>
      <c r="DE150" s="816"/>
      <c r="DF150" s="816"/>
      <c r="DG150" s="816"/>
      <c r="DH150" s="816"/>
      <c r="DI150" s="816"/>
      <c r="DJ150" s="816"/>
      <c r="DK150" s="816"/>
      <c r="DL150" s="609"/>
      <c r="DM150" s="609"/>
      <c r="DN150" s="816"/>
      <c r="DO150" s="816"/>
      <c r="DP150" s="816"/>
      <c r="DQ150" s="816"/>
      <c r="DR150" s="816"/>
      <c r="DS150" s="816"/>
      <c r="DT150" s="816"/>
      <c r="DU150" s="816"/>
      <c r="DV150" s="816"/>
      <c r="DW150" s="816"/>
      <c r="DX150" s="816"/>
      <c r="DY150" s="816"/>
      <c r="DZ150" s="816"/>
      <c r="EA150" s="816"/>
      <c r="EB150" s="609"/>
      <c r="EC150" s="609"/>
      <c r="ED150" s="816"/>
      <c r="EE150" s="816"/>
      <c r="EF150" s="816"/>
      <c r="EG150" s="816"/>
      <c r="EH150" s="816"/>
      <c r="EI150" s="816"/>
      <c r="EJ150" s="816"/>
      <c r="EK150" s="816"/>
      <c r="EL150" s="816"/>
      <c r="EM150" s="816"/>
      <c r="EN150" s="816"/>
      <c r="EO150" s="816"/>
      <c r="EP150" s="816"/>
      <c r="EQ150" s="816"/>
      <c r="ER150" s="816"/>
      <c r="ES150" s="816"/>
      <c r="ET150" s="816"/>
      <c r="EU150" s="816"/>
      <c r="EV150" s="816"/>
      <c r="EW150" s="816"/>
      <c r="EX150" s="816"/>
      <c r="EY150" s="816"/>
      <c r="EZ150" s="816"/>
      <c r="FA150" s="816"/>
      <c r="FB150" s="819"/>
      <c r="FC150" s="816"/>
      <c r="FD150" s="820"/>
      <c r="FE150" s="820"/>
      <c r="FF150" s="820"/>
      <c r="FG150" s="820"/>
      <c r="FH150" s="609"/>
      <c r="FI150" s="609"/>
      <c r="FJ150" s="816"/>
      <c r="FK150" s="816"/>
      <c r="FL150" s="816"/>
      <c r="FM150" s="816"/>
      <c r="FN150" s="816"/>
      <c r="FO150" s="816"/>
      <c r="FP150" s="816"/>
      <c r="FQ150" s="816"/>
      <c r="FR150" s="816"/>
      <c r="FS150" s="816"/>
      <c r="FT150" s="816"/>
      <c r="FU150" s="816"/>
      <c r="FV150" s="816"/>
      <c r="FW150" s="816"/>
      <c r="FX150" s="609"/>
      <c r="FY150" s="609"/>
      <c r="FZ150" s="816"/>
      <c r="GA150" s="816"/>
      <c r="GB150" s="609"/>
      <c r="GC150" s="609"/>
      <c r="GD150" s="609"/>
      <c r="GE150" s="816"/>
      <c r="GF150" s="816"/>
      <c r="GG150" s="609"/>
      <c r="GH150" s="609"/>
      <c r="GI150" s="816"/>
      <c r="GJ150" s="816"/>
      <c r="GK150" s="609"/>
      <c r="GL150" s="609"/>
      <c r="GM150" s="816"/>
      <c r="GN150" s="816"/>
      <c r="GO150" s="816"/>
      <c r="GP150" s="816"/>
      <c r="GQ150" s="816"/>
      <c r="GR150" s="816"/>
      <c r="GS150" s="609"/>
      <c r="GT150" s="609"/>
      <c r="GU150" s="816"/>
      <c r="GV150" s="816"/>
      <c r="GW150" s="609"/>
      <c r="GX150" s="609"/>
      <c r="GY150" s="816"/>
      <c r="GZ150" s="816"/>
      <c r="HA150" s="609"/>
      <c r="HB150" s="609"/>
      <c r="HC150" s="816"/>
      <c r="HD150" s="816"/>
      <c r="HE150" s="816"/>
      <c r="HF150" s="816"/>
      <c r="HG150" s="816"/>
      <c r="HH150" s="816"/>
      <c r="HI150" s="821"/>
      <c r="HJ150" s="609"/>
      <c r="HK150" s="816"/>
      <c r="HL150" s="816"/>
      <c r="HM150" s="822"/>
      <c r="HN150" s="609"/>
      <c r="HO150" s="816"/>
      <c r="HP150" s="816"/>
      <c r="HQ150" s="609"/>
      <c r="HR150" s="816"/>
      <c r="HS150" s="816"/>
      <c r="HT150" s="816"/>
      <c r="HU150" s="816"/>
      <c r="HV150" s="816"/>
      <c r="HW150" s="816"/>
      <c r="HX150" s="816"/>
      <c r="HY150" s="816"/>
      <c r="HZ150" s="816"/>
      <c r="IA150" s="816"/>
      <c r="IB150" s="816"/>
      <c r="IC150" s="823"/>
      <c r="ID150" s="824"/>
      <c r="IE150" s="825"/>
      <c r="IF150" s="825"/>
      <c r="IG150" s="816"/>
      <c r="II150" s="826"/>
      <c r="IJ150" s="826"/>
      <c r="IK150" s="826"/>
      <c r="IL150" s="826"/>
    </row>
    <row r="151" spans="2:246" s="780" customFormat="1">
      <c r="B151" s="609"/>
      <c r="C151" s="609"/>
      <c r="D151" s="609"/>
      <c r="E151" s="609"/>
      <c r="F151" s="609"/>
      <c r="G151" s="609"/>
      <c r="H151" s="609"/>
      <c r="I151" s="609"/>
      <c r="J151" s="609"/>
      <c r="K151" s="609"/>
      <c r="L151" s="609"/>
      <c r="M151" s="609"/>
      <c r="N151" s="609"/>
      <c r="O151" s="609"/>
      <c r="P151" s="609"/>
      <c r="Q151" s="609"/>
      <c r="R151" s="609"/>
      <c r="S151" s="609"/>
      <c r="T151" s="609"/>
      <c r="U151" s="609"/>
      <c r="V151" s="609"/>
      <c r="W151" s="609"/>
      <c r="X151" s="609"/>
      <c r="Y151" s="609"/>
      <c r="Z151" s="816"/>
      <c r="AA151" s="816"/>
      <c r="AB151" s="816"/>
      <c r="AC151" s="816"/>
      <c r="AD151" s="816"/>
      <c r="AE151" s="816"/>
      <c r="AF151" s="609"/>
      <c r="AG151" s="609"/>
      <c r="AH151" s="816"/>
      <c r="AI151" s="816"/>
      <c r="AJ151" s="609"/>
      <c r="AK151" s="609"/>
      <c r="AL151" s="816"/>
      <c r="AM151" s="816"/>
      <c r="AN151" s="816"/>
      <c r="AO151" s="816"/>
      <c r="AP151" s="816"/>
      <c r="AQ151" s="816"/>
      <c r="AR151" s="609"/>
      <c r="AS151" s="609"/>
      <c r="AT151" s="816"/>
      <c r="AU151" s="816"/>
      <c r="AV151" s="817"/>
      <c r="AW151" s="609"/>
      <c r="AX151" s="609"/>
      <c r="AY151" s="816"/>
      <c r="AZ151" s="816"/>
      <c r="BA151" s="816"/>
      <c r="BB151" s="816"/>
      <c r="BC151" s="816"/>
      <c r="BD151" s="816"/>
      <c r="BE151" s="816"/>
      <c r="BF151" s="816"/>
      <c r="BG151" s="816"/>
      <c r="BH151" s="816"/>
      <c r="BI151" s="816"/>
      <c r="BJ151" s="816"/>
      <c r="BK151" s="816"/>
      <c r="BL151" s="816"/>
      <c r="BM151" s="816"/>
      <c r="BN151" s="816"/>
      <c r="BO151" s="816"/>
      <c r="BP151" s="816"/>
      <c r="BQ151" s="816"/>
      <c r="BR151" s="816"/>
      <c r="BS151" s="816"/>
      <c r="BT151" s="609"/>
      <c r="BU151" s="609"/>
      <c r="BV151" s="609"/>
      <c r="BW151" s="818"/>
      <c r="BX151" s="816"/>
      <c r="BY151" s="816"/>
      <c r="BZ151" s="816"/>
      <c r="CA151" s="816"/>
      <c r="CB151" s="816"/>
      <c r="CC151" s="816"/>
      <c r="CD151" s="816"/>
      <c r="CE151" s="816"/>
      <c r="CF151" s="820"/>
      <c r="CG151" s="820"/>
      <c r="CH151" s="820"/>
      <c r="CI151" s="820"/>
      <c r="CJ151" s="609"/>
      <c r="CK151" s="609"/>
      <c r="CL151" s="816"/>
      <c r="CM151" s="816"/>
      <c r="CN151" s="609"/>
      <c r="CO151" s="609"/>
      <c r="CP151" s="816"/>
      <c r="CQ151" s="816"/>
      <c r="CR151" s="609"/>
      <c r="CS151" s="609"/>
      <c r="CT151" s="816"/>
      <c r="CU151" s="816"/>
      <c r="CV151" s="609"/>
      <c r="CW151" s="609"/>
      <c r="CX151" s="816"/>
      <c r="CY151" s="816"/>
      <c r="CZ151" s="816"/>
      <c r="DA151" s="816"/>
      <c r="DB151" s="816"/>
      <c r="DC151" s="816"/>
      <c r="DD151" s="816"/>
      <c r="DE151" s="816"/>
      <c r="DF151" s="816"/>
      <c r="DG151" s="816"/>
      <c r="DH151" s="816"/>
      <c r="DI151" s="816"/>
      <c r="DJ151" s="816"/>
      <c r="DK151" s="816"/>
      <c r="DL151" s="609"/>
      <c r="DM151" s="609"/>
      <c r="DN151" s="816"/>
      <c r="DO151" s="816"/>
      <c r="DP151" s="816"/>
      <c r="DQ151" s="816"/>
      <c r="DR151" s="816"/>
      <c r="DS151" s="816"/>
      <c r="DT151" s="816"/>
      <c r="DU151" s="816"/>
      <c r="DV151" s="816"/>
      <c r="DW151" s="816"/>
      <c r="DX151" s="816"/>
      <c r="DY151" s="816"/>
      <c r="DZ151" s="816"/>
      <c r="EA151" s="816"/>
      <c r="EB151" s="609"/>
      <c r="EC151" s="609"/>
      <c r="ED151" s="816"/>
      <c r="EE151" s="816"/>
      <c r="EF151" s="816"/>
      <c r="EG151" s="816"/>
      <c r="EH151" s="816"/>
      <c r="EI151" s="816"/>
      <c r="EJ151" s="816"/>
      <c r="EK151" s="816"/>
      <c r="EL151" s="816"/>
      <c r="EM151" s="816"/>
      <c r="EN151" s="816"/>
      <c r="EO151" s="816"/>
      <c r="EP151" s="816"/>
      <c r="EQ151" s="816"/>
      <c r="ER151" s="816"/>
      <c r="ES151" s="816"/>
      <c r="ET151" s="816"/>
      <c r="EU151" s="816"/>
      <c r="EV151" s="816"/>
      <c r="EW151" s="816"/>
      <c r="EX151" s="816"/>
      <c r="EY151" s="816"/>
      <c r="EZ151" s="816"/>
      <c r="FA151" s="816"/>
      <c r="FB151" s="819"/>
      <c r="FC151" s="816"/>
      <c r="FD151" s="820"/>
      <c r="FE151" s="820"/>
      <c r="FF151" s="820"/>
      <c r="FG151" s="820"/>
      <c r="FH151" s="609"/>
      <c r="FI151" s="609"/>
      <c r="FJ151" s="816"/>
      <c r="FK151" s="816"/>
      <c r="FL151" s="816"/>
      <c r="FM151" s="816"/>
      <c r="FN151" s="816"/>
      <c r="FO151" s="816"/>
      <c r="FP151" s="816"/>
      <c r="FQ151" s="816"/>
      <c r="FR151" s="816"/>
      <c r="FS151" s="816"/>
      <c r="FT151" s="816"/>
      <c r="FU151" s="816"/>
      <c r="FV151" s="816"/>
      <c r="FW151" s="816"/>
      <c r="FX151" s="609"/>
      <c r="FY151" s="609"/>
      <c r="FZ151" s="816"/>
      <c r="GA151" s="816"/>
      <c r="GB151" s="609"/>
      <c r="GC151" s="609"/>
      <c r="GD151" s="609"/>
      <c r="GE151" s="816"/>
      <c r="GF151" s="816"/>
      <c r="GG151" s="609"/>
      <c r="GH151" s="609"/>
      <c r="GI151" s="816"/>
      <c r="GJ151" s="816"/>
      <c r="GK151" s="609"/>
      <c r="GL151" s="609"/>
      <c r="GM151" s="816"/>
      <c r="GN151" s="816"/>
      <c r="GO151" s="816"/>
      <c r="GP151" s="816"/>
      <c r="GQ151" s="816"/>
      <c r="GR151" s="816"/>
      <c r="GS151" s="609"/>
      <c r="GT151" s="609"/>
      <c r="GU151" s="816"/>
      <c r="GV151" s="816"/>
      <c r="GW151" s="609"/>
      <c r="GX151" s="609"/>
      <c r="GY151" s="816"/>
      <c r="GZ151" s="816"/>
      <c r="HA151" s="609"/>
      <c r="HB151" s="609"/>
      <c r="HC151" s="816"/>
      <c r="HD151" s="816"/>
      <c r="HE151" s="816"/>
      <c r="HF151" s="816"/>
      <c r="HG151" s="816"/>
      <c r="HH151" s="816"/>
      <c r="HI151" s="821"/>
      <c r="HJ151" s="609"/>
      <c r="HK151" s="816"/>
      <c r="HL151" s="816"/>
      <c r="HM151" s="822"/>
      <c r="HN151" s="609"/>
      <c r="HO151" s="816"/>
      <c r="HP151" s="816"/>
      <c r="HQ151" s="609"/>
      <c r="HR151" s="816"/>
      <c r="HS151" s="816"/>
      <c r="HT151" s="816"/>
      <c r="HU151" s="816"/>
      <c r="HV151" s="816"/>
      <c r="HW151" s="816"/>
      <c r="HX151" s="816"/>
      <c r="HY151" s="816"/>
      <c r="HZ151" s="816"/>
      <c r="IA151" s="816"/>
      <c r="IB151" s="816"/>
      <c r="IC151" s="823"/>
      <c r="ID151" s="824"/>
      <c r="IE151" s="825"/>
      <c r="IF151" s="825"/>
      <c r="IG151" s="816"/>
      <c r="II151" s="826"/>
      <c r="IJ151" s="826"/>
      <c r="IK151" s="826"/>
      <c r="IL151" s="826"/>
    </row>
    <row r="152" spans="2:246" s="780" customFormat="1">
      <c r="B152" s="609"/>
      <c r="C152" s="609"/>
      <c r="D152" s="609"/>
      <c r="E152" s="609"/>
      <c r="F152" s="609"/>
      <c r="G152" s="609"/>
      <c r="H152" s="609"/>
      <c r="I152" s="609"/>
      <c r="J152" s="609"/>
      <c r="K152" s="609"/>
      <c r="L152" s="609"/>
      <c r="M152" s="609"/>
      <c r="N152" s="609"/>
      <c r="O152" s="609"/>
      <c r="P152" s="609"/>
      <c r="Q152" s="609"/>
      <c r="R152" s="609"/>
      <c r="S152" s="609"/>
      <c r="T152" s="609"/>
      <c r="U152" s="609"/>
      <c r="V152" s="609"/>
      <c r="W152" s="609"/>
      <c r="X152" s="609"/>
      <c r="Y152" s="609"/>
      <c r="Z152" s="816"/>
      <c r="AA152" s="816"/>
      <c r="AB152" s="816"/>
      <c r="AC152" s="816"/>
      <c r="AD152" s="816"/>
      <c r="AE152" s="816"/>
      <c r="AF152" s="609"/>
      <c r="AG152" s="609"/>
      <c r="AH152" s="816"/>
      <c r="AI152" s="816"/>
      <c r="AJ152" s="609"/>
      <c r="AK152" s="609"/>
      <c r="AL152" s="816"/>
      <c r="AM152" s="816"/>
      <c r="AN152" s="816"/>
      <c r="AO152" s="816"/>
      <c r="AP152" s="816"/>
      <c r="AQ152" s="816"/>
      <c r="AR152" s="609"/>
      <c r="AS152" s="609"/>
      <c r="AT152" s="816"/>
      <c r="AU152" s="816"/>
      <c r="AV152" s="817"/>
      <c r="AW152" s="609"/>
      <c r="AX152" s="609"/>
      <c r="AY152" s="816"/>
      <c r="AZ152" s="816"/>
      <c r="BA152" s="816"/>
      <c r="BB152" s="816"/>
      <c r="BC152" s="816"/>
      <c r="BD152" s="816"/>
      <c r="BE152" s="816"/>
      <c r="BF152" s="816"/>
      <c r="BG152" s="816"/>
      <c r="BH152" s="816"/>
      <c r="BI152" s="816"/>
      <c r="BJ152" s="816"/>
      <c r="BK152" s="816"/>
      <c r="BL152" s="816"/>
      <c r="BM152" s="816"/>
      <c r="BN152" s="816"/>
      <c r="BO152" s="816"/>
      <c r="BP152" s="816"/>
      <c r="BQ152" s="816"/>
      <c r="BR152" s="816"/>
      <c r="BS152" s="816"/>
      <c r="BT152" s="609"/>
      <c r="BU152" s="609"/>
      <c r="BV152" s="609"/>
      <c r="BW152" s="818"/>
      <c r="BX152" s="816"/>
      <c r="BY152" s="816"/>
      <c r="BZ152" s="816"/>
      <c r="CA152" s="816"/>
      <c r="CB152" s="816"/>
      <c r="CC152" s="816"/>
      <c r="CD152" s="816"/>
      <c r="CE152" s="816"/>
      <c r="CF152" s="820"/>
      <c r="CG152" s="820"/>
      <c r="CH152" s="820"/>
      <c r="CI152" s="820"/>
      <c r="CJ152" s="609"/>
      <c r="CK152" s="609"/>
      <c r="CL152" s="816"/>
      <c r="CM152" s="816"/>
      <c r="CN152" s="609"/>
      <c r="CO152" s="609"/>
      <c r="CP152" s="816"/>
      <c r="CQ152" s="816"/>
      <c r="CR152" s="609"/>
      <c r="CS152" s="609"/>
      <c r="CT152" s="816"/>
      <c r="CU152" s="816"/>
      <c r="CV152" s="609"/>
      <c r="CW152" s="609"/>
      <c r="CX152" s="816"/>
      <c r="CY152" s="816"/>
      <c r="CZ152" s="816"/>
      <c r="DA152" s="816"/>
      <c r="DB152" s="816"/>
      <c r="DC152" s="816"/>
      <c r="DD152" s="816"/>
      <c r="DE152" s="816"/>
      <c r="DF152" s="816"/>
      <c r="DG152" s="816"/>
      <c r="DH152" s="816"/>
      <c r="DI152" s="816"/>
      <c r="DJ152" s="816"/>
      <c r="DK152" s="816"/>
      <c r="DL152" s="609"/>
      <c r="DM152" s="609"/>
      <c r="DN152" s="816"/>
      <c r="DO152" s="816"/>
      <c r="DP152" s="816"/>
      <c r="DQ152" s="816"/>
      <c r="DR152" s="816"/>
      <c r="DS152" s="816"/>
      <c r="DT152" s="816"/>
      <c r="DU152" s="816"/>
      <c r="DV152" s="816"/>
      <c r="DW152" s="816"/>
      <c r="DX152" s="816"/>
      <c r="DY152" s="816"/>
      <c r="DZ152" s="816"/>
      <c r="EA152" s="816"/>
      <c r="EB152" s="609"/>
      <c r="EC152" s="609"/>
      <c r="ED152" s="816"/>
      <c r="EE152" s="816"/>
      <c r="EF152" s="816"/>
      <c r="EG152" s="816"/>
      <c r="EH152" s="816"/>
      <c r="EI152" s="816"/>
      <c r="EJ152" s="816"/>
      <c r="EK152" s="816"/>
      <c r="EL152" s="816"/>
      <c r="EM152" s="816"/>
      <c r="EN152" s="816"/>
      <c r="EO152" s="816"/>
      <c r="EP152" s="816"/>
      <c r="EQ152" s="816"/>
      <c r="ER152" s="816"/>
      <c r="ES152" s="816"/>
      <c r="ET152" s="816"/>
      <c r="EU152" s="816"/>
      <c r="EV152" s="816"/>
      <c r="EW152" s="816"/>
      <c r="EX152" s="816"/>
      <c r="EY152" s="816"/>
      <c r="EZ152" s="816"/>
      <c r="FA152" s="816"/>
      <c r="FB152" s="819"/>
      <c r="FC152" s="816"/>
      <c r="FD152" s="820"/>
      <c r="FE152" s="820"/>
      <c r="FF152" s="820"/>
      <c r="FG152" s="820"/>
      <c r="FH152" s="609"/>
      <c r="FI152" s="609"/>
      <c r="FJ152" s="816"/>
      <c r="FK152" s="816"/>
      <c r="FL152" s="816"/>
      <c r="FM152" s="816"/>
      <c r="FN152" s="816"/>
      <c r="FO152" s="816"/>
      <c r="FP152" s="816"/>
      <c r="FQ152" s="816"/>
      <c r="FR152" s="816"/>
      <c r="FS152" s="816"/>
      <c r="FT152" s="816"/>
      <c r="FU152" s="816"/>
      <c r="FV152" s="816"/>
      <c r="FW152" s="816"/>
      <c r="FX152" s="609"/>
      <c r="FY152" s="609"/>
      <c r="FZ152" s="816"/>
      <c r="GA152" s="816"/>
      <c r="GB152" s="609"/>
      <c r="GC152" s="609"/>
      <c r="GD152" s="609"/>
      <c r="GE152" s="816"/>
      <c r="GF152" s="816"/>
      <c r="GG152" s="609"/>
      <c r="GH152" s="609"/>
      <c r="GI152" s="816"/>
      <c r="GJ152" s="816"/>
      <c r="GK152" s="609"/>
      <c r="GL152" s="609"/>
      <c r="GM152" s="816"/>
      <c r="GN152" s="816"/>
      <c r="GO152" s="816"/>
      <c r="GP152" s="816"/>
      <c r="GQ152" s="816"/>
      <c r="GR152" s="816"/>
      <c r="GS152" s="609"/>
      <c r="GT152" s="609"/>
      <c r="GU152" s="816"/>
      <c r="GV152" s="816"/>
      <c r="GW152" s="609"/>
      <c r="GX152" s="609"/>
      <c r="GY152" s="816"/>
      <c r="GZ152" s="816"/>
      <c r="HA152" s="609"/>
      <c r="HB152" s="609"/>
      <c r="HC152" s="816"/>
      <c r="HD152" s="816"/>
      <c r="HE152" s="816"/>
      <c r="HF152" s="816"/>
      <c r="HG152" s="816"/>
      <c r="HH152" s="816"/>
      <c r="HI152" s="821"/>
      <c r="HJ152" s="609"/>
      <c r="HK152" s="816"/>
      <c r="HL152" s="816"/>
      <c r="HM152" s="822"/>
      <c r="HN152" s="609"/>
      <c r="HO152" s="816"/>
      <c r="HP152" s="816"/>
      <c r="HQ152" s="609"/>
      <c r="HR152" s="816"/>
      <c r="HS152" s="816"/>
      <c r="HT152" s="816"/>
      <c r="HU152" s="816"/>
      <c r="HV152" s="816"/>
      <c r="HW152" s="816"/>
      <c r="HX152" s="816"/>
      <c r="HY152" s="816"/>
      <c r="HZ152" s="816"/>
      <c r="IA152" s="816"/>
      <c r="IB152" s="816"/>
      <c r="IC152" s="823"/>
      <c r="ID152" s="824"/>
      <c r="IE152" s="825"/>
      <c r="IF152" s="825"/>
      <c r="IG152" s="816"/>
      <c r="II152" s="826"/>
      <c r="IJ152" s="826"/>
      <c r="IK152" s="826"/>
      <c r="IL152" s="826"/>
    </row>
    <row r="153" spans="2:246" s="780" customFormat="1">
      <c r="B153" s="609"/>
      <c r="C153" s="609"/>
      <c r="D153" s="609"/>
      <c r="E153" s="609"/>
      <c r="F153" s="609"/>
      <c r="G153" s="609"/>
      <c r="H153" s="609"/>
      <c r="I153" s="609"/>
      <c r="J153" s="609"/>
      <c r="K153" s="609"/>
      <c r="L153" s="609"/>
      <c r="M153" s="609"/>
      <c r="N153" s="609"/>
      <c r="O153" s="609"/>
      <c r="P153" s="609"/>
      <c r="Q153" s="609"/>
      <c r="R153" s="609"/>
      <c r="S153" s="609"/>
      <c r="T153" s="609"/>
      <c r="U153" s="609"/>
      <c r="V153" s="609"/>
      <c r="W153" s="609"/>
      <c r="X153" s="609"/>
      <c r="Y153" s="609"/>
      <c r="Z153" s="816"/>
      <c r="AA153" s="816"/>
      <c r="AB153" s="816"/>
      <c r="AC153" s="816"/>
      <c r="AD153" s="816"/>
      <c r="AE153" s="816"/>
      <c r="AF153" s="609"/>
      <c r="AG153" s="609"/>
      <c r="AH153" s="816"/>
      <c r="AI153" s="816"/>
      <c r="AJ153" s="609"/>
      <c r="AK153" s="609"/>
      <c r="AL153" s="816"/>
      <c r="AM153" s="816"/>
      <c r="AN153" s="816"/>
      <c r="AO153" s="816"/>
      <c r="AP153" s="816"/>
      <c r="AQ153" s="816"/>
      <c r="AR153" s="609"/>
      <c r="AS153" s="609"/>
      <c r="AT153" s="816"/>
      <c r="AU153" s="816"/>
      <c r="AV153" s="817"/>
      <c r="AW153" s="609"/>
      <c r="AX153" s="609"/>
      <c r="AY153" s="816"/>
      <c r="AZ153" s="816"/>
      <c r="BA153" s="816"/>
      <c r="BB153" s="816"/>
      <c r="BC153" s="816"/>
      <c r="BD153" s="816"/>
      <c r="BE153" s="816"/>
      <c r="BF153" s="816"/>
      <c r="BG153" s="816"/>
      <c r="BH153" s="816"/>
      <c r="BI153" s="816"/>
      <c r="BJ153" s="816"/>
      <c r="BK153" s="816"/>
      <c r="BL153" s="816"/>
      <c r="BM153" s="816"/>
      <c r="BN153" s="816"/>
      <c r="BO153" s="816"/>
      <c r="BP153" s="816"/>
      <c r="BQ153" s="816"/>
      <c r="BR153" s="816"/>
      <c r="BS153" s="816"/>
      <c r="BT153" s="609"/>
      <c r="BU153" s="609"/>
      <c r="BV153" s="609"/>
      <c r="BW153" s="818"/>
      <c r="BX153" s="816"/>
      <c r="BY153" s="816"/>
      <c r="BZ153" s="816"/>
      <c r="CA153" s="816"/>
      <c r="CB153" s="816"/>
      <c r="CC153" s="816"/>
      <c r="CD153" s="816"/>
      <c r="CE153" s="816"/>
      <c r="CF153" s="820"/>
      <c r="CG153" s="820"/>
      <c r="CH153" s="820"/>
      <c r="CI153" s="820"/>
      <c r="CJ153" s="609"/>
      <c r="CK153" s="609"/>
      <c r="CL153" s="816"/>
      <c r="CM153" s="816"/>
      <c r="CN153" s="609"/>
      <c r="CO153" s="609"/>
      <c r="CP153" s="816"/>
      <c r="CQ153" s="816"/>
      <c r="CR153" s="609"/>
      <c r="CS153" s="609"/>
      <c r="CT153" s="816"/>
      <c r="CU153" s="816"/>
      <c r="CV153" s="609"/>
      <c r="CW153" s="609"/>
      <c r="CX153" s="816"/>
      <c r="CY153" s="816"/>
      <c r="CZ153" s="816"/>
      <c r="DA153" s="816"/>
      <c r="DB153" s="816"/>
      <c r="DC153" s="816"/>
      <c r="DD153" s="816"/>
      <c r="DE153" s="816"/>
      <c r="DF153" s="816"/>
      <c r="DG153" s="816"/>
      <c r="DH153" s="816"/>
      <c r="DI153" s="816"/>
      <c r="DJ153" s="816"/>
      <c r="DK153" s="816"/>
      <c r="DL153" s="609"/>
      <c r="DM153" s="609"/>
      <c r="DN153" s="816"/>
      <c r="DO153" s="816"/>
      <c r="DP153" s="816"/>
      <c r="DQ153" s="816"/>
      <c r="DR153" s="816"/>
      <c r="DS153" s="816"/>
      <c r="DT153" s="816"/>
      <c r="DU153" s="816"/>
      <c r="DV153" s="816"/>
      <c r="DW153" s="816"/>
      <c r="DX153" s="816"/>
      <c r="DY153" s="816"/>
      <c r="DZ153" s="816"/>
      <c r="EA153" s="816"/>
      <c r="EB153" s="609"/>
      <c r="EC153" s="609"/>
      <c r="ED153" s="816"/>
      <c r="EE153" s="816"/>
      <c r="EF153" s="816"/>
      <c r="EG153" s="816"/>
      <c r="EH153" s="816"/>
      <c r="EI153" s="816"/>
      <c r="EJ153" s="816"/>
      <c r="EK153" s="816"/>
      <c r="EL153" s="816"/>
      <c r="EM153" s="816"/>
      <c r="EN153" s="816"/>
      <c r="EO153" s="816"/>
      <c r="EP153" s="816"/>
      <c r="EQ153" s="816"/>
      <c r="ER153" s="816"/>
      <c r="ES153" s="816"/>
      <c r="ET153" s="816"/>
      <c r="EU153" s="816"/>
      <c r="EV153" s="816"/>
      <c r="EW153" s="816"/>
      <c r="EX153" s="816"/>
      <c r="EY153" s="816"/>
      <c r="EZ153" s="816"/>
      <c r="FA153" s="816"/>
      <c r="FB153" s="819"/>
      <c r="FC153" s="816"/>
      <c r="FD153" s="820"/>
      <c r="FE153" s="820"/>
      <c r="FF153" s="820"/>
      <c r="FG153" s="820"/>
      <c r="FH153" s="609"/>
      <c r="FI153" s="609"/>
      <c r="FJ153" s="816"/>
      <c r="FK153" s="816"/>
      <c r="FL153" s="816"/>
      <c r="FM153" s="816"/>
      <c r="FN153" s="816"/>
      <c r="FO153" s="816"/>
      <c r="FP153" s="816"/>
      <c r="FQ153" s="816"/>
      <c r="FR153" s="816"/>
      <c r="FS153" s="816"/>
      <c r="FT153" s="816"/>
      <c r="FU153" s="816"/>
      <c r="FV153" s="816"/>
      <c r="FW153" s="816"/>
      <c r="FX153" s="609"/>
      <c r="FY153" s="609"/>
      <c r="FZ153" s="816"/>
      <c r="GA153" s="816"/>
      <c r="GB153" s="609"/>
      <c r="GC153" s="609"/>
      <c r="GD153" s="609"/>
      <c r="GE153" s="816"/>
      <c r="GF153" s="816"/>
      <c r="GG153" s="609"/>
      <c r="GH153" s="609"/>
      <c r="GI153" s="816"/>
      <c r="GJ153" s="816"/>
      <c r="GK153" s="609"/>
      <c r="GL153" s="609"/>
      <c r="GM153" s="816"/>
      <c r="GN153" s="816"/>
      <c r="GO153" s="816"/>
      <c r="GP153" s="816"/>
      <c r="GQ153" s="816"/>
      <c r="GR153" s="816"/>
      <c r="GS153" s="609"/>
      <c r="GT153" s="609"/>
      <c r="GU153" s="816"/>
      <c r="GV153" s="816"/>
      <c r="GW153" s="609"/>
      <c r="GX153" s="609"/>
      <c r="GY153" s="816"/>
      <c r="GZ153" s="816"/>
      <c r="HA153" s="609"/>
      <c r="HB153" s="609"/>
      <c r="HC153" s="816"/>
      <c r="HD153" s="816"/>
      <c r="HE153" s="816"/>
      <c r="HF153" s="816"/>
      <c r="HG153" s="816"/>
      <c r="HH153" s="816"/>
      <c r="HI153" s="821"/>
      <c r="HJ153" s="609"/>
      <c r="HK153" s="816"/>
      <c r="HL153" s="816"/>
      <c r="HM153" s="822"/>
      <c r="HN153" s="609"/>
      <c r="HO153" s="816"/>
      <c r="HP153" s="816"/>
      <c r="HQ153" s="609"/>
      <c r="HR153" s="816"/>
      <c r="HS153" s="816"/>
      <c r="HT153" s="816"/>
      <c r="HU153" s="816"/>
      <c r="HV153" s="816"/>
      <c r="HW153" s="816"/>
      <c r="HX153" s="816"/>
      <c r="HY153" s="816"/>
      <c r="HZ153" s="816"/>
      <c r="IA153" s="816"/>
      <c r="IB153" s="816"/>
      <c r="IC153" s="823"/>
      <c r="ID153" s="824"/>
      <c r="IE153" s="825"/>
      <c r="IF153" s="825"/>
      <c r="IG153" s="816"/>
      <c r="II153" s="826"/>
      <c r="IJ153" s="826"/>
      <c r="IK153" s="826"/>
      <c r="IL153" s="826"/>
    </row>
    <row r="154" spans="2:246" s="780" customFormat="1">
      <c r="B154" s="609"/>
      <c r="C154" s="609"/>
      <c r="D154" s="609"/>
      <c r="E154" s="609"/>
      <c r="F154" s="609"/>
      <c r="G154" s="609"/>
      <c r="H154" s="609"/>
      <c r="I154" s="609"/>
      <c r="J154" s="609"/>
      <c r="K154" s="609"/>
      <c r="L154" s="609"/>
      <c r="M154" s="609"/>
      <c r="N154" s="609"/>
      <c r="O154" s="609"/>
      <c r="P154" s="609"/>
      <c r="Q154" s="609"/>
      <c r="R154" s="609"/>
      <c r="S154" s="609"/>
      <c r="T154" s="609"/>
      <c r="U154" s="609"/>
      <c r="V154" s="609"/>
      <c r="W154" s="609"/>
      <c r="X154" s="609"/>
      <c r="Y154" s="609"/>
      <c r="Z154" s="816"/>
      <c r="AA154" s="816"/>
      <c r="AB154" s="816"/>
      <c r="AC154" s="816"/>
      <c r="AD154" s="816"/>
      <c r="AE154" s="816"/>
      <c r="AF154" s="609"/>
      <c r="AG154" s="609"/>
      <c r="AH154" s="816"/>
      <c r="AI154" s="816"/>
      <c r="AJ154" s="609"/>
      <c r="AK154" s="609"/>
      <c r="AL154" s="816"/>
      <c r="AM154" s="816"/>
      <c r="AN154" s="816"/>
      <c r="AO154" s="816"/>
      <c r="AP154" s="816"/>
      <c r="AQ154" s="816"/>
      <c r="AR154" s="609"/>
      <c r="AS154" s="609"/>
      <c r="AT154" s="816"/>
      <c r="AU154" s="816"/>
      <c r="AV154" s="817"/>
      <c r="AW154" s="609"/>
      <c r="AX154" s="609"/>
      <c r="AY154" s="816"/>
      <c r="AZ154" s="816"/>
      <c r="BA154" s="816"/>
      <c r="BB154" s="816"/>
      <c r="BC154" s="816"/>
      <c r="BD154" s="816"/>
      <c r="BE154" s="816"/>
      <c r="BF154" s="816"/>
      <c r="BG154" s="816"/>
      <c r="BH154" s="816"/>
      <c r="BI154" s="816"/>
      <c r="BJ154" s="816"/>
      <c r="BK154" s="816"/>
      <c r="BL154" s="816"/>
      <c r="BM154" s="816"/>
      <c r="BN154" s="816"/>
      <c r="BO154" s="816"/>
      <c r="BP154" s="816"/>
      <c r="BQ154" s="816"/>
      <c r="BR154" s="816"/>
      <c r="BS154" s="816"/>
      <c r="BT154" s="609"/>
      <c r="BU154" s="609"/>
      <c r="BV154" s="609"/>
      <c r="BW154" s="818"/>
      <c r="BX154" s="816"/>
      <c r="BY154" s="816"/>
      <c r="BZ154" s="816"/>
      <c r="CA154" s="816"/>
      <c r="CB154" s="816"/>
      <c r="CC154" s="816"/>
      <c r="CD154" s="816"/>
      <c r="CE154" s="816"/>
      <c r="CF154" s="820"/>
      <c r="CG154" s="820"/>
      <c r="CH154" s="820"/>
      <c r="CI154" s="820"/>
      <c r="CJ154" s="609"/>
      <c r="CK154" s="609"/>
      <c r="CL154" s="816"/>
      <c r="CM154" s="816"/>
      <c r="CN154" s="609"/>
      <c r="CO154" s="609"/>
      <c r="CP154" s="816"/>
      <c r="CQ154" s="816"/>
      <c r="CR154" s="609"/>
      <c r="CS154" s="609"/>
      <c r="CT154" s="816"/>
      <c r="CU154" s="816"/>
      <c r="CV154" s="609"/>
      <c r="CW154" s="609"/>
      <c r="CX154" s="816"/>
      <c r="CY154" s="816"/>
      <c r="CZ154" s="816"/>
      <c r="DA154" s="816"/>
      <c r="DB154" s="816"/>
      <c r="DC154" s="816"/>
      <c r="DD154" s="816"/>
      <c r="DE154" s="816"/>
      <c r="DF154" s="816"/>
      <c r="DG154" s="816"/>
      <c r="DH154" s="816"/>
      <c r="DI154" s="816"/>
      <c r="DJ154" s="816"/>
      <c r="DK154" s="816"/>
      <c r="DL154" s="609"/>
      <c r="DM154" s="609"/>
      <c r="DN154" s="816"/>
      <c r="DO154" s="816"/>
      <c r="DP154" s="816"/>
      <c r="DQ154" s="816"/>
      <c r="DR154" s="816"/>
      <c r="DS154" s="816"/>
      <c r="DT154" s="816"/>
      <c r="DU154" s="816"/>
      <c r="DV154" s="816"/>
      <c r="DW154" s="816"/>
      <c r="DX154" s="816"/>
      <c r="DY154" s="816"/>
      <c r="DZ154" s="816"/>
      <c r="EA154" s="816"/>
      <c r="EB154" s="609"/>
      <c r="EC154" s="609"/>
      <c r="ED154" s="816"/>
      <c r="EE154" s="816"/>
      <c r="EF154" s="816"/>
      <c r="EG154" s="816"/>
      <c r="EH154" s="816"/>
      <c r="EI154" s="816"/>
      <c r="EJ154" s="816"/>
      <c r="EK154" s="816"/>
      <c r="EL154" s="816"/>
      <c r="EM154" s="816"/>
      <c r="EN154" s="816"/>
      <c r="EO154" s="816"/>
      <c r="EP154" s="816"/>
      <c r="EQ154" s="816"/>
      <c r="ER154" s="816"/>
      <c r="ES154" s="816"/>
      <c r="ET154" s="816"/>
      <c r="EU154" s="816"/>
      <c r="EV154" s="816"/>
      <c r="EW154" s="816"/>
      <c r="EX154" s="816"/>
      <c r="EY154" s="816"/>
      <c r="EZ154" s="816"/>
      <c r="FA154" s="816"/>
      <c r="FB154" s="819"/>
      <c r="FC154" s="816"/>
      <c r="FD154" s="820"/>
      <c r="FE154" s="820"/>
      <c r="FF154" s="820"/>
      <c r="FG154" s="820"/>
      <c r="FH154" s="609"/>
      <c r="FI154" s="609"/>
      <c r="FJ154" s="816"/>
      <c r="FK154" s="816"/>
      <c r="FL154" s="816"/>
      <c r="FM154" s="816"/>
      <c r="FN154" s="816"/>
      <c r="FO154" s="816"/>
      <c r="FP154" s="816"/>
      <c r="FQ154" s="816"/>
      <c r="FR154" s="816"/>
      <c r="FS154" s="816"/>
      <c r="FT154" s="816"/>
      <c r="FU154" s="816"/>
      <c r="FV154" s="816"/>
      <c r="FW154" s="816"/>
      <c r="FX154" s="609"/>
      <c r="FY154" s="609"/>
      <c r="FZ154" s="816"/>
      <c r="GA154" s="816"/>
      <c r="GB154" s="609"/>
      <c r="GC154" s="609"/>
      <c r="GD154" s="609"/>
      <c r="GE154" s="816"/>
      <c r="GF154" s="816"/>
      <c r="GG154" s="609"/>
      <c r="GH154" s="609"/>
      <c r="GI154" s="816"/>
      <c r="GJ154" s="816"/>
      <c r="GK154" s="609"/>
      <c r="GL154" s="609"/>
      <c r="GM154" s="816"/>
      <c r="GN154" s="816"/>
      <c r="GO154" s="816"/>
      <c r="GP154" s="816"/>
      <c r="GQ154" s="816"/>
      <c r="GR154" s="816"/>
      <c r="GS154" s="609"/>
      <c r="GT154" s="609"/>
      <c r="GU154" s="816"/>
      <c r="GV154" s="816"/>
      <c r="GW154" s="609"/>
      <c r="GX154" s="609"/>
      <c r="GY154" s="816"/>
      <c r="GZ154" s="816"/>
      <c r="HA154" s="609"/>
      <c r="HB154" s="609"/>
      <c r="HC154" s="816"/>
      <c r="HD154" s="816"/>
      <c r="HE154" s="816"/>
      <c r="HF154" s="816"/>
      <c r="HG154" s="816"/>
      <c r="HH154" s="816"/>
      <c r="HI154" s="821"/>
      <c r="HJ154" s="609"/>
      <c r="HK154" s="816"/>
      <c r="HL154" s="816"/>
      <c r="HM154" s="822"/>
      <c r="HN154" s="609"/>
      <c r="HO154" s="816"/>
      <c r="HP154" s="816"/>
      <c r="HQ154" s="609"/>
      <c r="HR154" s="816"/>
      <c r="HS154" s="816"/>
      <c r="HT154" s="816"/>
      <c r="HU154" s="816"/>
      <c r="HV154" s="816"/>
      <c r="HW154" s="816"/>
      <c r="HX154" s="816"/>
      <c r="HY154" s="816"/>
      <c r="HZ154" s="816"/>
      <c r="IA154" s="816"/>
      <c r="IB154" s="816"/>
      <c r="IC154" s="823"/>
      <c r="ID154" s="824"/>
      <c r="IE154" s="825"/>
      <c r="IF154" s="825"/>
      <c r="IG154" s="816"/>
      <c r="II154" s="826"/>
      <c r="IJ154" s="826"/>
      <c r="IK154" s="826"/>
      <c r="IL154" s="826"/>
    </row>
    <row r="155" spans="2:246" s="780" customFormat="1">
      <c r="B155" s="609"/>
      <c r="C155" s="609"/>
      <c r="D155" s="609"/>
      <c r="E155" s="609"/>
      <c r="F155" s="609"/>
      <c r="G155" s="609"/>
      <c r="H155" s="609"/>
      <c r="I155" s="609"/>
      <c r="J155" s="609"/>
      <c r="K155" s="609"/>
      <c r="L155" s="609"/>
      <c r="M155" s="609"/>
      <c r="N155" s="609"/>
      <c r="O155" s="609"/>
      <c r="P155" s="609"/>
      <c r="Q155" s="609"/>
      <c r="R155" s="609"/>
      <c r="S155" s="609"/>
      <c r="T155" s="609"/>
      <c r="U155" s="609"/>
      <c r="V155" s="609"/>
      <c r="W155" s="609"/>
      <c r="X155" s="609"/>
      <c r="Y155" s="609"/>
      <c r="Z155" s="816"/>
      <c r="AA155" s="816"/>
      <c r="AB155" s="816"/>
      <c r="AC155" s="816"/>
      <c r="AD155" s="816"/>
      <c r="AE155" s="816"/>
      <c r="AF155" s="609"/>
      <c r="AG155" s="609"/>
      <c r="AH155" s="816"/>
      <c r="AI155" s="816"/>
      <c r="AJ155" s="609"/>
      <c r="AK155" s="609"/>
      <c r="AL155" s="816"/>
      <c r="AM155" s="816"/>
      <c r="AN155" s="816"/>
      <c r="AO155" s="816"/>
      <c r="AP155" s="816"/>
      <c r="AQ155" s="816"/>
      <c r="AR155" s="609"/>
      <c r="AS155" s="609"/>
      <c r="AT155" s="816"/>
      <c r="AU155" s="816"/>
      <c r="AV155" s="817"/>
      <c r="AW155" s="609"/>
      <c r="AX155" s="609"/>
      <c r="AY155" s="816"/>
      <c r="AZ155" s="816"/>
      <c r="BA155" s="816"/>
      <c r="BB155" s="816"/>
      <c r="BC155" s="816"/>
      <c r="BD155" s="816"/>
      <c r="BE155" s="816"/>
      <c r="BF155" s="816"/>
      <c r="BG155" s="816"/>
      <c r="BH155" s="816"/>
      <c r="BI155" s="816"/>
      <c r="BJ155" s="816"/>
      <c r="BK155" s="816"/>
      <c r="BL155" s="816"/>
      <c r="BM155" s="816"/>
      <c r="BN155" s="816"/>
      <c r="BO155" s="816"/>
      <c r="BP155" s="816"/>
      <c r="BQ155" s="816"/>
      <c r="BR155" s="816"/>
      <c r="BS155" s="816"/>
      <c r="BT155" s="609"/>
      <c r="BU155" s="609"/>
      <c r="BV155" s="609"/>
      <c r="BW155" s="818"/>
      <c r="BX155" s="816"/>
      <c r="BY155" s="816"/>
      <c r="BZ155" s="816"/>
      <c r="CA155" s="816"/>
      <c r="CB155" s="816"/>
      <c r="CC155" s="816"/>
      <c r="CD155" s="816"/>
      <c r="CE155" s="816"/>
      <c r="CF155" s="820"/>
      <c r="CG155" s="820"/>
      <c r="CH155" s="820"/>
      <c r="CI155" s="820"/>
      <c r="CJ155" s="609"/>
      <c r="CK155" s="609"/>
      <c r="CL155" s="816"/>
      <c r="CM155" s="816"/>
      <c r="CN155" s="609"/>
      <c r="CO155" s="609"/>
      <c r="CP155" s="816"/>
      <c r="CQ155" s="816"/>
      <c r="CR155" s="609"/>
      <c r="CS155" s="609"/>
      <c r="CT155" s="816"/>
      <c r="CU155" s="816"/>
      <c r="CV155" s="609"/>
      <c r="CW155" s="609"/>
      <c r="CX155" s="816"/>
      <c r="CY155" s="816"/>
      <c r="CZ155" s="816"/>
      <c r="DA155" s="816"/>
      <c r="DB155" s="816"/>
      <c r="DC155" s="816"/>
      <c r="DD155" s="816"/>
      <c r="DE155" s="816"/>
      <c r="DF155" s="816"/>
      <c r="DG155" s="816"/>
      <c r="DH155" s="816"/>
      <c r="DI155" s="816"/>
      <c r="DJ155" s="816"/>
      <c r="DK155" s="816"/>
      <c r="DL155" s="609"/>
      <c r="DM155" s="609"/>
      <c r="DN155" s="816"/>
      <c r="DO155" s="816"/>
      <c r="DP155" s="816"/>
      <c r="DQ155" s="816"/>
      <c r="DR155" s="816"/>
      <c r="DS155" s="816"/>
      <c r="DT155" s="816"/>
      <c r="DU155" s="816"/>
      <c r="DV155" s="816"/>
      <c r="DW155" s="816"/>
      <c r="DX155" s="816"/>
      <c r="DY155" s="816"/>
      <c r="DZ155" s="816"/>
      <c r="EA155" s="816"/>
      <c r="EB155" s="609"/>
      <c r="EC155" s="609"/>
      <c r="ED155" s="816"/>
      <c r="EE155" s="816"/>
      <c r="EF155" s="816"/>
      <c r="EG155" s="816"/>
      <c r="EH155" s="816"/>
      <c r="EI155" s="816"/>
      <c r="EJ155" s="816"/>
      <c r="EK155" s="816"/>
      <c r="EL155" s="816"/>
      <c r="EM155" s="816"/>
      <c r="EN155" s="816"/>
      <c r="EO155" s="816"/>
      <c r="EP155" s="816"/>
      <c r="EQ155" s="816"/>
      <c r="ER155" s="816"/>
      <c r="ES155" s="816"/>
      <c r="ET155" s="816"/>
      <c r="EU155" s="816"/>
      <c r="EV155" s="816"/>
      <c r="EW155" s="816"/>
      <c r="EX155" s="816"/>
      <c r="EY155" s="816"/>
      <c r="EZ155" s="816"/>
      <c r="FA155" s="816"/>
      <c r="FB155" s="819"/>
      <c r="FC155" s="816"/>
      <c r="FD155" s="820"/>
      <c r="FE155" s="820"/>
      <c r="FF155" s="820"/>
      <c r="FG155" s="820"/>
      <c r="FH155" s="609"/>
      <c r="FI155" s="609"/>
      <c r="FJ155" s="816"/>
      <c r="FK155" s="816"/>
      <c r="FL155" s="816"/>
      <c r="FM155" s="816"/>
      <c r="FN155" s="816"/>
      <c r="FO155" s="816"/>
      <c r="FP155" s="816"/>
      <c r="FQ155" s="816"/>
      <c r="FR155" s="816"/>
      <c r="FS155" s="816"/>
      <c r="FT155" s="816"/>
      <c r="FU155" s="816"/>
      <c r="FV155" s="816"/>
      <c r="FW155" s="816"/>
      <c r="FX155" s="609"/>
      <c r="FY155" s="609"/>
      <c r="FZ155" s="816"/>
      <c r="GA155" s="816"/>
      <c r="GB155" s="609"/>
      <c r="GC155" s="609"/>
      <c r="GD155" s="609"/>
      <c r="GE155" s="816"/>
      <c r="GF155" s="816"/>
      <c r="GG155" s="609"/>
      <c r="GH155" s="609"/>
      <c r="GI155" s="816"/>
      <c r="GJ155" s="816"/>
      <c r="GK155" s="609"/>
      <c r="GL155" s="609"/>
      <c r="GM155" s="816"/>
      <c r="GN155" s="816"/>
      <c r="GO155" s="816"/>
      <c r="GP155" s="816"/>
      <c r="GQ155" s="816"/>
      <c r="GR155" s="816"/>
      <c r="GS155" s="609"/>
      <c r="GT155" s="609"/>
      <c r="GU155" s="816"/>
      <c r="GV155" s="816"/>
      <c r="GW155" s="609"/>
      <c r="GX155" s="609"/>
      <c r="GY155" s="816"/>
      <c r="GZ155" s="816"/>
      <c r="HA155" s="609"/>
      <c r="HB155" s="609"/>
      <c r="HC155" s="816"/>
      <c r="HD155" s="816"/>
      <c r="HE155" s="816"/>
      <c r="HF155" s="816"/>
      <c r="HG155" s="816"/>
      <c r="HH155" s="816"/>
      <c r="HI155" s="821"/>
      <c r="HJ155" s="609"/>
      <c r="HK155" s="816"/>
      <c r="HL155" s="816"/>
      <c r="HM155" s="822"/>
      <c r="HN155" s="609"/>
      <c r="HO155" s="816"/>
      <c r="HP155" s="816"/>
      <c r="HQ155" s="609"/>
      <c r="HR155" s="816"/>
      <c r="HS155" s="816"/>
      <c r="HT155" s="816"/>
      <c r="HU155" s="816"/>
      <c r="HV155" s="816"/>
      <c r="HW155" s="816"/>
      <c r="HX155" s="816"/>
      <c r="HY155" s="816"/>
      <c r="HZ155" s="816"/>
      <c r="IA155" s="816"/>
      <c r="IB155" s="816"/>
      <c r="IC155" s="823"/>
      <c r="ID155" s="824"/>
      <c r="IE155" s="825"/>
      <c r="IF155" s="825"/>
      <c r="IG155" s="816"/>
      <c r="II155" s="826"/>
      <c r="IJ155" s="826"/>
      <c r="IK155" s="826"/>
      <c r="IL155" s="826"/>
    </row>
    <row r="156" spans="2:246" s="780" customFormat="1"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09"/>
      <c r="T156" s="609"/>
      <c r="U156" s="609"/>
      <c r="V156" s="609"/>
      <c r="W156" s="609"/>
      <c r="X156" s="609"/>
      <c r="Y156" s="609"/>
      <c r="Z156" s="816"/>
      <c r="AA156" s="816"/>
      <c r="AB156" s="816"/>
      <c r="AC156" s="816"/>
      <c r="AD156" s="816"/>
      <c r="AE156" s="816"/>
      <c r="AF156" s="609"/>
      <c r="AG156" s="609"/>
      <c r="AH156" s="816"/>
      <c r="AI156" s="816"/>
      <c r="AJ156" s="609"/>
      <c r="AK156" s="609"/>
      <c r="AL156" s="816"/>
      <c r="AM156" s="816"/>
      <c r="AN156" s="816"/>
      <c r="AO156" s="816"/>
      <c r="AP156" s="816"/>
      <c r="AQ156" s="816"/>
      <c r="AR156" s="609"/>
      <c r="AS156" s="609"/>
      <c r="AT156" s="816"/>
      <c r="AU156" s="816"/>
      <c r="AV156" s="817"/>
      <c r="AW156" s="609"/>
      <c r="AX156" s="609"/>
      <c r="AY156" s="816"/>
      <c r="AZ156" s="816"/>
      <c r="BA156" s="816"/>
      <c r="BB156" s="816"/>
      <c r="BC156" s="816"/>
      <c r="BD156" s="816"/>
      <c r="BE156" s="816"/>
      <c r="BF156" s="816"/>
      <c r="BG156" s="816"/>
      <c r="BH156" s="816"/>
      <c r="BI156" s="816"/>
      <c r="BJ156" s="816"/>
      <c r="BK156" s="816"/>
      <c r="BL156" s="816"/>
      <c r="BM156" s="816"/>
      <c r="BN156" s="816"/>
      <c r="BO156" s="816"/>
      <c r="BP156" s="816"/>
      <c r="BQ156" s="816"/>
      <c r="BR156" s="816"/>
      <c r="BS156" s="816"/>
      <c r="BT156" s="609"/>
      <c r="BU156" s="609"/>
      <c r="BV156" s="609"/>
      <c r="BW156" s="818"/>
      <c r="BX156" s="816"/>
      <c r="BY156" s="816"/>
      <c r="BZ156" s="816"/>
      <c r="CA156" s="816"/>
      <c r="CB156" s="816"/>
      <c r="CC156" s="816"/>
      <c r="CD156" s="816"/>
      <c r="CE156" s="816"/>
      <c r="CF156" s="820"/>
      <c r="CG156" s="820"/>
      <c r="CH156" s="820"/>
      <c r="CI156" s="820"/>
      <c r="CJ156" s="609"/>
      <c r="CK156" s="609"/>
      <c r="CL156" s="816"/>
      <c r="CM156" s="816"/>
      <c r="CN156" s="609"/>
      <c r="CO156" s="609"/>
      <c r="CP156" s="816"/>
      <c r="CQ156" s="816"/>
      <c r="CR156" s="609"/>
      <c r="CS156" s="609"/>
      <c r="CT156" s="816"/>
      <c r="CU156" s="816"/>
      <c r="CV156" s="609"/>
      <c r="CW156" s="609"/>
      <c r="CX156" s="816"/>
      <c r="CY156" s="816"/>
      <c r="CZ156" s="816"/>
      <c r="DA156" s="816"/>
      <c r="DB156" s="816"/>
      <c r="DC156" s="816"/>
      <c r="DD156" s="816"/>
      <c r="DE156" s="816"/>
      <c r="DF156" s="816"/>
      <c r="DG156" s="816"/>
      <c r="DH156" s="816"/>
      <c r="DI156" s="816"/>
      <c r="DJ156" s="816"/>
      <c r="DK156" s="816"/>
      <c r="DL156" s="609"/>
      <c r="DM156" s="609"/>
      <c r="DN156" s="816"/>
      <c r="DO156" s="816"/>
      <c r="DP156" s="816"/>
      <c r="DQ156" s="816"/>
      <c r="DR156" s="816"/>
      <c r="DS156" s="816"/>
      <c r="DT156" s="816"/>
      <c r="DU156" s="816"/>
      <c r="DV156" s="816"/>
      <c r="DW156" s="816"/>
      <c r="DX156" s="816"/>
      <c r="DY156" s="816"/>
      <c r="DZ156" s="816"/>
      <c r="EA156" s="816"/>
      <c r="EB156" s="609"/>
      <c r="EC156" s="609"/>
      <c r="ED156" s="816"/>
      <c r="EE156" s="816"/>
      <c r="EF156" s="816"/>
      <c r="EG156" s="816"/>
      <c r="EH156" s="816"/>
      <c r="EI156" s="816"/>
      <c r="EJ156" s="816"/>
      <c r="EK156" s="816"/>
      <c r="EL156" s="816"/>
      <c r="EM156" s="816"/>
      <c r="EN156" s="816"/>
      <c r="EO156" s="816"/>
      <c r="EP156" s="816"/>
      <c r="EQ156" s="816"/>
      <c r="ER156" s="816"/>
      <c r="ES156" s="816"/>
      <c r="ET156" s="816"/>
      <c r="EU156" s="816"/>
      <c r="EV156" s="816"/>
      <c r="EW156" s="816"/>
      <c r="EX156" s="816"/>
      <c r="EY156" s="816"/>
      <c r="EZ156" s="816"/>
      <c r="FA156" s="816"/>
      <c r="FB156" s="819"/>
      <c r="FC156" s="816"/>
      <c r="FD156" s="820"/>
      <c r="FE156" s="820"/>
      <c r="FF156" s="820"/>
      <c r="FG156" s="820"/>
      <c r="FH156" s="609"/>
      <c r="FI156" s="609"/>
      <c r="FJ156" s="816"/>
      <c r="FK156" s="816"/>
      <c r="FL156" s="816"/>
      <c r="FM156" s="816"/>
      <c r="FN156" s="816"/>
      <c r="FO156" s="816"/>
      <c r="FP156" s="816"/>
      <c r="FQ156" s="816"/>
      <c r="FR156" s="816"/>
      <c r="FS156" s="816"/>
      <c r="FT156" s="816"/>
      <c r="FU156" s="816"/>
      <c r="FV156" s="816"/>
      <c r="FW156" s="816"/>
      <c r="FX156" s="609"/>
      <c r="FY156" s="609"/>
      <c r="FZ156" s="816"/>
      <c r="GA156" s="816"/>
      <c r="GB156" s="609"/>
      <c r="GC156" s="609"/>
      <c r="GD156" s="609"/>
      <c r="GE156" s="816"/>
      <c r="GF156" s="816"/>
      <c r="GG156" s="609"/>
      <c r="GH156" s="609"/>
      <c r="GI156" s="816"/>
      <c r="GJ156" s="816"/>
      <c r="GK156" s="609"/>
      <c r="GL156" s="609"/>
      <c r="GM156" s="816"/>
      <c r="GN156" s="816"/>
      <c r="GO156" s="816"/>
      <c r="GP156" s="816"/>
      <c r="GQ156" s="816"/>
      <c r="GR156" s="816"/>
      <c r="GS156" s="609"/>
      <c r="GT156" s="609"/>
      <c r="GU156" s="816"/>
      <c r="GV156" s="816"/>
      <c r="GW156" s="609"/>
      <c r="GX156" s="609"/>
      <c r="GY156" s="816"/>
      <c r="GZ156" s="816"/>
      <c r="HA156" s="609"/>
      <c r="HB156" s="609"/>
      <c r="HC156" s="816"/>
      <c r="HD156" s="816"/>
      <c r="HE156" s="816"/>
      <c r="HF156" s="816"/>
      <c r="HG156" s="816"/>
      <c r="HH156" s="816"/>
      <c r="HI156" s="821"/>
      <c r="HJ156" s="609"/>
      <c r="HK156" s="816"/>
      <c r="HL156" s="816"/>
      <c r="HM156" s="822"/>
      <c r="HN156" s="609"/>
      <c r="HO156" s="816"/>
      <c r="HP156" s="816"/>
      <c r="HQ156" s="609"/>
      <c r="HR156" s="816"/>
      <c r="HS156" s="816"/>
      <c r="HT156" s="816"/>
      <c r="HU156" s="816"/>
      <c r="HV156" s="816"/>
      <c r="HW156" s="816"/>
      <c r="HX156" s="816"/>
      <c r="HY156" s="816"/>
      <c r="HZ156" s="816"/>
      <c r="IA156" s="816"/>
      <c r="IB156" s="816"/>
      <c r="IC156" s="823"/>
      <c r="ID156" s="824"/>
      <c r="IE156" s="825"/>
      <c r="IF156" s="825"/>
      <c r="IG156" s="816"/>
      <c r="II156" s="826"/>
      <c r="IJ156" s="826"/>
      <c r="IK156" s="826"/>
      <c r="IL156" s="826"/>
    </row>
    <row r="157" spans="2:246" s="780" customFormat="1"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09"/>
      <c r="T157" s="609"/>
      <c r="U157" s="609"/>
      <c r="V157" s="609"/>
      <c r="W157" s="609"/>
      <c r="X157" s="609"/>
      <c r="Y157" s="609"/>
      <c r="Z157" s="816"/>
      <c r="AA157" s="816"/>
      <c r="AB157" s="816"/>
      <c r="AC157" s="816"/>
      <c r="AD157" s="816"/>
      <c r="AE157" s="816"/>
      <c r="AF157" s="609"/>
      <c r="AG157" s="609"/>
      <c r="AH157" s="816"/>
      <c r="AI157" s="816"/>
      <c r="AJ157" s="609"/>
      <c r="AK157" s="609"/>
      <c r="AL157" s="816"/>
      <c r="AM157" s="816"/>
      <c r="AN157" s="816"/>
      <c r="AO157" s="816"/>
      <c r="AP157" s="816"/>
      <c r="AQ157" s="816"/>
      <c r="AR157" s="609"/>
      <c r="AS157" s="609"/>
      <c r="AT157" s="816"/>
      <c r="AU157" s="816"/>
      <c r="AV157" s="817"/>
      <c r="AW157" s="609"/>
      <c r="AX157" s="609"/>
      <c r="AY157" s="816"/>
      <c r="AZ157" s="816"/>
      <c r="BA157" s="816"/>
      <c r="BB157" s="816"/>
      <c r="BC157" s="816"/>
      <c r="BD157" s="816"/>
      <c r="BE157" s="816"/>
      <c r="BF157" s="816"/>
      <c r="BG157" s="816"/>
      <c r="BH157" s="816"/>
      <c r="BI157" s="816"/>
      <c r="BJ157" s="816"/>
      <c r="BK157" s="816"/>
      <c r="BL157" s="816"/>
      <c r="BM157" s="816"/>
      <c r="BN157" s="816"/>
      <c r="BO157" s="816"/>
      <c r="BP157" s="816"/>
      <c r="BQ157" s="816"/>
      <c r="BR157" s="816"/>
      <c r="BS157" s="816"/>
      <c r="BT157" s="609"/>
      <c r="BU157" s="609"/>
      <c r="BV157" s="609"/>
      <c r="BW157" s="818"/>
      <c r="BX157" s="816"/>
      <c r="BY157" s="816"/>
      <c r="BZ157" s="816"/>
      <c r="CA157" s="816"/>
      <c r="CB157" s="816"/>
      <c r="CC157" s="816"/>
      <c r="CD157" s="816"/>
      <c r="CE157" s="816"/>
      <c r="CF157" s="820"/>
      <c r="CG157" s="820"/>
      <c r="CH157" s="820"/>
      <c r="CI157" s="820"/>
      <c r="CJ157" s="609"/>
      <c r="CK157" s="609"/>
      <c r="CL157" s="816"/>
      <c r="CM157" s="816"/>
      <c r="CN157" s="609"/>
      <c r="CO157" s="609"/>
      <c r="CP157" s="816"/>
      <c r="CQ157" s="816"/>
      <c r="CR157" s="609"/>
      <c r="CS157" s="609"/>
      <c r="CT157" s="816"/>
      <c r="CU157" s="816"/>
      <c r="CV157" s="609"/>
      <c r="CW157" s="609"/>
      <c r="CX157" s="816"/>
      <c r="CY157" s="816"/>
      <c r="CZ157" s="816"/>
      <c r="DA157" s="816"/>
      <c r="DB157" s="816"/>
      <c r="DC157" s="816"/>
      <c r="DD157" s="816"/>
      <c r="DE157" s="816"/>
      <c r="DF157" s="816"/>
      <c r="DG157" s="816"/>
      <c r="DH157" s="816"/>
      <c r="DI157" s="816"/>
      <c r="DJ157" s="816"/>
      <c r="DK157" s="816"/>
      <c r="DL157" s="609"/>
      <c r="DM157" s="609"/>
      <c r="DN157" s="816"/>
      <c r="DO157" s="816"/>
      <c r="DP157" s="816"/>
      <c r="DQ157" s="816"/>
      <c r="DR157" s="816"/>
      <c r="DS157" s="816"/>
      <c r="DT157" s="816"/>
      <c r="DU157" s="816"/>
      <c r="DV157" s="816"/>
      <c r="DW157" s="816"/>
      <c r="DX157" s="816"/>
      <c r="DY157" s="816"/>
      <c r="DZ157" s="816"/>
      <c r="EA157" s="816"/>
      <c r="EB157" s="609"/>
      <c r="EC157" s="609"/>
      <c r="ED157" s="816"/>
      <c r="EE157" s="816"/>
      <c r="EF157" s="816"/>
      <c r="EG157" s="816"/>
      <c r="EH157" s="816"/>
      <c r="EI157" s="816"/>
      <c r="EJ157" s="816"/>
      <c r="EK157" s="816"/>
      <c r="EL157" s="816"/>
      <c r="EM157" s="816"/>
      <c r="EN157" s="816"/>
      <c r="EO157" s="816"/>
      <c r="EP157" s="816"/>
      <c r="EQ157" s="816"/>
      <c r="ER157" s="816"/>
      <c r="ES157" s="816"/>
      <c r="ET157" s="816"/>
      <c r="EU157" s="816"/>
      <c r="EV157" s="816"/>
      <c r="EW157" s="816"/>
      <c r="EX157" s="816"/>
      <c r="EY157" s="816"/>
      <c r="EZ157" s="816"/>
      <c r="FA157" s="816"/>
      <c r="FB157" s="819"/>
      <c r="FC157" s="816"/>
      <c r="FD157" s="820"/>
      <c r="FE157" s="820"/>
      <c r="FF157" s="820"/>
      <c r="FG157" s="820"/>
      <c r="FH157" s="817"/>
      <c r="FI157" s="609"/>
      <c r="FJ157" s="816"/>
      <c r="FK157" s="816"/>
      <c r="FL157" s="816"/>
      <c r="FM157" s="816"/>
      <c r="FN157" s="816"/>
      <c r="FO157" s="816"/>
      <c r="FP157" s="816"/>
      <c r="FQ157" s="816"/>
      <c r="FR157" s="816"/>
      <c r="FS157" s="816"/>
      <c r="FT157" s="816"/>
      <c r="FU157" s="816"/>
      <c r="FV157" s="816"/>
      <c r="FW157" s="816"/>
      <c r="FX157" s="609"/>
      <c r="FY157" s="609"/>
      <c r="FZ157" s="816"/>
      <c r="GA157" s="816"/>
      <c r="GB157" s="609"/>
      <c r="GC157" s="609"/>
      <c r="GD157" s="609"/>
      <c r="GE157" s="816"/>
      <c r="GF157" s="816"/>
      <c r="GG157" s="609"/>
      <c r="GH157" s="609"/>
      <c r="GI157" s="816"/>
      <c r="GJ157" s="816"/>
      <c r="GK157" s="609"/>
      <c r="GL157" s="609"/>
      <c r="GM157" s="816"/>
      <c r="GN157" s="816"/>
      <c r="GO157" s="816"/>
      <c r="GP157" s="816"/>
      <c r="GQ157" s="816"/>
      <c r="GR157" s="816"/>
      <c r="GS157" s="609"/>
      <c r="GT157" s="609"/>
      <c r="GU157" s="816"/>
      <c r="GV157" s="816"/>
      <c r="GW157" s="609"/>
      <c r="GX157" s="609"/>
      <c r="GY157" s="816"/>
      <c r="GZ157" s="816"/>
      <c r="HA157" s="609"/>
      <c r="HB157" s="609"/>
      <c r="HC157" s="816"/>
      <c r="HD157" s="816"/>
      <c r="HE157" s="816"/>
      <c r="HF157" s="816"/>
      <c r="HG157" s="816"/>
      <c r="HH157" s="816"/>
      <c r="HI157" s="821"/>
      <c r="HJ157" s="609"/>
      <c r="HK157" s="816"/>
      <c r="HL157" s="816"/>
      <c r="HM157" s="822"/>
      <c r="HN157" s="609"/>
      <c r="HO157" s="816"/>
      <c r="HP157" s="816"/>
      <c r="HQ157" s="609"/>
      <c r="HR157" s="816"/>
      <c r="HS157" s="816"/>
      <c r="HT157" s="816"/>
      <c r="HU157" s="816"/>
      <c r="HV157" s="816"/>
      <c r="HW157" s="816"/>
      <c r="HX157" s="816"/>
      <c r="HY157" s="816"/>
      <c r="HZ157" s="816"/>
      <c r="IA157" s="816"/>
      <c r="IB157" s="816"/>
      <c r="IC157" s="823"/>
      <c r="ID157" s="824"/>
      <c r="IE157" s="825"/>
      <c r="IF157" s="825"/>
      <c r="IG157" s="816"/>
      <c r="II157" s="826"/>
      <c r="IJ157" s="826"/>
      <c r="IK157" s="826"/>
      <c r="IL157" s="826"/>
    </row>
    <row r="158" spans="2:246" s="780" customFormat="1">
      <c r="B158" s="609"/>
      <c r="C158" s="609"/>
      <c r="D158" s="609"/>
      <c r="E158" s="609"/>
      <c r="F158" s="609"/>
      <c r="G158" s="609"/>
      <c r="H158" s="609"/>
      <c r="I158" s="609"/>
      <c r="J158" s="609"/>
      <c r="K158" s="609"/>
      <c r="L158" s="609"/>
      <c r="M158" s="609"/>
      <c r="N158" s="609"/>
      <c r="O158" s="609"/>
      <c r="P158" s="609"/>
      <c r="Q158" s="609"/>
      <c r="R158" s="609"/>
      <c r="S158" s="609"/>
      <c r="T158" s="609"/>
      <c r="U158" s="609"/>
      <c r="V158" s="609"/>
      <c r="W158" s="609"/>
      <c r="X158" s="609"/>
      <c r="Y158" s="609"/>
      <c r="Z158" s="816"/>
      <c r="AA158" s="816"/>
      <c r="AB158" s="816"/>
      <c r="AC158" s="816"/>
      <c r="AD158" s="816"/>
      <c r="AE158" s="816"/>
      <c r="AF158" s="609"/>
      <c r="AG158" s="609"/>
      <c r="AH158" s="816"/>
      <c r="AI158" s="816"/>
      <c r="AJ158" s="609"/>
      <c r="AK158" s="609"/>
      <c r="AL158" s="816"/>
      <c r="AM158" s="816"/>
      <c r="AN158" s="816"/>
      <c r="AO158" s="816"/>
      <c r="AP158" s="816"/>
      <c r="AQ158" s="816"/>
      <c r="AR158" s="609"/>
      <c r="AS158" s="609"/>
      <c r="AT158" s="816"/>
      <c r="AU158" s="816"/>
      <c r="AV158" s="817"/>
      <c r="AW158" s="609"/>
      <c r="AX158" s="609"/>
      <c r="AY158" s="816"/>
      <c r="AZ158" s="816"/>
      <c r="BA158" s="816"/>
      <c r="BB158" s="816"/>
      <c r="BC158" s="816"/>
      <c r="BD158" s="816"/>
      <c r="BE158" s="816"/>
      <c r="BF158" s="816"/>
      <c r="BG158" s="816"/>
      <c r="BH158" s="816"/>
      <c r="BI158" s="816"/>
      <c r="BJ158" s="816"/>
      <c r="BK158" s="816"/>
      <c r="BL158" s="816"/>
      <c r="BM158" s="816"/>
      <c r="BN158" s="816"/>
      <c r="BO158" s="816"/>
      <c r="BP158" s="816"/>
      <c r="BQ158" s="816"/>
      <c r="BR158" s="816"/>
      <c r="BS158" s="816"/>
      <c r="BT158" s="609"/>
      <c r="BU158" s="609"/>
      <c r="BV158" s="609"/>
      <c r="BW158" s="818"/>
      <c r="BX158" s="816"/>
      <c r="BY158" s="816"/>
      <c r="BZ158" s="816"/>
      <c r="CA158" s="816"/>
      <c r="CB158" s="816"/>
      <c r="CC158" s="816"/>
      <c r="CD158" s="816"/>
      <c r="CE158" s="816"/>
      <c r="CF158" s="820"/>
      <c r="CG158" s="820"/>
      <c r="CH158" s="820"/>
      <c r="CI158" s="820"/>
      <c r="CJ158" s="609"/>
      <c r="CK158" s="609"/>
      <c r="CL158" s="816"/>
      <c r="CM158" s="816"/>
      <c r="CN158" s="609"/>
      <c r="CO158" s="609"/>
      <c r="CP158" s="816"/>
      <c r="CQ158" s="816"/>
      <c r="CR158" s="609"/>
      <c r="CS158" s="609"/>
      <c r="CT158" s="816"/>
      <c r="CU158" s="816"/>
      <c r="CV158" s="609"/>
      <c r="CW158" s="609"/>
      <c r="CX158" s="816"/>
      <c r="CY158" s="816"/>
      <c r="CZ158" s="816"/>
      <c r="DA158" s="816"/>
      <c r="DB158" s="816"/>
      <c r="DC158" s="816"/>
      <c r="DD158" s="816"/>
      <c r="DE158" s="816"/>
      <c r="DF158" s="816"/>
      <c r="DG158" s="816"/>
      <c r="DH158" s="816"/>
      <c r="DI158" s="816"/>
      <c r="DJ158" s="816"/>
      <c r="DK158" s="816"/>
      <c r="DL158" s="609"/>
      <c r="DM158" s="609"/>
      <c r="DN158" s="816"/>
      <c r="DO158" s="816"/>
      <c r="DP158" s="816"/>
      <c r="DQ158" s="816"/>
      <c r="DR158" s="816"/>
      <c r="DS158" s="816"/>
      <c r="DT158" s="816"/>
      <c r="DU158" s="816"/>
      <c r="DV158" s="816"/>
      <c r="DW158" s="816"/>
      <c r="DX158" s="816"/>
      <c r="DY158" s="816"/>
      <c r="DZ158" s="816"/>
      <c r="EA158" s="816"/>
      <c r="EB158" s="609"/>
      <c r="EC158" s="609"/>
      <c r="ED158" s="816"/>
      <c r="EE158" s="816"/>
      <c r="EF158" s="816"/>
      <c r="EG158" s="816"/>
      <c r="EH158" s="816"/>
      <c r="EI158" s="816"/>
      <c r="EJ158" s="816"/>
      <c r="EK158" s="816"/>
      <c r="EL158" s="816"/>
      <c r="EM158" s="816"/>
      <c r="EN158" s="816"/>
      <c r="EO158" s="816"/>
      <c r="EP158" s="816"/>
      <c r="EQ158" s="816"/>
      <c r="ER158" s="816"/>
      <c r="ES158" s="816"/>
      <c r="ET158" s="816"/>
      <c r="EU158" s="816"/>
      <c r="EV158" s="816"/>
      <c r="EW158" s="816"/>
      <c r="EX158" s="816"/>
      <c r="EY158" s="816"/>
      <c r="EZ158" s="816"/>
      <c r="FA158" s="816"/>
      <c r="FB158" s="819"/>
      <c r="FC158" s="816"/>
      <c r="FD158" s="820"/>
      <c r="FE158" s="820"/>
      <c r="FF158" s="820"/>
      <c r="FG158" s="820"/>
      <c r="FH158" s="609"/>
      <c r="FI158" s="609"/>
      <c r="FJ158" s="816"/>
      <c r="FK158" s="816"/>
      <c r="FL158" s="816"/>
      <c r="FM158" s="816"/>
      <c r="FN158" s="816"/>
      <c r="FO158" s="816"/>
      <c r="FP158" s="816"/>
      <c r="FQ158" s="816"/>
      <c r="FR158" s="816"/>
      <c r="FS158" s="816"/>
      <c r="FT158" s="816"/>
      <c r="FU158" s="816"/>
      <c r="FV158" s="816"/>
      <c r="FW158" s="816"/>
      <c r="FX158" s="609"/>
      <c r="FY158" s="609"/>
      <c r="FZ158" s="816"/>
      <c r="GA158" s="816"/>
      <c r="GB158" s="609"/>
      <c r="GC158" s="609"/>
      <c r="GD158" s="609"/>
      <c r="GE158" s="816"/>
      <c r="GF158" s="816"/>
      <c r="GG158" s="609"/>
      <c r="GH158" s="609"/>
      <c r="GI158" s="816"/>
      <c r="GJ158" s="816"/>
      <c r="GK158" s="609"/>
      <c r="GL158" s="609"/>
      <c r="GM158" s="816"/>
      <c r="GN158" s="816"/>
      <c r="GO158" s="816"/>
      <c r="GP158" s="816"/>
      <c r="GQ158" s="816"/>
      <c r="GR158" s="816"/>
      <c r="GS158" s="609"/>
      <c r="GT158" s="609"/>
      <c r="GU158" s="816"/>
      <c r="GV158" s="816"/>
      <c r="GW158" s="609"/>
      <c r="GX158" s="609"/>
      <c r="GY158" s="816"/>
      <c r="GZ158" s="816"/>
      <c r="HA158" s="609"/>
      <c r="HB158" s="609"/>
      <c r="HC158" s="816"/>
      <c r="HD158" s="816"/>
      <c r="HE158" s="816"/>
      <c r="HF158" s="816"/>
      <c r="HG158" s="816"/>
      <c r="HH158" s="816"/>
      <c r="HI158" s="821"/>
      <c r="HJ158" s="609"/>
      <c r="HK158" s="816"/>
      <c r="HL158" s="816"/>
      <c r="HM158" s="822"/>
      <c r="HN158" s="609"/>
      <c r="HO158" s="816"/>
      <c r="HP158" s="816"/>
      <c r="HQ158" s="609"/>
      <c r="HR158" s="816"/>
      <c r="HS158" s="816"/>
      <c r="HT158" s="816"/>
      <c r="HU158" s="816"/>
      <c r="HV158" s="816"/>
      <c r="HW158" s="816"/>
      <c r="HX158" s="816"/>
      <c r="HY158" s="816"/>
      <c r="HZ158" s="816"/>
      <c r="IA158" s="816"/>
      <c r="IB158" s="816"/>
      <c r="IC158" s="823"/>
      <c r="ID158" s="824"/>
      <c r="IE158" s="825"/>
      <c r="IF158" s="825"/>
      <c r="IG158" s="816"/>
      <c r="II158" s="826"/>
      <c r="IJ158" s="826"/>
      <c r="IK158" s="826"/>
      <c r="IL158" s="826"/>
    </row>
    <row r="159" spans="2:246" s="780" customFormat="1">
      <c r="B159" s="609"/>
      <c r="C159" s="609"/>
      <c r="D159" s="609"/>
      <c r="E159" s="609"/>
      <c r="F159" s="609"/>
      <c r="G159" s="609"/>
      <c r="H159" s="609"/>
      <c r="I159" s="609"/>
      <c r="J159" s="609"/>
      <c r="K159" s="609"/>
      <c r="L159" s="609"/>
      <c r="M159" s="609"/>
      <c r="N159" s="609"/>
      <c r="O159" s="609"/>
      <c r="P159" s="609"/>
      <c r="Q159" s="609"/>
      <c r="R159" s="609"/>
      <c r="S159" s="609"/>
      <c r="T159" s="609"/>
      <c r="U159" s="609"/>
      <c r="V159" s="609"/>
      <c r="W159" s="609"/>
      <c r="X159" s="609"/>
      <c r="Y159" s="609"/>
      <c r="Z159" s="816"/>
      <c r="AA159" s="816"/>
      <c r="AB159" s="816"/>
      <c r="AC159" s="816"/>
      <c r="AD159" s="816"/>
      <c r="AE159" s="816"/>
      <c r="AF159" s="609"/>
      <c r="AG159" s="609"/>
      <c r="AH159" s="816"/>
      <c r="AI159" s="816"/>
      <c r="AJ159" s="609"/>
      <c r="AK159" s="609"/>
      <c r="AL159" s="816"/>
      <c r="AM159" s="816"/>
      <c r="AN159" s="816"/>
      <c r="AO159" s="816"/>
      <c r="AP159" s="816"/>
      <c r="AQ159" s="816"/>
      <c r="AR159" s="609"/>
      <c r="AS159" s="609"/>
      <c r="AT159" s="816"/>
      <c r="AU159" s="816"/>
      <c r="AV159" s="817"/>
      <c r="AW159" s="609"/>
      <c r="AX159" s="609"/>
      <c r="AY159" s="816"/>
      <c r="AZ159" s="816"/>
      <c r="BA159" s="816"/>
      <c r="BB159" s="816"/>
      <c r="BC159" s="816"/>
      <c r="BD159" s="816"/>
      <c r="BE159" s="816"/>
      <c r="BF159" s="816"/>
      <c r="BG159" s="816"/>
      <c r="BH159" s="816"/>
      <c r="BI159" s="816"/>
      <c r="BJ159" s="816"/>
      <c r="BK159" s="816"/>
      <c r="BL159" s="816"/>
      <c r="BM159" s="816"/>
      <c r="BN159" s="816"/>
      <c r="BO159" s="816"/>
      <c r="BP159" s="816"/>
      <c r="BQ159" s="816"/>
      <c r="BR159" s="816"/>
      <c r="BS159" s="816"/>
      <c r="BT159" s="609"/>
      <c r="BU159" s="609"/>
      <c r="BV159" s="609"/>
      <c r="BW159" s="818"/>
      <c r="BX159" s="816"/>
      <c r="BY159" s="816"/>
      <c r="BZ159" s="816"/>
      <c r="CA159" s="816"/>
      <c r="CB159" s="816"/>
      <c r="CC159" s="816"/>
      <c r="CD159" s="816"/>
      <c r="CE159" s="816"/>
      <c r="CF159" s="820"/>
      <c r="CG159" s="820"/>
      <c r="CH159" s="820"/>
      <c r="CI159" s="820"/>
      <c r="CJ159" s="609"/>
      <c r="CK159" s="609"/>
      <c r="CL159" s="816"/>
      <c r="CM159" s="816"/>
      <c r="CN159" s="609"/>
      <c r="CO159" s="609"/>
      <c r="CP159" s="816"/>
      <c r="CQ159" s="816"/>
      <c r="CR159" s="609"/>
      <c r="CS159" s="609"/>
      <c r="CT159" s="816"/>
      <c r="CU159" s="816"/>
      <c r="CV159" s="609"/>
      <c r="CW159" s="609"/>
      <c r="CX159" s="816"/>
      <c r="CY159" s="816"/>
      <c r="CZ159" s="816"/>
      <c r="DA159" s="816"/>
      <c r="DB159" s="816"/>
      <c r="DC159" s="816"/>
      <c r="DD159" s="816"/>
      <c r="DE159" s="816"/>
      <c r="DF159" s="816"/>
      <c r="DG159" s="816"/>
      <c r="DH159" s="816"/>
      <c r="DI159" s="816"/>
      <c r="DJ159" s="816"/>
      <c r="DK159" s="816"/>
      <c r="DL159" s="609"/>
      <c r="DM159" s="609"/>
      <c r="DN159" s="816"/>
      <c r="DO159" s="816"/>
      <c r="DP159" s="816"/>
      <c r="DQ159" s="816"/>
      <c r="DR159" s="816"/>
      <c r="DS159" s="816"/>
      <c r="DT159" s="816"/>
      <c r="DU159" s="816"/>
      <c r="DV159" s="816"/>
      <c r="DW159" s="816"/>
      <c r="DX159" s="816"/>
      <c r="DY159" s="816"/>
      <c r="DZ159" s="816"/>
      <c r="EA159" s="816"/>
      <c r="EB159" s="609"/>
      <c r="EC159" s="609"/>
      <c r="ED159" s="816"/>
      <c r="EE159" s="816"/>
      <c r="EF159" s="816"/>
      <c r="EG159" s="816"/>
      <c r="EH159" s="816"/>
      <c r="EI159" s="816"/>
      <c r="EJ159" s="816"/>
      <c r="EK159" s="816"/>
      <c r="EL159" s="816"/>
      <c r="EM159" s="816"/>
      <c r="EN159" s="816"/>
      <c r="EO159" s="816"/>
      <c r="EP159" s="816"/>
      <c r="EQ159" s="816"/>
      <c r="ER159" s="816"/>
      <c r="ES159" s="816"/>
      <c r="ET159" s="816"/>
      <c r="EU159" s="816"/>
      <c r="EV159" s="816"/>
      <c r="EW159" s="816"/>
      <c r="EX159" s="816"/>
      <c r="EY159" s="816"/>
      <c r="EZ159" s="816"/>
      <c r="FA159" s="816"/>
      <c r="FB159" s="819"/>
      <c r="FC159" s="816"/>
      <c r="FD159" s="820"/>
      <c r="FE159" s="820"/>
      <c r="FF159" s="820"/>
      <c r="FG159" s="820"/>
      <c r="FH159" s="609"/>
      <c r="FI159" s="609"/>
      <c r="FJ159" s="816"/>
      <c r="FK159" s="816"/>
      <c r="FL159" s="816"/>
      <c r="FM159" s="816"/>
      <c r="FN159" s="816"/>
      <c r="FO159" s="816"/>
      <c r="FP159" s="816"/>
      <c r="FQ159" s="816"/>
      <c r="FR159" s="816"/>
      <c r="FS159" s="816"/>
      <c r="FT159" s="816"/>
      <c r="FU159" s="816"/>
      <c r="FV159" s="816"/>
      <c r="FW159" s="816"/>
      <c r="FX159" s="609"/>
      <c r="FY159" s="609"/>
      <c r="FZ159" s="816"/>
      <c r="GA159" s="816"/>
      <c r="GB159" s="609"/>
      <c r="GC159" s="609"/>
      <c r="GD159" s="609"/>
      <c r="GE159" s="816"/>
      <c r="GF159" s="816"/>
      <c r="GG159" s="609"/>
      <c r="GH159" s="609"/>
      <c r="GI159" s="816"/>
      <c r="GJ159" s="816"/>
      <c r="GK159" s="609"/>
      <c r="GL159" s="609"/>
      <c r="GM159" s="816"/>
      <c r="GN159" s="816"/>
      <c r="GO159" s="816"/>
      <c r="GP159" s="816"/>
      <c r="GQ159" s="816"/>
      <c r="GR159" s="816"/>
      <c r="GS159" s="609"/>
      <c r="GT159" s="609"/>
      <c r="GU159" s="816"/>
      <c r="GV159" s="816"/>
      <c r="GW159" s="609"/>
      <c r="GX159" s="609"/>
      <c r="GY159" s="816"/>
      <c r="GZ159" s="816"/>
      <c r="HA159" s="609"/>
      <c r="HB159" s="609"/>
      <c r="HC159" s="816"/>
      <c r="HD159" s="816"/>
      <c r="HE159" s="816"/>
      <c r="HF159" s="816"/>
      <c r="HG159" s="816"/>
      <c r="HH159" s="816"/>
      <c r="HI159" s="821"/>
      <c r="HJ159" s="609"/>
      <c r="HK159" s="816"/>
      <c r="HL159" s="816"/>
      <c r="HM159" s="822"/>
      <c r="HN159" s="609"/>
      <c r="HO159" s="816"/>
      <c r="HP159" s="816"/>
      <c r="HQ159" s="609"/>
      <c r="HR159" s="816"/>
      <c r="HS159" s="816"/>
      <c r="HT159" s="816"/>
      <c r="HU159" s="816"/>
      <c r="HV159" s="816"/>
      <c r="HW159" s="816"/>
      <c r="HX159" s="816"/>
      <c r="HY159" s="816"/>
      <c r="HZ159" s="816"/>
      <c r="IA159" s="816"/>
      <c r="IB159" s="816"/>
      <c r="IC159" s="823"/>
      <c r="ID159" s="824"/>
      <c r="IE159" s="825"/>
      <c r="IF159" s="825"/>
      <c r="IG159" s="816"/>
      <c r="II159" s="826"/>
      <c r="IJ159" s="826"/>
      <c r="IK159" s="826"/>
      <c r="IL159" s="826"/>
    </row>
    <row r="160" spans="2:246" s="780" customFormat="1">
      <c r="B160" s="609"/>
      <c r="C160" s="609"/>
      <c r="D160" s="609"/>
      <c r="E160" s="609"/>
      <c r="F160" s="609"/>
      <c r="G160" s="609"/>
      <c r="H160" s="609"/>
      <c r="I160" s="609"/>
      <c r="J160" s="609"/>
      <c r="K160" s="609"/>
      <c r="L160" s="609"/>
      <c r="M160" s="609"/>
      <c r="N160" s="609"/>
      <c r="O160" s="609"/>
      <c r="P160" s="609"/>
      <c r="Q160" s="609"/>
      <c r="R160" s="609"/>
      <c r="S160" s="609"/>
      <c r="T160" s="609"/>
      <c r="U160" s="609"/>
      <c r="V160" s="609"/>
      <c r="W160" s="609"/>
      <c r="X160" s="609"/>
      <c r="Y160" s="609"/>
      <c r="Z160" s="816"/>
      <c r="AA160" s="816"/>
      <c r="AB160" s="816"/>
      <c r="AC160" s="816"/>
      <c r="AD160" s="816"/>
      <c r="AE160" s="816"/>
      <c r="AF160" s="609"/>
      <c r="AG160" s="609"/>
      <c r="AH160" s="816"/>
      <c r="AI160" s="816"/>
      <c r="AJ160" s="609"/>
      <c r="AK160" s="609"/>
      <c r="AL160" s="816"/>
      <c r="AM160" s="816"/>
      <c r="AN160" s="816"/>
      <c r="AO160" s="816"/>
      <c r="AP160" s="816"/>
      <c r="AQ160" s="816"/>
      <c r="AR160" s="609"/>
      <c r="AS160" s="609"/>
      <c r="AT160" s="816"/>
      <c r="AU160" s="816"/>
      <c r="AV160" s="817"/>
      <c r="AW160" s="609"/>
      <c r="AX160" s="609"/>
      <c r="AY160" s="816"/>
      <c r="AZ160" s="816"/>
      <c r="BA160" s="816"/>
      <c r="BB160" s="816"/>
      <c r="BC160" s="816"/>
      <c r="BD160" s="816"/>
      <c r="BE160" s="816"/>
      <c r="BF160" s="816"/>
      <c r="BG160" s="816"/>
      <c r="BH160" s="816"/>
      <c r="BI160" s="816"/>
      <c r="BJ160" s="816"/>
      <c r="BK160" s="816"/>
      <c r="BL160" s="816"/>
      <c r="BM160" s="816"/>
      <c r="BN160" s="816"/>
      <c r="BO160" s="816"/>
      <c r="BP160" s="816"/>
      <c r="BQ160" s="816"/>
      <c r="BR160" s="816"/>
      <c r="BS160" s="816"/>
      <c r="BT160" s="609"/>
      <c r="BU160" s="609"/>
      <c r="BV160" s="609"/>
      <c r="BW160" s="818"/>
      <c r="BX160" s="816"/>
      <c r="BY160" s="816"/>
      <c r="BZ160" s="816"/>
      <c r="CA160" s="816"/>
      <c r="CB160" s="816"/>
      <c r="CC160" s="816"/>
      <c r="CD160" s="816"/>
      <c r="CE160" s="816"/>
      <c r="CF160" s="820"/>
      <c r="CG160" s="820"/>
      <c r="CH160" s="820"/>
      <c r="CI160" s="820"/>
      <c r="CJ160" s="609"/>
      <c r="CK160" s="609"/>
      <c r="CL160" s="816"/>
      <c r="CM160" s="816"/>
      <c r="CN160" s="609"/>
      <c r="CO160" s="609"/>
      <c r="CP160" s="816"/>
      <c r="CQ160" s="816"/>
      <c r="CR160" s="609"/>
      <c r="CS160" s="609"/>
      <c r="CT160" s="816"/>
      <c r="CU160" s="816"/>
      <c r="CV160" s="609"/>
      <c r="CW160" s="609"/>
      <c r="CX160" s="816"/>
      <c r="CY160" s="816"/>
      <c r="CZ160" s="816"/>
      <c r="DA160" s="816"/>
      <c r="DB160" s="816"/>
      <c r="DC160" s="816"/>
      <c r="DD160" s="816"/>
      <c r="DE160" s="816"/>
      <c r="DF160" s="816"/>
      <c r="DG160" s="816"/>
      <c r="DH160" s="816"/>
      <c r="DI160" s="816"/>
      <c r="DJ160" s="816"/>
      <c r="DK160" s="816"/>
      <c r="DL160" s="609"/>
      <c r="DM160" s="609"/>
      <c r="DN160" s="816"/>
      <c r="DO160" s="816"/>
      <c r="DP160" s="816"/>
      <c r="DQ160" s="816"/>
      <c r="DR160" s="816"/>
      <c r="DS160" s="816"/>
      <c r="DT160" s="816"/>
      <c r="DU160" s="816"/>
      <c r="DV160" s="816"/>
      <c r="DW160" s="816"/>
      <c r="DX160" s="816"/>
      <c r="DY160" s="816"/>
      <c r="DZ160" s="816"/>
      <c r="EA160" s="816"/>
      <c r="EB160" s="609"/>
      <c r="EC160" s="609"/>
      <c r="ED160" s="816"/>
      <c r="EE160" s="816"/>
      <c r="EF160" s="816"/>
      <c r="EG160" s="816"/>
      <c r="EH160" s="816"/>
      <c r="EI160" s="816"/>
      <c r="EJ160" s="816"/>
      <c r="EK160" s="816"/>
      <c r="EL160" s="816"/>
      <c r="EM160" s="816"/>
      <c r="EN160" s="816"/>
      <c r="EO160" s="816"/>
      <c r="EP160" s="816"/>
      <c r="EQ160" s="816"/>
      <c r="ER160" s="816"/>
      <c r="ES160" s="816"/>
      <c r="ET160" s="816"/>
      <c r="EU160" s="816"/>
      <c r="EV160" s="816"/>
      <c r="EW160" s="816"/>
      <c r="EX160" s="816"/>
      <c r="EY160" s="816"/>
      <c r="EZ160" s="816"/>
      <c r="FA160" s="816"/>
      <c r="FB160" s="819"/>
      <c r="FC160" s="816"/>
      <c r="FD160" s="820"/>
      <c r="FE160" s="820"/>
      <c r="FF160" s="820"/>
      <c r="FG160" s="820"/>
      <c r="FH160" s="609"/>
      <c r="FI160" s="609"/>
      <c r="FJ160" s="816"/>
      <c r="FK160" s="816"/>
      <c r="FL160" s="816"/>
      <c r="FM160" s="816"/>
      <c r="FN160" s="816"/>
      <c r="FO160" s="816"/>
      <c r="FP160" s="816"/>
      <c r="FQ160" s="816"/>
      <c r="FR160" s="816"/>
      <c r="FS160" s="816"/>
      <c r="FT160" s="816"/>
      <c r="FU160" s="816"/>
      <c r="FV160" s="816"/>
      <c r="FW160" s="816"/>
      <c r="FX160" s="609"/>
      <c r="FY160" s="609"/>
      <c r="FZ160" s="816"/>
      <c r="GA160" s="816"/>
      <c r="GB160" s="609"/>
      <c r="GC160" s="609"/>
      <c r="GD160" s="609"/>
      <c r="GE160" s="816"/>
      <c r="GF160" s="816"/>
      <c r="GG160" s="609"/>
      <c r="GH160" s="609"/>
      <c r="GI160" s="816"/>
      <c r="GJ160" s="816"/>
      <c r="GK160" s="609"/>
      <c r="GL160" s="609"/>
      <c r="GM160" s="816"/>
      <c r="GN160" s="816"/>
      <c r="GO160" s="816"/>
      <c r="GP160" s="816"/>
      <c r="GQ160" s="816"/>
      <c r="GR160" s="816"/>
      <c r="GS160" s="609"/>
      <c r="GT160" s="609"/>
      <c r="GU160" s="816"/>
      <c r="GV160" s="816"/>
      <c r="GW160" s="609"/>
      <c r="GX160" s="609"/>
      <c r="GY160" s="816"/>
      <c r="GZ160" s="816"/>
      <c r="HA160" s="609"/>
      <c r="HB160" s="609"/>
      <c r="HC160" s="816"/>
      <c r="HD160" s="816"/>
      <c r="HE160" s="816"/>
      <c r="HF160" s="816"/>
      <c r="HG160" s="816"/>
      <c r="HH160" s="816"/>
      <c r="HI160" s="821"/>
      <c r="HJ160" s="609"/>
      <c r="HK160" s="816"/>
      <c r="HL160" s="816"/>
      <c r="HM160" s="822"/>
      <c r="HN160" s="609"/>
      <c r="HO160" s="816"/>
      <c r="HP160" s="816"/>
      <c r="HQ160" s="609"/>
      <c r="HR160" s="816"/>
      <c r="HS160" s="816"/>
      <c r="HT160" s="816"/>
      <c r="HU160" s="816"/>
      <c r="HV160" s="816"/>
      <c r="HW160" s="816"/>
      <c r="HX160" s="816"/>
      <c r="HY160" s="816"/>
      <c r="HZ160" s="816"/>
      <c r="IA160" s="816"/>
      <c r="IB160" s="816"/>
      <c r="IC160" s="823"/>
      <c r="ID160" s="824"/>
      <c r="IE160" s="825"/>
      <c r="IF160" s="825"/>
      <c r="IG160" s="816"/>
      <c r="II160" s="826"/>
      <c r="IJ160" s="826"/>
      <c r="IK160" s="826"/>
      <c r="IL160" s="826"/>
    </row>
    <row r="161" spans="2:246" s="780" customFormat="1">
      <c r="B161" s="609"/>
      <c r="C161" s="609"/>
      <c r="D161" s="609"/>
      <c r="E161" s="609"/>
      <c r="F161" s="609"/>
      <c r="G161" s="609"/>
      <c r="H161" s="609"/>
      <c r="I161" s="609"/>
      <c r="J161" s="609"/>
      <c r="K161" s="609"/>
      <c r="L161" s="609"/>
      <c r="M161" s="609"/>
      <c r="N161" s="609"/>
      <c r="O161" s="609"/>
      <c r="P161" s="609"/>
      <c r="Q161" s="609"/>
      <c r="R161" s="609"/>
      <c r="S161" s="609"/>
      <c r="T161" s="609"/>
      <c r="U161" s="609"/>
      <c r="V161" s="609"/>
      <c r="W161" s="609"/>
      <c r="X161" s="609"/>
      <c r="Y161" s="609"/>
      <c r="Z161" s="816"/>
      <c r="AA161" s="816"/>
      <c r="AB161" s="816"/>
      <c r="AC161" s="816"/>
      <c r="AD161" s="816"/>
      <c r="AE161" s="816"/>
      <c r="AF161" s="609"/>
      <c r="AG161" s="609"/>
      <c r="AH161" s="816"/>
      <c r="AI161" s="816"/>
      <c r="AJ161" s="609"/>
      <c r="AK161" s="609"/>
      <c r="AL161" s="816"/>
      <c r="AM161" s="816"/>
      <c r="AN161" s="816"/>
      <c r="AO161" s="816"/>
      <c r="AP161" s="816"/>
      <c r="AQ161" s="816"/>
      <c r="AR161" s="609"/>
      <c r="AS161" s="609"/>
      <c r="AT161" s="816"/>
      <c r="AU161" s="816"/>
      <c r="AV161" s="817"/>
      <c r="AW161" s="609"/>
      <c r="AX161" s="609"/>
      <c r="AY161" s="816"/>
      <c r="AZ161" s="816"/>
      <c r="BA161" s="816"/>
      <c r="BB161" s="816"/>
      <c r="BC161" s="816"/>
      <c r="BD161" s="816"/>
      <c r="BE161" s="816"/>
      <c r="BF161" s="816"/>
      <c r="BG161" s="816"/>
      <c r="BH161" s="816"/>
      <c r="BI161" s="816"/>
      <c r="BJ161" s="816"/>
      <c r="BK161" s="816"/>
      <c r="BL161" s="816"/>
      <c r="BM161" s="816"/>
      <c r="BN161" s="816"/>
      <c r="BO161" s="816"/>
      <c r="BP161" s="816"/>
      <c r="BQ161" s="816"/>
      <c r="BR161" s="816"/>
      <c r="BS161" s="816"/>
      <c r="BT161" s="609"/>
      <c r="BU161" s="609"/>
      <c r="BV161" s="609"/>
      <c r="BW161" s="818"/>
      <c r="BX161" s="816"/>
      <c r="BY161" s="816"/>
      <c r="BZ161" s="816"/>
      <c r="CA161" s="816"/>
      <c r="CB161" s="816"/>
      <c r="CC161" s="816"/>
      <c r="CD161" s="816"/>
      <c r="CE161" s="816"/>
      <c r="CF161" s="820"/>
      <c r="CG161" s="820"/>
      <c r="CH161" s="820"/>
      <c r="CI161" s="820"/>
      <c r="CJ161" s="609"/>
      <c r="CK161" s="609"/>
      <c r="CL161" s="816"/>
      <c r="CM161" s="816"/>
      <c r="CN161" s="609"/>
      <c r="CO161" s="609"/>
      <c r="CP161" s="816"/>
      <c r="CQ161" s="816"/>
      <c r="CR161" s="609"/>
      <c r="CS161" s="609"/>
      <c r="CT161" s="816"/>
      <c r="CU161" s="816"/>
      <c r="CV161" s="609"/>
      <c r="CW161" s="609"/>
      <c r="CX161" s="816"/>
      <c r="CY161" s="816"/>
      <c r="CZ161" s="816"/>
      <c r="DA161" s="816"/>
      <c r="DB161" s="816"/>
      <c r="DC161" s="816"/>
      <c r="DD161" s="816"/>
      <c r="DE161" s="816"/>
      <c r="DF161" s="816"/>
      <c r="DG161" s="816"/>
      <c r="DH161" s="816"/>
      <c r="DI161" s="816"/>
      <c r="DJ161" s="816"/>
      <c r="DK161" s="816"/>
      <c r="DL161" s="609"/>
      <c r="DM161" s="609"/>
      <c r="DN161" s="816"/>
      <c r="DO161" s="816"/>
      <c r="DP161" s="816"/>
      <c r="DQ161" s="816"/>
      <c r="DR161" s="816"/>
      <c r="DS161" s="816"/>
      <c r="DT161" s="816"/>
      <c r="DU161" s="816"/>
      <c r="DV161" s="816"/>
      <c r="DW161" s="816"/>
      <c r="DX161" s="816"/>
      <c r="DY161" s="816"/>
      <c r="DZ161" s="816"/>
      <c r="EA161" s="816"/>
      <c r="EB161" s="609"/>
      <c r="EC161" s="609"/>
      <c r="ED161" s="816"/>
      <c r="EE161" s="816"/>
      <c r="EF161" s="816"/>
      <c r="EG161" s="816"/>
      <c r="EH161" s="816"/>
      <c r="EI161" s="816"/>
      <c r="EJ161" s="816"/>
      <c r="EK161" s="816"/>
      <c r="EL161" s="816"/>
      <c r="EM161" s="816"/>
      <c r="EN161" s="816"/>
      <c r="EO161" s="816"/>
      <c r="EP161" s="816"/>
      <c r="EQ161" s="816"/>
      <c r="ER161" s="816"/>
      <c r="ES161" s="816"/>
      <c r="ET161" s="816"/>
      <c r="EU161" s="816"/>
      <c r="EV161" s="816"/>
      <c r="EW161" s="816"/>
      <c r="EX161" s="816"/>
      <c r="EY161" s="816"/>
      <c r="EZ161" s="816"/>
      <c r="FA161" s="816"/>
      <c r="FB161" s="819"/>
      <c r="FC161" s="816"/>
      <c r="FD161" s="820"/>
      <c r="FE161" s="820"/>
      <c r="FF161" s="820"/>
      <c r="FG161" s="820"/>
      <c r="FH161" s="609"/>
      <c r="FI161" s="609"/>
      <c r="FJ161" s="816"/>
      <c r="FK161" s="816"/>
      <c r="FL161" s="816"/>
      <c r="FM161" s="816"/>
      <c r="FN161" s="816"/>
      <c r="FO161" s="816"/>
      <c r="FP161" s="816"/>
      <c r="FQ161" s="816"/>
      <c r="FR161" s="816"/>
      <c r="FS161" s="816"/>
      <c r="FT161" s="816"/>
      <c r="FU161" s="816"/>
      <c r="FV161" s="816"/>
      <c r="FW161" s="816"/>
      <c r="FX161" s="609"/>
      <c r="FY161" s="609"/>
      <c r="FZ161" s="816"/>
      <c r="GA161" s="816"/>
      <c r="GB161" s="609"/>
      <c r="GC161" s="609"/>
      <c r="GD161" s="609"/>
      <c r="GE161" s="816"/>
      <c r="GF161" s="816"/>
      <c r="GG161" s="609"/>
      <c r="GH161" s="609"/>
      <c r="GI161" s="816"/>
      <c r="GJ161" s="816"/>
      <c r="GK161" s="609"/>
      <c r="GL161" s="609"/>
      <c r="GM161" s="816"/>
      <c r="GN161" s="816"/>
      <c r="GO161" s="816"/>
      <c r="GP161" s="816"/>
      <c r="GQ161" s="816"/>
      <c r="GR161" s="816"/>
      <c r="GS161" s="609"/>
      <c r="GT161" s="609"/>
      <c r="GU161" s="816"/>
      <c r="GV161" s="816"/>
      <c r="GW161" s="609"/>
      <c r="GX161" s="609"/>
      <c r="GY161" s="816"/>
      <c r="GZ161" s="816"/>
      <c r="HA161" s="609"/>
      <c r="HB161" s="609"/>
      <c r="HC161" s="816"/>
      <c r="HD161" s="816"/>
      <c r="HE161" s="816"/>
      <c r="HF161" s="816"/>
      <c r="HG161" s="816"/>
      <c r="HH161" s="816"/>
      <c r="HI161" s="821"/>
      <c r="HJ161" s="609"/>
      <c r="HK161" s="816"/>
      <c r="HL161" s="816"/>
      <c r="HM161" s="822"/>
      <c r="HN161" s="609"/>
      <c r="HO161" s="816"/>
      <c r="HP161" s="816"/>
      <c r="HQ161" s="609"/>
      <c r="HR161" s="816"/>
      <c r="HS161" s="816"/>
      <c r="HT161" s="816"/>
      <c r="HU161" s="816"/>
      <c r="HV161" s="816"/>
      <c r="HW161" s="816"/>
      <c r="HX161" s="816"/>
      <c r="HY161" s="816"/>
      <c r="HZ161" s="816"/>
      <c r="IA161" s="816"/>
      <c r="IB161" s="816"/>
      <c r="IC161" s="823"/>
      <c r="ID161" s="824"/>
      <c r="IE161" s="825"/>
      <c r="IF161" s="825"/>
      <c r="IG161" s="816"/>
      <c r="II161" s="826"/>
      <c r="IJ161" s="826"/>
      <c r="IK161" s="826"/>
      <c r="IL161" s="826"/>
    </row>
    <row r="162" spans="2:246" s="780" customFormat="1">
      <c r="B162" s="609"/>
      <c r="C162" s="609"/>
      <c r="D162" s="609"/>
      <c r="E162" s="609"/>
      <c r="F162" s="609"/>
      <c r="G162" s="609"/>
      <c r="H162" s="609"/>
      <c r="I162" s="609"/>
      <c r="J162" s="609"/>
      <c r="K162" s="609"/>
      <c r="L162" s="609"/>
      <c r="M162" s="609"/>
      <c r="N162" s="609"/>
      <c r="O162" s="609"/>
      <c r="P162" s="609"/>
      <c r="Q162" s="609"/>
      <c r="R162" s="609"/>
      <c r="S162" s="609"/>
      <c r="T162" s="609"/>
      <c r="U162" s="609"/>
      <c r="V162" s="609"/>
      <c r="W162" s="609"/>
      <c r="X162" s="609"/>
      <c r="Y162" s="609"/>
      <c r="Z162" s="816"/>
      <c r="AA162" s="816"/>
      <c r="AB162" s="816"/>
      <c r="AC162" s="816"/>
      <c r="AD162" s="816"/>
      <c r="AE162" s="816"/>
      <c r="AF162" s="609"/>
      <c r="AG162" s="609"/>
      <c r="AH162" s="816"/>
      <c r="AI162" s="816"/>
      <c r="AJ162" s="609"/>
      <c r="AK162" s="609"/>
      <c r="AL162" s="816"/>
      <c r="AM162" s="816"/>
      <c r="AN162" s="816"/>
      <c r="AO162" s="816"/>
      <c r="AP162" s="816"/>
      <c r="AQ162" s="816"/>
      <c r="AR162" s="609"/>
      <c r="AS162" s="609"/>
      <c r="AT162" s="816"/>
      <c r="AU162" s="816"/>
      <c r="AV162" s="817"/>
      <c r="AW162" s="609"/>
      <c r="AX162" s="609"/>
      <c r="AY162" s="816"/>
      <c r="AZ162" s="816"/>
      <c r="BA162" s="816"/>
      <c r="BB162" s="816"/>
      <c r="BC162" s="816"/>
      <c r="BD162" s="816"/>
      <c r="BE162" s="816"/>
      <c r="BF162" s="816"/>
      <c r="BG162" s="816"/>
      <c r="BH162" s="816"/>
      <c r="BI162" s="816"/>
      <c r="BJ162" s="816"/>
      <c r="BK162" s="816"/>
      <c r="BL162" s="816"/>
      <c r="BM162" s="816"/>
      <c r="BN162" s="816"/>
      <c r="BO162" s="816"/>
      <c r="BP162" s="816"/>
      <c r="BQ162" s="816"/>
      <c r="BR162" s="816"/>
      <c r="BS162" s="816"/>
      <c r="BT162" s="609"/>
      <c r="BU162" s="609"/>
      <c r="BV162" s="609"/>
      <c r="BW162" s="818"/>
      <c r="BX162" s="816"/>
      <c r="BY162" s="816"/>
      <c r="BZ162" s="816"/>
      <c r="CA162" s="816"/>
      <c r="CB162" s="816"/>
      <c r="CC162" s="816"/>
      <c r="CD162" s="816"/>
      <c r="CE162" s="816"/>
      <c r="CF162" s="820"/>
      <c r="CG162" s="820"/>
      <c r="CH162" s="820"/>
      <c r="CI162" s="820"/>
      <c r="CJ162" s="609"/>
      <c r="CK162" s="609"/>
      <c r="CL162" s="816"/>
      <c r="CM162" s="816"/>
      <c r="CN162" s="609"/>
      <c r="CO162" s="609"/>
      <c r="CP162" s="816"/>
      <c r="CQ162" s="816"/>
      <c r="CR162" s="609"/>
      <c r="CS162" s="609"/>
      <c r="CT162" s="816"/>
      <c r="CU162" s="816"/>
      <c r="CV162" s="609"/>
      <c r="CW162" s="609"/>
      <c r="CX162" s="816"/>
      <c r="CY162" s="816"/>
      <c r="CZ162" s="816"/>
      <c r="DA162" s="816"/>
      <c r="DB162" s="816"/>
      <c r="DC162" s="816"/>
      <c r="DD162" s="816"/>
      <c r="DE162" s="816"/>
      <c r="DF162" s="816"/>
      <c r="DG162" s="816"/>
      <c r="DH162" s="816"/>
      <c r="DI162" s="816"/>
      <c r="DJ162" s="816"/>
      <c r="DK162" s="816"/>
      <c r="DL162" s="609"/>
      <c r="DM162" s="609"/>
      <c r="DN162" s="816"/>
      <c r="DO162" s="816"/>
      <c r="DP162" s="816"/>
      <c r="DQ162" s="816"/>
      <c r="DR162" s="816"/>
      <c r="DS162" s="816"/>
      <c r="DT162" s="816"/>
      <c r="DU162" s="816"/>
      <c r="DV162" s="816"/>
      <c r="DW162" s="816"/>
      <c r="DX162" s="816"/>
      <c r="DY162" s="816"/>
      <c r="DZ162" s="816"/>
      <c r="EA162" s="816"/>
      <c r="EB162" s="609"/>
      <c r="EC162" s="609"/>
      <c r="ED162" s="816"/>
      <c r="EE162" s="816"/>
      <c r="EF162" s="816"/>
      <c r="EG162" s="816"/>
      <c r="EH162" s="816"/>
      <c r="EI162" s="816"/>
      <c r="EJ162" s="816"/>
      <c r="EK162" s="816"/>
      <c r="EL162" s="816"/>
      <c r="EM162" s="816"/>
      <c r="EN162" s="816"/>
      <c r="EO162" s="816"/>
      <c r="EP162" s="816"/>
      <c r="EQ162" s="816"/>
      <c r="ER162" s="816"/>
      <c r="ES162" s="816"/>
      <c r="ET162" s="816"/>
      <c r="EU162" s="816"/>
      <c r="EV162" s="816"/>
      <c r="EW162" s="816"/>
      <c r="EX162" s="816"/>
      <c r="EY162" s="816"/>
      <c r="EZ162" s="816"/>
      <c r="FA162" s="816"/>
      <c r="FB162" s="819"/>
      <c r="FC162" s="816"/>
      <c r="FD162" s="820"/>
      <c r="FE162" s="820"/>
      <c r="FF162" s="820"/>
      <c r="FG162" s="820"/>
      <c r="FH162" s="609"/>
      <c r="FI162" s="609"/>
      <c r="FJ162" s="816"/>
      <c r="FK162" s="816"/>
      <c r="FL162" s="816"/>
      <c r="FM162" s="816"/>
      <c r="FN162" s="816"/>
      <c r="FO162" s="816"/>
      <c r="FP162" s="816"/>
      <c r="FQ162" s="816"/>
      <c r="FR162" s="816"/>
      <c r="FS162" s="816"/>
      <c r="FT162" s="816"/>
      <c r="FU162" s="816"/>
      <c r="FV162" s="816"/>
      <c r="FW162" s="816"/>
      <c r="FX162" s="609"/>
      <c r="FY162" s="609"/>
      <c r="FZ162" s="816"/>
      <c r="GA162" s="816"/>
      <c r="GB162" s="609"/>
      <c r="GC162" s="609"/>
      <c r="GD162" s="609"/>
      <c r="GE162" s="816"/>
      <c r="GF162" s="816"/>
      <c r="GG162" s="609"/>
      <c r="GH162" s="609"/>
      <c r="GI162" s="816"/>
      <c r="GJ162" s="816"/>
      <c r="GK162" s="609"/>
      <c r="GL162" s="609"/>
      <c r="GM162" s="816"/>
      <c r="GN162" s="816"/>
      <c r="GO162" s="816"/>
      <c r="GP162" s="816"/>
      <c r="GQ162" s="816"/>
      <c r="GR162" s="816"/>
      <c r="GS162" s="609"/>
      <c r="GT162" s="609"/>
      <c r="GU162" s="816"/>
      <c r="GV162" s="816"/>
      <c r="GW162" s="609"/>
      <c r="GX162" s="609"/>
      <c r="GY162" s="816"/>
      <c r="GZ162" s="816"/>
      <c r="HA162" s="609"/>
      <c r="HB162" s="609"/>
      <c r="HC162" s="816"/>
      <c r="HD162" s="816"/>
      <c r="HE162" s="816"/>
      <c r="HF162" s="816"/>
      <c r="HG162" s="816"/>
      <c r="HH162" s="816"/>
      <c r="HI162" s="821"/>
      <c r="HJ162" s="609"/>
      <c r="HK162" s="816"/>
      <c r="HL162" s="816"/>
      <c r="HM162" s="822"/>
      <c r="HN162" s="609"/>
      <c r="HO162" s="816"/>
      <c r="HP162" s="816"/>
      <c r="HQ162" s="609"/>
      <c r="HR162" s="816"/>
      <c r="HS162" s="816"/>
      <c r="HT162" s="816"/>
      <c r="HU162" s="816"/>
      <c r="HV162" s="816"/>
      <c r="HW162" s="816"/>
      <c r="HX162" s="816"/>
      <c r="HY162" s="816"/>
      <c r="HZ162" s="816"/>
      <c r="IA162" s="816"/>
      <c r="IB162" s="816"/>
      <c r="IC162" s="823"/>
      <c r="ID162" s="824"/>
      <c r="IE162" s="825"/>
      <c r="IF162" s="825"/>
      <c r="IG162" s="816"/>
      <c r="II162" s="826"/>
      <c r="IJ162" s="826"/>
      <c r="IK162" s="826"/>
      <c r="IL162" s="826"/>
    </row>
    <row r="163" spans="2:246" s="780" customFormat="1">
      <c r="B163" s="609"/>
      <c r="C163" s="609"/>
      <c r="D163" s="609"/>
      <c r="E163" s="609"/>
      <c r="F163" s="609"/>
      <c r="G163" s="609"/>
      <c r="H163" s="609"/>
      <c r="I163" s="609"/>
      <c r="J163" s="609"/>
      <c r="K163" s="609"/>
      <c r="L163" s="609"/>
      <c r="M163" s="609"/>
      <c r="N163" s="609"/>
      <c r="O163" s="609"/>
      <c r="P163" s="609"/>
      <c r="Q163" s="609"/>
      <c r="R163" s="609"/>
      <c r="S163" s="609"/>
      <c r="T163" s="609"/>
      <c r="U163" s="609"/>
      <c r="V163" s="609"/>
      <c r="W163" s="609"/>
      <c r="X163" s="609"/>
      <c r="Y163" s="609"/>
      <c r="Z163" s="816"/>
      <c r="AA163" s="816"/>
      <c r="AB163" s="816"/>
      <c r="AC163" s="816"/>
      <c r="AD163" s="816"/>
      <c r="AE163" s="816"/>
      <c r="AF163" s="609"/>
      <c r="AG163" s="609"/>
      <c r="AH163" s="816"/>
      <c r="AI163" s="816"/>
      <c r="AJ163" s="609"/>
      <c r="AK163" s="609"/>
      <c r="AL163" s="816"/>
      <c r="AM163" s="816"/>
      <c r="AN163" s="816"/>
      <c r="AO163" s="816"/>
      <c r="AP163" s="816"/>
      <c r="AQ163" s="816"/>
      <c r="AR163" s="609"/>
      <c r="AS163" s="609"/>
      <c r="AT163" s="816"/>
      <c r="AU163" s="816"/>
      <c r="AV163" s="817"/>
      <c r="AW163" s="609"/>
      <c r="AX163" s="609"/>
      <c r="AY163" s="816"/>
      <c r="AZ163" s="816"/>
      <c r="BA163" s="816"/>
      <c r="BB163" s="816"/>
      <c r="BC163" s="816"/>
      <c r="BD163" s="816"/>
      <c r="BE163" s="816"/>
      <c r="BF163" s="816"/>
      <c r="BG163" s="816"/>
      <c r="BH163" s="816"/>
      <c r="BI163" s="816"/>
      <c r="BJ163" s="816"/>
      <c r="BK163" s="816"/>
      <c r="BL163" s="816"/>
      <c r="BM163" s="816"/>
      <c r="BN163" s="816"/>
      <c r="BO163" s="816"/>
      <c r="BP163" s="816"/>
      <c r="BQ163" s="816"/>
      <c r="BR163" s="816"/>
      <c r="BS163" s="816"/>
      <c r="BT163" s="609"/>
      <c r="BU163" s="609"/>
      <c r="BV163" s="609"/>
      <c r="BW163" s="818"/>
      <c r="BX163" s="816"/>
      <c r="BY163" s="816"/>
      <c r="BZ163" s="816"/>
      <c r="CA163" s="816"/>
      <c r="CB163" s="816"/>
      <c r="CC163" s="816"/>
      <c r="CD163" s="816"/>
      <c r="CE163" s="816"/>
      <c r="CF163" s="820"/>
      <c r="CG163" s="820"/>
      <c r="CH163" s="820"/>
      <c r="CI163" s="820"/>
      <c r="CJ163" s="609"/>
      <c r="CK163" s="609"/>
      <c r="CL163" s="816"/>
      <c r="CM163" s="816"/>
      <c r="CN163" s="609"/>
      <c r="CO163" s="609"/>
      <c r="CP163" s="816"/>
      <c r="CQ163" s="816"/>
      <c r="CR163" s="609"/>
      <c r="CS163" s="609"/>
      <c r="CT163" s="816"/>
      <c r="CU163" s="816"/>
      <c r="CV163" s="609"/>
      <c r="CW163" s="609"/>
      <c r="CX163" s="816"/>
      <c r="CY163" s="816"/>
      <c r="CZ163" s="816"/>
      <c r="DA163" s="816"/>
      <c r="DB163" s="816"/>
      <c r="DC163" s="816"/>
      <c r="DD163" s="816"/>
      <c r="DE163" s="816"/>
      <c r="DF163" s="816"/>
      <c r="DG163" s="816"/>
      <c r="DH163" s="816"/>
      <c r="DI163" s="816"/>
      <c r="DJ163" s="816"/>
      <c r="DK163" s="816"/>
      <c r="DL163" s="609"/>
      <c r="DM163" s="609"/>
      <c r="DN163" s="816"/>
      <c r="DO163" s="816"/>
      <c r="DP163" s="816"/>
      <c r="DQ163" s="816"/>
      <c r="DR163" s="816"/>
      <c r="DS163" s="816"/>
      <c r="DT163" s="816"/>
      <c r="DU163" s="816"/>
      <c r="DV163" s="816"/>
      <c r="DW163" s="816"/>
      <c r="DX163" s="816"/>
      <c r="DY163" s="816"/>
      <c r="DZ163" s="816"/>
      <c r="EA163" s="816"/>
      <c r="EB163" s="609"/>
      <c r="EC163" s="609"/>
      <c r="ED163" s="816"/>
      <c r="EE163" s="816"/>
      <c r="EF163" s="816"/>
      <c r="EG163" s="816"/>
      <c r="EH163" s="816"/>
      <c r="EI163" s="816"/>
      <c r="EJ163" s="816"/>
      <c r="EK163" s="816"/>
      <c r="EL163" s="816"/>
      <c r="EM163" s="816"/>
      <c r="EN163" s="816"/>
      <c r="EO163" s="816"/>
      <c r="EP163" s="816"/>
      <c r="EQ163" s="816"/>
      <c r="ER163" s="816"/>
      <c r="ES163" s="816"/>
      <c r="ET163" s="816"/>
      <c r="EU163" s="816"/>
      <c r="EV163" s="816"/>
      <c r="EW163" s="816"/>
      <c r="EX163" s="816"/>
      <c r="EY163" s="816"/>
      <c r="EZ163" s="816"/>
      <c r="FA163" s="816"/>
      <c r="FB163" s="819"/>
      <c r="FC163" s="816"/>
      <c r="FD163" s="820"/>
      <c r="FE163" s="820"/>
      <c r="FF163" s="820"/>
      <c r="FG163" s="820"/>
      <c r="FH163" s="609"/>
      <c r="FI163" s="609"/>
      <c r="FJ163" s="816"/>
      <c r="FK163" s="816"/>
      <c r="FL163" s="816"/>
      <c r="FM163" s="816"/>
      <c r="FN163" s="816"/>
      <c r="FO163" s="816"/>
      <c r="FP163" s="816"/>
      <c r="FQ163" s="816"/>
      <c r="FR163" s="816"/>
      <c r="FS163" s="816"/>
      <c r="FT163" s="816"/>
      <c r="FU163" s="816"/>
      <c r="FV163" s="816"/>
      <c r="FW163" s="816"/>
      <c r="FX163" s="609"/>
      <c r="FY163" s="609"/>
      <c r="FZ163" s="816"/>
      <c r="GA163" s="816"/>
      <c r="GB163" s="609"/>
      <c r="GC163" s="609"/>
      <c r="GD163" s="609"/>
      <c r="GE163" s="816"/>
      <c r="GF163" s="816"/>
      <c r="GG163" s="609"/>
      <c r="GH163" s="609"/>
      <c r="GI163" s="816"/>
      <c r="GJ163" s="816"/>
      <c r="GK163" s="609"/>
      <c r="GL163" s="609"/>
      <c r="GM163" s="816"/>
      <c r="GN163" s="816"/>
      <c r="GO163" s="816"/>
      <c r="GP163" s="816"/>
      <c r="GQ163" s="816"/>
      <c r="GR163" s="816"/>
      <c r="GS163" s="609"/>
      <c r="GT163" s="609"/>
      <c r="GU163" s="816"/>
      <c r="GV163" s="816"/>
      <c r="GW163" s="609"/>
      <c r="GX163" s="609"/>
      <c r="GY163" s="816"/>
      <c r="GZ163" s="816"/>
      <c r="HA163" s="609"/>
      <c r="HB163" s="609"/>
      <c r="HC163" s="816"/>
      <c r="HD163" s="816"/>
      <c r="HE163" s="816"/>
      <c r="HF163" s="816"/>
      <c r="HG163" s="816"/>
      <c r="HH163" s="816"/>
      <c r="HI163" s="821"/>
      <c r="HJ163" s="609"/>
      <c r="HK163" s="816"/>
      <c r="HL163" s="816"/>
      <c r="HM163" s="822"/>
      <c r="HN163" s="609"/>
      <c r="HO163" s="816"/>
      <c r="HP163" s="816"/>
      <c r="HQ163" s="609"/>
      <c r="HR163" s="816"/>
      <c r="HS163" s="816"/>
      <c r="HT163" s="816"/>
      <c r="HU163" s="816"/>
      <c r="HV163" s="816"/>
      <c r="HW163" s="816"/>
      <c r="HX163" s="816"/>
      <c r="HY163" s="816"/>
      <c r="HZ163" s="816"/>
      <c r="IA163" s="816"/>
      <c r="IB163" s="816"/>
      <c r="IC163" s="823"/>
      <c r="ID163" s="824"/>
      <c r="IE163" s="825"/>
      <c r="IF163" s="825"/>
      <c r="IG163" s="816"/>
      <c r="II163" s="826"/>
      <c r="IJ163" s="826"/>
      <c r="IK163" s="826"/>
      <c r="IL163" s="826"/>
    </row>
    <row r="164" spans="2:246" s="780" customFormat="1">
      <c r="B164" s="609"/>
      <c r="C164" s="609"/>
      <c r="D164" s="609"/>
      <c r="E164" s="609"/>
      <c r="F164" s="609"/>
      <c r="G164" s="609"/>
      <c r="H164" s="609"/>
      <c r="I164" s="609"/>
      <c r="J164" s="609"/>
      <c r="K164" s="609"/>
      <c r="L164" s="609"/>
      <c r="M164" s="609"/>
      <c r="N164" s="609"/>
      <c r="O164" s="609"/>
      <c r="P164" s="609"/>
      <c r="Q164" s="609"/>
      <c r="R164" s="609"/>
      <c r="S164" s="609"/>
      <c r="T164" s="609"/>
      <c r="U164" s="609"/>
      <c r="V164" s="609"/>
      <c r="W164" s="609"/>
      <c r="X164" s="609"/>
      <c r="Y164" s="609"/>
      <c r="Z164" s="816"/>
      <c r="AA164" s="816"/>
      <c r="AB164" s="816"/>
      <c r="AC164" s="816"/>
      <c r="AD164" s="816"/>
      <c r="AE164" s="816"/>
      <c r="AF164" s="609"/>
      <c r="AG164" s="609"/>
      <c r="AH164" s="816"/>
      <c r="AI164" s="816"/>
      <c r="AJ164" s="609"/>
      <c r="AK164" s="609"/>
      <c r="AL164" s="816"/>
      <c r="AM164" s="816"/>
      <c r="AN164" s="816"/>
      <c r="AO164" s="816"/>
      <c r="AP164" s="816"/>
      <c r="AQ164" s="816"/>
      <c r="AR164" s="609"/>
      <c r="AS164" s="609"/>
      <c r="AT164" s="816"/>
      <c r="AU164" s="816"/>
      <c r="AV164" s="817"/>
      <c r="AW164" s="609"/>
      <c r="AX164" s="609"/>
      <c r="AY164" s="816"/>
      <c r="AZ164" s="816"/>
      <c r="BA164" s="816"/>
      <c r="BB164" s="816"/>
      <c r="BC164" s="816"/>
      <c r="BD164" s="816"/>
      <c r="BE164" s="816"/>
      <c r="BF164" s="816"/>
      <c r="BG164" s="816"/>
      <c r="BH164" s="816"/>
      <c r="BI164" s="816"/>
      <c r="BJ164" s="816"/>
      <c r="BK164" s="816"/>
      <c r="BL164" s="816"/>
      <c r="BM164" s="816"/>
      <c r="BN164" s="816"/>
      <c r="BO164" s="816"/>
      <c r="BP164" s="816"/>
      <c r="BQ164" s="816"/>
      <c r="BR164" s="816"/>
      <c r="BS164" s="816"/>
      <c r="BT164" s="609"/>
      <c r="BU164" s="609"/>
      <c r="BV164" s="609"/>
      <c r="BW164" s="818"/>
      <c r="BX164" s="816"/>
      <c r="BY164" s="816"/>
      <c r="BZ164" s="816"/>
      <c r="CA164" s="816"/>
      <c r="CB164" s="816"/>
      <c r="CC164" s="816"/>
      <c r="CD164" s="816"/>
      <c r="CE164" s="816"/>
      <c r="CF164" s="820"/>
      <c r="CG164" s="820"/>
      <c r="CH164" s="820"/>
      <c r="CI164" s="820"/>
      <c r="CJ164" s="609"/>
      <c r="CK164" s="609"/>
      <c r="CL164" s="816"/>
      <c r="CM164" s="816"/>
      <c r="CN164" s="609"/>
      <c r="CO164" s="609"/>
      <c r="CP164" s="816"/>
      <c r="CQ164" s="816"/>
      <c r="CR164" s="609"/>
      <c r="CS164" s="609"/>
      <c r="CT164" s="816"/>
      <c r="CU164" s="816"/>
      <c r="CV164" s="609"/>
      <c r="CW164" s="609"/>
      <c r="CX164" s="816"/>
      <c r="CY164" s="816"/>
      <c r="CZ164" s="816"/>
      <c r="DA164" s="816"/>
      <c r="DB164" s="816"/>
      <c r="DC164" s="816"/>
      <c r="DD164" s="816"/>
      <c r="DE164" s="816"/>
      <c r="DF164" s="816"/>
      <c r="DG164" s="816"/>
      <c r="DH164" s="816"/>
      <c r="DI164" s="816"/>
      <c r="DJ164" s="816"/>
      <c r="DK164" s="816"/>
      <c r="DL164" s="609"/>
      <c r="DM164" s="609"/>
      <c r="DN164" s="816"/>
      <c r="DO164" s="816"/>
      <c r="DP164" s="816"/>
      <c r="DQ164" s="816"/>
      <c r="DR164" s="816"/>
      <c r="DS164" s="816"/>
      <c r="DT164" s="816"/>
      <c r="DU164" s="816"/>
      <c r="DV164" s="816"/>
      <c r="DW164" s="816"/>
      <c r="DX164" s="816"/>
      <c r="DY164" s="816"/>
      <c r="DZ164" s="816"/>
      <c r="EA164" s="816"/>
      <c r="EB164" s="609"/>
      <c r="EC164" s="609"/>
      <c r="ED164" s="816"/>
      <c r="EE164" s="816"/>
      <c r="EF164" s="816"/>
      <c r="EG164" s="816"/>
      <c r="EH164" s="816"/>
      <c r="EI164" s="816"/>
      <c r="EJ164" s="816"/>
      <c r="EK164" s="816"/>
      <c r="EL164" s="816"/>
      <c r="EM164" s="816"/>
      <c r="EN164" s="816"/>
      <c r="EO164" s="816"/>
      <c r="EP164" s="816"/>
      <c r="EQ164" s="816"/>
      <c r="ER164" s="816"/>
      <c r="ES164" s="816"/>
      <c r="ET164" s="816"/>
      <c r="EU164" s="816"/>
      <c r="EV164" s="816"/>
      <c r="EW164" s="816"/>
      <c r="EX164" s="816"/>
      <c r="EY164" s="816"/>
      <c r="EZ164" s="816"/>
      <c r="FA164" s="816"/>
      <c r="FB164" s="819"/>
      <c r="FC164" s="816"/>
      <c r="FD164" s="820"/>
      <c r="FE164" s="820"/>
      <c r="FF164" s="820"/>
      <c r="FG164" s="820"/>
      <c r="FH164" s="609"/>
      <c r="FI164" s="609"/>
      <c r="FJ164" s="816"/>
      <c r="FK164" s="816"/>
      <c r="FL164" s="816"/>
      <c r="FM164" s="816"/>
      <c r="FN164" s="816"/>
      <c r="FO164" s="816"/>
      <c r="FP164" s="816"/>
      <c r="FQ164" s="816"/>
      <c r="FR164" s="816"/>
      <c r="FS164" s="816"/>
      <c r="FT164" s="816"/>
      <c r="FU164" s="816"/>
      <c r="FV164" s="816"/>
      <c r="FW164" s="816"/>
      <c r="FX164" s="609"/>
      <c r="FY164" s="609"/>
      <c r="FZ164" s="816"/>
      <c r="GA164" s="816"/>
      <c r="GB164" s="609"/>
      <c r="GC164" s="609"/>
      <c r="GD164" s="609"/>
      <c r="GE164" s="816"/>
      <c r="GF164" s="816"/>
      <c r="GG164" s="609"/>
      <c r="GH164" s="609"/>
      <c r="GI164" s="816"/>
      <c r="GJ164" s="816"/>
      <c r="GK164" s="609"/>
      <c r="GL164" s="609"/>
      <c r="GM164" s="816"/>
      <c r="GN164" s="816"/>
      <c r="GO164" s="816"/>
      <c r="GP164" s="816"/>
      <c r="GQ164" s="816"/>
      <c r="GR164" s="816"/>
      <c r="GS164" s="609"/>
      <c r="GT164" s="609"/>
      <c r="GU164" s="816"/>
      <c r="GV164" s="816"/>
      <c r="GW164" s="609"/>
      <c r="GX164" s="609"/>
      <c r="GY164" s="816"/>
      <c r="GZ164" s="816"/>
      <c r="HA164" s="609"/>
      <c r="HB164" s="609"/>
      <c r="HC164" s="816"/>
      <c r="HD164" s="816"/>
      <c r="HE164" s="816"/>
      <c r="HF164" s="816"/>
      <c r="HG164" s="816"/>
      <c r="HH164" s="816"/>
      <c r="HI164" s="821"/>
      <c r="HJ164" s="609"/>
      <c r="HK164" s="816"/>
      <c r="HL164" s="816"/>
      <c r="HM164" s="822"/>
      <c r="HN164" s="609"/>
      <c r="HO164" s="816"/>
      <c r="HP164" s="816"/>
      <c r="HQ164" s="609"/>
      <c r="HR164" s="816"/>
      <c r="HS164" s="816"/>
      <c r="HT164" s="816"/>
      <c r="HU164" s="816"/>
      <c r="HV164" s="816"/>
      <c r="HW164" s="816"/>
      <c r="HX164" s="816"/>
      <c r="HY164" s="816"/>
      <c r="HZ164" s="816"/>
      <c r="IA164" s="816"/>
      <c r="IB164" s="816"/>
      <c r="IC164" s="823"/>
      <c r="ID164" s="824"/>
      <c r="IE164" s="825"/>
      <c r="IF164" s="825"/>
      <c r="IG164" s="816"/>
      <c r="II164" s="826"/>
      <c r="IJ164" s="826"/>
      <c r="IK164" s="826"/>
      <c r="IL164" s="826"/>
    </row>
    <row r="165" spans="2:246" s="780" customFormat="1"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09"/>
      <c r="T165" s="609"/>
      <c r="U165" s="609"/>
      <c r="V165" s="609"/>
      <c r="W165" s="609"/>
      <c r="X165" s="609"/>
      <c r="Y165" s="609"/>
      <c r="Z165" s="816"/>
      <c r="AA165" s="816"/>
      <c r="AB165" s="816"/>
      <c r="AC165" s="816"/>
      <c r="AD165" s="816"/>
      <c r="AE165" s="816"/>
      <c r="AF165" s="609"/>
      <c r="AG165" s="609"/>
      <c r="AH165" s="816"/>
      <c r="AI165" s="816"/>
      <c r="AJ165" s="609"/>
      <c r="AK165" s="609"/>
      <c r="AL165" s="816"/>
      <c r="AM165" s="816"/>
      <c r="AN165" s="816"/>
      <c r="AO165" s="816"/>
      <c r="AP165" s="816"/>
      <c r="AQ165" s="816"/>
      <c r="AR165" s="609"/>
      <c r="AS165" s="609"/>
      <c r="AT165" s="816"/>
      <c r="AU165" s="816"/>
      <c r="AV165" s="817"/>
      <c r="AW165" s="609"/>
      <c r="AX165" s="609"/>
      <c r="AY165" s="816"/>
      <c r="AZ165" s="816"/>
      <c r="BA165" s="816"/>
      <c r="BB165" s="816"/>
      <c r="BC165" s="816"/>
      <c r="BD165" s="816"/>
      <c r="BE165" s="816"/>
      <c r="BF165" s="816"/>
      <c r="BG165" s="816"/>
      <c r="BH165" s="816"/>
      <c r="BI165" s="816"/>
      <c r="BJ165" s="816"/>
      <c r="BK165" s="816"/>
      <c r="BL165" s="816"/>
      <c r="BM165" s="816"/>
      <c r="BN165" s="816"/>
      <c r="BO165" s="816"/>
      <c r="BP165" s="816"/>
      <c r="BQ165" s="816"/>
      <c r="BR165" s="816"/>
      <c r="BS165" s="816"/>
      <c r="BT165" s="609"/>
      <c r="BU165" s="609"/>
      <c r="BV165" s="609"/>
      <c r="BW165" s="818"/>
      <c r="BX165" s="816"/>
      <c r="BY165" s="816"/>
      <c r="BZ165" s="816"/>
      <c r="CA165" s="816"/>
      <c r="CB165" s="816"/>
      <c r="CC165" s="816"/>
      <c r="CD165" s="816"/>
      <c r="CE165" s="816"/>
      <c r="CF165" s="820"/>
      <c r="CG165" s="820"/>
      <c r="CH165" s="820"/>
      <c r="CI165" s="820"/>
      <c r="CJ165" s="609"/>
      <c r="CK165" s="609"/>
      <c r="CL165" s="816"/>
      <c r="CM165" s="816"/>
      <c r="CN165" s="609"/>
      <c r="CO165" s="609"/>
      <c r="CP165" s="816"/>
      <c r="CQ165" s="816"/>
      <c r="CR165" s="609"/>
      <c r="CS165" s="609"/>
      <c r="CT165" s="816"/>
      <c r="CU165" s="816"/>
      <c r="CV165" s="609"/>
      <c r="CW165" s="609"/>
      <c r="CX165" s="816"/>
      <c r="CY165" s="816"/>
      <c r="CZ165" s="816"/>
      <c r="DA165" s="816"/>
      <c r="DB165" s="816"/>
      <c r="DC165" s="816"/>
      <c r="DD165" s="816"/>
      <c r="DE165" s="816"/>
      <c r="DF165" s="816"/>
      <c r="DG165" s="816"/>
      <c r="DH165" s="816"/>
      <c r="DI165" s="816"/>
      <c r="DJ165" s="816"/>
      <c r="DK165" s="816"/>
      <c r="DL165" s="609"/>
      <c r="DM165" s="609"/>
      <c r="DN165" s="816"/>
      <c r="DO165" s="816"/>
      <c r="DP165" s="816"/>
      <c r="DQ165" s="816"/>
      <c r="DR165" s="816"/>
      <c r="DS165" s="816"/>
      <c r="DT165" s="816"/>
      <c r="DU165" s="816"/>
      <c r="DV165" s="816"/>
      <c r="DW165" s="816"/>
      <c r="DX165" s="816"/>
      <c r="DY165" s="816"/>
      <c r="DZ165" s="816"/>
      <c r="EA165" s="816"/>
      <c r="EB165" s="609"/>
      <c r="EC165" s="609"/>
      <c r="ED165" s="816"/>
      <c r="EE165" s="816"/>
      <c r="EF165" s="816"/>
      <c r="EG165" s="816"/>
      <c r="EH165" s="816"/>
      <c r="EI165" s="816"/>
      <c r="EJ165" s="816"/>
      <c r="EK165" s="816"/>
      <c r="EL165" s="816"/>
      <c r="EM165" s="816"/>
      <c r="EN165" s="816"/>
      <c r="EO165" s="816"/>
      <c r="EP165" s="816"/>
      <c r="EQ165" s="816"/>
      <c r="ER165" s="816"/>
      <c r="ES165" s="816"/>
      <c r="ET165" s="816"/>
      <c r="EU165" s="816"/>
      <c r="EV165" s="816"/>
      <c r="EW165" s="816"/>
      <c r="EX165" s="816"/>
      <c r="EY165" s="816"/>
      <c r="EZ165" s="816"/>
      <c r="FA165" s="816"/>
      <c r="FB165" s="819"/>
      <c r="FC165" s="816"/>
      <c r="FD165" s="820"/>
      <c r="FE165" s="820"/>
      <c r="FF165" s="820"/>
      <c r="FG165" s="820"/>
      <c r="FH165" s="609"/>
      <c r="FI165" s="609"/>
      <c r="FJ165" s="816"/>
      <c r="FK165" s="816"/>
      <c r="FL165" s="816"/>
      <c r="FM165" s="816"/>
      <c r="FN165" s="816"/>
      <c r="FO165" s="816"/>
      <c r="FP165" s="816"/>
      <c r="FQ165" s="816"/>
      <c r="FR165" s="816"/>
      <c r="FS165" s="816"/>
      <c r="FT165" s="816"/>
      <c r="FU165" s="816"/>
      <c r="FV165" s="816"/>
      <c r="FW165" s="816"/>
      <c r="FX165" s="609"/>
      <c r="FY165" s="609"/>
      <c r="FZ165" s="816"/>
      <c r="GA165" s="816"/>
      <c r="GB165" s="609"/>
      <c r="GC165" s="609"/>
      <c r="GD165" s="609"/>
      <c r="GE165" s="816"/>
      <c r="GF165" s="816"/>
      <c r="GG165" s="609"/>
      <c r="GH165" s="609"/>
      <c r="GI165" s="816"/>
      <c r="GJ165" s="816"/>
      <c r="GK165" s="609"/>
      <c r="GL165" s="609"/>
      <c r="GM165" s="816"/>
      <c r="GN165" s="816"/>
      <c r="GO165" s="816"/>
      <c r="GP165" s="816"/>
      <c r="GQ165" s="816"/>
      <c r="GR165" s="816"/>
      <c r="GS165" s="609"/>
      <c r="GT165" s="609"/>
      <c r="GU165" s="816"/>
      <c r="GV165" s="816"/>
      <c r="GW165" s="609"/>
      <c r="GX165" s="609"/>
      <c r="GY165" s="816"/>
      <c r="GZ165" s="816"/>
      <c r="HA165" s="609"/>
      <c r="HB165" s="609"/>
      <c r="HC165" s="816"/>
      <c r="HD165" s="816"/>
      <c r="HE165" s="816"/>
      <c r="HF165" s="816"/>
      <c r="HG165" s="816"/>
      <c r="HH165" s="816"/>
      <c r="HI165" s="821"/>
      <c r="HJ165" s="609"/>
      <c r="HK165" s="816"/>
      <c r="HL165" s="816"/>
      <c r="HM165" s="822"/>
      <c r="HN165" s="609"/>
      <c r="HO165" s="816"/>
      <c r="HP165" s="816"/>
      <c r="HQ165" s="609"/>
      <c r="HR165" s="816"/>
      <c r="HS165" s="816"/>
      <c r="HT165" s="816"/>
      <c r="HU165" s="816"/>
      <c r="HV165" s="816"/>
      <c r="HW165" s="816"/>
      <c r="HX165" s="816"/>
      <c r="HY165" s="816"/>
      <c r="HZ165" s="816"/>
      <c r="IA165" s="816"/>
      <c r="IB165" s="816"/>
      <c r="IC165" s="823"/>
      <c r="ID165" s="824"/>
      <c r="IE165" s="825"/>
      <c r="IF165" s="825"/>
      <c r="IG165" s="816"/>
      <c r="II165" s="826"/>
      <c r="IJ165" s="826"/>
      <c r="IK165" s="826"/>
      <c r="IL165" s="826"/>
    </row>
    <row r="166" spans="2:246" s="780" customFormat="1">
      <c r="B166" s="609"/>
      <c r="C166" s="609"/>
      <c r="D166" s="609"/>
      <c r="E166" s="609"/>
      <c r="F166" s="609"/>
      <c r="G166" s="609"/>
      <c r="H166" s="609"/>
      <c r="I166" s="609"/>
      <c r="J166" s="609"/>
      <c r="K166" s="609"/>
      <c r="L166" s="609"/>
      <c r="M166" s="609"/>
      <c r="N166" s="609"/>
      <c r="O166" s="609"/>
      <c r="P166" s="609"/>
      <c r="Q166" s="609"/>
      <c r="R166" s="609"/>
      <c r="S166" s="609"/>
      <c r="T166" s="609"/>
      <c r="U166" s="609"/>
      <c r="V166" s="609"/>
      <c r="W166" s="609"/>
      <c r="X166" s="609"/>
      <c r="Y166" s="609"/>
      <c r="Z166" s="816"/>
      <c r="AA166" s="816"/>
      <c r="AB166" s="816"/>
      <c r="AC166" s="816"/>
      <c r="AD166" s="816"/>
      <c r="AE166" s="816"/>
      <c r="AF166" s="609"/>
      <c r="AG166" s="609"/>
      <c r="AH166" s="816"/>
      <c r="AI166" s="816"/>
      <c r="AJ166" s="609"/>
      <c r="AK166" s="609"/>
      <c r="AL166" s="816"/>
      <c r="AM166" s="816"/>
      <c r="AN166" s="816"/>
      <c r="AO166" s="816"/>
      <c r="AP166" s="816"/>
      <c r="AQ166" s="816"/>
      <c r="AR166" s="609"/>
      <c r="AS166" s="609"/>
      <c r="AT166" s="816"/>
      <c r="AU166" s="816"/>
      <c r="AV166" s="817"/>
      <c r="AW166" s="609"/>
      <c r="AX166" s="609"/>
      <c r="AY166" s="816"/>
      <c r="AZ166" s="816"/>
      <c r="BA166" s="816"/>
      <c r="BB166" s="816"/>
      <c r="BC166" s="816"/>
      <c r="BD166" s="816"/>
      <c r="BE166" s="816"/>
      <c r="BF166" s="816"/>
      <c r="BG166" s="816"/>
      <c r="BH166" s="816"/>
      <c r="BI166" s="816"/>
      <c r="BJ166" s="816"/>
      <c r="BK166" s="816"/>
      <c r="BL166" s="816"/>
      <c r="BM166" s="816"/>
      <c r="BN166" s="816"/>
      <c r="BO166" s="816"/>
      <c r="BP166" s="816"/>
      <c r="BQ166" s="816"/>
      <c r="BR166" s="816"/>
      <c r="BS166" s="816"/>
      <c r="BT166" s="609"/>
      <c r="BU166" s="609"/>
      <c r="BV166" s="609"/>
      <c r="BW166" s="818"/>
      <c r="BX166" s="816"/>
      <c r="BY166" s="816"/>
      <c r="BZ166" s="816"/>
      <c r="CA166" s="816"/>
      <c r="CB166" s="816"/>
      <c r="CC166" s="816"/>
      <c r="CD166" s="816"/>
      <c r="CE166" s="816"/>
      <c r="CF166" s="820"/>
      <c r="CG166" s="820"/>
      <c r="CH166" s="820"/>
      <c r="CI166" s="820"/>
      <c r="CJ166" s="609"/>
      <c r="CK166" s="609"/>
      <c r="CL166" s="816"/>
      <c r="CM166" s="816"/>
      <c r="CN166" s="609"/>
      <c r="CO166" s="609"/>
      <c r="CP166" s="816"/>
      <c r="CQ166" s="816"/>
      <c r="CR166" s="609"/>
      <c r="CS166" s="609"/>
      <c r="CT166" s="816"/>
      <c r="CU166" s="816"/>
      <c r="CV166" s="609"/>
      <c r="CW166" s="609"/>
      <c r="CX166" s="816"/>
      <c r="CY166" s="816"/>
      <c r="CZ166" s="816"/>
      <c r="DA166" s="816"/>
      <c r="DB166" s="816"/>
      <c r="DC166" s="816"/>
      <c r="DD166" s="816"/>
      <c r="DE166" s="816"/>
      <c r="DF166" s="816"/>
      <c r="DG166" s="816"/>
      <c r="DH166" s="816"/>
      <c r="DI166" s="816"/>
      <c r="DJ166" s="816"/>
      <c r="DK166" s="816"/>
      <c r="DL166" s="609"/>
      <c r="DM166" s="609"/>
      <c r="DN166" s="816"/>
      <c r="DO166" s="816"/>
      <c r="DP166" s="816"/>
      <c r="DQ166" s="816"/>
      <c r="DR166" s="816"/>
      <c r="DS166" s="816"/>
      <c r="DT166" s="816"/>
      <c r="DU166" s="816"/>
      <c r="DV166" s="816"/>
      <c r="DW166" s="816"/>
      <c r="DX166" s="816"/>
      <c r="DY166" s="816"/>
      <c r="DZ166" s="816"/>
      <c r="EA166" s="816"/>
      <c r="EB166" s="609"/>
      <c r="EC166" s="609"/>
      <c r="ED166" s="816"/>
      <c r="EE166" s="816"/>
      <c r="EF166" s="816"/>
      <c r="EG166" s="816"/>
      <c r="EH166" s="816"/>
      <c r="EI166" s="816"/>
      <c r="EJ166" s="816"/>
      <c r="EK166" s="816"/>
      <c r="EL166" s="816"/>
      <c r="EM166" s="816"/>
      <c r="EN166" s="816"/>
      <c r="EO166" s="816"/>
      <c r="EP166" s="816"/>
      <c r="EQ166" s="816"/>
      <c r="ER166" s="816"/>
      <c r="ES166" s="816"/>
      <c r="ET166" s="816"/>
      <c r="EU166" s="816"/>
      <c r="EV166" s="816"/>
      <c r="EW166" s="816"/>
      <c r="EX166" s="816"/>
      <c r="EY166" s="816"/>
      <c r="EZ166" s="816"/>
      <c r="FA166" s="816"/>
      <c r="FB166" s="819"/>
      <c r="FC166" s="816"/>
      <c r="FD166" s="820"/>
      <c r="FE166" s="820"/>
      <c r="FF166" s="820"/>
      <c r="FG166" s="820"/>
      <c r="FH166" s="609"/>
      <c r="FI166" s="609"/>
      <c r="FJ166" s="816"/>
      <c r="FK166" s="816"/>
      <c r="FL166" s="816"/>
      <c r="FM166" s="816"/>
      <c r="FN166" s="816"/>
      <c r="FO166" s="816"/>
      <c r="FP166" s="816"/>
      <c r="FQ166" s="816"/>
      <c r="FR166" s="816"/>
      <c r="FS166" s="816"/>
      <c r="FT166" s="816"/>
      <c r="FU166" s="816"/>
      <c r="FV166" s="816"/>
      <c r="FW166" s="816"/>
      <c r="FX166" s="609"/>
      <c r="FY166" s="609"/>
      <c r="FZ166" s="816"/>
      <c r="GA166" s="816"/>
      <c r="GB166" s="609"/>
      <c r="GC166" s="609"/>
      <c r="GD166" s="609"/>
      <c r="GE166" s="816"/>
      <c r="GF166" s="816"/>
      <c r="GG166" s="609"/>
      <c r="GH166" s="609"/>
      <c r="GI166" s="816"/>
      <c r="GJ166" s="816"/>
      <c r="GK166" s="609"/>
      <c r="GL166" s="609"/>
      <c r="GM166" s="816"/>
      <c r="GN166" s="816"/>
      <c r="GO166" s="816"/>
      <c r="GP166" s="816"/>
      <c r="GQ166" s="816"/>
      <c r="GR166" s="816"/>
      <c r="GS166" s="609"/>
      <c r="GT166" s="609"/>
      <c r="GU166" s="816"/>
      <c r="GV166" s="816"/>
      <c r="GW166" s="609"/>
      <c r="GX166" s="609"/>
      <c r="GY166" s="816"/>
      <c r="GZ166" s="816"/>
      <c r="HA166" s="609"/>
      <c r="HB166" s="609"/>
      <c r="HC166" s="816"/>
      <c r="HD166" s="816"/>
      <c r="HE166" s="816"/>
      <c r="HF166" s="816"/>
      <c r="HG166" s="816"/>
      <c r="HH166" s="816"/>
      <c r="HI166" s="821"/>
      <c r="HJ166" s="609"/>
      <c r="HK166" s="816"/>
      <c r="HL166" s="816"/>
      <c r="HM166" s="822"/>
      <c r="HN166" s="609"/>
      <c r="HO166" s="816"/>
      <c r="HP166" s="816"/>
      <c r="HQ166" s="609"/>
      <c r="HR166" s="816"/>
      <c r="HS166" s="816"/>
      <c r="HT166" s="816"/>
      <c r="HU166" s="816"/>
      <c r="HV166" s="816"/>
      <c r="HW166" s="816"/>
      <c r="HX166" s="816"/>
      <c r="HY166" s="816"/>
      <c r="HZ166" s="816"/>
      <c r="IA166" s="816"/>
      <c r="IB166" s="816"/>
      <c r="IC166" s="823"/>
      <c r="ID166" s="824"/>
      <c r="IE166" s="825"/>
      <c r="IF166" s="825"/>
      <c r="IG166" s="816"/>
      <c r="II166" s="826"/>
      <c r="IJ166" s="826"/>
      <c r="IK166" s="826"/>
      <c r="IL166" s="826"/>
    </row>
    <row r="167" spans="2:246" s="780" customFormat="1">
      <c r="B167" s="609"/>
      <c r="C167" s="609"/>
      <c r="D167" s="609"/>
      <c r="E167" s="609"/>
      <c r="F167" s="609"/>
      <c r="G167" s="609"/>
      <c r="H167" s="609"/>
      <c r="I167" s="609"/>
      <c r="J167" s="609"/>
      <c r="K167" s="609"/>
      <c r="L167" s="609"/>
      <c r="M167" s="609"/>
      <c r="N167" s="609"/>
      <c r="O167" s="609"/>
      <c r="P167" s="609"/>
      <c r="Q167" s="609"/>
      <c r="R167" s="609"/>
      <c r="S167" s="609"/>
      <c r="T167" s="609"/>
      <c r="U167" s="609"/>
      <c r="V167" s="609"/>
      <c r="W167" s="609"/>
      <c r="X167" s="609"/>
      <c r="Y167" s="609"/>
      <c r="Z167" s="816"/>
      <c r="AA167" s="816"/>
      <c r="AB167" s="816"/>
      <c r="AC167" s="816"/>
      <c r="AD167" s="816"/>
      <c r="AE167" s="816"/>
      <c r="AF167" s="609"/>
      <c r="AG167" s="609"/>
      <c r="AH167" s="816"/>
      <c r="AI167" s="816"/>
      <c r="AJ167" s="609"/>
      <c r="AK167" s="609"/>
      <c r="AL167" s="816"/>
      <c r="AM167" s="816"/>
      <c r="AN167" s="816"/>
      <c r="AO167" s="816"/>
      <c r="AP167" s="816"/>
      <c r="AQ167" s="816"/>
      <c r="AR167" s="609"/>
      <c r="AS167" s="609"/>
      <c r="AT167" s="816"/>
      <c r="AU167" s="816"/>
      <c r="AV167" s="817"/>
      <c r="AW167" s="609"/>
      <c r="AX167" s="609"/>
      <c r="AY167" s="816"/>
      <c r="AZ167" s="816"/>
      <c r="BA167" s="816"/>
      <c r="BB167" s="816"/>
      <c r="BC167" s="816"/>
      <c r="BD167" s="816"/>
      <c r="BE167" s="816"/>
      <c r="BF167" s="816"/>
      <c r="BG167" s="816"/>
      <c r="BH167" s="816"/>
      <c r="BI167" s="816"/>
      <c r="BJ167" s="816"/>
      <c r="BK167" s="816"/>
      <c r="BL167" s="816"/>
      <c r="BM167" s="816"/>
      <c r="BN167" s="816"/>
      <c r="BO167" s="816"/>
      <c r="BP167" s="816"/>
      <c r="BQ167" s="816"/>
      <c r="BR167" s="816"/>
      <c r="BS167" s="816"/>
      <c r="BT167" s="609"/>
      <c r="BU167" s="609"/>
      <c r="BV167" s="609"/>
      <c r="BW167" s="818"/>
      <c r="BX167" s="816"/>
      <c r="BY167" s="816"/>
      <c r="BZ167" s="816"/>
      <c r="CA167" s="816"/>
      <c r="CB167" s="816"/>
      <c r="CC167" s="816"/>
      <c r="CD167" s="816"/>
      <c r="CE167" s="816"/>
      <c r="CF167" s="820"/>
      <c r="CG167" s="820"/>
      <c r="CH167" s="820"/>
      <c r="CI167" s="820"/>
      <c r="CJ167" s="609"/>
      <c r="CK167" s="609"/>
      <c r="CL167" s="816"/>
      <c r="CM167" s="816"/>
      <c r="CN167" s="609"/>
      <c r="CO167" s="609"/>
      <c r="CP167" s="816"/>
      <c r="CQ167" s="816"/>
      <c r="CR167" s="609"/>
      <c r="CS167" s="609"/>
      <c r="CT167" s="816"/>
      <c r="CU167" s="816"/>
      <c r="CV167" s="609"/>
      <c r="CW167" s="609"/>
      <c r="CX167" s="816"/>
      <c r="CY167" s="816"/>
      <c r="CZ167" s="816"/>
      <c r="DA167" s="816"/>
      <c r="DB167" s="816"/>
      <c r="DC167" s="816"/>
      <c r="DD167" s="816"/>
      <c r="DE167" s="816"/>
      <c r="DF167" s="816"/>
      <c r="DG167" s="816"/>
      <c r="DH167" s="816"/>
      <c r="DI167" s="816"/>
      <c r="DJ167" s="816"/>
      <c r="DK167" s="816"/>
      <c r="DL167" s="609"/>
      <c r="DM167" s="609"/>
      <c r="DN167" s="816"/>
      <c r="DO167" s="816"/>
      <c r="DP167" s="816"/>
      <c r="DQ167" s="816"/>
      <c r="DR167" s="816"/>
      <c r="DS167" s="816"/>
      <c r="DT167" s="816"/>
      <c r="DU167" s="816"/>
      <c r="DV167" s="816"/>
      <c r="DW167" s="816"/>
      <c r="DX167" s="816"/>
      <c r="DY167" s="816"/>
      <c r="DZ167" s="816"/>
      <c r="EA167" s="816"/>
      <c r="EB167" s="609"/>
      <c r="EC167" s="609"/>
      <c r="ED167" s="816"/>
      <c r="EE167" s="816"/>
      <c r="EF167" s="816"/>
      <c r="EG167" s="816"/>
      <c r="EH167" s="816"/>
      <c r="EI167" s="816"/>
      <c r="EJ167" s="816"/>
      <c r="EK167" s="816"/>
      <c r="EL167" s="816"/>
      <c r="EM167" s="816"/>
      <c r="EN167" s="816"/>
      <c r="EO167" s="816"/>
      <c r="EP167" s="816"/>
      <c r="EQ167" s="816"/>
      <c r="ER167" s="816"/>
      <c r="ES167" s="816"/>
      <c r="ET167" s="816"/>
      <c r="EU167" s="816"/>
      <c r="EV167" s="816"/>
      <c r="EW167" s="816"/>
      <c r="EX167" s="816"/>
      <c r="EY167" s="816"/>
      <c r="EZ167" s="816"/>
      <c r="FA167" s="816"/>
      <c r="FB167" s="819"/>
      <c r="FC167" s="816"/>
      <c r="FD167" s="820"/>
      <c r="FE167" s="820"/>
      <c r="FF167" s="820"/>
      <c r="FG167" s="820"/>
      <c r="FH167" s="609"/>
      <c r="FI167" s="609"/>
      <c r="FJ167" s="816"/>
      <c r="FK167" s="816"/>
      <c r="FL167" s="816"/>
      <c r="FM167" s="816"/>
      <c r="FN167" s="816"/>
      <c r="FO167" s="816"/>
      <c r="FP167" s="816"/>
      <c r="FQ167" s="816"/>
      <c r="FR167" s="816"/>
      <c r="FS167" s="816"/>
      <c r="FT167" s="816"/>
      <c r="FU167" s="816"/>
      <c r="FV167" s="816"/>
      <c r="FW167" s="816"/>
      <c r="FX167" s="609"/>
      <c r="FY167" s="609"/>
      <c r="FZ167" s="816"/>
      <c r="GA167" s="816"/>
      <c r="GB167" s="609"/>
      <c r="GC167" s="609"/>
      <c r="GD167" s="609"/>
      <c r="GE167" s="816"/>
      <c r="GF167" s="816"/>
      <c r="GG167" s="609"/>
      <c r="GH167" s="609"/>
      <c r="GI167" s="816"/>
      <c r="GJ167" s="816"/>
      <c r="GK167" s="609"/>
      <c r="GL167" s="609"/>
      <c r="GM167" s="816"/>
      <c r="GN167" s="816"/>
      <c r="GO167" s="816"/>
      <c r="GP167" s="816"/>
      <c r="GQ167" s="816"/>
      <c r="GR167" s="816"/>
      <c r="GS167" s="609"/>
      <c r="GT167" s="609"/>
      <c r="GU167" s="816"/>
      <c r="GV167" s="816"/>
      <c r="GW167" s="609"/>
      <c r="GX167" s="609"/>
      <c r="GY167" s="816"/>
      <c r="GZ167" s="816"/>
      <c r="HA167" s="609"/>
      <c r="HB167" s="609"/>
      <c r="HC167" s="816"/>
      <c r="HD167" s="816"/>
      <c r="HE167" s="816"/>
      <c r="HF167" s="816"/>
      <c r="HG167" s="816"/>
      <c r="HH167" s="816"/>
      <c r="HI167" s="821"/>
      <c r="HJ167" s="609"/>
      <c r="HK167" s="816"/>
      <c r="HL167" s="816"/>
      <c r="HM167" s="822"/>
      <c r="HN167" s="609"/>
      <c r="HO167" s="816"/>
      <c r="HP167" s="816"/>
      <c r="HQ167" s="609"/>
      <c r="HR167" s="816"/>
      <c r="HS167" s="816"/>
      <c r="HT167" s="816"/>
      <c r="HU167" s="816"/>
      <c r="HV167" s="816"/>
      <c r="HW167" s="816"/>
      <c r="HX167" s="816"/>
      <c r="HY167" s="816"/>
      <c r="HZ167" s="816"/>
      <c r="IA167" s="816"/>
      <c r="IB167" s="816"/>
      <c r="IC167" s="823"/>
      <c r="ID167" s="824"/>
      <c r="IE167" s="825"/>
      <c r="IF167" s="825"/>
      <c r="IG167" s="816"/>
      <c r="II167" s="826"/>
      <c r="IJ167" s="826"/>
      <c r="IK167" s="826"/>
      <c r="IL167" s="826"/>
    </row>
    <row r="168" spans="2:246" s="780" customFormat="1"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09"/>
      <c r="T168" s="609"/>
      <c r="U168" s="609"/>
      <c r="V168" s="609"/>
      <c r="W168" s="609"/>
      <c r="X168" s="609"/>
      <c r="Y168" s="609"/>
      <c r="Z168" s="816"/>
      <c r="AA168" s="816"/>
      <c r="AB168" s="816"/>
      <c r="AC168" s="816"/>
      <c r="AD168" s="816"/>
      <c r="AE168" s="816"/>
      <c r="AF168" s="609"/>
      <c r="AG168" s="609"/>
      <c r="AH168" s="816"/>
      <c r="AI168" s="816"/>
      <c r="AJ168" s="609"/>
      <c r="AK168" s="609"/>
      <c r="AL168" s="816"/>
      <c r="AM168" s="816"/>
      <c r="AN168" s="816"/>
      <c r="AO168" s="816"/>
      <c r="AP168" s="816"/>
      <c r="AQ168" s="816"/>
      <c r="AR168" s="609"/>
      <c r="AS168" s="609"/>
      <c r="AT168" s="816"/>
      <c r="AU168" s="816"/>
      <c r="AV168" s="817"/>
      <c r="AW168" s="609"/>
      <c r="AX168" s="609"/>
      <c r="AY168" s="816"/>
      <c r="AZ168" s="816"/>
      <c r="BA168" s="816"/>
      <c r="BB168" s="816"/>
      <c r="BC168" s="816"/>
      <c r="BD168" s="816"/>
      <c r="BE168" s="816"/>
      <c r="BF168" s="816"/>
      <c r="BG168" s="816"/>
      <c r="BH168" s="816"/>
      <c r="BI168" s="816"/>
      <c r="BJ168" s="816"/>
      <c r="BK168" s="816"/>
      <c r="BL168" s="816"/>
      <c r="BM168" s="816"/>
      <c r="BN168" s="816"/>
      <c r="BO168" s="816"/>
      <c r="BP168" s="816"/>
      <c r="BQ168" s="816"/>
      <c r="BR168" s="816"/>
      <c r="BS168" s="816"/>
      <c r="BT168" s="609"/>
      <c r="BU168" s="609"/>
      <c r="BV168" s="609"/>
      <c r="BW168" s="818"/>
      <c r="BX168" s="816"/>
      <c r="BY168" s="816"/>
      <c r="BZ168" s="816"/>
      <c r="CA168" s="816"/>
      <c r="CB168" s="816"/>
      <c r="CC168" s="816"/>
      <c r="CD168" s="816"/>
      <c r="CE168" s="816"/>
      <c r="CF168" s="820"/>
      <c r="CG168" s="820"/>
      <c r="CH168" s="820"/>
      <c r="CI168" s="820"/>
      <c r="CJ168" s="609"/>
      <c r="CK168" s="609"/>
      <c r="CL168" s="816"/>
      <c r="CM168" s="816"/>
      <c r="CN168" s="609"/>
      <c r="CO168" s="609"/>
      <c r="CP168" s="816"/>
      <c r="CQ168" s="816"/>
      <c r="CR168" s="609"/>
      <c r="CS168" s="609"/>
      <c r="CT168" s="816"/>
      <c r="CU168" s="816"/>
      <c r="CV168" s="609"/>
      <c r="CW168" s="609"/>
      <c r="CX168" s="816"/>
      <c r="CY168" s="816"/>
      <c r="CZ168" s="816"/>
      <c r="DA168" s="816"/>
      <c r="DB168" s="816"/>
      <c r="DC168" s="816"/>
      <c r="DD168" s="816"/>
      <c r="DE168" s="816"/>
      <c r="DF168" s="816"/>
      <c r="DG168" s="816"/>
      <c r="DH168" s="816"/>
      <c r="DI168" s="816"/>
      <c r="DJ168" s="816"/>
      <c r="DK168" s="816"/>
      <c r="DL168" s="609"/>
      <c r="DM168" s="609"/>
      <c r="DN168" s="816"/>
      <c r="DO168" s="816"/>
      <c r="DP168" s="816"/>
      <c r="DQ168" s="816"/>
      <c r="DR168" s="816"/>
      <c r="DS168" s="816"/>
      <c r="DT168" s="816"/>
      <c r="DU168" s="816"/>
      <c r="DV168" s="816"/>
      <c r="DW168" s="816"/>
      <c r="DX168" s="816"/>
      <c r="DY168" s="816"/>
      <c r="DZ168" s="816"/>
      <c r="EA168" s="816"/>
      <c r="EB168" s="609"/>
      <c r="EC168" s="609"/>
      <c r="ED168" s="816"/>
      <c r="EE168" s="816"/>
      <c r="EF168" s="816"/>
      <c r="EG168" s="816"/>
      <c r="EH168" s="816"/>
      <c r="EI168" s="816"/>
      <c r="EJ168" s="816"/>
      <c r="EK168" s="816"/>
      <c r="EL168" s="816"/>
      <c r="EM168" s="816"/>
      <c r="EN168" s="816"/>
      <c r="EO168" s="816"/>
      <c r="EP168" s="816"/>
      <c r="EQ168" s="816"/>
      <c r="ER168" s="816"/>
      <c r="ES168" s="816"/>
      <c r="ET168" s="816"/>
      <c r="EU168" s="816"/>
      <c r="EV168" s="816"/>
      <c r="EW168" s="816"/>
      <c r="EX168" s="816"/>
      <c r="EY168" s="816"/>
      <c r="EZ168" s="816"/>
      <c r="FA168" s="816"/>
      <c r="FB168" s="819"/>
      <c r="FC168" s="816"/>
      <c r="FD168" s="820"/>
      <c r="FE168" s="820"/>
      <c r="FF168" s="820"/>
      <c r="FG168" s="820"/>
      <c r="FH168" s="609"/>
      <c r="FI168" s="609"/>
      <c r="FJ168" s="816"/>
      <c r="FK168" s="816"/>
      <c r="FL168" s="816"/>
      <c r="FM168" s="816"/>
      <c r="FN168" s="816"/>
      <c r="FO168" s="816"/>
      <c r="FP168" s="816"/>
      <c r="FQ168" s="816"/>
      <c r="FR168" s="816"/>
      <c r="FS168" s="816"/>
      <c r="FT168" s="816"/>
      <c r="FU168" s="816"/>
      <c r="FV168" s="816"/>
      <c r="FW168" s="816"/>
      <c r="FX168" s="609"/>
      <c r="FY168" s="609"/>
      <c r="FZ168" s="816"/>
      <c r="GA168" s="816"/>
      <c r="GB168" s="609"/>
      <c r="GC168" s="609"/>
      <c r="GD168" s="609"/>
      <c r="GE168" s="816"/>
      <c r="GF168" s="816"/>
      <c r="GG168" s="609"/>
      <c r="GH168" s="609"/>
      <c r="GI168" s="816"/>
      <c r="GJ168" s="816"/>
      <c r="GK168" s="609"/>
      <c r="GL168" s="609"/>
      <c r="GM168" s="816"/>
      <c r="GN168" s="816"/>
      <c r="GO168" s="816"/>
      <c r="GP168" s="816"/>
      <c r="GQ168" s="816"/>
      <c r="GR168" s="816"/>
      <c r="GS168" s="609"/>
      <c r="GT168" s="609"/>
      <c r="GU168" s="816"/>
      <c r="GV168" s="816"/>
      <c r="GW168" s="609"/>
      <c r="GX168" s="609"/>
      <c r="GY168" s="816"/>
      <c r="GZ168" s="816"/>
      <c r="HA168" s="609"/>
      <c r="HB168" s="609"/>
      <c r="HC168" s="816"/>
      <c r="HD168" s="816"/>
      <c r="HE168" s="816"/>
      <c r="HF168" s="816"/>
      <c r="HG168" s="816"/>
      <c r="HH168" s="816"/>
      <c r="HI168" s="821"/>
      <c r="HJ168" s="609"/>
      <c r="HK168" s="816"/>
      <c r="HL168" s="816"/>
      <c r="HM168" s="822"/>
      <c r="HN168" s="609"/>
      <c r="HO168" s="816"/>
      <c r="HP168" s="816"/>
      <c r="HQ168" s="609"/>
      <c r="HR168" s="816"/>
      <c r="HS168" s="816"/>
      <c r="HT168" s="816"/>
      <c r="HU168" s="816"/>
      <c r="HV168" s="816"/>
      <c r="HW168" s="816"/>
      <c r="HX168" s="816"/>
      <c r="HY168" s="816"/>
      <c r="HZ168" s="816"/>
      <c r="IA168" s="816"/>
      <c r="IB168" s="816"/>
      <c r="IC168" s="823"/>
      <c r="ID168" s="824"/>
      <c r="IE168" s="825"/>
      <c r="IF168" s="825"/>
      <c r="IG168" s="816"/>
      <c r="II168" s="826"/>
      <c r="IJ168" s="826"/>
      <c r="IK168" s="826"/>
      <c r="IL168" s="826"/>
    </row>
    <row r="169" spans="2:246" s="780" customFormat="1"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09"/>
      <c r="T169" s="609"/>
      <c r="U169" s="609"/>
      <c r="V169" s="609"/>
      <c r="W169" s="609"/>
      <c r="X169" s="609"/>
      <c r="Y169" s="609"/>
      <c r="Z169" s="816"/>
      <c r="AA169" s="816"/>
      <c r="AB169" s="816"/>
      <c r="AC169" s="816"/>
      <c r="AD169" s="816"/>
      <c r="AE169" s="816"/>
      <c r="AF169" s="609"/>
      <c r="AG169" s="609"/>
      <c r="AH169" s="816"/>
      <c r="AI169" s="816"/>
      <c r="AJ169" s="609"/>
      <c r="AK169" s="609"/>
      <c r="AL169" s="816"/>
      <c r="AM169" s="816"/>
      <c r="AN169" s="816"/>
      <c r="AO169" s="816"/>
      <c r="AP169" s="816"/>
      <c r="AQ169" s="816"/>
      <c r="AR169" s="609"/>
      <c r="AS169" s="609"/>
      <c r="AT169" s="816"/>
      <c r="AU169" s="816"/>
      <c r="AV169" s="817"/>
      <c r="AW169" s="609"/>
      <c r="AX169" s="609"/>
      <c r="AY169" s="816"/>
      <c r="AZ169" s="816"/>
      <c r="BA169" s="816"/>
      <c r="BB169" s="816"/>
      <c r="BC169" s="816"/>
      <c r="BD169" s="816"/>
      <c r="BE169" s="816"/>
      <c r="BF169" s="816"/>
      <c r="BG169" s="816"/>
      <c r="BH169" s="816"/>
      <c r="BI169" s="816"/>
      <c r="BJ169" s="816"/>
      <c r="BK169" s="816"/>
      <c r="BL169" s="816"/>
      <c r="BM169" s="816"/>
      <c r="BN169" s="816"/>
      <c r="BO169" s="816"/>
      <c r="BP169" s="816"/>
      <c r="BQ169" s="816"/>
      <c r="BR169" s="816"/>
      <c r="BS169" s="816"/>
      <c r="BT169" s="609"/>
      <c r="BU169" s="609"/>
      <c r="BV169" s="609"/>
      <c r="BW169" s="818"/>
      <c r="BX169" s="816"/>
      <c r="BY169" s="816"/>
      <c r="BZ169" s="816"/>
      <c r="CA169" s="816"/>
      <c r="CB169" s="816"/>
      <c r="CC169" s="816"/>
      <c r="CD169" s="816"/>
      <c r="CE169" s="816"/>
      <c r="CF169" s="820"/>
      <c r="CG169" s="820"/>
      <c r="CH169" s="820"/>
      <c r="CI169" s="820"/>
      <c r="CJ169" s="609"/>
      <c r="CK169" s="609"/>
      <c r="CL169" s="816"/>
      <c r="CM169" s="816"/>
      <c r="CN169" s="609"/>
      <c r="CO169" s="609"/>
      <c r="CP169" s="816"/>
      <c r="CQ169" s="816"/>
      <c r="CR169" s="609"/>
      <c r="CS169" s="609"/>
      <c r="CT169" s="816"/>
      <c r="CU169" s="816"/>
      <c r="CV169" s="609"/>
      <c r="CW169" s="609"/>
      <c r="CX169" s="816"/>
      <c r="CY169" s="816"/>
      <c r="CZ169" s="816"/>
      <c r="DA169" s="816"/>
      <c r="DB169" s="816"/>
      <c r="DC169" s="816"/>
      <c r="DD169" s="816"/>
      <c r="DE169" s="816"/>
      <c r="DF169" s="816"/>
      <c r="DG169" s="816"/>
      <c r="DH169" s="816"/>
      <c r="DI169" s="816"/>
      <c r="DJ169" s="816"/>
      <c r="DK169" s="816"/>
      <c r="DL169" s="609"/>
      <c r="DM169" s="609"/>
      <c r="DN169" s="816"/>
      <c r="DO169" s="816"/>
      <c r="DP169" s="816"/>
      <c r="DQ169" s="816"/>
      <c r="DR169" s="816"/>
      <c r="DS169" s="816"/>
      <c r="DT169" s="816"/>
      <c r="DU169" s="816"/>
      <c r="DV169" s="816"/>
      <c r="DW169" s="816"/>
      <c r="DX169" s="816"/>
      <c r="DY169" s="816"/>
      <c r="DZ169" s="816"/>
      <c r="EA169" s="816"/>
      <c r="EB169" s="609"/>
      <c r="EC169" s="609"/>
      <c r="ED169" s="816"/>
      <c r="EE169" s="816"/>
      <c r="EF169" s="816"/>
      <c r="EG169" s="816"/>
      <c r="EH169" s="816"/>
      <c r="EI169" s="816"/>
      <c r="EJ169" s="816"/>
      <c r="EK169" s="816"/>
      <c r="EL169" s="816"/>
      <c r="EM169" s="816"/>
      <c r="EN169" s="816"/>
      <c r="EO169" s="816"/>
      <c r="EP169" s="816"/>
      <c r="EQ169" s="816"/>
      <c r="ER169" s="816"/>
      <c r="ES169" s="816"/>
      <c r="ET169" s="816"/>
      <c r="EU169" s="816"/>
      <c r="EV169" s="816"/>
      <c r="EW169" s="816"/>
      <c r="EX169" s="816"/>
      <c r="EY169" s="816"/>
      <c r="EZ169" s="816"/>
      <c r="FA169" s="816"/>
      <c r="FB169" s="819"/>
      <c r="FC169" s="816"/>
      <c r="FD169" s="820"/>
      <c r="FE169" s="820"/>
      <c r="FF169" s="820"/>
      <c r="FG169" s="820"/>
      <c r="FH169" s="609"/>
      <c r="FI169" s="609"/>
      <c r="FJ169" s="816"/>
      <c r="FK169" s="816"/>
      <c r="FL169" s="816"/>
      <c r="FM169" s="816"/>
      <c r="FN169" s="816"/>
      <c r="FO169" s="816"/>
      <c r="FP169" s="816"/>
      <c r="FQ169" s="816"/>
      <c r="FR169" s="816"/>
      <c r="FS169" s="816"/>
      <c r="FT169" s="816"/>
      <c r="FU169" s="816"/>
      <c r="FV169" s="816"/>
      <c r="FW169" s="816"/>
      <c r="FX169" s="609"/>
      <c r="FY169" s="609"/>
      <c r="FZ169" s="816"/>
      <c r="GA169" s="816"/>
      <c r="GB169" s="609"/>
      <c r="GC169" s="609"/>
      <c r="GD169" s="609"/>
      <c r="GE169" s="816"/>
      <c r="GF169" s="816"/>
      <c r="GG169" s="609"/>
      <c r="GH169" s="609"/>
      <c r="GI169" s="816"/>
      <c r="GJ169" s="816"/>
      <c r="GK169" s="609"/>
      <c r="GL169" s="609"/>
      <c r="GM169" s="816"/>
      <c r="GN169" s="816"/>
      <c r="GO169" s="816"/>
      <c r="GP169" s="816"/>
      <c r="GQ169" s="816"/>
      <c r="GR169" s="816"/>
      <c r="GS169" s="609"/>
      <c r="GT169" s="609"/>
      <c r="GU169" s="816"/>
      <c r="GV169" s="816"/>
      <c r="GW169" s="609"/>
      <c r="GX169" s="609"/>
      <c r="GY169" s="816"/>
      <c r="GZ169" s="816"/>
      <c r="HA169" s="609"/>
      <c r="HB169" s="609"/>
      <c r="HC169" s="816"/>
      <c r="HD169" s="816"/>
      <c r="HE169" s="816"/>
      <c r="HF169" s="816"/>
      <c r="HG169" s="816"/>
      <c r="HH169" s="816"/>
      <c r="HI169" s="821"/>
      <c r="HJ169" s="609"/>
      <c r="HK169" s="816"/>
      <c r="HL169" s="816"/>
      <c r="HM169" s="822"/>
      <c r="HN169" s="609"/>
      <c r="HO169" s="816"/>
      <c r="HP169" s="816"/>
      <c r="HQ169" s="609"/>
      <c r="HR169" s="816"/>
      <c r="HS169" s="816"/>
      <c r="HT169" s="816"/>
      <c r="HU169" s="816"/>
      <c r="HV169" s="816"/>
      <c r="HW169" s="816"/>
      <c r="HX169" s="816"/>
      <c r="HY169" s="816"/>
      <c r="HZ169" s="816"/>
      <c r="IA169" s="816"/>
      <c r="IB169" s="816"/>
      <c r="IC169" s="823"/>
      <c r="ID169" s="824"/>
      <c r="IE169" s="825"/>
      <c r="IF169" s="825"/>
      <c r="IG169" s="816"/>
      <c r="II169" s="826"/>
      <c r="IJ169" s="826"/>
      <c r="IK169" s="826"/>
      <c r="IL169" s="826"/>
    </row>
    <row r="170" spans="2:246" s="780" customFormat="1">
      <c r="B170" s="609"/>
      <c r="C170" s="609"/>
      <c r="D170" s="609"/>
      <c r="E170" s="609"/>
      <c r="F170" s="609"/>
      <c r="G170" s="609"/>
      <c r="H170" s="609"/>
      <c r="I170" s="609"/>
      <c r="J170" s="609"/>
      <c r="K170" s="609"/>
      <c r="L170" s="609"/>
      <c r="M170" s="609"/>
      <c r="N170" s="609"/>
      <c r="O170" s="609"/>
      <c r="P170" s="609"/>
      <c r="Q170" s="609"/>
      <c r="R170" s="609"/>
      <c r="S170" s="609"/>
      <c r="T170" s="609"/>
      <c r="U170" s="609"/>
      <c r="V170" s="609"/>
      <c r="W170" s="609"/>
      <c r="X170" s="609"/>
      <c r="Y170" s="609"/>
      <c r="Z170" s="816"/>
      <c r="AA170" s="816"/>
      <c r="AB170" s="816"/>
      <c r="AC170" s="816"/>
      <c r="AD170" s="816"/>
      <c r="AE170" s="816"/>
      <c r="AF170" s="609"/>
      <c r="AG170" s="609"/>
      <c r="AH170" s="816"/>
      <c r="AI170" s="816"/>
      <c r="AJ170" s="609"/>
      <c r="AK170" s="609"/>
      <c r="AL170" s="816"/>
      <c r="AM170" s="816"/>
      <c r="AN170" s="816"/>
      <c r="AO170" s="816"/>
      <c r="AP170" s="816"/>
      <c r="AQ170" s="816"/>
      <c r="AR170" s="609"/>
      <c r="AS170" s="609"/>
      <c r="AT170" s="816"/>
      <c r="AU170" s="816"/>
      <c r="AV170" s="817"/>
      <c r="AW170" s="609"/>
      <c r="AX170" s="609"/>
      <c r="AY170" s="816"/>
      <c r="AZ170" s="816"/>
      <c r="BA170" s="816"/>
      <c r="BB170" s="816"/>
      <c r="BC170" s="816"/>
      <c r="BD170" s="816"/>
      <c r="BE170" s="816"/>
      <c r="BF170" s="816"/>
      <c r="BG170" s="816"/>
      <c r="BH170" s="816"/>
      <c r="BI170" s="816"/>
      <c r="BJ170" s="816"/>
      <c r="BK170" s="816"/>
      <c r="BL170" s="816"/>
      <c r="BM170" s="816"/>
      <c r="BN170" s="816"/>
      <c r="BO170" s="816"/>
      <c r="BP170" s="816"/>
      <c r="BQ170" s="816"/>
      <c r="BR170" s="816"/>
      <c r="BS170" s="816"/>
      <c r="BT170" s="609"/>
      <c r="BU170" s="609"/>
      <c r="BV170" s="609"/>
      <c r="BW170" s="818"/>
      <c r="BX170" s="816"/>
      <c r="BY170" s="816"/>
      <c r="BZ170" s="816"/>
      <c r="CA170" s="816"/>
      <c r="CB170" s="816"/>
      <c r="CC170" s="816"/>
      <c r="CD170" s="816"/>
      <c r="CE170" s="816"/>
      <c r="CF170" s="820"/>
      <c r="CG170" s="820"/>
      <c r="CH170" s="820"/>
      <c r="CI170" s="820"/>
      <c r="CJ170" s="609"/>
      <c r="CK170" s="609"/>
      <c r="CL170" s="816"/>
      <c r="CM170" s="816"/>
      <c r="CN170" s="609"/>
      <c r="CO170" s="609"/>
      <c r="CP170" s="816"/>
      <c r="CQ170" s="816"/>
      <c r="CR170" s="609"/>
      <c r="CS170" s="609"/>
      <c r="CT170" s="816"/>
      <c r="CU170" s="816"/>
      <c r="CV170" s="609"/>
      <c r="CW170" s="609"/>
      <c r="CX170" s="816"/>
      <c r="CY170" s="816"/>
      <c r="CZ170" s="816"/>
      <c r="DA170" s="816"/>
      <c r="DB170" s="816"/>
      <c r="DC170" s="816"/>
      <c r="DD170" s="816"/>
      <c r="DE170" s="816"/>
      <c r="DF170" s="816"/>
      <c r="DG170" s="816"/>
      <c r="DH170" s="816"/>
      <c r="DI170" s="816"/>
      <c r="DJ170" s="816"/>
      <c r="DK170" s="816"/>
      <c r="DL170" s="609"/>
      <c r="DM170" s="609"/>
      <c r="DN170" s="816"/>
      <c r="DO170" s="816"/>
      <c r="DP170" s="816"/>
      <c r="DQ170" s="816"/>
      <c r="DR170" s="816"/>
      <c r="DS170" s="816"/>
      <c r="DT170" s="816"/>
      <c r="DU170" s="816"/>
      <c r="DV170" s="816"/>
      <c r="DW170" s="816"/>
      <c r="DX170" s="816"/>
      <c r="DY170" s="816"/>
      <c r="DZ170" s="816"/>
      <c r="EA170" s="816"/>
      <c r="EB170" s="609"/>
      <c r="EC170" s="609"/>
      <c r="ED170" s="816"/>
      <c r="EE170" s="816"/>
      <c r="EF170" s="816"/>
      <c r="EG170" s="816"/>
      <c r="EH170" s="816"/>
      <c r="EI170" s="816"/>
      <c r="EJ170" s="816"/>
      <c r="EK170" s="816"/>
      <c r="EL170" s="816"/>
      <c r="EM170" s="816"/>
      <c r="EN170" s="816"/>
      <c r="EO170" s="816"/>
      <c r="EP170" s="816"/>
      <c r="EQ170" s="816"/>
      <c r="ER170" s="816"/>
      <c r="ES170" s="816"/>
      <c r="ET170" s="816"/>
      <c r="EU170" s="816"/>
      <c r="EV170" s="816"/>
      <c r="EW170" s="816"/>
      <c r="EX170" s="816"/>
      <c r="EY170" s="816"/>
      <c r="EZ170" s="816"/>
      <c r="FA170" s="816"/>
      <c r="FB170" s="819"/>
      <c r="FC170" s="816"/>
      <c r="FD170" s="820"/>
      <c r="FE170" s="820"/>
      <c r="FF170" s="820"/>
      <c r="FG170" s="820"/>
      <c r="FH170" s="609"/>
      <c r="FI170" s="609"/>
      <c r="FJ170" s="816"/>
      <c r="FK170" s="816"/>
      <c r="FL170" s="816"/>
      <c r="FM170" s="816"/>
      <c r="FN170" s="816"/>
      <c r="FO170" s="816"/>
      <c r="FP170" s="816"/>
      <c r="FQ170" s="816"/>
      <c r="FR170" s="816"/>
      <c r="FS170" s="816"/>
      <c r="FT170" s="816"/>
      <c r="FU170" s="816"/>
      <c r="FV170" s="816"/>
      <c r="FW170" s="816"/>
      <c r="FX170" s="609"/>
      <c r="FY170" s="609"/>
      <c r="FZ170" s="816"/>
      <c r="GA170" s="816"/>
      <c r="GB170" s="609"/>
      <c r="GC170" s="609"/>
      <c r="GD170" s="609"/>
      <c r="GE170" s="816"/>
      <c r="GF170" s="816"/>
      <c r="GG170" s="609"/>
      <c r="GH170" s="609"/>
      <c r="GI170" s="816"/>
      <c r="GJ170" s="816"/>
      <c r="GK170" s="609"/>
      <c r="GL170" s="609"/>
      <c r="GM170" s="816"/>
      <c r="GN170" s="816"/>
      <c r="GO170" s="816"/>
      <c r="GP170" s="816"/>
      <c r="GQ170" s="816"/>
      <c r="GR170" s="816"/>
      <c r="GS170" s="609"/>
      <c r="GT170" s="609"/>
      <c r="GU170" s="816"/>
      <c r="GV170" s="816"/>
      <c r="GW170" s="609"/>
      <c r="GX170" s="609"/>
      <c r="GY170" s="816"/>
      <c r="GZ170" s="816"/>
      <c r="HA170" s="609"/>
      <c r="HB170" s="609"/>
      <c r="HC170" s="816"/>
      <c r="HD170" s="816"/>
      <c r="HE170" s="816"/>
      <c r="HF170" s="816"/>
      <c r="HG170" s="816"/>
      <c r="HH170" s="816"/>
      <c r="HI170" s="821"/>
      <c r="HJ170" s="609"/>
      <c r="HK170" s="816"/>
      <c r="HL170" s="816"/>
      <c r="HM170" s="822"/>
      <c r="HN170" s="609"/>
      <c r="HO170" s="816"/>
      <c r="HP170" s="816"/>
      <c r="HQ170" s="609"/>
      <c r="HR170" s="816"/>
      <c r="HS170" s="816"/>
      <c r="HT170" s="816"/>
      <c r="HU170" s="816"/>
      <c r="HV170" s="816"/>
      <c r="HW170" s="816"/>
      <c r="HX170" s="816"/>
      <c r="HY170" s="816"/>
      <c r="HZ170" s="816"/>
      <c r="IA170" s="816"/>
      <c r="IB170" s="816"/>
      <c r="IC170" s="823"/>
      <c r="ID170" s="824"/>
      <c r="IE170" s="825"/>
      <c r="IF170" s="825"/>
      <c r="IG170" s="816"/>
      <c r="II170" s="826"/>
      <c r="IJ170" s="826"/>
      <c r="IK170" s="826"/>
      <c r="IL170" s="826"/>
    </row>
    <row r="171" spans="2:246" s="780" customFormat="1">
      <c r="B171" s="609"/>
      <c r="C171" s="609"/>
      <c r="D171" s="609"/>
      <c r="E171" s="609"/>
      <c r="F171" s="609"/>
      <c r="G171" s="609"/>
      <c r="H171" s="609"/>
      <c r="I171" s="609"/>
      <c r="J171" s="609"/>
      <c r="K171" s="609"/>
      <c r="L171" s="609"/>
      <c r="M171" s="609"/>
      <c r="N171" s="609"/>
      <c r="O171" s="609"/>
      <c r="P171" s="609"/>
      <c r="Q171" s="609"/>
      <c r="R171" s="609"/>
      <c r="S171" s="609"/>
      <c r="T171" s="609"/>
      <c r="U171" s="609"/>
      <c r="V171" s="609"/>
      <c r="W171" s="609"/>
      <c r="X171" s="609"/>
      <c r="Y171" s="609"/>
      <c r="Z171" s="816"/>
      <c r="AA171" s="816"/>
      <c r="AB171" s="816"/>
      <c r="AC171" s="816"/>
      <c r="AD171" s="816"/>
      <c r="AE171" s="816"/>
      <c r="AF171" s="609"/>
      <c r="AG171" s="609"/>
      <c r="AH171" s="816"/>
      <c r="AI171" s="816"/>
      <c r="AJ171" s="609"/>
      <c r="AK171" s="609"/>
      <c r="AL171" s="816"/>
      <c r="AM171" s="816"/>
      <c r="AN171" s="816"/>
      <c r="AO171" s="816"/>
      <c r="AP171" s="816"/>
      <c r="AQ171" s="816"/>
      <c r="AR171" s="609"/>
      <c r="AS171" s="609"/>
      <c r="AT171" s="816"/>
      <c r="AU171" s="816"/>
      <c r="AV171" s="817"/>
      <c r="AW171" s="609"/>
      <c r="AX171" s="609"/>
      <c r="AY171" s="816"/>
      <c r="AZ171" s="816"/>
      <c r="BA171" s="816"/>
      <c r="BB171" s="816"/>
      <c r="BC171" s="816"/>
      <c r="BD171" s="816"/>
      <c r="BE171" s="816"/>
      <c r="BF171" s="816"/>
      <c r="BG171" s="816"/>
      <c r="BH171" s="816"/>
      <c r="BI171" s="816"/>
      <c r="BJ171" s="816"/>
      <c r="BK171" s="816"/>
      <c r="BL171" s="816"/>
      <c r="BM171" s="816"/>
      <c r="BN171" s="816"/>
      <c r="BO171" s="816"/>
      <c r="BP171" s="816"/>
      <c r="BQ171" s="816"/>
      <c r="BR171" s="816"/>
      <c r="BS171" s="816"/>
      <c r="BT171" s="609"/>
      <c r="BU171" s="609"/>
      <c r="BV171" s="609"/>
      <c r="BW171" s="818"/>
      <c r="BX171" s="816"/>
      <c r="BY171" s="816"/>
      <c r="BZ171" s="816"/>
      <c r="CA171" s="816"/>
      <c r="CB171" s="816"/>
      <c r="CC171" s="816"/>
      <c r="CD171" s="816"/>
      <c r="CE171" s="816"/>
      <c r="CF171" s="820"/>
      <c r="CG171" s="820"/>
      <c r="CH171" s="820"/>
      <c r="CI171" s="820"/>
      <c r="CJ171" s="609"/>
      <c r="CK171" s="609"/>
      <c r="CL171" s="816"/>
      <c r="CM171" s="816"/>
      <c r="CN171" s="609"/>
      <c r="CO171" s="609"/>
      <c r="CP171" s="816"/>
      <c r="CQ171" s="816"/>
      <c r="CR171" s="609"/>
      <c r="CS171" s="609"/>
      <c r="CT171" s="816"/>
      <c r="CU171" s="816"/>
      <c r="CV171" s="609"/>
      <c r="CW171" s="609"/>
      <c r="CX171" s="816"/>
      <c r="CY171" s="816"/>
      <c r="CZ171" s="816"/>
      <c r="DA171" s="816"/>
      <c r="DB171" s="816"/>
      <c r="DC171" s="816"/>
      <c r="DD171" s="816"/>
      <c r="DE171" s="816"/>
      <c r="DF171" s="816"/>
      <c r="DG171" s="816"/>
      <c r="DH171" s="816"/>
      <c r="DI171" s="816"/>
      <c r="DJ171" s="816"/>
      <c r="DK171" s="816"/>
      <c r="DL171" s="609"/>
      <c r="DM171" s="609"/>
      <c r="DN171" s="816"/>
      <c r="DO171" s="816"/>
      <c r="DP171" s="816"/>
      <c r="DQ171" s="816"/>
      <c r="DR171" s="816"/>
      <c r="DS171" s="816"/>
      <c r="DT171" s="816"/>
      <c r="DU171" s="816"/>
      <c r="DV171" s="816"/>
      <c r="DW171" s="816"/>
      <c r="DX171" s="816"/>
      <c r="DY171" s="816"/>
      <c r="DZ171" s="816"/>
      <c r="EA171" s="816"/>
      <c r="EB171" s="609"/>
      <c r="EC171" s="609"/>
      <c r="ED171" s="816"/>
      <c r="EE171" s="816"/>
      <c r="EF171" s="816"/>
      <c r="EG171" s="816"/>
      <c r="EH171" s="816"/>
      <c r="EI171" s="816"/>
      <c r="EJ171" s="816"/>
      <c r="EK171" s="816"/>
      <c r="EL171" s="816"/>
      <c r="EM171" s="816"/>
      <c r="EN171" s="816"/>
      <c r="EO171" s="816"/>
      <c r="EP171" s="816"/>
      <c r="EQ171" s="816"/>
      <c r="ER171" s="816"/>
      <c r="ES171" s="816"/>
      <c r="ET171" s="816"/>
      <c r="EU171" s="816"/>
      <c r="EV171" s="816"/>
      <c r="EW171" s="816"/>
      <c r="EX171" s="816"/>
      <c r="EY171" s="816"/>
      <c r="EZ171" s="816"/>
      <c r="FA171" s="816"/>
      <c r="FB171" s="819"/>
      <c r="FC171" s="816"/>
      <c r="FD171" s="820"/>
      <c r="FE171" s="820"/>
      <c r="FF171" s="820"/>
      <c r="FG171" s="820"/>
      <c r="FH171" s="609"/>
      <c r="FI171" s="609"/>
      <c r="FJ171" s="816"/>
      <c r="FK171" s="816"/>
      <c r="FL171" s="816"/>
      <c r="FM171" s="816"/>
      <c r="FN171" s="816"/>
      <c r="FO171" s="816"/>
      <c r="FP171" s="816"/>
      <c r="FQ171" s="816"/>
      <c r="FR171" s="816"/>
      <c r="FS171" s="816"/>
      <c r="FT171" s="816"/>
      <c r="FU171" s="816"/>
      <c r="FV171" s="816"/>
      <c r="FW171" s="816"/>
      <c r="FX171" s="609"/>
      <c r="FY171" s="609"/>
      <c r="FZ171" s="816"/>
      <c r="GA171" s="816"/>
      <c r="GB171" s="609"/>
      <c r="GC171" s="609"/>
      <c r="GD171" s="609"/>
      <c r="GE171" s="816"/>
      <c r="GF171" s="816"/>
      <c r="GG171" s="609"/>
      <c r="GH171" s="609"/>
      <c r="GI171" s="816"/>
      <c r="GJ171" s="816"/>
      <c r="GK171" s="609"/>
      <c r="GL171" s="609"/>
      <c r="GM171" s="816"/>
      <c r="GN171" s="816"/>
      <c r="GO171" s="816"/>
      <c r="GP171" s="816"/>
      <c r="GQ171" s="816"/>
      <c r="GR171" s="816"/>
      <c r="GS171" s="609"/>
      <c r="GT171" s="609"/>
      <c r="GU171" s="816"/>
      <c r="GV171" s="816"/>
      <c r="GW171" s="609"/>
      <c r="GX171" s="609"/>
      <c r="GY171" s="816"/>
      <c r="GZ171" s="816"/>
      <c r="HA171" s="609"/>
      <c r="HB171" s="609"/>
      <c r="HC171" s="816"/>
      <c r="HD171" s="816"/>
      <c r="HE171" s="816"/>
      <c r="HF171" s="816"/>
      <c r="HG171" s="816"/>
      <c r="HH171" s="816"/>
      <c r="HI171" s="821"/>
      <c r="HJ171" s="609"/>
      <c r="HK171" s="816"/>
      <c r="HL171" s="816"/>
      <c r="HM171" s="822"/>
      <c r="HN171" s="609"/>
      <c r="HO171" s="816"/>
      <c r="HP171" s="816"/>
      <c r="HQ171" s="609"/>
      <c r="HR171" s="816"/>
      <c r="HS171" s="816"/>
      <c r="HT171" s="816"/>
      <c r="HU171" s="816"/>
      <c r="HV171" s="816"/>
      <c r="HW171" s="816"/>
      <c r="HX171" s="816"/>
      <c r="HY171" s="816"/>
      <c r="HZ171" s="816"/>
      <c r="IA171" s="816"/>
      <c r="IB171" s="816"/>
      <c r="IC171" s="823"/>
      <c r="ID171" s="824"/>
      <c r="IE171" s="825"/>
      <c r="IF171" s="825"/>
      <c r="IG171" s="816"/>
      <c r="II171" s="826"/>
      <c r="IJ171" s="826"/>
      <c r="IK171" s="826"/>
      <c r="IL171" s="826"/>
    </row>
    <row r="172" spans="2:246" s="780" customFormat="1">
      <c r="B172" s="609"/>
      <c r="C172" s="609"/>
      <c r="D172" s="609"/>
      <c r="E172" s="609"/>
      <c r="F172" s="609"/>
      <c r="G172" s="609"/>
      <c r="H172" s="609"/>
      <c r="I172" s="609"/>
      <c r="J172" s="609"/>
      <c r="K172" s="609"/>
      <c r="L172" s="609"/>
      <c r="M172" s="609"/>
      <c r="N172" s="609"/>
      <c r="O172" s="609"/>
      <c r="P172" s="609"/>
      <c r="Q172" s="609"/>
      <c r="R172" s="609"/>
      <c r="S172" s="609"/>
      <c r="T172" s="609"/>
      <c r="U172" s="609"/>
      <c r="V172" s="609"/>
      <c r="W172" s="609"/>
      <c r="X172" s="609"/>
      <c r="Y172" s="609"/>
      <c r="Z172" s="816"/>
      <c r="AA172" s="816"/>
      <c r="AB172" s="816"/>
      <c r="AC172" s="816"/>
      <c r="AD172" s="816"/>
      <c r="AE172" s="816"/>
      <c r="AF172" s="609"/>
      <c r="AG172" s="609"/>
      <c r="AH172" s="816"/>
      <c r="AI172" s="816"/>
      <c r="AJ172" s="609"/>
      <c r="AK172" s="609"/>
      <c r="AL172" s="816"/>
      <c r="AM172" s="816"/>
      <c r="AN172" s="816"/>
      <c r="AO172" s="816"/>
      <c r="AP172" s="816"/>
      <c r="AQ172" s="816"/>
      <c r="AR172" s="609"/>
      <c r="AS172" s="609"/>
      <c r="AT172" s="816"/>
      <c r="AU172" s="816"/>
      <c r="AV172" s="817"/>
      <c r="AW172" s="609"/>
      <c r="AX172" s="609"/>
      <c r="AY172" s="816"/>
      <c r="AZ172" s="816"/>
      <c r="BA172" s="816"/>
      <c r="BB172" s="816"/>
      <c r="BC172" s="816"/>
      <c r="BD172" s="816"/>
      <c r="BE172" s="816"/>
      <c r="BF172" s="816"/>
      <c r="BG172" s="816"/>
      <c r="BH172" s="816"/>
      <c r="BI172" s="816"/>
      <c r="BJ172" s="816"/>
      <c r="BK172" s="816"/>
      <c r="BL172" s="816"/>
      <c r="BM172" s="816"/>
      <c r="BN172" s="816"/>
      <c r="BO172" s="816"/>
      <c r="BP172" s="816"/>
      <c r="BQ172" s="816"/>
      <c r="BR172" s="816"/>
      <c r="BS172" s="816"/>
      <c r="BT172" s="609"/>
      <c r="BU172" s="609"/>
      <c r="BV172" s="609"/>
      <c r="BW172" s="818"/>
      <c r="BX172" s="816"/>
      <c r="BY172" s="816"/>
      <c r="BZ172" s="816"/>
      <c r="CA172" s="816"/>
      <c r="CB172" s="816"/>
      <c r="CC172" s="816"/>
      <c r="CD172" s="816"/>
      <c r="CE172" s="816"/>
      <c r="CF172" s="820"/>
      <c r="CG172" s="820"/>
      <c r="CH172" s="820"/>
      <c r="CI172" s="820"/>
      <c r="CJ172" s="609"/>
      <c r="CK172" s="609"/>
      <c r="CL172" s="816"/>
      <c r="CM172" s="816"/>
      <c r="CN172" s="609"/>
      <c r="CO172" s="609"/>
      <c r="CP172" s="816"/>
      <c r="CQ172" s="816"/>
      <c r="CR172" s="609"/>
      <c r="CS172" s="609"/>
      <c r="CT172" s="816"/>
      <c r="CU172" s="816"/>
      <c r="CV172" s="609"/>
      <c r="CW172" s="609"/>
      <c r="CX172" s="816"/>
      <c r="CY172" s="816"/>
      <c r="CZ172" s="816"/>
      <c r="DA172" s="816"/>
      <c r="DB172" s="816"/>
      <c r="DC172" s="816"/>
      <c r="DD172" s="816"/>
      <c r="DE172" s="816"/>
      <c r="DF172" s="816"/>
      <c r="DG172" s="816"/>
      <c r="DH172" s="816"/>
      <c r="DI172" s="816"/>
      <c r="DJ172" s="816"/>
      <c r="DK172" s="816"/>
      <c r="DL172" s="609"/>
      <c r="DM172" s="609"/>
      <c r="DN172" s="816"/>
      <c r="DO172" s="816"/>
      <c r="DP172" s="816"/>
      <c r="DQ172" s="816"/>
      <c r="DR172" s="816"/>
      <c r="DS172" s="816"/>
      <c r="DT172" s="816"/>
      <c r="DU172" s="816"/>
      <c r="DV172" s="816"/>
      <c r="DW172" s="816"/>
      <c r="DX172" s="816"/>
      <c r="DY172" s="816"/>
      <c r="DZ172" s="816"/>
      <c r="EA172" s="816"/>
      <c r="EB172" s="609"/>
      <c r="EC172" s="609"/>
      <c r="ED172" s="816"/>
      <c r="EE172" s="816"/>
      <c r="EF172" s="816"/>
      <c r="EG172" s="816"/>
      <c r="EH172" s="816"/>
      <c r="EI172" s="816"/>
      <c r="EJ172" s="816"/>
      <c r="EK172" s="816"/>
      <c r="EL172" s="816"/>
      <c r="EM172" s="816"/>
      <c r="EN172" s="816"/>
      <c r="EO172" s="816"/>
      <c r="EP172" s="816"/>
      <c r="EQ172" s="816"/>
      <c r="ER172" s="816"/>
      <c r="ES172" s="816"/>
      <c r="ET172" s="816"/>
      <c r="EU172" s="816"/>
      <c r="EV172" s="816"/>
      <c r="EW172" s="816"/>
      <c r="EX172" s="816"/>
      <c r="EY172" s="816"/>
      <c r="EZ172" s="816"/>
      <c r="FA172" s="816"/>
      <c r="FB172" s="819"/>
      <c r="FC172" s="816"/>
      <c r="FD172" s="820"/>
      <c r="FE172" s="820"/>
      <c r="FF172" s="820"/>
      <c r="FG172" s="820"/>
      <c r="FH172" s="609"/>
      <c r="FI172" s="609"/>
      <c r="FJ172" s="816"/>
      <c r="FK172" s="816"/>
      <c r="FL172" s="816"/>
      <c r="FM172" s="816"/>
      <c r="FN172" s="816"/>
      <c r="FO172" s="816"/>
      <c r="FP172" s="816"/>
      <c r="FQ172" s="816"/>
      <c r="FR172" s="816"/>
      <c r="FS172" s="816"/>
      <c r="FT172" s="816"/>
      <c r="FU172" s="816"/>
      <c r="FV172" s="816"/>
      <c r="FW172" s="816"/>
      <c r="FX172" s="609"/>
      <c r="FY172" s="609"/>
      <c r="FZ172" s="816"/>
      <c r="GA172" s="816"/>
      <c r="GB172" s="609"/>
      <c r="GC172" s="609"/>
      <c r="GD172" s="609"/>
      <c r="GE172" s="816"/>
      <c r="GF172" s="816"/>
      <c r="GG172" s="609"/>
      <c r="GH172" s="609"/>
      <c r="GI172" s="816"/>
      <c r="GJ172" s="816"/>
      <c r="GK172" s="609"/>
      <c r="GL172" s="609"/>
      <c r="GM172" s="816"/>
      <c r="GN172" s="816"/>
      <c r="GO172" s="816"/>
      <c r="GP172" s="816"/>
      <c r="GQ172" s="816"/>
      <c r="GR172" s="816"/>
      <c r="GS172" s="609"/>
      <c r="GT172" s="609"/>
      <c r="GU172" s="816"/>
      <c r="GV172" s="816"/>
      <c r="GW172" s="609"/>
      <c r="GX172" s="609"/>
      <c r="GY172" s="816"/>
      <c r="GZ172" s="816"/>
      <c r="HA172" s="609"/>
      <c r="HB172" s="609"/>
      <c r="HC172" s="816"/>
      <c r="HD172" s="816"/>
      <c r="HE172" s="816"/>
      <c r="HF172" s="816"/>
      <c r="HG172" s="816"/>
      <c r="HH172" s="816"/>
      <c r="HI172" s="821"/>
      <c r="HJ172" s="609"/>
      <c r="HK172" s="816"/>
      <c r="HL172" s="816"/>
      <c r="HM172" s="822"/>
      <c r="HN172" s="609"/>
      <c r="HO172" s="816"/>
      <c r="HP172" s="816"/>
      <c r="HQ172" s="609"/>
      <c r="HR172" s="816"/>
      <c r="HS172" s="816"/>
      <c r="HT172" s="816"/>
      <c r="HU172" s="816"/>
      <c r="HV172" s="816"/>
      <c r="HW172" s="816"/>
      <c r="HX172" s="816"/>
      <c r="HY172" s="816"/>
      <c r="HZ172" s="816"/>
      <c r="IA172" s="816"/>
      <c r="IB172" s="816"/>
      <c r="IC172" s="823"/>
      <c r="ID172" s="824"/>
      <c r="IE172" s="825"/>
      <c r="IF172" s="825"/>
      <c r="IG172" s="816"/>
      <c r="II172" s="826"/>
      <c r="IJ172" s="826"/>
      <c r="IK172" s="826"/>
      <c r="IL172" s="826"/>
    </row>
    <row r="173" spans="2:246" s="780" customFormat="1">
      <c r="B173" s="609"/>
      <c r="C173" s="609"/>
      <c r="D173" s="609"/>
      <c r="E173" s="609"/>
      <c r="F173" s="609"/>
      <c r="G173" s="609"/>
      <c r="H173" s="609"/>
      <c r="I173" s="609"/>
      <c r="J173" s="609"/>
      <c r="K173" s="609"/>
      <c r="L173" s="609"/>
      <c r="M173" s="609"/>
      <c r="N173" s="609"/>
      <c r="O173" s="609"/>
      <c r="P173" s="609"/>
      <c r="Q173" s="609"/>
      <c r="R173" s="609"/>
      <c r="S173" s="609"/>
      <c r="T173" s="609"/>
      <c r="U173" s="609"/>
      <c r="V173" s="609"/>
      <c r="W173" s="609"/>
      <c r="X173" s="609"/>
      <c r="Y173" s="609"/>
      <c r="Z173" s="816"/>
      <c r="AA173" s="816"/>
      <c r="AB173" s="816"/>
      <c r="AC173" s="816"/>
      <c r="AD173" s="816"/>
      <c r="AE173" s="816"/>
      <c r="AF173" s="609"/>
      <c r="AG173" s="609"/>
      <c r="AH173" s="816"/>
      <c r="AI173" s="816"/>
      <c r="AJ173" s="609"/>
      <c r="AK173" s="609"/>
      <c r="AL173" s="816"/>
      <c r="AM173" s="816"/>
      <c r="AN173" s="816"/>
      <c r="AO173" s="816"/>
      <c r="AP173" s="816"/>
      <c r="AQ173" s="816"/>
      <c r="AR173" s="609"/>
      <c r="AS173" s="609"/>
      <c r="AT173" s="816"/>
      <c r="AU173" s="816"/>
      <c r="AV173" s="817"/>
      <c r="AW173" s="609"/>
      <c r="AX173" s="609"/>
      <c r="AY173" s="816"/>
      <c r="AZ173" s="816"/>
      <c r="BA173" s="816"/>
      <c r="BB173" s="816"/>
      <c r="BC173" s="816"/>
      <c r="BD173" s="816"/>
      <c r="BE173" s="816"/>
      <c r="BF173" s="816"/>
      <c r="BG173" s="816"/>
      <c r="BH173" s="816"/>
      <c r="BI173" s="816"/>
      <c r="BJ173" s="816"/>
      <c r="BK173" s="816"/>
      <c r="BL173" s="816"/>
      <c r="BM173" s="816"/>
      <c r="BN173" s="816"/>
      <c r="BO173" s="816"/>
      <c r="BP173" s="816"/>
      <c r="BQ173" s="816"/>
      <c r="BR173" s="816"/>
      <c r="BS173" s="816"/>
      <c r="BT173" s="609"/>
      <c r="BU173" s="609"/>
      <c r="BV173" s="609"/>
      <c r="BW173" s="818"/>
      <c r="BX173" s="816"/>
      <c r="BY173" s="816"/>
      <c r="BZ173" s="816"/>
      <c r="CA173" s="816"/>
      <c r="CB173" s="816"/>
      <c r="CC173" s="816"/>
      <c r="CD173" s="816"/>
      <c r="CE173" s="816"/>
      <c r="CF173" s="820"/>
      <c r="CG173" s="820"/>
      <c r="CH173" s="820"/>
      <c r="CI173" s="820"/>
      <c r="CJ173" s="609"/>
      <c r="CK173" s="609"/>
      <c r="CL173" s="816"/>
      <c r="CM173" s="816"/>
      <c r="CN173" s="609"/>
      <c r="CO173" s="609"/>
      <c r="CP173" s="816"/>
      <c r="CQ173" s="816"/>
      <c r="CR173" s="609"/>
      <c r="CS173" s="609"/>
      <c r="CT173" s="816"/>
      <c r="CU173" s="816"/>
      <c r="CV173" s="609"/>
      <c r="CW173" s="609"/>
      <c r="CX173" s="816"/>
      <c r="CY173" s="816"/>
      <c r="CZ173" s="816"/>
      <c r="DA173" s="816"/>
      <c r="DB173" s="816"/>
      <c r="DC173" s="816"/>
      <c r="DD173" s="816"/>
      <c r="DE173" s="816"/>
      <c r="DF173" s="816"/>
      <c r="DG173" s="816"/>
      <c r="DH173" s="816"/>
      <c r="DI173" s="816"/>
      <c r="DJ173" s="816"/>
      <c r="DK173" s="816"/>
      <c r="DL173" s="609"/>
      <c r="DM173" s="609"/>
      <c r="DN173" s="816"/>
      <c r="DO173" s="816"/>
      <c r="DP173" s="816"/>
      <c r="DQ173" s="816"/>
      <c r="DR173" s="816"/>
      <c r="DS173" s="816"/>
      <c r="DT173" s="816"/>
      <c r="DU173" s="816"/>
      <c r="DV173" s="816"/>
      <c r="DW173" s="816"/>
      <c r="DX173" s="816"/>
      <c r="DY173" s="816"/>
      <c r="DZ173" s="816"/>
      <c r="EA173" s="816"/>
      <c r="EB173" s="609"/>
      <c r="EC173" s="609"/>
      <c r="ED173" s="816"/>
      <c r="EE173" s="816"/>
      <c r="EF173" s="816"/>
      <c r="EG173" s="816"/>
      <c r="EH173" s="816"/>
      <c r="EI173" s="816"/>
      <c r="EJ173" s="816"/>
      <c r="EK173" s="816"/>
      <c r="EL173" s="816"/>
      <c r="EM173" s="816"/>
      <c r="EN173" s="816"/>
      <c r="EO173" s="816"/>
      <c r="EP173" s="816"/>
      <c r="EQ173" s="816"/>
      <c r="ER173" s="816"/>
      <c r="ES173" s="816"/>
      <c r="ET173" s="816"/>
      <c r="EU173" s="816"/>
      <c r="EV173" s="816"/>
      <c r="EW173" s="816"/>
      <c r="EX173" s="816"/>
      <c r="EY173" s="816"/>
      <c r="EZ173" s="816"/>
      <c r="FA173" s="816"/>
      <c r="FB173" s="819"/>
      <c r="FC173" s="816"/>
      <c r="FD173" s="820"/>
      <c r="FE173" s="820"/>
      <c r="FF173" s="820"/>
      <c r="FG173" s="820"/>
      <c r="FH173" s="609"/>
      <c r="FI173" s="609"/>
      <c r="FJ173" s="816"/>
      <c r="FK173" s="816"/>
      <c r="FL173" s="816"/>
      <c r="FM173" s="816"/>
      <c r="FN173" s="816"/>
      <c r="FO173" s="816"/>
      <c r="FP173" s="816"/>
      <c r="FQ173" s="816"/>
      <c r="FR173" s="816"/>
      <c r="FS173" s="816"/>
      <c r="FT173" s="816"/>
      <c r="FU173" s="816"/>
      <c r="FV173" s="816"/>
      <c r="FW173" s="816"/>
      <c r="FX173" s="609"/>
      <c r="FY173" s="609"/>
      <c r="FZ173" s="816"/>
      <c r="GA173" s="816"/>
      <c r="GB173" s="609"/>
      <c r="GC173" s="609"/>
      <c r="GD173" s="609"/>
      <c r="GE173" s="816"/>
      <c r="GF173" s="816"/>
      <c r="GG173" s="609"/>
      <c r="GH173" s="609"/>
      <c r="GI173" s="816"/>
      <c r="GJ173" s="816"/>
      <c r="GK173" s="609"/>
      <c r="GL173" s="609"/>
      <c r="GM173" s="816"/>
      <c r="GN173" s="816"/>
      <c r="GO173" s="816"/>
      <c r="GP173" s="816"/>
      <c r="GQ173" s="816"/>
      <c r="GR173" s="816"/>
      <c r="GS173" s="609"/>
      <c r="GT173" s="609"/>
      <c r="GU173" s="816"/>
      <c r="GV173" s="816"/>
      <c r="GW173" s="609"/>
      <c r="GX173" s="609"/>
      <c r="GY173" s="816"/>
      <c r="GZ173" s="816"/>
      <c r="HA173" s="609"/>
      <c r="HB173" s="609"/>
      <c r="HC173" s="816"/>
      <c r="HD173" s="816"/>
      <c r="HE173" s="816"/>
      <c r="HF173" s="816"/>
      <c r="HG173" s="816"/>
      <c r="HH173" s="816"/>
      <c r="HI173" s="821"/>
      <c r="HJ173" s="609"/>
      <c r="HK173" s="816"/>
      <c r="HL173" s="816"/>
      <c r="HM173" s="822"/>
      <c r="HN173" s="609"/>
      <c r="HO173" s="816"/>
      <c r="HP173" s="816"/>
      <c r="HQ173" s="609"/>
      <c r="HR173" s="816"/>
      <c r="HS173" s="816"/>
      <c r="HT173" s="816"/>
      <c r="HU173" s="816"/>
      <c r="HV173" s="816"/>
      <c r="HW173" s="816"/>
      <c r="HX173" s="816"/>
      <c r="HY173" s="816"/>
      <c r="HZ173" s="816"/>
      <c r="IA173" s="816"/>
      <c r="IB173" s="816"/>
      <c r="IC173" s="823"/>
      <c r="ID173" s="824"/>
      <c r="IE173" s="825"/>
      <c r="IF173" s="825"/>
      <c r="IG173" s="816"/>
      <c r="II173" s="826"/>
      <c r="IJ173" s="826"/>
      <c r="IK173" s="826"/>
      <c r="IL173" s="826"/>
    </row>
    <row r="174" spans="2:246" s="780" customFormat="1">
      <c r="B174" s="609"/>
      <c r="C174" s="609"/>
      <c r="D174" s="609"/>
      <c r="E174" s="609"/>
      <c r="F174" s="609"/>
      <c r="G174" s="609"/>
      <c r="H174" s="609"/>
      <c r="I174" s="609"/>
      <c r="J174" s="609"/>
      <c r="K174" s="609"/>
      <c r="L174" s="609"/>
      <c r="M174" s="609"/>
      <c r="N174" s="609"/>
      <c r="O174" s="609"/>
      <c r="P174" s="609"/>
      <c r="Q174" s="609"/>
      <c r="R174" s="609"/>
      <c r="S174" s="609"/>
      <c r="T174" s="609"/>
      <c r="U174" s="609"/>
      <c r="V174" s="609"/>
      <c r="W174" s="609"/>
      <c r="X174" s="609"/>
      <c r="Y174" s="609"/>
      <c r="Z174" s="816"/>
      <c r="AA174" s="816"/>
      <c r="AB174" s="816"/>
      <c r="AC174" s="816"/>
      <c r="AD174" s="816"/>
      <c r="AE174" s="816"/>
      <c r="AF174" s="609"/>
      <c r="AG174" s="609"/>
      <c r="AH174" s="816"/>
      <c r="AI174" s="816"/>
      <c r="AJ174" s="609"/>
      <c r="AK174" s="609"/>
      <c r="AL174" s="816"/>
      <c r="AM174" s="816"/>
      <c r="AN174" s="816"/>
      <c r="AO174" s="816"/>
      <c r="AP174" s="816"/>
      <c r="AQ174" s="816"/>
      <c r="AR174" s="609"/>
      <c r="AS174" s="609"/>
      <c r="AT174" s="816"/>
      <c r="AU174" s="816"/>
      <c r="AV174" s="817"/>
      <c r="AW174" s="609"/>
      <c r="AX174" s="609"/>
      <c r="AY174" s="816"/>
      <c r="AZ174" s="816"/>
      <c r="BA174" s="816"/>
      <c r="BB174" s="816"/>
      <c r="BC174" s="816"/>
      <c r="BD174" s="816"/>
      <c r="BE174" s="816"/>
      <c r="BF174" s="816"/>
      <c r="BG174" s="816"/>
      <c r="BH174" s="816"/>
      <c r="BI174" s="816"/>
      <c r="BJ174" s="816"/>
      <c r="BK174" s="816"/>
      <c r="BL174" s="816"/>
      <c r="BM174" s="816"/>
      <c r="BN174" s="816"/>
      <c r="BO174" s="816"/>
      <c r="BP174" s="816"/>
      <c r="BQ174" s="816"/>
      <c r="BR174" s="816"/>
      <c r="BS174" s="816"/>
      <c r="BT174" s="609"/>
      <c r="BU174" s="609"/>
      <c r="BV174" s="609"/>
      <c r="BW174" s="818"/>
      <c r="BX174" s="816"/>
      <c r="BY174" s="816"/>
      <c r="BZ174" s="816"/>
      <c r="CA174" s="816"/>
      <c r="CB174" s="816"/>
      <c r="CC174" s="816"/>
      <c r="CD174" s="816"/>
      <c r="CE174" s="816"/>
      <c r="CF174" s="820"/>
      <c r="CG174" s="820"/>
      <c r="CH174" s="820"/>
      <c r="CI174" s="820"/>
      <c r="CJ174" s="609"/>
      <c r="CK174" s="609"/>
      <c r="CL174" s="816"/>
      <c r="CM174" s="816"/>
      <c r="CN174" s="609"/>
      <c r="CO174" s="609"/>
      <c r="CP174" s="816"/>
      <c r="CQ174" s="816"/>
      <c r="CR174" s="609"/>
      <c r="CS174" s="609"/>
      <c r="CT174" s="816"/>
      <c r="CU174" s="816"/>
      <c r="CV174" s="609"/>
      <c r="CW174" s="609"/>
      <c r="CX174" s="816"/>
      <c r="CY174" s="816"/>
      <c r="CZ174" s="816"/>
      <c r="DA174" s="816"/>
      <c r="DB174" s="816"/>
      <c r="DC174" s="816"/>
      <c r="DD174" s="816"/>
      <c r="DE174" s="816"/>
      <c r="DF174" s="816"/>
      <c r="DG174" s="816"/>
      <c r="DH174" s="816"/>
      <c r="DI174" s="816"/>
      <c r="DJ174" s="816"/>
      <c r="DK174" s="816"/>
      <c r="DL174" s="609"/>
      <c r="DM174" s="609"/>
      <c r="DN174" s="816"/>
      <c r="DO174" s="816"/>
      <c r="DP174" s="816"/>
      <c r="DQ174" s="816"/>
      <c r="DR174" s="816"/>
      <c r="DS174" s="816"/>
      <c r="DT174" s="816"/>
      <c r="DU174" s="816"/>
      <c r="DV174" s="816"/>
      <c r="DW174" s="816"/>
      <c r="DX174" s="816"/>
      <c r="DY174" s="816"/>
      <c r="DZ174" s="816"/>
      <c r="EA174" s="816"/>
      <c r="EB174" s="609"/>
      <c r="EC174" s="609"/>
      <c r="ED174" s="816"/>
      <c r="EE174" s="816"/>
      <c r="EF174" s="816"/>
      <c r="EG174" s="816"/>
      <c r="EH174" s="816"/>
      <c r="EI174" s="816"/>
      <c r="EJ174" s="816"/>
      <c r="EK174" s="816"/>
      <c r="EL174" s="816"/>
      <c r="EM174" s="816"/>
      <c r="EN174" s="816"/>
      <c r="EO174" s="816"/>
      <c r="EP174" s="816"/>
      <c r="EQ174" s="816"/>
      <c r="ER174" s="816"/>
      <c r="ES174" s="816"/>
      <c r="ET174" s="816"/>
      <c r="EU174" s="816"/>
      <c r="EV174" s="816"/>
      <c r="EW174" s="816"/>
      <c r="EX174" s="816"/>
      <c r="EY174" s="816"/>
      <c r="EZ174" s="816"/>
      <c r="FA174" s="816"/>
      <c r="FB174" s="819"/>
      <c r="FC174" s="816"/>
      <c r="FD174" s="820"/>
      <c r="FE174" s="820"/>
      <c r="FF174" s="820"/>
      <c r="FG174" s="820"/>
      <c r="FH174" s="609"/>
      <c r="FI174" s="609"/>
      <c r="FJ174" s="816"/>
      <c r="FK174" s="816"/>
      <c r="FL174" s="816"/>
      <c r="FM174" s="816"/>
      <c r="FN174" s="816"/>
      <c r="FO174" s="816"/>
      <c r="FP174" s="816"/>
      <c r="FQ174" s="816"/>
      <c r="FR174" s="816"/>
      <c r="FS174" s="816"/>
      <c r="FT174" s="816"/>
      <c r="FU174" s="816"/>
      <c r="FV174" s="816"/>
      <c r="FW174" s="816"/>
      <c r="FX174" s="609"/>
      <c r="FY174" s="609"/>
      <c r="FZ174" s="816"/>
      <c r="GA174" s="816"/>
      <c r="GB174" s="609"/>
      <c r="GC174" s="609"/>
      <c r="GD174" s="609"/>
      <c r="GE174" s="816"/>
      <c r="GF174" s="816"/>
      <c r="GG174" s="609"/>
      <c r="GH174" s="609"/>
      <c r="GI174" s="816"/>
      <c r="GJ174" s="816"/>
      <c r="GK174" s="609"/>
      <c r="GL174" s="609"/>
      <c r="GM174" s="816"/>
      <c r="GN174" s="816"/>
      <c r="GO174" s="816"/>
      <c r="GP174" s="816"/>
      <c r="GQ174" s="816"/>
      <c r="GR174" s="816"/>
      <c r="GS174" s="609"/>
      <c r="GT174" s="609"/>
      <c r="GU174" s="816"/>
      <c r="GV174" s="816"/>
      <c r="GW174" s="609"/>
      <c r="GX174" s="609"/>
      <c r="GY174" s="816"/>
      <c r="GZ174" s="816"/>
      <c r="HA174" s="609"/>
      <c r="HB174" s="609"/>
      <c r="HC174" s="816"/>
      <c r="HD174" s="816"/>
      <c r="HE174" s="816"/>
      <c r="HF174" s="816"/>
      <c r="HG174" s="816"/>
      <c r="HH174" s="816"/>
      <c r="HI174" s="821"/>
      <c r="HJ174" s="609"/>
      <c r="HK174" s="816"/>
      <c r="HL174" s="816"/>
      <c r="HM174" s="822"/>
      <c r="HN174" s="609"/>
      <c r="HO174" s="816"/>
      <c r="HP174" s="816"/>
      <c r="HQ174" s="609"/>
      <c r="HR174" s="816"/>
      <c r="HS174" s="816"/>
      <c r="HT174" s="816"/>
      <c r="HU174" s="816"/>
      <c r="HV174" s="816"/>
      <c r="HW174" s="816"/>
      <c r="HX174" s="816"/>
      <c r="HY174" s="816"/>
      <c r="HZ174" s="816"/>
      <c r="IA174" s="816"/>
      <c r="IB174" s="816"/>
      <c r="IC174" s="823"/>
      <c r="ID174" s="824"/>
      <c r="IE174" s="825"/>
      <c r="IF174" s="825"/>
      <c r="IG174" s="816"/>
      <c r="II174" s="826"/>
      <c r="IJ174" s="826"/>
      <c r="IK174" s="826"/>
      <c r="IL174" s="826"/>
    </row>
    <row r="175" spans="2:246" s="780" customFormat="1">
      <c r="B175" s="609"/>
      <c r="C175" s="609"/>
      <c r="D175" s="609"/>
      <c r="E175" s="609"/>
      <c r="F175" s="609"/>
      <c r="G175" s="609"/>
      <c r="H175" s="609"/>
      <c r="I175" s="609"/>
      <c r="J175" s="609"/>
      <c r="K175" s="609"/>
      <c r="L175" s="609"/>
      <c r="M175" s="609"/>
      <c r="N175" s="609"/>
      <c r="O175" s="609"/>
      <c r="P175" s="609"/>
      <c r="Q175" s="609"/>
      <c r="R175" s="609"/>
      <c r="S175" s="609"/>
      <c r="T175" s="609"/>
      <c r="U175" s="609"/>
      <c r="V175" s="609"/>
      <c r="W175" s="609"/>
      <c r="X175" s="609"/>
      <c r="Y175" s="609"/>
      <c r="Z175" s="816"/>
      <c r="AA175" s="816"/>
      <c r="AB175" s="816"/>
      <c r="AC175" s="816"/>
      <c r="AD175" s="816"/>
      <c r="AE175" s="816"/>
      <c r="AF175" s="609"/>
      <c r="AG175" s="609"/>
      <c r="AH175" s="816"/>
      <c r="AI175" s="816"/>
      <c r="AJ175" s="609"/>
      <c r="AK175" s="609"/>
      <c r="AL175" s="816"/>
      <c r="AM175" s="816"/>
      <c r="AN175" s="816"/>
      <c r="AO175" s="816"/>
      <c r="AP175" s="816"/>
      <c r="AQ175" s="816"/>
      <c r="AR175" s="609"/>
      <c r="AS175" s="609"/>
      <c r="AT175" s="816"/>
      <c r="AU175" s="816"/>
      <c r="AV175" s="817"/>
      <c r="AW175" s="609"/>
      <c r="AX175" s="609"/>
      <c r="AY175" s="816"/>
      <c r="AZ175" s="816"/>
      <c r="BA175" s="816"/>
      <c r="BB175" s="816"/>
      <c r="BC175" s="816"/>
      <c r="BD175" s="816"/>
      <c r="BE175" s="816"/>
      <c r="BF175" s="816"/>
      <c r="BG175" s="816"/>
      <c r="BH175" s="816"/>
      <c r="BI175" s="816"/>
      <c r="BJ175" s="816"/>
      <c r="BK175" s="816"/>
      <c r="BL175" s="816"/>
      <c r="BM175" s="816"/>
      <c r="BN175" s="816"/>
      <c r="BO175" s="816"/>
      <c r="BP175" s="816"/>
      <c r="BQ175" s="816"/>
      <c r="BR175" s="816"/>
      <c r="BS175" s="816"/>
      <c r="BT175" s="609"/>
      <c r="BU175" s="609"/>
      <c r="BV175" s="609"/>
      <c r="BW175" s="818"/>
      <c r="BX175" s="816"/>
      <c r="BY175" s="816"/>
      <c r="BZ175" s="816"/>
      <c r="CA175" s="816"/>
      <c r="CB175" s="816"/>
      <c r="CC175" s="816"/>
      <c r="CD175" s="816"/>
      <c r="CE175" s="816"/>
      <c r="CF175" s="820"/>
      <c r="CG175" s="820"/>
      <c r="CH175" s="820"/>
      <c r="CI175" s="820"/>
      <c r="CJ175" s="609"/>
      <c r="CK175" s="609"/>
      <c r="CL175" s="816"/>
      <c r="CM175" s="816"/>
      <c r="CN175" s="609"/>
      <c r="CO175" s="609"/>
      <c r="CP175" s="816"/>
      <c r="CQ175" s="816"/>
      <c r="CR175" s="609"/>
      <c r="CS175" s="609"/>
      <c r="CT175" s="816"/>
      <c r="CU175" s="816"/>
      <c r="CV175" s="609"/>
      <c r="CW175" s="609"/>
      <c r="CX175" s="816"/>
      <c r="CY175" s="816"/>
      <c r="CZ175" s="816"/>
      <c r="DA175" s="816"/>
      <c r="DB175" s="816"/>
      <c r="DC175" s="816"/>
      <c r="DD175" s="816"/>
      <c r="DE175" s="816"/>
      <c r="DF175" s="816"/>
      <c r="DG175" s="816"/>
      <c r="DH175" s="816"/>
      <c r="DI175" s="816"/>
      <c r="DJ175" s="816"/>
      <c r="DK175" s="816"/>
      <c r="DL175" s="609"/>
      <c r="DM175" s="609"/>
      <c r="DN175" s="816"/>
      <c r="DO175" s="816"/>
      <c r="DP175" s="816"/>
      <c r="DQ175" s="816"/>
      <c r="DR175" s="816"/>
      <c r="DS175" s="816"/>
      <c r="DT175" s="816"/>
      <c r="DU175" s="816"/>
      <c r="DV175" s="816"/>
      <c r="DW175" s="816"/>
      <c r="DX175" s="816"/>
      <c r="DY175" s="816"/>
      <c r="DZ175" s="816"/>
      <c r="EA175" s="816"/>
      <c r="EB175" s="609"/>
      <c r="EC175" s="609"/>
      <c r="ED175" s="816"/>
      <c r="EE175" s="816"/>
      <c r="EF175" s="816"/>
      <c r="EG175" s="816"/>
      <c r="EH175" s="816"/>
      <c r="EI175" s="816"/>
      <c r="EJ175" s="816"/>
      <c r="EK175" s="816"/>
      <c r="EL175" s="816"/>
      <c r="EM175" s="816"/>
      <c r="EN175" s="816"/>
      <c r="EO175" s="816"/>
      <c r="EP175" s="816"/>
      <c r="EQ175" s="816"/>
      <c r="ER175" s="816"/>
      <c r="ES175" s="816"/>
      <c r="ET175" s="816"/>
      <c r="EU175" s="816"/>
      <c r="EV175" s="816"/>
      <c r="EW175" s="816"/>
      <c r="EX175" s="816"/>
      <c r="EY175" s="816"/>
      <c r="EZ175" s="816"/>
      <c r="FA175" s="816"/>
      <c r="FB175" s="819"/>
      <c r="FC175" s="816"/>
      <c r="FD175" s="820"/>
      <c r="FE175" s="820"/>
      <c r="FF175" s="820"/>
      <c r="FG175" s="820"/>
      <c r="FH175" s="609"/>
      <c r="FI175" s="609"/>
      <c r="FJ175" s="816"/>
      <c r="FK175" s="816"/>
      <c r="FL175" s="816"/>
      <c r="FM175" s="816"/>
      <c r="FN175" s="816"/>
      <c r="FO175" s="816"/>
      <c r="FP175" s="816"/>
      <c r="FQ175" s="816"/>
      <c r="FR175" s="816"/>
      <c r="FS175" s="816"/>
      <c r="FT175" s="816"/>
      <c r="FU175" s="816"/>
      <c r="FV175" s="816"/>
      <c r="FW175" s="816"/>
      <c r="FX175" s="609"/>
      <c r="FY175" s="609"/>
      <c r="FZ175" s="816"/>
      <c r="GA175" s="816"/>
      <c r="GB175" s="609"/>
      <c r="GC175" s="609"/>
      <c r="GD175" s="609"/>
      <c r="GE175" s="816"/>
      <c r="GF175" s="816"/>
      <c r="GG175" s="609"/>
      <c r="GH175" s="609"/>
      <c r="GI175" s="816"/>
      <c r="GJ175" s="816"/>
      <c r="GK175" s="609"/>
      <c r="GL175" s="609"/>
      <c r="GM175" s="816"/>
      <c r="GN175" s="816"/>
      <c r="GO175" s="816"/>
      <c r="GP175" s="816"/>
      <c r="GQ175" s="816"/>
      <c r="GR175" s="816"/>
      <c r="GS175" s="609"/>
      <c r="GT175" s="609"/>
      <c r="GU175" s="816"/>
      <c r="GV175" s="816"/>
      <c r="GW175" s="609"/>
      <c r="GX175" s="609"/>
      <c r="GY175" s="816"/>
      <c r="GZ175" s="816"/>
      <c r="HA175" s="609"/>
      <c r="HB175" s="609"/>
      <c r="HC175" s="816"/>
      <c r="HD175" s="816"/>
      <c r="HE175" s="816"/>
      <c r="HF175" s="816"/>
      <c r="HG175" s="816"/>
      <c r="HH175" s="816"/>
      <c r="HI175" s="821"/>
      <c r="HJ175" s="609"/>
      <c r="HK175" s="816"/>
      <c r="HL175" s="816"/>
      <c r="HM175" s="822"/>
      <c r="HN175" s="609"/>
      <c r="HO175" s="816"/>
      <c r="HP175" s="816"/>
      <c r="HQ175" s="609"/>
      <c r="HR175" s="816"/>
      <c r="HS175" s="816"/>
      <c r="HT175" s="816"/>
      <c r="HU175" s="816"/>
      <c r="HV175" s="816"/>
      <c r="HW175" s="816"/>
      <c r="HX175" s="816"/>
      <c r="HY175" s="816"/>
      <c r="HZ175" s="816"/>
      <c r="IA175" s="816"/>
      <c r="IB175" s="816"/>
      <c r="IC175" s="823"/>
      <c r="ID175" s="824"/>
      <c r="IE175" s="825"/>
      <c r="IF175" s="825"/>
      <c r="IG175" s="816"/>
      <c r="II175" s="833"/>
      <c r="IJ175" s="833"/>
      <c r="IK175" s="833"/>
      <c r="IL175" s="833"/>
    </row>
    <row r="176" spans="2:246" s="780" customFormat="1">
      <c r="B176" s="609"/>
      <c r="C176" s="609"/>
      <c r="D176" s="609"/>
      <c r="E176" s="609"/>
      <c r="F176" s="609"/>
      <c r="G176" s="609"/>
      <c r="H176" s="609"/>
      <c r="I176" s="609"/>
      <c r="J176" s="609"/>
      <c r="K176" s="609"/>
      <c r="L176" s="609"/>
      <c r="M176" s="609"/>
      <c r="N176" s="609"/>
      <c r="O176" s="609"/>
      <c r="P176" s="609"/>
      <c r="Q176" s="609"/>
      <c r="R176" s="609"/>
      <c r="S176" s="609"/>
      <c r="T176" s="609"/>
      <c r="U176" s="609"/>
      <c r="V176" s="609"/>
      <c r="W176" s="609"/>
      <c r="X176" s="609"/>
      <c r="Y176" s="609"/>
      <c r="Z176" s="816"/>
      <c r="AA176" s="816"/>
      <c r="AB176" s="816"/>
      <c r="AC176" s="816"/>
      <c r="AD176" s="816"/>
      <c r="AE176" s="816"/>
      <c r="AF176" s="609"/>
      <c r="AG176" s="609"/>
      <c r="AH176" s="816"/>
      <c r="AI176" s="816"/>
      <c r="AJ176" s="609"/>
      <c r="AK176" s="609"/>
      <c r="AL176" s="816"/>
      <c r="AM176" s="816"/>
      <c r="AN176" s="816"/>
      <c r="AO176" s="816"/>
      <c r="AP176" s="816"/>
      <c r="AQ176" s="816"/>
      <c r="AR176" s="609"/>
      <c r="AS176" s="609"/>
      <c r="AT176" s="816"/>
      <c r="AU176" s="816"/>
      <c r="AV176" s="817"/>
      <c r="AW176" s="609"/>
      <c r="AX176" s="609"/>
      <c r="AY176" s="816"/>
      <c r="AZ176" s="816"/>
      <c r="BA176" s="816"/>
      <c r="BB176" s="816"/>
      <c r="BC176" s="816"/>
      <c r="BD176" s="816"/>
      <c r="BE176" s="816"/>
      <c r="BF176" s="816"/>
      <c r="BG176" s="816"/>
      <c r="BH176" s="816"/>
      <c r="BI176" s="816"/>
      <c r="BJ176" s="816"/>
      <c r="BK176" s="816"/>
      <c r="BL176" s="816"/>
      <c r="BM176" s="816"/>
      <c r="BN176" s="816"/>
      <c r="BO176" s="816"/>
      <c r="BP176" s="816"/>
      <c r="BQ176" s="816"/>
      <c r="BR176" s="816"/>
      <c r="BS176" s="816"/>
      <c r="BT176" s="609"/>
      <c r="BU176" s="609"/>
      <c r="BV176" s="609"/>
      <c r="BW176" s="818"/>
      <c r="BX176" s="816"/>
      <c r="BY176" s="816"/>
      <c r="BZ176" s="816"/>
      <c r="CA176" s="816"/>
      <c r="CB176" s="816"/>
      <c r="CC176" s="816"/>
      <c r="CD176" s="816"/>
      <c r="CE176" s="816"/>
      <c r="CF176" s="820"/>
      <c r="CG176" s="820"/>
      <c r="CH176" s="820"/>
      <c r="CI176" s="820"/>
      <c r="CJ176" s="609"/>
      <c r="CK176" s="609"/>
      <c r="CL176" s="816"/>
      <c r="CM176" s="816"/>
      <c r="CN176" s="609"/>
      <c r="CO176" s="609"/>
      <c r="CP176" s="816"/>
      <c r="CQ176" s="816"/>
      <c r="CR176" s="609"/>
      <c r="CS176" s="609"/>
      <c r="CT176" s="816"/>
      <c r="CU176" s="816"/>
      <c r="CV176" s="609"/>
      <c r="CW176" s="609"/>
      <c r="CX176" s="816"/>
      <c r="CY176" s="816"/>
      <c r="CZ176" s="816"/>
      <c r="DA176" s="816"/>
      <c r="DB176" s="816"/>
      <c r="DC176" s="816"/>
      <c r="DD176" s="816"/>
      <c r="DE176" s="816"/>
      <c r="DF176" s="816"/>
      <c r="DG176" s="816"/>
      <c r="DH176" s="816"/>
      <c r="DI176" s="816"/>
      <c r="DJ176" s="816"/>
      <c r="DK176" s="816"/>
      <c r="DL176" s="609"/>
      <c r="DM176" s="609"/>
      <c r="DN176" s="816"/>
      <c r="DO176" s="816"/>
      <c r="DP176" s="816"/>
      <c r="DQ176" s="816"/>
      <c r="DR176" s="816"/>
      <c r="DS176" s="816"/>
      <c r="DT176" s="816"/>
      <c r="DU176" s="816"/>
      <c r="DV176" s="816"/>
      <c r="DW176" s="816"/>
      <c r="DX176" s="816"/>
      <c r="DY176" s="816"/>
      <c r="DZ176" s="816"/>
      <c r="EA176" s="816"/>
      <c r="EB176" s="609"/>
      <c r="EC176" s="609"/>
      <c r="ED176" s="816"/>
      <c r="EE176" s="816"/>
      <c r="EF176" s="816"/>
      <c r="EG176" s="816"/>
      <c r="EH176" s="816"/>
      <c r="EI176" s="816"/>
      <c r="EJ176" s="816"/>
      <c r="EK176" s="816"/>
      <c r="EL176" s="816"/>
      <c r="EM176" s="816"/>
      <c r="EN176" s="816"/>
      <c r="EO176" s="816"/>
      <c r="EP176" s="816"/>
      <c r="EQ176" s="816"/>
      <c r="ER176" s="816"/>
      <c r="ES176" s="816"/>
      <c r="ET176" s="816"/>
      <c r="EU176" s="816"/>
      <c r="EV176" s="816"/>
      <c r="EW176" s="816"/>
      <c r="EX176" s="816"/>
      <c r="EY176" s="816"/>
      <c r="EZ176" s="816"/>
      <c r="FA176" s="816"/>
      <c r="FB176" s="819"/>
      <c r="FC176" s="816"/>
      <c r="FD176" s="820"/>
      <c r="FE176" s="820"/>
      <c r="FF176" s="820"/>
      <c r="FG176" s="820"/>
      <c r="FH176" s="609"/>
      <c r="FI176" s="609"/>
      <c r="FJ176" s="816"/>
      <c r="FK176" s="816"/>
      <c r="FL176" s="816"/>
      <c r="FM176" s="816"/>
      <c r="FN176" s="816"/>
      <c r="FO176" s="816"/>
      <c r="FP176" s="816"/>
      <c r="FQ176" s="816"/>
      <c r="FR176" s="816"/>
      <c r="FS176" s="816"/>
      <c r="FT176" s="816"/>
      <c r="FU176" s="816"/>
      <c r="FV176" s="816"/>
      <c r="FW176" s="816"/>
      <c r="FX176" s="609"/>
      <c r="FY176" s="609"/>
      <c r="FZ176" s="816"/>
      <c r="GA176" s="816"/>
      <c r="GB176" s="609"/>
      <c r="GC176" s="609"/>
      <c r="GD176" s="609"/>
      <c r="GE176" s="816"/>
      <c r="GF176" s="816"/>
      <c r="GG176" s="609"/>
      <c r="GH176" s="609"/>
      <c r="GI176" s="816"/>
      <c r="GJ176" s="816"/>
      <c r="GK176" s="609"/>
      <c r="GL176" s="609"/>
      <c r="GM176" s="816"/>
      <c r="GN176" s="816"/>
      <c r="GO176" s="816"/>
      <c r="GP176" s="816"/>
      <c r="GQ176" s="816"/>
      <c r="GR176" s="816"/>
      <c r="GS176" s="609"/>
      <c r="GT176" s="609"/>
      <c r="GU176" s="816"/>
      <c r="GV176" s="816"/>
      <c r="GW176" s="609"/>
      <c r="GX176" s="609"/>
      <c r="GY176" s="816"/>
      <c r="GZ176" s="816"/>
      <c r="HA176" s="609"/>
      <c r="HB176" s="609"/>
      <c r="HC176" s="816"/>
      <c r="HD176" s="816"/>
      <c r="HE176" s="816"/>
      <c r="HF176" s="816"/>
      <c r="HG176" s="816"/>
      <c r="HH176" s="816"/>
      <c r="HI176" s="821"/>
      <c r="HJ176" s="609"/>
      <c r="HK176" s="816"/>
      <c r="HL176" s="816"/>
      <c r="HM176" s="822"/>
      <c r="HN176" s="609"/>
      <c r="HO176" s="816"/>
      <c r="HP176" s="816"/>
      <c r="HQ176" s="609"/>
      <c r="HR176" s="816"/>
      <c r="HS176" s="816"/>
      <c r="HT176" s="816"/>
      <c r="HU176" s="816"/>
      <c r="HV176" s="816"/>
      <c r="HW176" s="816"/>
      <c r="HX176" s="816"/>
      <c r="HY176" s="816"/>
      <c r="HZ176" s="816"/>
      <c r="IA176" s="816"/>
      <c r="IB176" s="816"/>
      <c r="IC176" s="823"/>
      <c r="ID176" s="824"/>
      <c r="IE176" s="825"/>
      <c r="IF176" s="825"/>
      <c r="IG176" s="816"/>
      <c r="II176" s="826"/>
      <c r="IJ176" s="826"/>
      <c r="IK176" s="826"/>
      <c r="IL176" s="826"/>
    </row>
    <row r="177" spans="2:246" s="780" customFormat="1">
      <c r="B177" s="609"/>
      <c r="C177" s="609"/>
      <c r="D177" s="609"/>
      <c r="E177" s="609"/>
      <c r="F177" s="609"/>
      <c r="G177" s="609"/>
      <c r="H177" s="609"/>
      <c r="I177" s="609"/>
      <c r="J177" s="609"/>
      <c r="K177" s="609"/>
      <c r="L177" s="609"/>
      <c r="M177" s="609"/>
      <c r="N177" s="609"/>
      <c r="O177" s="609"/>
      <c r="P177" s="609"/>
      <c r="Q177" s="609"/>
      <c r="R177" s="609"/>
      <c r="S177" s="609"/>
      <c r="T177" s="609"/>
      <c r="U177" s="609"/>
      <c r="V177" s="609"/>
      <c r="W177" s="609"/>
      <c r="X177" s="609"/>
      <c r="Y177" s="609"/>
      <c r="Z177" s="816"/>
      <c r="AA177" s="816"/>
      <c r="AB177" s="816"/>
      <c r="AC177" s="816"/>
      <c r="AD177" s="816"/>
      <c r="AE177" s="816"/>
      <c r="AF177" s="609"/>
      <c r="AG177" s="609"/>
      <c r="AH177" s="816"/>
      <c r="AI177" s="816"/>
      <c r="AJ177" s="609"/>
      <c r="AK177" s="609"/>
      <c r="AL177" s="816"/>
      <c r="AM177" s="816"/>
      <c r="AN177" s="816"/>
      <c r="AO177" s="816"/>
      <c r="AP177" s="816"/>
      <c r="AQ177" s="816"/>
      <c r="AR177" s="609"/>
      <c r="AS177" s="609"/>
      <c r="AT177" s="816"/>
      <c r="AU177" s="816"/>
      <c r="AV177" s="817"/>
      <c r="AW177" s="609"/>
      <c r="AX177" s="609"/>
      <c r="AY177" s="816"/>
      <c r="AZ177" s="816"/>
      <c r="BA177" s="816"/>
      <c r="BB177" s="816"/>
      <c r="BC177" s="816"/>
      <c r="BD177" s="816"/>
      <c r="BE177" s="816"/>
      <c r="BF177" s="816"/>
      <c r="BG177" s="816"/>
      <c r="BH177" s="816"/>
      <c r="BI177" s="816"/>
      <c r="BJ177" s="816"/>
      <c r="BK177" s="816"/>
      <c r="BL177" s="816"/>
      <c r="BM177" s="816"/>
      <c r="BN177" s="816"/>
      <c r="BO177" s="816"/>
      <c r="BP177" s="816"/>
      <c r="BQ177" s="816"/>
      <c r="BR177" s="816"/>
      <c r="BS177" s="816"/>
      <c r="BT177" s="609"/>
      <c r="BU177" s="609"/>
      <c r="BV177" s="609"/>
      <c r="BW177" s="818"/>
      <c r="BX177" s="816"/>
      <c r="BY177" s="816"/>
      <c r="BZ177" s="816"/>
      <c r="CA177" s="816"/>
      <c r="CB177" s="816"/>
      <c r="CC177" s="816"/>
      <c r="CD177" s="816"/>
      <c r="CE177" s="816"/>
      <c r="CF177" s="820"/>
      <c r="CG177" s="820"/>
      <c r="CH177" s="820"/>
      <c r="CI177" s="820"/>
      <c r="CJ177" s="609"/>
      <c r="CK177" s="609"/>
      <c r="CL177" s="816"/>
      <c r="CM177" s="816"/>
      <c r="CN177" s="609"/>
      <c r="CO177" s="609"/>
      <c r="CP177" s="816"/>
      <c r="CQ177" s="816"/>
      <c r="CR177" s="609"/>
      <c r="CS177" s="609"/>
      <c r="CT177" s="816"/>
      <c r="CU177" s="816"/>
      <c r="CV177" s="609"/>
      <c r="CW177" s="609"/>
      <c r="CX177" s="816"/>
      <c r="CY177" s="816"/>
      <c r="CZ177" s="816"/>
      <c r="DA177" s="816"/>
      <c r="DB177" s="816"/>
      <c r="DC177" s="816"/>
      <c r="DD177" s="816"/>
      <c r="DE177" s="816"/>
      <c r="DF177" s="816"/>
      <c r="DG177" s="816"/>
      <c r="DH177" s="816"/>
      <c r="DI177" s="816"/>
      <c r="DJ177" s="816"/>
      <c r="DK177" s="816"/>
      <c r="DL177" s="609"/>
      <c r="DM177" s="609"/>
      <c r="DN177" s="816"/>
      <c r="DO177" s="816"/>
      <c r="DP177" s="816"/>
      <c r="DQ177" s="816"/>
      <c r="DR177" s="816"/>
      <c r="DS177" s="816"/>
      <c r="DT177" s="816"/>
      <c r="DU177" s="816"/>
      <c r="DV177" s="816"/>
      <c r="DW177" s="816"/>
      <c r="DX177" s="816"/>
      <c r="DY177" s="816"/>
      <c r="DZ177" s="816"/>
      <c r="EA177" s="816"/>
      <c r="EB177" s="609"/>
      <c r="EC177" s="609"/>
      <c r="ED177" s="816"/>
      <c r="EE177" s="816"/>
      <c r="EF177" s="816"/>
      <c r="EG177" s="816"/>
      <c r="EH177" s="816"/>
      <c r="EI177" s="816"/>
      <c r="EJ177" s="816"/>
      <c r="EK177" s="816"/>
      <c r="EL177" s="816"/>
      <c r="EM177" s="816"/>
      <c r="EN177" s="816"/>
      <c r="EO177" s="816"/>
      <c r="EP177" s="816"/>
      <c r="EQ177" s="816"/>
      <c r="ER177" s="816"/>
      <c r="ES177" s="816"/>
      <c r="ET177" s="816"/>
      <c r="EU177" s="816"/>
      <c r="EV177" s="816"/>
      <c r="EW177" s="816"/>
      <c r="EX177" s="816"/>
      <c r="EY177" s="816"/>
      <c r="EZ177" s="816"/>
      <c r="FA177" s="816"/>
      <c r="FB177" s="819"/>
      <c r="FC177" s="816"/>
      <c r="FD177" s="820"/>
      <c r="FE177" s="820"/>
      <c r="FF177" s="820"/>
      <c r="FG177" s="820"/>
      <c r="FH177" s="609"/>
      <c r="FI177" s="609"/>
      <c r="FJ177" s="816"/>
      <c r="FK177" s="816"/>
      <c r="FL177" s="816"/>
      <c r="FM177" s="816"/>
      <c r="FN177" s="816"/>
      <c r="FO177" s="816"/>
      <c r="FP177" s="816"/>
      <c r="FQ177" s="816"/>
      <c r="FR177" s="816"/>
      <c r="FS177" s="816"/>
      <c r="FT177" s="816"/>
      <c r="FU177" s="816"/>
      <c r="FV177" s="816"/>
      <c r="FW177" s="816"/>
      <c r="FX177" s="609"/>
      <c r="FY177" s="609"/>
      <c r="FZ177" s="816"/>
      <c r="GA177" s="816"/>
      <c r="GB177" s="609"/>
      <c r="GC177" s="609"/>
      <c r="GD177" s="609"/>
      <c r="GE177" s="816"/>
      <c r="GF177" s="816"/>
      <c r="GG177" s="609"/>
      <c r="GH177" s="609"/>
      <c r="GI177" s="816"/>
      <c r="GJ177" s="816"/>
      <c r="GK177" s="609"/>
      <c r="GL177" s="609"/>
      <c r="GM177" s="816"/>
      <c r="GN177" s="816"/>
      <c r="GO177" s="816"/>
      <c r="GP177" s="816"/>
      <c r="GQ177" s="816"/>
      <c r="GR177" s="816"/>
      <c r="GS177" s="609"/>
      <c r="GT177" s="609"/>
      <c r="GU177" s="816"/>
      <c r="GV177" s="816"/>
      <c r="GW177" s="609"/>
      <c r="GX177" s="609"/>
      <c r="GY177" s="816"/>
      <c r="GZ177" s="816"/>
      <c r="HA177" s="609"/>
      <c r="HB177" s="609"/>
      <c r="HC177" s="816"/>
      <c r="HD177" s="816"/>
      <c r="HE177" s="816"/>
      <c r="HF177" s="816"/>
      <c r="HG177" s="816"/>
      <c r="HH177" s="816"/>
      <c r="HI177" s="821"/>
      <c r="HJ177" s="609"/>
      <c r="HK177" s="816"/>
      <c r="HL177" s="816"/>
      <c r="HM177" s="822"/>
      <c r="HN177" s="609"/>
      <c r="HO177" s="816"/>
      <c r="HP177" s="816"/>
      <c r="HQ177" s="609"/>
      <c r="HR177" s="816"/>
      <c r="HS177" s="816"/>
      <c r="HT177" s="816"/>
      <c r="HU177" s="816"/>
      <c r="HV177" s="816"/>
      <c r="HW177" s="816"/>
      <c r="HX177" s="816"/>
      <c r="HY177" s="816"/>
      <c r="HZ177" s="816"/>
      <c r="IA177" s="816"/>
      <c r="IB177" s="816"/>
      <c r="IC177" s="823"/>
      <c r="ID177" s="824"/>
      <c r="IE177" s="825"/>
      <c r="IF177" s="825"/>
      <c r="IG177" s="816"/>
      <c r="II177" s="826"/>
      <c r="IJ177" s="826"/>
      <c r="IK177" s="826"/>
      <c r="IL177" s="826"/>
    </row>
    <row r="178" spans="2:246" s="780" customFormat="1">
      <c r="B178" s="609"/>
      <c r="C178" s="609"/>
      <c r="D178" s="609"/>
      <c r="E178" s="609"/>
      <c r="F178" s="609"/>
      <c r="G178" s="609"/>
      <c r="H178" s="609"/>
      <c r="I178" s="609"/>
      <c r="J178" s="609"/>
      <c r="K178" s="609"/>
      <c r="L178" s="609"/>
      <c r="M178" s="609"/>
      <c r="N178" s="609"/>
      <c r="O178" s="609"/>
      <c r="P178" s="609"/>
      <c r="Q178" s="609"/>
      <c r="R178" s="609"/>
      <c r="S178" s="609"/>
      <c r="T178" s="609"/>
      <c r="U178" s="609"/>
      <c r="V178" s="609"/>
      <c r="W178" s="609"/>
      <c r="X178" s="609"/>
      <c r="Y178" s="609"/>
      <c r="Z178" s="816"/>
      <c r="AA178" s="816"/>
      <c r="AB178" s="816"/>
      <c r="AC178" s="816"/>
      <c r="AD178" s="816"/>
      <c r="AE178" s="816"/>
      <c r="AF178" s="609"/>
      <c r="AG178" s="609"/>
      <c r="AH178" s="816"/>
      <c r="AI178" s="816"/>
      <c r="AJ178" s="609"/>
      <c r="AK178" s="609"/>
      <c r="AL178" s="816"/>
      <c r="AM178" s="816"/>
      <c r="AN178" s="816"/>
      <c r="AO178" s="816"/>
      <c r="AP178" s="816"/>
      <c r="AQ178" s="816"/>
      <c r="AR178" s="609"/>
      <c r="AS178" s="609"/>
      <c r="AT178" s="816"/>
      <c r="AU178" s="816"/>
      <c r="AV178" s="817"/>
      <c r="AW178" s="609"/>
      <c r="AX178" s="609"/>
      <c r="AY178" s="816"/>
      <c r="AZ178" s="816"/>
      <c r="BA178" s="816"/>
      <c r="BB178" s="816"/>
      <c r="BC178" s="816"/>
      <c r="BD178" s="816"/>
      <c r="BE178" s="816"/>
      <c r="BF178" s="816"/>
      <c r="BG178" s="816"/>
      <c r="BH178" s="816"/>
      <c r="BI178" s="816"/>
      <c r="BJ178" s="816"/>
      <c r="BK178" s="816"/>
      <c r="BL178" s="816"/>
      <c r="BM178" s="816"/>
      <c r="BN178" s="816"/>
      <c r="BO178" s="816"/>
      <c r="BP178" s="816"/>
      <c r="BQ178" s="816"/>
      <c r="BR178" s="816"/>
      <c r="BS178" s="816"/>
      <c r="BT178" s="609"/>
      <c r="BU178" s="609"/>
      <c r="BV178" s="609"/>
      <c r="BW178" s="818"/>
      <c r="BX178" s="816"/>
      <c r="BY178" s="816"/>
      <c r="BZ178" s="816"/>
      <c r="CA178" s="816"/>
      <c r="CB178" s="816"/>
      <c r="CC178" s="816"/>
      <c r="CD178" s="816"/>
      <c r="CE178" s="816"/>
      <c r="CF178" s="820"/>
      <c r="CG178" s="820"/>
      <c r="CH178" s="820"/>
      <c r="CI178" s="820"/>
      <c r="CJ178" s="609"/>
      <c r="CK178" s="609"/>
      <c r="CL178" s="816"/>
      <c r="CM178" s="816"/>
      <c r="CN178" s="609"/>
      <c r="CO178" s="609"/>
      <c r="CP178" s="816"/>
      <c r="CQ178" s="816"/>
      <c r="CR178" s="609"/>
      <c r="CS178" s="609"/>
      <c r="CT178" s="816"/>
      <c r="CU178" s="816"/>
      <c r="CV178" s="609"/>
      <c r="CW178" s="609"/>
      <c r="CX178" s="816"/>
      <c r="CY178" s="816"/>
      <c r="CZ178" s="816"/>
      <c r="DA178" s="816"/>
      <c r="DB178" s="816"/>
      <c r="DC178" s="816"/>
      <c r="DD178" s="816"/>
      <c r="DE178" s="816"/>
      <c r="DF178" s="816"/>
      <c r="DG178" s="816"/>
      <c r="DH178" s="816"/>
      <c r="DI178" s="816"/>
      <c r="DJ178" s="816"/>
      <c r="DK178" s="816"/>
      <c r="DL178" s="609"/>
      <c r="DM178" s="609"/>
      <c r="DN178" s="816"/>
      <c r="DO178" s="816"/>
      <c r="DP178" s="816"/>
      <c r="DQ178" s="816"/>
      <c r="DR178" s="816"/>
      <c r="DS178" s="816"/>
      <c r="DT178" s="816"/>
      <c r="DU178" s="816"/>
      <c r="DV178" s="816"/>
      <c r="DW178" s="816"/>
      <c r="DX178" s="816"/>
      <c r="DY178" s="816"/>
      <c r="DZ178" s="816"/>
      <c r="EA178" s="816"/>
      <c r="EB178" s="609"/>
      <c r="EC178" s="609"/>
      <c r="ED178" s="816"/>
      <c r="EE178" s="816"/>
      <c r="EF178" s="816"/>
      <c r="EG178" s="816"/>
      <c r="EH178" s="816"/>
      <c r="EI178" s="816"/>
      <c r="EJ178" s="816"/>
      <c r="EK178" s="816"/>
      <c r="EL178" s="816"/>
      <c r="EM178" s="816"/>
      <c r="EN178" s="816"/>
      <c r="EO178" s="816"/>
      <c r="EP178" s="816"/>
      <c r="EQ178" s="816"/>
      <c r="ER178" s="816"/>
      <c r="ES178" s="816"/>
      <c r="ET178" s="816"/>
      <c r="EU178" s="816"/>
      <c r="EV178" s="816"/>
      <c r="EW178" s="816"/>
      <c r="EX178" s="816"/>
      <c r="EY178" s="816"/>
      <c r="EZ178" s="816"/>
      <c r="FA178" s="816"/>
      <c r="FB178" s="819"/>
      <c r="FC178" s="816"/>
      <c r="FD178" s="820"/>
      <c r="FE178" s="820"/>
      <c r="FF178" s="820"/>
      <c r="FG178" s="820"/>
      <c r="FH178" s="609"/>
      <c r="FI178" s="609"/>
      <c r="FJ178" s="816"/>
      <c r="FK178" s="816"/>
      <c r="FL178" s="816"/>
      <c r="FM178" s="816"/>
      <c r="FN178" s="816"/>
      <c r="FO178" s="816"/>
      <c r="FP178" s="816"/>
      <c r="FQ178" s="816"/>
      <c r="FR178" s="816"/>
      <c r="FS178" s="816"/>
      <c r="FT178" s="816"/>
      <c r="FU178" s="816"/>
      <c r="FV178" s="816"/>
      <c r="FW178" s="816"/>
      <c r="FX178" s="609"/>
      <c r="FY178" s="609"/>
      <c r="FZ178" s="816"/>
      <c r="GA178" s="816"/>
      <c r="GB178" s="609"/>
      <c r="GC178" s="609"/>
      <c r="GD178" s="609"/>
      <c r="GE178" s="816"/>
      <c r="GF178" s="816"/>
      <c r="GG178" s="609"/>
      <c r="GH178" s="609"/>
      <c r="GI178" s="816"/>
      <c r="GJ178" s="816"/>
      <c r="GK178" s="609"/>
      <c r="GL178" s="609"/>
      <c r="GM178" s="816"/>
      <c r="GN178" s="816"/>
      <c r="GO178" s="816"/>
      <c r="GP178" s="816"/>
      <c r="GQ178" s="816"/>
      <c r="GR178" s="816"/>
      <c r="GS178" s="609"/>
      <c r="GT178" s="609"/>
      <c r="GU178" s="816"/>
      <c r="GV178" s="816"/>
      <c r="GW178" s="609"/>
      <c r="GX178" s="609"/>
      <c r="GY178" s="816"/>
      <c r="GZ178" s="816"/>
      <c r="HA178" s="609"/>
      <c r="HB178" s="609"/>
      <c r="HC178" s="816"/>
      <c r="HD178" s="816"/>
      <c r="HE178" s="816"/>
      <c r="HF178" s="816"/>
      <c r="HG178" s="816"/>
      <c r="HH178" s="816"/>
      <c r="HI178" s="821"/>
      <c r="HJ178" s="609"/>
      <c r="HK178" s="816"/>
      <c r="HL178" s="816"/>
      <c r="HM178" s="822"/>
      <c r="HN178" s="609"/>
      <c r="HO178" s="816"/>
      <c r="HP178" s="816"/>
      <c r="HQ178" s="609"/>
      <c r="HR178" s="816"/>
      <c r="HS178" s="816"/>
      <c r="HT178" s="816"/>
      <c r="HU178" s="816"/>
      <c r="HV178" s="816"/>
      <c r="HW178" s="816"/>
      <c r="HX178" s="816"/>
      <c r="HY178" s="816"/>
      <c r="HZ178" s="816"/>
      <c r="IA178" s="816"/>
      <c r="IB178" s="816"/>
      <c r="IC178" s="823"/>
      <c r="ID178" s="824"/>
      <c r="IE178" s="825"/>
      <c r="IF178" s="825"/>
      <c r="IG178" s="816"/>
      <c r="II178" s="826"/>
      <c r="IJ178" s="826"/>
      <c r="IK178" s="826"/>
      <c r="IL178" s="826"/>
    </row>
    <row r="179" spans="2:246" s="780" customFormat="1">
      <c r="B179" s="609"/>
      <c r="C179" s="609"/>
      <c r="D179" s="609"/>
      <c r="E179" s="609"/>
      <c r="F179" s="609"/>
      <c r="G179" s="609"/>
      <c r="H179" s="609"/>
      <c r="I179" s="609"/>
      <c r="J179" s="609"/>
      <c r="K179" s="609"/>
      <c r="L179" s="609"/>
      <c r="M179" s="609"/>
      <c r="N179" s="609"/>
      <c r="O179" s="609"/>
      <c r="P179" s="609"/>
      <c r="Q179" s="609"/>
      <c r="R179" s="609"/>
      <c r="S179" s="609"/>
      <c r="T179" s="609"/>
      <c r="U179" s="609"/>
      <c r="V179" s="609"/>
      <c r="W179" s="609"/>
      <c r="X179" s="609"/>
      <c r="Y179" s="609"/>
      <c r="Z179" s="816"/>
      <c r="AA179" s="816"/>
      <c r="AB179" s="816"/>
      <c r="AC179" s="816"/>
      <c r="AD179" s="816"/>
      <c r="AE179" s="816"/>
      <c r="AF179" s="609"/>
      <c r="AG179" s="609"/>
      <c r="AH179" s="816"/>
      <c r="AI179" s="816"/>
      <c r="AJ179" s="609"/>
      <c r="AK179" s="609"/>
      <c r="AL179" s="816"/>
      <c r="AM179" s="816"/>
      <c r="AN179" s="816"/>
      <c r="AO179" s="816"/>
      <c r="AP179" s="816"/>
      <c r="AQ179" s="816"/>
      <c r="AR179" s="609"/>
      <c r="AS179" s="609"/>
      <c r="AT179" s="816"/>
      <c r="AU179" s="816"/>
      <c r="AV179" s="817"/>
      <c r="AW179" s="609"/>
      <c r="AX179" s="609"/>
      <c r="AY179" s="816"/>
      <c r="AZ179" s="816"/>
      <c r="BA179" s="816"/>
      <c r="BB179" s="816"/>
      <c r="BC179" s="816"/>
      <c r="BD179" s="816"/>
      <c r="BE179" s="816"/>
      <c r="BF179" s="816"/>
      <c r="BG179" s="816"/>
      <c r="BH179" s="816"/>
      <c r="BI179" s="816"/>
      <c r="BJ179" s="816"/>
      <c r="BK179" s="816"/>
      <c r="BL179" s="816"/>
      <c r="BM179" s="816"/>
      <c r="BN179" s="816"/>
      <c r="BO179" s="816"/>
      <c r="BP179" s="816"/>
      <c r="BQ179" s="816"/>
      <c r="BR179" s="816"/>
      <c r="BS179" s="816"/>
      <c r="BT179" s="609"/>
      <c r="BU179" s="609"/>
      <c r="BV179" s="609"/>
      <c r="BW179" s="818"/>
      <c r="BX179" s="816"/>
      <c r="BY179" s="816"/>
      <c r="BZ179" s="816"/>
      <c r="CA179" s="816"/>
      <c r="CB179" s="816"/>
      <c r="CC179" s="816"/>
      <c r="CD179" s="816"/>
      <c r="CE179" s="816"/>
      <c r="CF179" s="820"/>
      <c r="CG179" s="820"/>
      <c r="CH179" s="820"/>
      <c r="CI179" s="820"/>
      <c r="CJ179" s="609"/>
      <c r="CK179" s="609"/>
      <c r="CL179" s="816"/>
      <c r="CM179" s="816"/>
      <c r="CN179" s="609"/>
      <c r="CO179" s="609"/>
      <c r="CP179" s="816"/>
      <c r="CQ179" s="816"/>
      <c r="CR179" s="609"/>
      <c r="CS179" s="609"/>
      <c r="CT179" s="816"/>
      <c r="CU179" s="816"/>
      <c r="CV179" s="609"/>
      <c r="CW179" s="609"/>
      <c r="CX179" s="816"/>
      <c r="CY179" s="816"/>
      <c r="CZ179" s="816"/>
      <c r="DA179" s="816"/>
      <c r="DB179" s="816"/>
      <c r="DC179" s="816"/>
      <c r="DD179" s="816"/>
      <c r="DE179" s="816"/>
      <c r="DF179" s="816"/>
      <c r="DG179" s="816"/>
      <c r="DH179" s="816"/>
      <c r="DI179" s="816"/>
      <c r="DJ179" s="816"/>
      <c r="DK179" s="816"/>
      <c r="DL179" s="609"/>
      <c r="DM179" s="609"/>
      <c r="DN179" s="816"/>
      <c r="DO179" s="816"/>
      <c r="DP179" s="816"/>
      <c r="DQ179" s="816"/>
      <c r="DR179" s="816"/>
      <c r="DS179" s="816"/>
      <c r="DT179" s="816"/>
      <c r="DU179" s="816"/>
      <c r="DV179" s="816"/>
      <c r="DW179" s="816"/>
      <c r="DX179" s="816"/>
      <c r="DY179" s="816"/>
      <c r="DZ179" s="816"/>
      <c r="EA179" s="816"/>
      <c r="EB179" s="609"/>
      <c r="EC179" s="609"/>
      <c r="ED179" s="816"/>
      <c r="EE179" s="816"/>
      <c r="EF179" s="816"/>
      <c r="EG179" s="816"/>
      <c r="EH179" s="816"/>
      <c r="EI179" s="816"/>
      <c r="EJ179" s="816"/>
      <c r="EK179" s="816"/>
      <c r="EL179" s="816"/>
      <c r="EM179" s="816"/>
      <c r="EN179" s="816"/>
      <c r="EO179" s="816"/>
      <c r="EP179" s="816"/>
      <c r="EQ179" s="816"/>
      <c r="ER179" s="816"/>
      <c r="ES179" s="816"/>
      <c r="ET179" s="816"/>
      <c r="EU179" s="816"/>
      <c r="EV179" s="816"/>
      <c r="EW179" s="816"/>
      <c r="EX179" s="816"/>
      <c r="EY179" s="816"/>
      <c r="EZ179" s="816"/>
      <c r="FA179" s="816"/>
      <c r="FB179" s="819"/>
      <c r="FC179" s="816"/>
      <c r="FD179" s="820"/>
      <c r="FE179" s="820"/>
      <c r="FF179" s="820"/>
      <c r="FG179" s="820"/>
      <c r="FH179" s="609"/>
      <c r="FI179" s="609"/>
      <c r="FJ179" s="816"/>
      <c r="FK179" s="816"/>
      <c r="FL179" s="816"/>
      <c r="FM179" s="816"/>
      <c r="FN179" s="816"/>
      <c r="FO179" s="816"/>
      <c r="FP179" s="816"/>
      <c r="FQ179" s="816"/>
      <c r="FR179" s="816"/>
      <c r="FS179" s="816"/>
      <c r="FT179" s="816"/>
      <c r="FU179" s="816"/>
      <c r="FV179" s="816"/>
      <c r="FW179" s="816"/>
      <c r="FX179" s="609"/>
      <c r="FY179" s="609"/>
      <c r="FZ179" s="816"/>
      <c r="GA179" s="816"/>
      <c r="GB179" s="609"/>
      <c r="GC179" s="609"/>
      <c r="GD179" s="609"/>
      <c r="GE179" s="816"/>
      <c r="GF179" s="816"/>
      <c r="GG179" s="609"/>
      <c r="GH179" s="609"/>
      <c r="GI179" s="816"/>
      <c r="GJ179" s="816"/>
      <c r="GK179" s="609"/>
      <c r="GL179" s="609"/>
      <c r="GM179" s="816"/>
      <c r="GN179" s="816"/>
      <c r="GO179" s="816"/>
      <c r="GP179" s="816"/>
      <c r="GQ179" s="816"/>
      <c r="GR179" s="816"/>
      <c r="GS179" s="609"/>
      <c r="GT179" s="609"/>
      <c r="GU179" s="816"/>
      <c r="GV179" s="816"/>
      <c r="GW179" s="609"/>
      <c r="GX179" s="609"/>
      <c r="GY179" s="816"/>
      <c r="GZ179" s="816"/>
      <c r="HA179" s="609"/>
      <c r="HB179" s="609"/>
      <c r="HC179" s="816"/>
      <c r="HD179" s="816"/>
      <c r="HE179" s="816"/>
      <c r="HF179" s="816"/>
      <c r="HG179" s="816"/>
      <c r="HH179" s="816"/>
      <c r="HI179" s="821"/>
      <c r="HJ179" s="609"/>
      <c r="HK179" s="816"/>
      <c r="HL179" s="816"/>
      <c r="HM179" s="822"/>
      <c r="HN179" s="609"/>
      <c r="HO179" s="816"/>
      <c r="HP179" s="816"/>
      <c r="HQ179" s="609"/>
      <c r="HR179" s="816"/>
      <c r="HS179" s="816"/>
      <c r="HT179" s="816"/>
      <c r="HU179" s="816"/>
      <c r="HV179" s="816"/>
      <c r="HW179" s="816"/>
      <c r="HX179" s="816"/>
      <c r="HY179" s="816"/>
      <c r="HZ179" s="816"/>
      <c r="IA179" s="816"/>
      <c r="IB179" s="816"/>
      <c r="IC179" s="823"/>
      <c r="ID179" s="824"/>
      <c r="IE179" s="825"/>
      <c r="IF179" s="825"/>
      <c r="IG179" s="816"/>
      <c r="II179" s="826"/>
      <c r="IJ179" s="826"/>
      <c r="IK179" s="826"/>
      <c r="IL179" s="826"/>
    </row>
    <row r="180" spans="2:246" s="780" customFormat="1">
      <c r="B180" s="609"/>
      <c r="C180" s="609"/>
      <c r="D180" s="609"/>
      <c r="E180" s="609"/>
      <c r="F180" s="609"/>
      <c r="G180" s="609"/>
      <c r="H180" s="609"/>
      <c r="I180" s="609"/>
      <c r="J180" s="609"/>
      <c r="K180" s="609"/>
      <c r="L180" s="609"/>
      <c r="M180" s="609"/>
      <c r="N180" s="609"/>
      <c r="O180" s="609"/>
      <c r="P180" s="609"/>
      <c r="Q180" s="609"/>
      <c r="R180" s="609"/>
      <c r="S180" s="609"/>
      <c r="T180" s="609"/>
      <c r="U180" s="609"/>
      <c r="V180" s="609"/>
      <c r="W180" s="609"/>
      <c r="X180" s="609"/>
      <c r="Y180" s="609"/>
      <c r="Z180" s="816"/>
      <c r="AA180" s="816"/>
      <c r="AB180" s="816"/>
      <c r="AC180" s="816"/>
      <c r="AD180" s="816"/>
      <c r="AE180" s="816"/>
      <c r="AF180" s="609"/>
      <c r="AG180" s="609"/>
      <c r="AH180" s="816"/>
      <c r="AI180" s="816"/>
      <c r="AJ180" s="609"/>
      <c r="AK180" s="609"/>
      <c r="AL180" s="816"/>
      <c r="AM180" s="816"/>
      <c r="AN180" s="816"/>
      <c r="AO180" s="816"/>
      <c r="AP180" s="816"/>
      <c r="AQ180" s="816"/>
      <c r="AR180" s="609"/>
      <c r="AS180" s="609"/>
      <c r="AT180" s="816"/>
      <c r="AU180" s="816"/>
      <c r="AV180" s="817"/>
      <c r="AW180" s="609"/>
      <c r="AX180" s="609"/>
      <c r="AY180" s="816"/>
      <c r="AZ180" s="816"/>
      <c r="BA180" s="816"/>
      <c r="BB180" s="816"/>
      <c r="BC180" s="816"/>
      <c r="BD180" s="816"/>
      <c r="BE180" s="816"/>
      <c r="BF180" s="816"/>
      <c r="BG180" s="816"/>
      <c r="BH180" s="816"/>
      <c r="BI180" s="816"/>
      <c r="BJ180" s="816"/>
      <c r="BK180" s="816"/>
      <c r="BL180" s="816"/>
      <c r="BM180" s="816"/>
      <c r="BN180" s="816"/>
      <c r="BO180" s="816"/>
      <c r="BP180" s="816"/>
      <c r="BQ180" s="816"/>
      <c r="BR180" s="816"/>
      <c r="BS180" s="816"/>
      <c r="BT180" s="609"/>
      <c r="BU180" s="609"/>
      <c r="BV180" s="609"/>
      <c r="BW180" s="818"/>
      <c r="BX180" s="816"/>
      <c r="BY180" s="816"/>
      <c r="BZ180" s="816"/>
      <c r="CA180" s="816"/>
      <c r="CB180" s="816"/>
      <c r="CC180" s="816"/>
      <c r="CD180" s="816"/>
      <c r="CE180" s="816"/>
      <c r="CF180" s="820"/>
      <c r="CG180" s="820"/>
      <c r="CH180" s="820"/>
      <c r="CI180" s="820"/>
      <c r="CJ180" s="609"/>
      <c r="CK180" s="609"/>
      <c r="CL180" s="816"/>
      <c r="CM180" s="816"/>
      <c r="CN180" s="609"/>
      <c r="CO180" s="609"/>
      <c r="CP180" s="816"/>
      <c r="CQ180" s="816"/>
      <c r="CR180" s="609"/>
      <c r="CS180" s="609"/>
      <c r="CT180" s="816"/>
      <c r="CU180" s="816"/>
      <c r="CV180" s="609"/>
      <c r="CW180" s="609"/>
      <c r="CX180" s="816"/>
      <c r="CY180" s="816"/>
      <c r="CZ180" s="816"/>
      <c r="DA180" s="816"/>
      <c r="DB180" s="816"/>
      <c r="DC180" s="816"/>
      <c r="DD180" s="816"/>
      <c r="DE180" s="816"/>
      <c r="DF180" s="816"/>
      <c r="DG180" s="816"/>
      <c r="DH180" s="816"/>
      <c r="DI180" s="816"/>
      <c r="DJ180" s="816"/>
      <c r="DK180" s="816"/>
      <c r="DL180" s="609"/>
      <c r="DM180" s="609"/>
      <c r="DN180" s="816"/>
      <c r="DO180" s="816"/>
      <c r="DP180" s="816"/>
      <c r="DQ180" s="816"/>
      <c r="DR180" s="816"/>
      <c r="DS180" s="816"/>
      <c r="DT180" s="816"/>
      <c r="DU180" s="816"/>
      <c r="DV180" s="816"/>
      <c r="DW180" s="816"/>
      <c r="DX180" s="816"/>
      <c r="DY180" s="816"/>
      <c r="DZ180" s="816"/>
      <c r="EA180" s="816"/>
      <c r="EB180" s="609"/>
      <c r="EC180" s="609"/>
      <c r="ED180" s="816"/>
      <c r="EE180" s="816"/>
      <c r="EF180" s="816"/>
      <c r="EG180" s="816"/>
      <c r="EH180" s="816"/>
      <c r="EI180" s="816"/>
      <c r="EJ180" s="816"/>
      <c r="EK180" s="816"/>
      <c r="EL180" s="816"/>
      <c r="EM180" s="816"/>
      <c r="EN180" s="816"/>
      <c r="EO180" s="816"/>
      <c r="EP180" s="816"/>
      <c r="EQ180" s="816"/>
      <c r="ER180" s="816"/>
      <c r="ES180" s="816"/>
      <c r="ET180" s="816"/>
      <c r="EU180" s="816"/>
      <c r="EV180" s="816"/>
      <c r="EW180" s="816"/>
      <c r="EX180" s="816"/>
      <c r="EY180" s="816"/>
      <c r="EZ180" s="816"/>
      <c r="FA180" s="816"/>
      <c r="FB180" s="819"/>
      <c r="FC180" s="816"/>
      <c r="FD180" s="820"/>
      <c r="FE180" s="820"/>
      <c r="FF180" s="820"/>
      <c r="FG180" s="820"/>
      <c r="FH180" s="609"/>
      <c r="FI180" s="609"/>
      <c r="FJ180" s="816"/>
      <c r="FK180" s="816"/>
      <c r="FL180" s="816"/>
      <c r="FM180" s="816"/>
      <c r="FN180" s="816"/>
      <c r="FO180" s="816"/>
      <c r="FP180" s="816"/>
      <c r="FQ180" s="816"/>
      <c r="FR180" s="816"/>
      <c r="FS180" s="816"/>
      <c r="FT180" s="816"/>
      <c r="FU180" s="816"/>
      <c r="FV180" s="816"/>
      <c r="FW180" s="816"/>
      <c r="FX180" s="609"/>
      <c r="FY180" s="609"/>
      <c r="FZ180" s="816"/>
      <c r="GA180" s="816"/>
      <c r="GB180" s="609"/>
      <c r="GC180" s="609"/>
      <c r="GD180" s="609"/>
      <c r="GE180" s="816"/>
      <c r="GF180" s="816"/>
      <c r="GG180" s="609"/>
      <c r="GH180" s="609"/>
      <c r="GI180" s="816"/>
      <c r="GJ180" s="816"/>
      <c r="GK180" s="609"/>
      <c r="GL180" s="609"/>
      <c r="GM180" s="816"/>
      <c r="GN180" s="816"/>
      <c r="GO180" s="816"/>
      <c r="GP180" s="816"/>
      <c r="GQ180" s="816"/>
      <c r="GR180" s="816"/>
      <c r="GS180" s="609"/>
      <c r="GT180" s="609"/>
      <c r="GU180" s="816"/>
      <c r="GV180" s="816"/>
      <c r="GW180" s="609"/>
      <c r="GX180" s="609"/>
      <c r="GY180" s="816"/>
      <c r="GZ180" s="816"/>
      <c r="HA180" s="609"/>
      <c r="HB180" s="609"/>
      <c r="HC180" s="816"/>
      <c r="HD180" s="816"/>
      <c r="HE180" s="816"/>
      <c r="HF180" s="816"/>
      <c r="HG180" s="816"/>
      <c r="HH180" s="816"/>
      <c r="HI180" s="821"/>
      <c r="HJ180" s="609"/>
      <c r="HK180" s="816"/>
      <c r="HL180" s="816"/>
      <c r="HM180" s="822"/>
      <c r="HN180" s="609"/>
      <c r="HO180" s="816"/>
      <c r="HP180" s="816"/>
      <c r="HQ180" s="609"/>
      <c r="HR180" s="816"/>
      <c r="HS180" s="816"/>
      <c r="HT180" s="816"/>
      <c r="HU180" s="816"/>
      <c r="HV180" s="816"/>
      <c r="HW180" s="816"/>
      <c r="HX180" s="816"/>
      <c r="HY180" s="816"/>
      <c r="HZ180" s="816"/>
      <c r="IA180" s="816"/>
      <c r="IB180" s="816"/>
      <c r="IC180" s="823"/>
      <c r="ID180" s="824"/>
      <c r="IE180" s="825"/>
      <c r="IF180" s="825"/>
      <c r="IG180" s="816"/>
      <c r="II180" s="826"/>
      <c r="IJ180" s="826"/>
      <c r="IK180" s="826"/>
      <c r="IL180" s="826"/>
    </row>
    <row r="181" spans="2:246" s="780" customFormat="1">
      <c r="B181" s="609"/>
      <c r="C181" s="609"/>
      <c r="D181" s="609"/>
      <c r="E181" s="609"/>
      <c r="F181" s="609"/>
      <c r="G181" s="609"/>
      <c r="H181" s="609"/>
      <c r="I181" s="609"/>
      <c r="J181" s="609"/>
      <c r="K181" s="609"/>
      <c r="L181" s="609"/>
      <c r="M181" s="609"/>
      <c r="N181" s="609"/>
      <c r="O181" s="609"/>
      <c r="P181" s="609"/>
      <c r="Q181" s="609"/>
      <c r="R181" s="609"/>
      <c r="S181" s="609"/>
      <c r="T181" s="609"/>
      <c r="U181" s="609"/>
      <c r="V181" s="609"/>
      <c r="W181" s="609"/>
      <c r="X181" s="609"/>
      <c r="Y181" s="609"/>
      <c r="Z181" s="816"/>
      <c r="AA181" s="816"/>
      <c r="AB181" s="816"/>
      <c r="AC181" s="816"/>
      <c r="AD181" s="816"/>
      <c r="AE181" s="816"/>
      <c r="AF181" s="609"/>
      <c r="AG181" s="609"/>
      <c r="AH181" s="816"/>
      <c r="AI181" s="816"/>
      <c r="AJ181" s="609"/>
      <c r="AK181" s="609"/>
      <c r="AL181" s="816"/>
      <c r="AM181" s="816"/>
      <c r="AN181" s="816"/>
      <c r="AO181" s="816"/>
      <c r="AP181" s="816"/>
      <c r="AQ181" s="816"/>
      <c r="AR181" s="609"/>
      <c r="AS181" s="609"/>
      <c r="AT181" s="816"/>
      <c r="AU181" s="816"/>
      <c r="AV181" s="817"/>
      <c r="AW181" s="609"/>
      <c r="AX181" s="609"/>
      <c r="AY181" s="816"/>
      <c r="AZ181" s="816"/>
      <c r="BA181" s="816"/>
      <c r="BB181" s="816"/>
      <c r="BC181" s="816"/>
      <c r="BD181" s="816"/>
      <c r="BE181" s="816"/>
      <c r="BF181" s="816"/>
      <c r="BG181" s="816"/>
      <c r="BH181" s="816"/>
      <c r="BI181" s="816"/>
      <c r="BJ181" s="816"/>
      <c r="BK181" s="816"/>
      <c r="BL181" s="816"/>
      <c r="BM181" s="816"/>
      <c r="BN181" s="816"/>
      <c r="BO181" s="816"/>
      <c r="BP181" s="816"/>
      <c r="BQ181" s="816"/>
      <c r="BR181" s="816"/>
      <c r="BS181" s="816"/>
      <c r="BT181" s="609"/>
      <c r="BU181" s="609"/>
      <c r="BV181" s="609"/>
      <c r="BW181" s="818"/>
      <c r="BX181" s="816"/>
      <c r="BY181" s="816"/>
      <c r="BZ181" s="816"/>
      <c r="CA181" s="816"/>
      <c r="CB181" s="816"/>
      <c r="CC181" s="816"/>
      <c r="CD181" s="816"/>
      <c r="CE181" s="816"/>
      <c r="CF181" s="820"/>
      <c r="CG181" s="820"/>
      <c r="CH181" s="820"/>
      <c r="CI181" s="820"/>
      <c r="CJ181" s="609"/>
      <c r="CK181" s="609"/>
      <c r="CL181" s="816"/>
      <c r="CM181" s="816"/>
      <c r="CN181" s="609"/>
      <c r="CO181" s="609"/>
      <c r="CP181" s="816"/>
      <c r="CQ181" s="816"/>
      <c r="CR181" s="609"/>
      <c r="CS181" s="609"/>
      <c r="CT181" s="816"/>
      <c r="CU181" s="816"/>
      <c r="CV181" s="609"/>
      <c r="CW181" s="609"/>
      <c r="CX181" s="816"/>
      <c r="CY181" s="816"/>
      <c r="CZ181" s="816"/>
      <c r="DA181" s="816"/>
      <c r="DB181" s="816"/>
      <c r="DC181" s="816"/>
      <c r="DD181" s="816"/>
      <c r="DE181" s="816"/>
      <c r="DF181" s="816"/>
      <c r="DG181" s="816"/>
      <c r="DH181" s="816"/>
      <c r="DI181" s="816"/>
      <c r="DJ181" s="816"/>
      <c r="DK181" s="816"/>
      <c r="DL181" s="609"/>
      <c r="DM181" s="609"/>
      <c r="DN181" s="816"/>
      <c r="DO181" s="816"/>
      <c r="DP181" s="816"/>
      <c r="DQ181" s="816"/>
      <c r="DR181" s="816"/>
      <c r="DS181" s="816"/>
      <c r="DT181" s="816"/>
      <c r="DU181" s="816"/>
      <c r="DV181" s="816"/>
      <c r="DW181" s="816"/>
      <c r="DX181" s="816"/>
      <c r="DY181" s="816"/>
      <c r="DZ181" s="816"/>
      <c r="EA181" s="816"/>
      <c r="EB181" s="609"/>
      <c r="EC181" s="609"/>
      <c r="ED181" s="816"/>
      <c r="EE181" s="816"/>
      <c r="EF181" s="816"/>
      <c r="EG181" s="816"/>
      <c r="EH181" s="816"/>
      <c r="EI181" s="816"/>
      <c r="EJ181" s="816"/>
      <c r="EK181" s="816"/>
      <c r="EL181" s="816"/>
      <c r="EM181" s="816"/>
      <c r="EN181" s="816"/>
      <c r="EO181" s="816"/>
      <c r="EP181" s="816"/>
      <c r="EQ181" s="816"/>
      <c r="ER181" s="816"/>
      <c r="ES181" s="816"/>
      <c r="ET181" s="816"/>
      <c r="EU181" s="816"/>
      <c r="EV181" s="816"/>
      <c r="EW181" s="816"/>
      <c r="EX181" s="816"/>
      <c r="EY181" s="816"/>
      <c r="EZ181" s="816"/>
      <c r="FA181" s="816"/>
      <c r="FB181" s="819"/>
      <c r="FC181" s="816"/>
      <c r="FD181" s="820"/>
      <c r="FE181" s="820"/>
      <c r="FF181" s="820"/>
      <c r="FG181" s="820"/>
      <c r="FH181" s="609"/>
      <c r="FI181" s="609"/>
      <c r="FJ181" s="816"/>
      <c r="FK181" s="816"/>
      <c r="FL181" s="816"/>
      <c r="FM181" s="816"/>
      <c r="FN181" s="816"/>
      <c r="FO181" s="816"/>
      <c r="FP181" s="816"/>
      <c r="FQ181" s="816"/>
      <c r="FR181" s="816"/>
      <c r="FS181" s="816"/>
      <c r="FT181" s="816"/>
      <c r="FU181" s="816"/>
      <c r="FV181" s="816"/>
      <c r="FW181" s="816"/>
      <c r="FX181" s="609"/>
      <c r="FY181" s="609"/>
      <c r="FZ181" s="816"/>
      <c r="GA181" s="816"/>
      <c r="GB181" s="609"/>
      <c r="GC181" s="609"/>
      <c r="GD181" s="609"/>
      <c r="GE181" s="816"/>
      <c r="GF181" s="816"/>
      <c r="GG181" s="609"/>
      <c r="GH181" s="609"/>
      <c r="GI181" s="816"/>
      <c r="GJ181" s="816"/>
      <c r="GK181" s="609"/>
      <c r="GL181" s="609"/>
      <c r="GM181" s="816"/>
      <c r="GN181" s="816"/>
      <c r="GO181" s="816"/>
      <c r="GP181" s="816"/>
      <c r="GQ181" s="816"/>
      <c r="GR181" s="816"/>
      <c r="GS181" s="609"/>
      <c r="GT181" s="609"/>
      <c r="GU181" s="816"/>
      <c r="GV181" s="816"/>
      <c r="GW181" s="609"/>
      <c r="GX181" s="609"/>
      <c r="GY181" s="816"/>
      <c r="GZ181" s="816"/>
      <c r="HA181" s="609"/>
      <c r="HB181" s="609"/>
      <c r="HC181" s="816"/>
      <c r="HD181" s="816"/>
      <c r="HE181" s="816"/>
      <c r="HF181" s="816"/>
      <c r="HG181" s="816"/>
      <c r="HH181" s="816"/>
      <c r="HI181" s="821"/>
      <c r="HJ181" s="609"/>
      <c r="HK181" s="816"/>
      <c r="HL181" s="816"/>
      <c r="HM181" s="822"/>
      <c r="HN181" s="609"/>
      <c r="HO181" s="816"/>
      <c r="HP181" s="816"/>
      <c r="HQ181" s="609"/>
      <c r="HR181" s="816"/>
      <c r="HS181" s="816"/>
      <c r="HT181" s="816"/>
      <c r="HU181" s="816"/>
      <c r="HV181" s="816"/>
      <c r="HW181" s="816"/>
      <c r="HX181" s="816"/>
      <c r="HY181" s="816"/>
      <c r="HZ181" s="816"/>
      <c r="IA181" s="816"/>
      <c r="IB181" s="816"/>
      <c r="IC181" s="823"/>
      <c r="ID181" s="824"/>
      <c r="IE181" s="825"/>
      <c r="IF181" s="825"/>
      <c r="IG181" s="816"/>
      <c r="II181" s="826"/>
      <c r="IJ181" s="826"/>
      <c r="IK181" s="826"/>
      <c r="IL181" s="826"/>
    </row>
    <row r="182" spans="2:246" s="780" customFormat="1">
      <c r="B182" s="609"/>
      <c r="C182" s="609"/>
      <c r="D182" s="609"/>
      <c r="E182" s="609"/>
      <c r="F182" s="609"/>
      <c r="G182" s="609"/>
      <c r="H182" s="609"/>
      <c r="I182" s="609"/>
      <c r="J182" s="609"/>
      <c r="K182" s="609"/>
      <c r="L182" s="609"/>
      <c r="M182" s="609"/>
      <c r="N182" s="609"/>
      <c r="O182" s="609"/>
      <c r="P182" s="609"/>
      <c r="Q182" s="609"/>
      <c r="R182" s="609"/>
      <c r="S182" s="609"/>
      <c r="T182" s="609"/>
      <c r="U182" s="609"/>
      <c r="V182" s="609"/>
      <c r="W182" s="609"/>
      <c r="X182" s="609"/>
      <c r="Y182" s="609"/>
      <c r="Z182" s="816"/>
      <c r="AA182" s="816"/>
      <c r="AB182" s="816"/>
      <c r="AC182" s="816"/>
      <c r="AD182" s="816"/>
      <c r="AE182" s="816"/>
      <c r="AF182" s="609"/>
      <c r="AG182" s="609"/>
      <c r="AH182" s="816"/>
      <c r="AI182" s="816"/>
      <c r="AJ182" s="609"/>
      <c r="AK182" s="609"/>
      <c r="AL182" s="816"/>
      <c r="AM182" s="816"/>
      <c r="AN182" s="816"/>
      <c r="AO182" s="816"/>
      <c r="AP182" s="816"/>
      <c r="AQ182" s="816"/>
      <c r="AR182" s="609"/>
      <c r="AS182" s="609"/>
      <c r="AT182" s="816"/>
      <c r="AU182" s="816"/>
      <c r="AV182" s="817"/>
      <c r="AW182" s="609"/>
      <c r="AX182" s="609"/>
      <c r="AY182" s="816"/>
      <c r="AZ182" s="816"/>
      <c r="BA182" s="816"/>
      <c r="BB182" s="816"/>
      <c r="BC182" s="816"/>
      <c r="BD182" s="816"/>
      <c r="BE182" s="816"/>
      <c r="BF182" s="816"/>
      <c r="BG182" s="816"/>
      <c r="BH182" s="816"/>
      <c r="BI182" s="816"/>
      <c r="BJ182" s="816"/>
      <c r="BK182" s="816"/>
      <c r="BL182" s="816"/>
      <c r="BM182" s="816"/>
      <c r="BN182" s="816"/>
      <c r="BO182" s="816"/>
      <c r="BP182" s="816"/>
      <c r="BQ182" s="816"/>
      <c r="BR182" s="816"/>
      <c r="BS182" s="816"/>
      <c r="BT182" s="609"/>
      <c r="BU182" s="609"/>
      <c r="BV182" s="609"/>
      <c r="BW182" s="818"/>
      <c r="BX182" s="816"/>
      <c r="BY182" s="816"/>
      <c r="BZ182" s="816"/>
      <c r="CA182" s="816"/>
      <c r="CB182" s="816"/>
      <c r="CC182" s="816"/>
      <c r="CD182" s="816"/>
      <c r="CE182" s="816"/>
      <c r="CF182" s="820"/>
      <c r="CG182" s="820"/>
      <c r="CH182" s="820"/>
      <c r="CI182" s="820"/>
      <c r="CJ182" s="609"/>
      <c r="CK182" s="609"/>
      <c r="CL182" s="816"/>
      <c r="CM182" s="816"/>
      <c r="CN182" s="609"/>
      <c r="CO182" s="609"/>
      <c r="CP182" s="816"/>
      <c r="CQ182" s="816"/>
      <c r="CR182" s="609"/>
      <c r="CS182" s="609"/>
      <c r="CT182" s="816"/>
      <c r="CU182" s="816"/>
      <c r="CV182" s="609"/>
      <c r="CW182" s="609"/>
      <c r="CX182" s="816"/>
      <c r="CY182" s="816"/>
      <c r="CZ182" s="816"/>
      <c r="DA182" s="816"/>
      <c r="DB182" s="816"/>
      <c r="DC182" s="816"/>
      <c r="DD182" s="816"/>
      <c r="DE182" s="816"/>
      <c r="DF182" s="816"/>
      <c r="DG182" s="816"/>
      <c r="DH182" s="816"/>
      <c r="DI182" s="816"/>
      <c r="DJ182" s="816"/>
      <c r="DK182" s="816"/>
      <c r="DL182" s="609"/>
      <c r="DM182" s="609"/>
      <c r="DN182" s="816"/>
      <c r="DO182" s="816"/>
      <c r="DP182" s="816"/>
      <c r="DQ182" s="816"/>
      <c r="DR182" s="816"/>
      <c r="DS182" s="816"/>
      <c r="DT182" s="816"/>
      <c r="DU182" s="816"/>
      <c r="DV182" s="816"/>
      <c r="DW182" s="816"/>
      <c r="DX182" s="816"/>
      <c r="DY182" s="816"/>
      <c r="DZ182" s="816"/>
      <c r="EA182" s="816"/>
      <c r="EB182" s="609"/>
      <c r="EC182" s="609"/>
      <c r="ED182" s="816"/>
      <c r="EE182" s="816"/>
      <c r="EF182" s="816"/>
      <c r="EG182" s="816"/>
      <c r="EH182" s="816"/>
      <c r="EI182" s="816"/>
      <c r="EJ182" s="816"/>
      <c r="EK182" s="816"/>
      <c r="EL182" s="816"/>
      <c r="EM182" s="816"/>
      <c r="EN182" s="816"/>
      <c r="EO182" s="816"/>
      <c r="EP182" s="816"/>
      <c r="EQ182" s="816"/>
      <c r="ER182" s="816"/>
      <c r="ES182" s="816"/>
      <c r="ET182" s="816"/>
      <c r="EU182" s="816"/>
      <c r="EV182" s="816"/>
      <c r="EW182" s="816"/>
      <c r="EX182" s="816"/>
      <c r="EY182" s="816"/>
      <c r="EZ182" s="816"/>
      <c r="FA182" s="816"/>
      <c r="FB182" s="819"/>
      <c r="FC182" s="816"/>
      <c r="FD182" s="820"/>
      <c r="FE182" s="820"/>
      <c r="FF182" s="820"/>
      <c r="FG182" s="820"/>
      <c r="FH182" s="609"/>
      <c r="FI182" s="609"/>
      <c r="FJ182" s="816"/>
      <c r="FK182" s="816"/>
      <c r="FL182" s="816"/>
      <c r="FM182" s="816"/>
      <c r="FN182" s="816"/>
      <c r="FO182" s="816"/>
      <c r="FP182" s="816"/>
      <c r="FQ182" s="816"/>
      <c r="FR182" s="816"/>
      <c r="FS182" s="816"/>
      <c r="FT182" s="816"/>
      <c r="FU182" s="816"/>
      <c r="FV182" s="816"/>
      <c r="FW182" s="816"/>
      <c r="FX182" s="609"/>
      <c r="FY182" s="609"/>
      <c r="FZ182" s="816"/>
      <c r="GA182" s="816"/>
      <c r="GB182" s="609"/>
      <c r="GC182" s="609"/>
      <c r="GD182" s="609"/>
      <c r="GE182" s="816"/>
      <c r="GF182" s="816"/>
      <c r="GG182" s="609"/>
      <c r="GH182" s="609"/>
      <c r="GI182" s="816"/>
      <c r="GJ182" s="816"/>
      <c r="GK182" s="609"/>
      <c r="GL182" s="609"/>
      <c r="GM182" s="816"/>
      <c r="GN182" s="816"/>
      <c r="GO182" s="816"/>
      <c r="GP182" s="816"/>
      <c r="GQ182" s="816"/>
      <c r="GR182" s="816"/>
      <c r="GS182" s="609"/>
      <c r="GT182" s="609"/>
      <c r="GU182" s="816"/>
      <c r="GV182" s="816"/>
      <c r="GW182" s="609"/>
      <c r="GX182" s="609"/>
      <c r="GY182" s="816"/>
      <c r="GZ182" s="816"/>
      <c r="HA182" s="609"/>
      <c r="HB182" s="609"/>
      <c r="HC182" s="816"/>
      <c r="HD182" s="816"/>
      <c r="HE182" s="816"/>
      <c r="HF182" s="816"/>
      <c r="HG182" s="816"/>
      <c r="HH182" s="816"/>
      <c r="HI182" s="821"/>
      <c r="HJ182" s="609"/>
      <c r="HK182" s="816"/>
      <c r="HL182" s="816"/>
      <c r="HM182" s="822"/>
      <c r="HN182" s="609"/>
      <c r="HO182" s="816"/>
      <c r="HP182" s="816"/>
      <c r="HQ182" s="609"/>
      <c r="HR182" s="816"/>
      <c r="HS182" s="816"/>
      <c r="HT182" s="816"/>
      <c r="HU182" s="816"/>
      <c r="HV182" s="816"/>
      <c r="HW182" s="816"/>
      <c r="HX182" s="816"/>
      <c r="HY182" s="816"/>
      <c r="HZ182" s="816"/>
      <c r="IA182" s="816"/>
      <c r="IB182" s="816"/>
      <c r="IC182" s="823"/>
      <c r="ID182" s="824"/>
      <c r="IE182" s="825"/>
      <c r="IF182" s="825"/>
      <c r="IG182" s="816"/>
      <c r="II182" s="826"/>
      <c r="IJ182" s="826"/>
      <c r="IK182" s="826"/>
      <c r="IL182" s="826"/>
    </row>
    <row r="183" spans="2:246" s="780" customFormat="1">
      <c r="B183" s="609"/>
      <c r="C183" s="609"/>
      <c r="D183" s="609"/>
      <c r="E183" s="609"/>
      <c r="F183" s="609"/>
      <c r="G183" s="609"/>
      <c r="H183" s="609"/>
      <c r="I183" s="609"/>
      <c r="J183" s="609"/>
      <c r="K183" s="609"/>
      <c r="L183" s="609"/>
      <c r="M183" s="609"/>
      <c r="N183" s="609"/>
      <c r="O183" s="609"/>
      <c r="P183" s="609"/>
      <c r="Q183" s="609"/>
      <c r="R183" s="609"/>
      <c r="S183" s="609"/>
      <c r="T183" s="609"/>
      <c r="U183" s="609"/>
      <c r="V183" s="609"/>
      <c r="W183" s="609"/>
      <c r="X183" s="609"/>
      <c r="Y183" s="609"/>
      <c r="Z183" s="816"/>
      <c r="AA183" s="816"/>
      <c r="AB183" s="816"/>
      <c r="AC183" s="816"/>
      <c r="AD183" s="816"/>
      <c r="AE183" s="816"/>
      <c r="AF183" s="609"/>
      <c r="AG183" s="609"/>
      <c r="AH183" s="816"/>
      <c r="AI183" s="816"/>
      <c r="AJ183" s="609"/>
      <c r="AK183" s="609"/>
      <c r="AL183" s="816"/>
      <c r="AM183" s="816"/>
      <c r="AN183" s="816"/>
      <c r="AO183" s="816"/>
      <c r="AP183" s="816"/>
      <c r="AQ183" s="816"/>
      <c r="AR183" s="609"/>
      <c r="AS183" s="609"/>
      <c r="AT183" s="816"/>
      <c r="AU183" s="816"/>
      <c r="AV183" s="817"/>
      <c r="AW183" s="609"/>
      <c r="AX183" s="609"/>
      <c r="AY183" s="816"/>
      <c r="AZ183" s="816"/>
      <c r="BA183" s="816"/>
      <c r="BB183" s="816"/>
      <c r="BC183" s="816"/>
      <c r="BD183" s="816"/>
      <c r="BE183" s="816"/>
      <c r="BF183" s="816"/>
      <c r="BG183" s="816"/>
      <c r="BH183" s="816"/>
      <c r="BI183" s="816"/>
      <c r="BJ183" s="816"/>
      <c r="BK183" s="816"/>
      <c r="BL183" s="816"/>
      <c r="BM183" s="816"/>
      <c r="BN183" s="816"/>
      <c r="BO183" s="816"/>
      <c r="BP183" s="816"/>
      <c r="BQ183" s="816"/>
      <c r="BR183" s="816"/>
      <c r="BS183" s="816"/>
      <c r="BT183" s="609"/>
      <c r="BU183" s="609"/>
      <c r="BV183" s="609"/>
      <c r="BW183" s="818"/>
      <c r="BX183" s="816"/>
      <c r="BY183" s="816"/>
      <c r="BZ183" s="816"/>
      <c r="CA183" s="816"/>
      <c r="CB183" s="816"/>
      <c r="CC183" s="816"/>
      <c r="CD183" s="816"/>
      <c r="CE183" s="816"/>
      <c r="CF183" s="820"/>
      <c r="CG183" s="820"/>
      <c r="CH183" s="820"/>
      <c r="CI183" s="820"/>
      <c r="CJ183" s="609"/>
      <c r="CK183" s="609"/>
      <c r="CL183" s="816"/>
      <c r="CM183" s="816"/>
      <c r="CN183" s="609"/>
      <c r="CO183" s="609"/>
      <c r="CP183" s="816"/>
      <c r="CQ183" s="816"/>
      <c r="CR183" s="609"/>
      <c r="CS183" s="609"/>
      <c r="CT183" s="816"/>
      <c r="CU183" s="816"/>
      <c r="CV183" s="609"/>
      <c r="CW183" s="609"/>
      <c r="CX183" s="816"/>
      <c r="CY183" s="816"/>
      <c r="CZ183" s="816"/>
      <c r="DA183" s="816"/>
      <c r="DB183" s="816"/>
      <c r="DC183" s="816"/>
      <c r="DD183" s="816"/>
      <c r="DE183" s="816"/>
      <c r="DF183" s="816"/>
      <c r="DG183" s="816"/>
      <c r="DH183" s="816"/>
      <c r="DI183" s="816"/>
      <c r="DJ183" s="816"/>
      <c r="DK183" s="816"/>
      <c r="DL183" s="609"/>
      <c r="DM183" s="609"/>
      <c r="DN183" s="816"/>
      <c r="DO183" s="816"/>
      <c r="DP183" s="816"/>
      <c r="DQ183" s="816"/>
      <c r="DR183" s="816"/>
      <c r="DS183" s="816"/>
      <c r="DT183" s="816"/>
      <c r="DU183" s="816"/>
      <c r="DV183" s="816"/>
      <c r="DW183" s="816"/>
      <c r="DX183" s="816"/>
      <c r="DY183" s="816"/>
      <c r="DZ183" s="816"/>
      <c r="EA183" s="816"/>
      <c r="EB183" s="609"/>
      <c r="EC183" s="609"/>
      <c r="ED183" s="816"/>
      <c r="EE183" s="816"/>
      <c r="EF183" s="816"/>
      <c r="EG183" s="816"/>
      <c r="EH183" s="816"/>
      <c r="EI183" s="816"/>
      <c r="EJ183" s="816"/>
      <c r="EK183" s="816"/>
      <c r="EL183" s="816"/>
      <c r="EM183" s="816"/>
      <c r="EN183" s="816"/>
      <c r="EO183" s="816"/>
      <c r="EP183" s="816"/>
      <c r="EQ183" s="816"/>
      <c r="ER183" s="816"/>
      <c r="ES183" s="816"/>
      <c r="ET183" s="816"/>
      <c r="EU183" s="816"/>
      <c r="EV183" s="816"/>
      <c r="EW183" s="816"/>
      <c r="EX183" s="816"/>
      <c r="EY183" s="816"/>
      <c r="EZ183" s="816"/>
      <c r="FA183" s="816"/>
      <c r="FB183" s="819"/>
      <c r="FC183" s="816"/>
      <c r="FD183" s="820"/>
      <c r="FE183" s="820"/>
      <c r="FF183" s="820"/>
      <c r="FG183" s="820"/>
      <c r="FH183" s="609"/>
      <c r="FI183" s="609"/>
      <c r="FJ183" s="816"/>
      <c r="FK183" s="816"/>
      <c r="FL183" s="816"/>
      <c r="FM183" s="816"/>
      <c r="FN183" s="816"/>
      <c r="FO183" s="816"/>
      <c r="FP183" s="816"/>
      <c r="FQ183" s="816"/>
      <c r="FR183" s="816"/>
      <c r="FS183" s="816"/>
      <c r="FT183" s="816"/>
      <c r="FU183" s="816"/>
      <c r="FV183" s="816"/>
      <c r="FW183" s="816"/>
      <c r="FX183" s="609"/>
      <c r="FY183" s="609"/>
      <c r="FZ183" s="816"/>
      <c r="GA183" s="816"/>
      <c r="GB183" s="609"/>
      <c r="GC183" s="609"/>
      <c r="GD183" s="609"/>
      <c r="GE183" s="816"/>
      <c r="GF183" s="816"/>
      <c r="GG183" s="609"/>
      <c r="GH183" s="609"/>
      <c r="GI183" s="816"/>
      <c r="GJ183" s="816"/>
      <c r="GK183" s="609"/>
      <c r="GL183" s="609"/>
      <c r="GM183" s="816"/>
      <c r="GN183" s="816"/>
      <c r="GO183" s="816"/>
      <c r="GP183" s="816"/>
      <c r="GQ183" s="816"/>
      <c r="GR183" s="816"/>
      <c r="GS183" s="609"/>
      <c r="GT183" s="609"/>
      <c r="GU183" s="816"/>
      <c r="GV183" s="816"/>
      <c r="GW183" s="609"/>
      <c r="GX183" s="609"/>
      <c r="GY183" s="816"/>
      <c r="GZ183" s="816"/>
      <c r="HA183" s="609"/>
      <c r="HB183" s="609"/>
      <c r="HC183" s="816"/>
      <c r="HD183" s="816"/>
      <c r="HE183" s="816"/>
      <c r="HF183" s="816"/>
      <c r="HG183" s="816"/>
      <c r="HH183" s="816"/>
      <c r="HI183" s="821"/>
      <c r="HJ183" s="609"/>
      <c r="HK183" s="816"/>
      <c r="HL183" s="816"/>
      <c r="HM183" s="822"/>
      <c r="HN183" s="609"/>
      <c r="HO183" s="816"/>
      <c r="HP183" s="816"/>
      <c r="HQ183" s="609"/>
      <c r="HR183" s="816"/>
      <c r="HS183" s="816"/>
      <c r="HT183" s="816"/>
      <c r="HU183" s="816"/>
      <c r="HV183" s="816"/>
      <c r="HW183" s="816"/>
      <c r="HX183" s="816"/>
      <c r="HY183" s="816"/>
      <c r="HZ183" s="816"/>
      <c r="IA183" s="816"/>
      <c r="IB183" s="816"/>
      <c r="IC183" s="823"/>
      <c r="ID183" s="824"/>
      <c r="IE183" s="825"/>
      <c r="IF183" s="825"/>
      <c r="IG183" s="816"/>
      <c r="II183" s="826"/>
      <c r="IJ183" s="826"/>
      <c r="IK183" s="826"/>
      <c r="IL183" s="826"/>
    </row>
    <row r="184" spans="2:246" s="780" customFormat="1">
      <c r="B184" s="609"/>
      <c r="C184" s="609"/>
      <c r="D184" s="609"/>
      <c r="E184" s="609"/>
      <c r="F184" s="609"/>
      <c r="G184" s="609"/>
      <c r="H184" s="609"/>
      <c r="I184" s="609"/>
      <c r="J184" s="609"/>
      <c r="K184" s="609"/>
      <c r="L184" s="609"/>
      <c r="M184" s="609"/>
      <c r="N184" s="609"/>
      <c r="O184" s="609"/>
      <c r="P184" s="609"/>
      <c r="Q184" s="609"/>
      <c r="R184" s="609"/>
      <c r="S184" s="609"/>
      <c r="T184" s="609"/>
      <c r="U184" s="609"/>
      <c r="V184" s="609"/>
      <c r="W184" s="609"/>
      <c r="X184" s="609"/>
      <c r="Y184" s="609"/>
      <c r="Z184" s="816"/>
      <c r="AA184" s="816"/>
      <c r="AB184" s="816"/>
      <c r="AC184" s="816"/>
      <c r="AD184" s="816"/>
      <c r="AE184" s="816"/>
      <c r="AF184" s="609"/>
      <c r="AG184" s="609"/>
      <c r="AH184" s="816"/>
      <c r="AI184" s="816"/>
      <c r="AJ184" s="609"/>
      <c r="AK184" s="609"/>
      <c r="AL184" s="816"/>
      <c r="AM184" s="816"/>
      <c r="AN184" s="816"/>
      <c r="AO184" s="816"/>
      <c r="AP184" s="816"/>
      <c r="AQ184" s="816"/>
      <c r="AR184" s="609"/>
      <c r="AS184" s="609"/>
      <c r="AT184" s="816"/>
      <c r="AU184" s="816"/>
      <c r="AV184" s="817"/>
      <c r="AW184" s="609"/>
      <c r="AX184" s="609"/>
      <c r="AY184" s="816"/>
      <c r="AZ184" s="816"/>
      <c r="BA184" s="816"/>
      <c r="BB184" s="816"/>
      <c r="BC184" s="816"/>
      <c r="BD184" s="816"/>
      <c r="BE184" s="816"/>
      <c r="BF184" s="816"/>
      <c r="BG184" s="816"/>
      <c r="BH184" s="816"/>
      <c r="BI184" s="816"/>
      <c r="BJ184" s="816"/>
      <c r="BK184" s="816"/>
      <c r="BL184" s="816"/>
      <c r="BM184" s="816"/>
      <c r="BN184" s="816"/>
      <c r="BO184" s="816"/>
      <c r="BP184" s="816"/>
      <c r="BQ184" s="816"/>
      <c r="BR184" s="816"/>
      <c r="BS184" s="816"/>
      <c r="BT184" s="609"/>
      <c r="BU184" s="609"/>
      <c r="BV184" s="609"/>
      <c r="BW184" s="818"/>
      <c r="BX184" s="816"/>
      <c r="BY184" s="816"/>
      <c r="BZ184" s="816"/>
      <c r="CA184" s="816"/>
      <c r="CB184" s="816"/>
      <c r="CC184" s="816"/>
      <c r="CD184" s="816"/>
      <c r="CE184" s="816"/>
      <c r="CF184" s="820"/>
      <c r="CG184" s="820"/>
      <c r="CH184" s="820"/>
      <c r="CI184" s="820"/>
      <c r="CJ184" s="609"/>
      <c r="CK184" s="609"/>
      <c r="CL184" s="816"/>
      <c r="CM184" s="816"/>
      <c r="CN184" s="609"/>
      <c r="CO184" s="609"/>
      <c r="CP184" s="816"/>
      <c r="CQ184" s="816"/>
      <c r="CR184" s="609"/>
      <c r="CS184" s="609"/>
      <c r="CT184" s="816"/>
      <c r="CU184" s="816"/>
      <c r="CV184" s="609"/>
      <c r="CW184" s="609"/>
      <c r="CX184" s="816"/>
      <c r="CY184" s="816"/>
      <c r="CZ184" s="816"/>
      <c r="DA184" s="816"/>
      <c r="DB184" s="816"/>
      <c r="DC184" s="816"/>
      <c r="DD184" s="816"/>
      <c r="DE184" s="816"/>
      <c r="DF184" s="816"/>
      <c r="DG184" s="816"/>
      <c r="DH184" s="816"/>
      <c r="DI184" s="816"/>
      <c r="DJ184" s="816"/>
      <c r="DK184" s="816"/>
      <c r="DL184" s="609"/>
      <c r="DM184" s="609"/>
      <c r="DN184" s="816"/>
      <c r="DO184" s="816"/>
      <c r="DP184" s="816"/>
      <c r="DQ184" s="816"/>
      <c r="DR184" s="816"/>
      <c r="DS184" s="816"/>
      <c r="DT184" s="816"/>
      <c r="DU184" s="816"/>
      <c r="DV184" s="816"/>
      <c r="DW184" s="816"/>
      <c r="DX184" s="816"/>
      <c r="DY184" s="816"/>
      <c r="DZ184" s="816"/>
      <c r="EA184" s="816"/>
      <c r="EB184" s="609"/>
      <c r="EC184" s="609"/>
      <c r="ED184" s="816"/>
      <c r="EE184" s="816"/>
      <c r="EF184" s="816"/>
      <c r="EG184" s="816"/>
      <c r="EH184" s="816"/>
      <c r="EI184" s="816"/>
      <c r="EJ184" s="816"/>
      <c r="EK184" s="816"/>
      <c r="EL184" s="816"/>
      <c r="EM184" s="816"/>
      <c r="EN184" s="816"/>
      <c r="EO184" s="816"/>
      <c r="EP184" s="816"/>
      <c r="EQ184" s="816"/>
      <c r="ER184" s="816"/>
      <c r="ES184" s="816"/>
      <c r="ET184" s="816"/>
      <c r="EU184" s="816"/>
      <c r="EV184" s="816"/>
      <c r="EW184" s="816"/>
      <c r="EX184" s="816"/>
      <c r="EY184" s="816"/>
      <c r="EZ184" s="816"/>
      <c r="FA184" s="816"/>
      <c r="FB184" s="819"/>
      <c r="FC184" s="816"/>
      <c r="FD184" s="820"/>
      <c r="FE184" s="820"/>
      <c r="FF184" s="820"/>
      <c r="FG184" s="820"/>
      <c r="FH184" s="609"/>
      <c r="FI184" s="609"/>
      <c r="FJ184" s="816"/>
      <c r="FK184" s="816"/>
      <c r="FL184" s="816"/>
      <c r="FM184" s="816"/>
      <c r="FN184" s="816"/>
      <c r="FO184" s="816"/>
      <c r="FP184" s="816"/>
      <c r="FQ184" s="816"/>
      <c r="FR184" s="816"/>
      <c r="FS184" s="816"/>
      <c r="FT184" s="816"/>
      <c r="FU184" s="816"/>
      <c r="FV184" s="816"/>
      <c r="FW184" s="816"/>
      <c r="FX184" s="609"/>
      <c r="FY184" s="609"/>
      <c r="FZ184" s="816"/>
      <c r="GA184" s="816"/>
      <c r="GB184" s="609"/>
      <c r="GC184" s="609"/>
      <c r="GD184" s="609"/>
      <c r="GE184" s="816"/>
      <c r="GF184" s="816"/>
      <c r="GG184" s="609"/>
      <c r="GH184" s="609"/>
      <c r="GI184" s="816"/>
      <c r="GJ184" s="816"/>
      <c r="GK184" s="609"/>
      <c r="GL184" s="609"/>
      <c r="GM184" s="816"/>
      <c r="GN184" s="816"/>
      <c r="GO184" s="816"/>
      <c r="GP184" s="816"/>
      <c r="GQ184" s="816"/>
      <c r="GR184" s="816"/>
      <c r="GS184" s="609"/>
      <c r="GT184" s="609"/>
      <c r="GU184" s="816"/>
      <c r="GV184" s="816"/>
      <c r="GW184" s="609"/>
      <c r="GX184" s="609"/>
      <c r="GY184" s="816"/>
      <c r="GZ184" s="816"/>
      <c r="HA184" s="609"/>
      <c r="HB184" s="609"/>
      <c r="HC184" s="816"/>
      <c r="HD184" s="816"/>
      <c r="HE184" s="816"/>
      <c r="HF184" s="816"/>
      <c r="HG184" s="816"/>
      <c r="HH184" s="816"/>
      <c r="HI184" s="821"/>
      <c r="HJ184" s="609"/>
      <c r="HK184" s="816"/>
      <c r="HL184" s="816"/>
      <c r="HM184" s="822"/>
      <c r="HN184" s="609"/>
      <c r="HO184" s="816"/>
      <c r="HP184" s="816"/>
      <c r="HQ184" s="609"/>
      <c r="HR184" s="816"/>
      <c r="HS184" s="816"/>
      <c r="HT184" s="816"/>
      <c r="HU184" s="816"/>
      <c r="HV184" s="816"/>
      <c r="HW184" s="816"/>
      <c r="HX184" s="816"/>
      <c r="HY184" s="816"/>
      <c r="HZ184" s="816"/>
      <c r="IA184" s="816"/>
      <c r="IB184" s="816"/>
      <c r="IC184" s="823"/>
      <c r="ID184" s="824"/>
      <c r="IE184" s="825"/>
      <c r="IF184" s="825"/>
      <c r="IG184" s="816"/>
      <c r="II184" s="826"/>
      <c r="IJ184" s="826"/>
      <c r="IK184" s="826"/>
      <c r="IL184" s="826"/>
    </row>
    <row r="185" spans="2:246" s="780" customFormat="1">
      <c r="B185" s="609"/>
      <c r="C185" s="609"/>
      <c r="D185" s="609"/>
      <c r="E185" s="609"/>
      <c r="F185" s="609"/>
      <c r="G185" s="609"/>
      <c r="H185" s="609"/>
      <c r="I185" s="609"/>
      <c r="J185" s="609"/>
      <c r="K185" s="609"/>
      <c r="L185" s="609"/>
      <c r="M185" s="609"/>
      <c r="N185" s="609"/>
      <c r="O185" s="609"/>
      <c r="P185" s="609"/>
      <c r="Q185" s="609"/>
      <c r="R185" s="609"/>
      <c r="S185" s="609"/>
      <c r="T185" s="609"/>
      <c r="U185" s="609"/>
      <c r="V185" s="609"/>
      <c r="W185" s="609"/>
      <c r="X185" s="609"/>
      <c r="Y185" s="609"/>
      <c r="Z185" s="816"/>
      <c r="AA185" s="816"/>
      <c r="AB185" s="816"/>
      <c r="AC185" s="816"/>
      <c r="AD185" s="816"/>
      <c r="AE185" s="816"/>
      <c r="AF185" s="609"/>
      <c r="AG185" s="609"/>
      <c r="AH185" s="816"/>
      <c r="AI185" s="816"/>
      <c r="AJ185" s="609"/>
      <c r="AK185" s="609"/>
      <c r="AL185" s="816"/>
      <c r="AM185" s="816"/>
      <c r="AN185" s="816"/>
      <c r="AO185" s="816"/>
      <c r="AP185" s="816"/>
      <c r="AQ185" s="816"/>
      <c r="AR185" s="609"/>
      <c r="AS185" s="609"/>
      <c r="AT185" s="816"/>
      <c r="AU185" s="816"/>
      <c r="AV185" s="817"/>
      <c r="AW185" s="609"/>
      <c r="AX185" s="609"/>
      <c r="AY185" s="816"/>
      <c r="AZ185" s="816"/>
      <c r="BA185" s="816"/>
      <c r="BB185" s="816"/>
      <c r="BC185" s="816"/>
      <c r="BD185" s="816"/>
      <c r="BE185" s="816"/>
      <c r="BF185" s="816"/>
      <c r="BG185" s="816"/>
      <c r="BH185" s="816"/>
      <c r="BI185" s="816"/>
      <c r="BJ185" s="816"/>
      <c r="BK185" s="816"/>
      <c r="BL185" s="816"/>
      <c r="BM185" s="816"/>
      <c r="BN185" s="816"/>
      <c r="BO185" s="816"/>
      <c r="BP185" s="816"/>
      <c r="BQ185" s="816"/>
      <c r="BR185" s="816"/>
      <c r="BS185" s="816"/>
      <c r="BT185" s="609"/>
      <c r="BU185" s="609"/>
      <c r="BV185" s="609"/>
      <c r="BW185" s="818"/>
      <c r="BX185" s="816"/>
      <c r="BY185" s="816"/>
      <c r="BZ185" s="816"/>
      <c r="CA185" s="816"/>
      <c r="CB185" s="816"/>
      <c r="CC185" s="816"/>
      <c r="CD185" s="816"/>
      <c r="CE185" s="816"/>
      <c r="CF185" s="820"/>
      <c r="CG185" s="820"/>
      <c r="CH185" s="820"/>
      <c r="CI185" s="820"/>
      <c r="CJ185" s="609"/>
      <c r="CK185" s="609"/>
      <c r="CL185" s="816"/>
      <c r="CM185" s="816"/>
      <c r="CN185" s="609"/>
      <c r="CO185" s="609"/>
      <c r="CP185" s="816"/>
      <c r="CQ185" s="816"/>
      <c r="CR185" s="609"/>
      <c r="CS185" s="609"/>
      <c r="CT185" s="816"/>
      <c r="CU185" s="816"/>
      <c r="CV185" s="609"/>
      <c r="CW185" s="609"/>
      <c r="CX185" s="816"/>
      <c r="CY185" s="816"/>
      <c r="CZ185" s="816"/>
      <c r="DA185" s="816"/>
      <c r="DB185" s="816"/>
      <c r="DC185" s="816"/>
      <c r="DD185" s="816"/>
      <c r="DE185" s="816"/>
      <c r="DF185" s="816"/>
      <c r="DG185" s="816"/>
      <c r="DH185" s="816"/>
      <c r="DI185" s="816"/>
      <c r="DJ185" s="816"/>
      <c r="DK185" s="816"/>
      <c r="DL185" s="609"/>
      <c r="DM185" s="609"/>
      <c r="DN185" s="816"/>
      <c r="DO185" s="816"/>
      <c r="DP185" s="816"/>
      <c r="DQ185" s="816"/>
      <c r="DR185" s="816"/>
      <c r="DS185" s="816"/>
      <c r="DT185" s="816"/>
      <c r="DU185" s="816"/>
      <c r="DV185" s="816"/>
      <c r="DW185" s="816"/>
      <c r="DX185" s="816"/>
      <c r="DY185" s="816"/>
      <c r="DZ185" s="816"/>
      <c r="EA185" s="816"/>
      <c r="EB185" s="609"/>
      <c r="EC185" s="609"/>
      <c r="ED185" s="816"/>
      <c r="EE185" s="816"/>
      <c r="EF185" s="816"/>
      <c r="EG185" s="816"/>
      <c r="EH185" s="816"/>
      <c r="EI185" s="816"/>
      <c r="EJ185" s="816"/>
      <c r="EK185" s="816"/>
      <c r="EL185" s="816"/>
      <c r="EM185" s="816"/>
      <c r="EN185" s="816"/>
      <c r="EO185" s="816"/>
      <c r="EP185" s="816"/>
      <c r="EQ185" s="816"/>
      <c r="ER185" s="816"/>
      <c r="ES185" s="816"/>
      <c r="ET185" s="816"/>
      <c r="EU185" s="816"/>
      <c r="EV185" s="816"/>
      <c r="EW185" s="816"/>
      <c r="EX185" s="816"/>
      <c r="EY185" s="816"/>
      <c r="EZ185" s="816"/>
      <c r="FA185" s="816"/>
      <c r="FB185" s="819"/>
      <c r="FC185" s="816"/>
      <c r="FD185" s="820"/>
      <c r="FE185" s="820"/>
      <c r="FF185" s="820"/>
      <c r="FG185" s="820"/>
      <c r="FH185" s="609"/>
      <c r="FI185" s="609"/>
      <c r="FJ185" s="816"/>
      <c r="FK185" s="816"/>
      <c r="FL185" s="816"/>
      <c r="FM185" s="816"/>
      <c r="FN185" s="816"/>
      <c r="FO185" s="816"/>
      <c r="FP185" s="816"/>
      <c r="FQ185" s="816"/>
      <c r="FR185" s="816"/>
      <c r="FS185" s="816"/>
      <c r="FT185" s="816"/>
      <c r="FU185" s="816"/>
      <c r="FV185" s="816"/>
      <c r="FW185" s="816"/>
      <c r="FX185" s="609"/>
      <c r="FY185" s="609"/>
      <c r="FZ185" s="816"/>
      <c r="GA185" s="816"/>
      <c r="GB185" s="609"/>
      <c r="GC185" s="609"/>
      <c r="GD185" s="609"/>
      <c r="GE185" s="816"/>
      <c r="GF185" s="816"/>
      <c r="GG185" s="609"/>
      <c r="GH185" s="609"/>
      <c r="GI185" s="816"/>
      <c r="GJ185" s="816"/>
      <c r="GK185" s="609"/>
      <c r="GL185" s="609"/>
      <c r="GM185" s="816"/>
      <c r="GN185" s="816"/>
      <c r="GO185" s="816"/>
      <c r="GP185" s="816"/>
      <c r="GQ185" s="816"/>
      <c r="GR185" s="816"/>
      <c r="GS185" s="609"/>
      <c r="GT185" s="609"/>
      <c r="GU185" s="816"/>
      <c r="GV185" s="816"/>
      <c r="GW185" s="609"/>
      <c r="GX185" s="609"/>
      <c r="GY185" s="816"/>
      <c r="GZ185" s="816"/>
      <c r="HA185" s="609"/>
      <c r="HB185" s="609"/>
      <c r="HC185" s="816"/>
      <c r="HD185" s="816"/>
      <c r="HE185" s="816"/>
      <c r="HF185" s="816"/>
      <c r="HG185" s="816"/>
      <c r="HH185" s="816"/>
      <c r="HI185" s="821"/>
      <c r="HJ185" s="609"/>
      <c r="HK185" s="816"/>
      <c r="HL185" s="816"/>
      <c r="HM185" s="822"/>
      <c r="HN185" s="609"/>
      <c r="HO185" s="816"/>
      <c r="HP185" s="816"/>
      <c r="HQ185" s="609"/>
      <c r="HR185" s="816"/>
      <c r="HS185" s="816"/>
      <c r="HT185" s="816"/>
      <c r="HU185" s="816"/>
      <c r="HV185" s="816"/>
      <c r="HW185" s="816"/>
      <c r="HX185" s="816"/>
      <c r="HY185" s="816"/>
      <c r="HZ185" s="816"/>
      <c r="IA185" s="816"/>
      <c r="IB185" s="816"/>
      <c r="IC185" s="823"/>
      <c r="ID185" s="824"/>
      <c r="IE185" s="825"/>
      <c r="IF185" s="825"/>
      <c r="IG185" s="816"/>
      <c r="II185" s="826"/>
      <c r="IJ185" s="826"/>
      <c r="IK185" s="826"/>
      <c r="IL185" s="826"/>
    </row>
    <row r="186" spans="2:246" s="780" customFormat="1">
      <c r="B186" s="609"/>
      <c r="C186" s="609"/>
      <c r="D186" s="609"/>
      <c r="E186" s="609"/>
      <c r="F186" s="609"/>
      <c r="G186" s="609"/>
      <c r="H186" s="609"/>
      <c r="I186" s="609"/>
      <c r="J186" s="609"/>
      <c r="K186" s="609"/>
      <c r="L186" s="609"/>
      <c r="M186" s="609"/>
      <c r="N186" s="609"/>
      <c r="O186" s="609"/>
      <c r="P186" s="609"/>
      <c r="Q186" s="609"/>
      <c r="R186" s="609"/>
      <c r="S186" s="609"/>
      <c r="T186" s="609"/>
      <c r="U186" s="609"/>
      <c r="V186" s="609"/>
      <c r="W186" s="609"/>
      <c r="X186" s="609"/>
      <c r="Y186" s="609"/>
      <c r="Z186" s="816"/>
      <c r="AA186" s="816"/>
      <c r="AB186" s="816"/>
      <c r="AC186" s="816"/>
      <c r="AD186" s="816"/>
      <c r="AE186" s="816"/>
      <c r="AF186" s="609"/>
      <c r="AG186" s="609"/>
      <c r="AH186" s="816"/>
      <c r="AI186" s="816"/>
      <c r="AJ186" s="609"/>
      <c r="AK186" s="609"/>
      <c r="AL186" s="816"/>
      <c r="AM186" s="816"/>
      <c r="AN186" s="816"/>
      <c r="AO186" s="816"/>
      <c r="AP186" s="816"/>
      <c r="AQ186" s="816"/>
      <c r="AR186" s="609"/>
      <c r="AS186" s="609"/>
      <c r="AT186" s="816"/>
      <c r="AU186" s="816"/>
      <c r="AV186" s="817"/>
      <c r="AW186" s="609"/>
      <c r="AX186" s="609"/>
      <c r="AY186" s="816"/>
      <c r="AZ186" s="816"/>
      <c r="BA186" s="816"/>
      <c r="BB186" s="816"/>
      <c r="BC186" s="816"/>
      <c r="BD186" s="816"/>
      <c r="BE186" s="816"/>
      <c r="BF186" s="816"/>
      <c r="BG186" s="816"/>
      <c r="BH186" s="816"/>
      <c r="BI186" s="816"/>
      <c r="BJ186" s="816"/>
      <c r="BK186" s="816"/>
      <c r="BL186" s="816"/>
      <c r="BM186" s="816"/>
      <c r="BN186" s="816"/>
      <c r="BO186" s="816"/>
      <c r="BP186" s="816"/>
      <c r="BQ186" s="816"/>
      <c r="BR186" s="816"/>
      <c r="BS186" s="816"/>
      <c r="BT186" s="609"/>
      <c r="BU186" s="609"/>
      <c r="BV186" s="609"/>
      <c r="BW186" s="818"/>
      <c r="BX186" s="816"/>
      <c r="BY186" s="816"/>
      <c r="BZ186" s="816"/>
      <c r="CA186" s="816"/>
      <c r="CB186" s="816"/>
      <c r="CC186" s="816"/>
      <c r="CD186" s="816"/>
      <c r="CE186" s="816"/>
      <c r="CF186" s="820"/>
      <c r="CG186" s="820"/>
      <c r="CH186" s="820"/>
      <c r="CI186" s="820"/>
      <c r="CJ186" s="609"/>
      <c r="CK186" s="609"/>
      <c r="CL186" s="816"/>
      <c r="CM186" s="816"/>
      <c r="CN186" s="609"/>
      <c r="CO186" s="609"/>
      <c r="CP186" s="816"/>
      <c r="CQ186" s="816"/>
      <c r="CR186" s="609"/>
      <c r="CS186" s="609"/>
      <c r="CT186" s="816"/>
      <c r="CU186" s="816"/>
      <c r="CV186" s="609"/>
      <c r="CW186" s="609"/>
      <c r="CX186" s="816"/>
      <c r="CY186" s="816"/>
      <c r="CZ186" s="816"/>
      <c r="DA186" s="816"/>
      <c r="DB186" s="816"/>
      <c r="DC186" s="816"/>
      <c r="DD186" s="816"/>
      <c r="DE186" s="816"/>
      <c r="DF186" s="816"/>
      <c r="DG186" s="816"/>
      <c r="DH186" s="816"/>
      <c r="DI186" s="816"/>
      <c r="DJ186" s="816"/>
      <c r="DK186" s="816"/>
      <c r="DL186" s="609"/>
      <c r="DM186" s="609"/>
      <c r="DN186" s="816"/>
      <c r="DO186" s="816"/>
      <c r="DP186" s="816"/>
      <c r="DQ186" s="816"/>
      <c r="DR186" s="816"/>
      <c r="DS186" s="816"/>
      <c r="DT186" s="816"/>
      <c r="DU186" s="816"/>
      <c r="DV186" s="816"/>
      <c r="DW186" s="816"/>
      <c r="DX186" s="816"/>
      <c r="DY186" s="816"/>
      <c r="DZ186" s="816"/>
      <c r="EA186" s="816"/>
      <c r="EB186" s="609"/>
      <c r="EC186" s="609"/>
      <c r="ED186" s="816"/>
      <c r="EE186" s="816"/>
      <c r="EF186" s="816"/>
      <c r="EG186" s="816"/>
      <c r="EH186" s="816"/>
      <c r="EI186" s="816"/>
      <c r="EJ186" s="816"/>
      <c r="EK186" s="816"/>
      <c r="EL186" s="816"/>
      <c r="EM186" s="816"/>
      <c r="EN186" s="816"/>
      <c r="EO186" s="816"/>
      <c r="EP186" s="816"/>
      <c r="EQ186" s="816"/>
      <c r="ER186" s="816"/>
      <c r="ES186" s="816"/>
      <c r="ET186" s="816"/>
      <c r="EU186" s="816"/>
      <c r="EV186" s="816"/>
      <c r="EW186" s="816"/>
      <c r="EX186" s="816"/>
      <c r="EY186" s="816"/>
      <c r="EZ186" s="816"/>
      <c r="FA186" s="816"/>
      <c r="FB186" s="819"/>
      <c r="FC186" s="816"/>
      <c r="FD186" s="820"/>
      <c r="FE186" s="820"/>
      <c r="FF186" s="820"/>
      <c r="FG186" s="820"/>
      <c r="FH186" s="609"/>
      <c r="FI186" s="609"/>
      <c r="FJ186" s="816"/>
      <c r="FK186" s="816"/>
      <c r="FL186" s="816"/>
      <c r="FM186" s="816"/>
      <c r="FN186" s="816"/>
      <c r="FO186" s="816"/>
      <c r="FP186" s="816"/>
      <c r="FQ186" s="816"/>
      <c r="FR186" s="816"/>
      <c r="FS186" s="816"/>
      <c r="FT186" s="816"/>
      <c r="FU186" s="816"/>
      <c r="FV186" s="816"/>
      <c r="FW186" s="816"/>
      <c r="FX186" s="609"/>
      <c r="FY186" s="609"/>
      <c r="FZ186" s="816"/>
      <c r="GA186" s="816"/>
      <c r="GB186" s="609"/>
      <c r="GC186" s="609"/>
      <c r="GD186" s="609"/>
      <c r="GE186" s="816"/>
      <c r="GF186" s="816"/>
      <c r="GG186" s="609"/>
      <c r="GH186" s="609"/>
      <c r="GI186" s="816"/>
      <c r="GJ186" s="816"/>
      <c r="GK186" s="609"/>
      <c r="GL186" s="609"/>
      <c r="GM186" s="816"/>
      <c r="GN186" s="816"/>
      <c r="GO186" s="816"/>
      <c r="GP186" s="816"/>
      <c r="GQ186" s="816"/>
      <c r="GR186" s="816"/>
      <c r="GS186" s="609"/>
      <c r="GT186" s="609"/>
      <c r="GU186" s="816"/>
      <c r="GV186" s="816"/>
      <c r="GW186" s="609"/>
      <c r="GX186" s="609"/>
      <c r="GY186" s="816"/>
      <c r="GZ186" s="816"/>
      <c r="HA186" s="609"/>
      <c r="HB186" s="609"/>
      <c r="HC186" s="816"/>
      <c r="HD186" s="816"/>
      <c r="HE186" s="816"/>
      <c r="HF186" s="816"/>
      <c r="HG186" s="816"/>
      <c r="HH186" s="816"/>
      <c r="HI186" s="821"/>
      <c r="HJ186" s="609"/>
      <c r="HK186" s="816"/>
      <c r="HL186" s="816"/>
      <c r="HM186" s="822"/>
      <c r="HN186" s="609"/>
      <c r="HO186" s="816"/>
      <c r="HP186" s="816"/>
      <c r="HQ186" s="609"/>
      <c r="HR186" s="816"/>
      <c r="HS186" s="816"/>
      <c r="HT186" s="816"/>
      <c r="HU186" s="816"/>
      <c r="HV186" s="816"/>
      <c r="HW186" s="816"/>
      <c r="HX186" s="816"/>
      <c r="HY186" s="816"/>
      <c r="HZ186" s="816"/>
      <c r="IA186" s="816"/>
      <c r="IB186" s="816"/>
      <c r="IC186" s="823"/>
      <c r="ID186" s="824"/>
      <c r="IE186" s="825"/>
      <c r="IF186" s="825"/>
      <c r="IG186" s="816"/>
      <c r="II186" s="826"/>
      <c r="IJ186" s="826"/>
      <c r="IK186" s="826"/>
      <c r="IL186" s="826"/>
    </row>
    <row r="187" spans="2:246" s="780" customFormat="1">
      <c r="B187" s="609"/>
      <c r="C187" s="609"/>
      <c r="D187" s="609"/>
      <c r="E187" s="609"/>
      <c r="F187" s="609"/>
      <c r="G187" s="609"/>
      <c r="H187" s="609"/>
      <c r="I187" s="609"/>
      <c r="J187" s="609"/>
      <c r="K187" s="609"/>
      <c r="L187" s="609"/>
      <c r="M187" s="609"/>
      <c r="N187" s="609"/>
      <c r="O187" s="609"/>
      <c r="P187" s="609"/>
      <c r="Q187" s="609"/>
      <c r="R187" s="609"/>
      <c r="S187" s="609"/>
      <c r="T187" s="609"/>
      <c r="U187" s="609"/>
      <c r="V187" s="609"/>
      <c r="W187" s="609"/>
      <c r="X187" s="609"/>
      <c r="Y187" s="609"/>
      <c r="Z187" s="816"/>
      <c r="AA187" s="816"/>
      <c r="AB187" s="816"/>
      <c r="AC187" s="816"/>
      <c r="AD187" s="816"/>
      <c r="AE187" s="816"/>
      <c r="AF187" s="609"/>
      <c r="AG187" s="609"/>
      <c r="AH187" s="816"/>
      <c r="AI187" s="816"/>
      <c r="AJ187" s="609"/>
      <c r="AK187" s="609"/>
      <c r="AL187" s="816"/>
      <c r="AM187" s="816"/>
      <c r="AN187" s="816"/>
      <c r="AO187" s="816"/>
      <c r="AP187" s="816"/>
      <c r="AQ187" s="816"/>
      <c r="AR187" s="609"/>
      <c r="AS187" s="609"/>
      <c r="AT187" s="816"/>
      <c r="AU187" s="816"/>
      <c r="AV187" s="817"/>
      <c r="AW187" s="609"/>
      <c r="AX187" s="609"/>
      <c r="AY187" s="816"/>
      <c r="AZ187" s="816"/>
      <c r="BA187" s="816"/>
      <c r="BB187" s="816"/>
      <c r="BC187" s="816"/>
      <c r="BD187" s="816"/>
      <c r="BE187" s="816"/>
      <c r="BF187" s="816"/>
      <c r="BG187" s="816"/>
      <c r="BH187" s="816"/>
      <c r="BI187" s="816"/>
      <c r="BJ187" s="816"/>
      <c r="BK187" s="816"/>
      <c r="BL187" s="816"/>
      <c r="BM187" s="816"/>
      <c r="BN187" s="816"/>
      <c r="BO187" s="816"/>
      <c r="BP187" s="816"/>
      <c r="BQ187" s="816"/>
      <c r="BR187" s="816"/>
      <c r="BS187" s="816"/>
      <c r="BT187" s="609"/>
      <c r="BU187" s="609"/>
      <c r="BV187" s="609"/>
      <c r="BW187" s="818"/>
      <c r="BX187" s="816"/>
      <c r="BY187" s="816"/>
      <c r="BZ187" s="816"/>
      <c r="CA187" s="816"/>
      <c r="CB187" s="816"/>
      <c r="CC187" s="816"/>
      <c r="CD187" s="816"/>
      <c r="CE187" s="816"/>
      <c r="CF187" s="820"/>
      <c r="CG187" s="820"/>
      <c r="CH187" s="820"/>
      <c r="CI187" s="820"/>
      <c r="CJ187" s="609"/>
      <c r="CK187" s="609"/>
      <c r="CL187" s="816"/>
      <c r="CM187" s="816"/>
      <c r="CN187" s="609"/>
      <c r="CO187" s="609"/>
      <c r="CP187" s="816"/>
      <c r="CQ187" s="816"/>
      <c r="CR187" s="609"/>
      <c r="CS187" s="609"/>
      <c r="CT187" s="816"/>
      <c r="CU187" s="816"/>
      <c r="CV187" s="609"/>
      <c r="CW187" s="609"/>
      <c r="CX187" s="816"/>
      <c r="CY187" s="816"/>
      <c r="CZ187" s="816"/>
      <c r="DA187" s="816"/>
      <c r="DB187" s="816"/>
      <c r="DC187" s="816"/>
      <c r="DD187" s="816"/>
      <c r="DE187" s="816"/>
      <c r="DF187" s="816"/>
      <c r="DG187" s="816"/>
      <c r="DH187" s="816"/>
      <c r="DI187" s="816"/>
      <c r="DJ187" s="816"/>
      <c r="DK187" s="816"/>
      <c r="DL187" s="609"/>
      <c r="DM187" s="609"/>
      <c r="DN187" s="816"/>
      <c r="DO187" s="816"/>
      <c r="DP187" s="816"/>
      <c r="DQ187" s="816"/>
      <c r="DR187" s="816"/>
      <c r="DS187" s="816"/>
      <c r="DT187" s="816"/>
      <c r="DU187" s="816"/>
      <c r="DV187" s="816"/>
      <c r="DW187" s="816"/>
      <c r="DX187" s="816"/>
      <c r="DY187" s="816"/>
      <c r="DZ187" s="816"/>
      <c r="EA187" s="816"/>
      <c r="EB187" s="609"/>
      <c r="EC187" s="609"/>
      <c r="ED187" s="816"/>
      <c r="EE187" s="816"/>
      <c r="EF187" s="816"/>
      <c r="EG187" s="816"/>
      <c r="EH187" s="816"/>
      <c r="EI187" s="816"/>
      <c r="EJ187" s="816"/>
      <c r="EK187" s="816"/>
      <c r="EL187" s="816"/>
      <c r="EM187" s="816"/>
      <c r="EN187" s="816"/>
      <c r="EO187" s="816"/>
      <c r="EP187" s="816"/>
      <c r="EQ187" s="816"/>
      <c r="ER187" s="816"/>
      <c r="ES187" s="816"/>
      <c r="ET187" s="816"/>
      <c r="EU187" s="816"/>
      <c r="EV187" s="816"/>
      <c r="EW187" s="816"/>
      <c r="EX187" s="816"/>
      <c r="EY187" s="816"/>
      <c r="EZ187" s="816"/>
      <c r="FA187" s="816"/>
      <c r="FB187" s="819"/>
      <c r="FC187" s="816"/>
      <c r="FD187" s="820"/>
      <c r="FE187" s="820"/>
      <c r="FF187" s="820"/>
      <c r="FG187" s="820"/>
      <c r="FH187" s="609"/>
      <c r="FI187" s="609"/>
      <c r="FJ187" s="816"/>
      <c r="FK187" s="816"/>
      <c r="FL187" s="816"/>
      <c r="FM187" s="816"/>
      <c r="FN187" s="816"/>
      <c r="FO187" s="816"/>
      <c r="FP187" s="816"/>
      <c r="FQ187" s="816"/>
      <c r="FR187" s="816"/>
      <c r="FS187" s="816"/>
      <c r="FT187" s="816"/>
      <c r="FU187" s="816"/>
      <c r="FV187" s="816"/>
      <c r="FW187" s="816"/>
      <c r="FX187" s="609"/>
      <c r="FY187" s="609"/>
      <c r="FZ187" s="816"/>
      <c r="GA187" s="816"/>
      <c r="GB187" s="609"/>
      <c r="GC187" s="609"/>
      <c r="GD187" s="609"/>
      <c r="GE187" s="816"/>
      <c r="GF187" s="816"/>
      <c r="GG187" s="609"/>
      <c r="GH187" s="609"/>
      <c r="GI187" s="816"/>
      <c r="GJ187" s="816"/>
      <c r="GK187" s="609"/>
      <c r="GL187" s="609"/>
      <c r="GM187" s="816"/>
      <c r="GN187" s="816"/>
      <c r="GO187" s="816"/>
      <c r="GP187" s="816"/>
      <c r="GQ187" s="816"/>
      <c r="GR187" s="816"/>
      <c r="GS187" s="609"/>
      <c r="GT187" s="609"/>
      <c r="GU187" s="816"/>
      <c r="GV187" s="816"/>
      <c r="GW187" s="609"/>
      <c r="GX187" s="609"/>
      <c r="GY187" s="816"/>
      <c r="GZ187" s="816"/>
      <c r="HA187" s="609"/>
      <c r="HB187" s="609"/>
      <c r="HC187" s="816"/>
      <c r="HD187" s="816"/>
      <c r="HE187" s="816"/>
      <c r="HF187" s="816"/>
      <c r="HG187" s="816"/>
      <c r="HH187" s="816"/>
      <c r="HI187" s="821"/>
      <c r="HJ187" s="609"/>
      <c r="HK187" s="816"/>
      <c r="HL187" s="816"/>
      <c r="HM187" s="822"/>
      <c r="HN187" s="609"/>
      <c r="HO187" s="816"/>
      <c r="HP187" s="816"/>
      <c r="HQ187" s="609"/>
      <c r="HR187" s="816"/>
      <c r="HS187" s="816"/>
      <c r="HT187" s="816"/>
      <c r="HU187" s="816"/>
      <c r="HV187" s="816"/>
      <c r="HW187" s="816"/>
      <c r="HX187" s="816"/>
      <c r="HY187" s="816"/>
      <c r="HZ187" s="816"/>
      <c r="IA187" s="816"/>
      <c r="IB187" s="816"/>
      <c r="IC187" s="823"/>
      <c r="ID187" s="824"/>
      <c r="IE187" s="825"/>
      <c r="IF187" s="825"/>
      <c r="IG187" s="816"/>
      <c r="II187" s="826"/>
      <c r="IJ187" s="826"/>
      <c r="IK187" s="826"/>
      <c r="IL187" s="826"/>
    </row>
    <row r="188" spans="2:246" s="780" customFormat="1">
      <c r="B188" s="609"/>
      <c r="C188" s="609"/>
      <c r="D188" s="609"/>
      <c r="E188" s="609"/>
      <c r="F188" s="609"/>
      <c r="G188" s="609"/>
      <c r="H188" s="609"/>
      <c r="I188" s="609"/>
      <c r="J188" s="609"/>
      <c r="K188" s="609"/>
      <c r="L188" s="609"/>
      <c r="M188" s="609"/>
      <c r="N188" s="609"/>
      <c r="O188" s="609"/>
      <c r="P188" s="609"/>
      <c r="Q188" s="609"/>
      <c r="R188" s="609"/>
      <c r="S188" s="609"/>
      <c r="T188" s="609"/>
      <c r="U188" s="609"/>
      <c r="V188" s="609"/>
      <c r="W188" s="609"/>
      <c r="X188" s="609"/>
      <c r="Y188" s="609"/>
      <c r="Z188" s="816"/>
      <c r="AA188" s="816"/>
      <c r="AB188" s="816"/>
      <c r="AC188" s="816"/>
      <c r="AD188" s="816"/>
      <c r="AE188" s="816"/>
      <c r="AF188" s="609"/>
      <c r="AG188" s="609"/>
      <c r="AH188" s="816"/>
      <c r="AI188" s="816"/>
      <c r="AJ188" s="609"/>
      <c r="AK188" s="609"/>
      <c r="AL188" s="816"/>
      <c r="AM188" s="816"/>
      <c r="AN188" s="816"/>
      <c r="AO188" s="816"/>
      <c r="AP188" s="816"/>
      <c r="AQ188" s="816"/>
      <c r="AR188" s="609"/>
      <c r="AS188" s="609"/>
      <c r="AT188" s="816"/>
      <c r="AU188" s="816"/>
      <c r="AV188" s="817"/>
      <c r="AW188" s="609"/>
      <c r="AX188" s="609"/>
      <c r="AY188" s="816"/>
      <c r="AZ188" s="816"/>
      <c r="BA188" s="816"/>
      <c r="BB188" s="816"/>
      <c r="BC188" s="816"/>
      <c r="BD188" s="816"/>
      <c r="BE188" s="816"/>
      <c r="BF188" s="816"/>
      <c r="BG188" s="816"/>
      <c r="BH188" s="816"/>
      <c r="BI188" s="816"/>
      <c r="BJ188" s="816"/>
      <c r="BK188" s="816"/>
      <c r="BL188" s="816"/>
      <c r="BM188" s="816"/>
      <c r="BN188" s="816"/>
      <c r="BO188" s="816"/>
      <c r="BP188" s="816"/>
      <c r="BQ188" s="816"/>
      <c r="BR188" s="816"/>
      <c r="BS188" s="816"/>
      <c r="BT188" s="609"/>
      <c r="BU188" s="609"/>
      <c r="BV188" s="609"/>
      <c r="BW188" s="818"/>
      <c r="BX188" s="816"/>
      <c r="BY188" s="816"/>
      <c r="BZ188" s="816"/>
      <c r="CA188" s="816"/>
      <c r="CB188" s="816"/>
      <c r="CC188" s="816"/>
      <c r="CD188" s="816"/>
      <c r="CE188" s="816"/>
      <c r="CF188" s="820"/>
      <c r="CG188" s="820"/>
      <c r="CH188" s="820"/>
      <c r="CI188" s="820"/>
      <c r="CJ188" s="609"/>
      <c r="CK188" s="609"/>
      <c r="CL188" s="816"/>
      <c r="CM188" s="816"/>
      <c r="CN188" s="609"/>
      <c r="CO188" s="609"/>
      <c r="CP188" s="816"/>
      <c r="CQ188" s="816"/>
      <c r="CR188" s="609"/>
      <c r="CS188" s="609"/>
      <c r="CT188" s="816"/>
      <c r="CU188" s="816"/>
      <c r="CV188" s="609"/>
      <c r="CW188" s="609"/>
      <c r="CX188" s="816"/>
      <c r="CY188" s="816"/>
      <c r="CZ188" s="816"/>
      <c r="DA188" s="816"/>
      <c r="DB188" s="816"/>
      <c r="DC188" s="816"/>
      <c r="DD188" s="816"/>
      <c r="DE188" s="816"/>
      <c r="DF188" s="816"/>
      <c r="DG188" s="816"/>
      <c r="DH188" s="816"/>
      <c r="DI188" s="816"/>
      <c r="DJ188" s="816"/>
      <c r="DK188" s="816"/>
      <c r="DL188" s="609"/>
      <c r="DM188" s="609"/>
      <c r="DN188" s="816"/>
      <c r="DO188" s="816"/>
      <c r="DP188" s="816"/>
      <c r="DQ188" s="816"/>
      <c r="DR188" s="816"/>
      <c r="DS188" s="816"/>
      <c r="DT188" s="816"/>
      <c r="DU188" s="816"/>
      <c r="DV188" s="816"/>
      <c r="DW188" s="816"/>
      <c r="DX188" s="816"/>
      <c r="DY188" s="816"/>
      <c r="DZ188" s="816"/>
      <c r="EA188" s="816"/>
      <c r="EB188" s="609"/>
      <c r="EC188" s="609"/>
      <c r="ED188" s="816"/>
      <c r="EE188" s="816"/>
      <c r="EF188" s="816"/>
      <c r="EG188" s="816"/>
      <c r="EH188" s="816"/>
      <c r="EI188" s="816"/>
      <c r="EJ188" s="816"/>
      <c r="EK188" s="816"/>
      <c r="EL188" s="816"/>
      <c r="EM188" s="816"/>
      <c r="EN188" s="816"/>
      <c r="EO188" s="816"/>
      <c r="EP188" s="816"/>
      <c r="EQ188" s="816"/>
      <c r="ER188" s="816"/>
      <c r="ES188" s="816"/>
      <c r="ET188" s="816"/>
      <c r="EU188" s="816"/>
      <c r="EV188" s="816"/>
      <c r="EW188" s="816"/>
      <c r="EX188" s="816"/>
      <c r="EY188" s="816"/>
      <c r="EZ188" s="816"/>
      <c r="FA188" s="816"/>
      <c r="FB188" s="819"/>
      <c r="FC188" s="816"/>
      <c r="FD188" s="820"/>
      <c r="FE188" s="820"/>
      <c r="FF188" s="820"/>
      <c r="FG188" s="820"/>
      <c r="FH188" s="609"/>
      <c r="FI188" s="609"/>
      <c r="FJ188" s="816"/>
      <c r="FK188" s="816"/>
      <c r="FL188" s="816"/>
      <c r="FM188" s="816"/>
      <c r="FN188" s="816"/>
      <c r="FO188" s="816"/>
      <c r="FP188" s="816"/>
      <c r="FQ188" s="816"/>
      <c r="FR188" s="816"/>
      <c r="FS188" s="816"/>
      <c r="FT188" s="816"/>
      <c r="FU188" s="816"/>
      <c r="FV188" s="816"/>
      <c r="FW188" s="816"/>
      <c r="FX188" s="609"/>
      <c r="FY188" s="609"/>
      <c r="FZ188" s="816"/>
      <c r="GA188" s="816"/>
      <c r="GB188" s="609"/>
      <c r="GC188" s="609"/>
      <c r="GD188" s="609"/>
      <c r="GE188" s="816"/>
      <c r="GF188" s="816"/>
      <c r="GG188" s="609"/>
      <c r="GH188" s="609"/>
      <c r="GI188" s="816"/>
      <c r="GJ188" s="816"/>
      <c r="GK188" s="609"/>
      <c r="GL188" s="609"/>
      <c r="GM188" s="816"/>
      <c r="GN188" s="816"/>
      <c r="GO188" s="816"/>
      <c r="GP188" s="816"/>
      <c r="GQ188" s="816"/>
      <c r="GR188" s="816"/>
      <c r="GS188" s="609"/>
      <c r="GT188" s="609"/>
      <c r="GU188" s="816"/>
      <c r="GV188" s="816"/>
      <c r="GW188" s="609"/>
      <c r="GX188" s="609"/>
      <c r="GY188" s="816"/>
      <c r="GZ188" s="816"/>
      <c r="HA188" s="609"/>
      <c r="HB188" s="609"/>
      <c r="HC188" s="816"/>
      <c r="HD188" s="816"/>
      <c r="HE188" s="816"/>
      <c r="HF188" s="816"/>
      <c r="HG188" s="816"/>
      <c r="HH188" s="816"/>
      <c r="HI188" s="821"/>
      <c r="HJ188" s="609"/>
      <c r="HK188" s="816"/>
      <c r="HL188" s="816"/>
      <c r="HM188" s="822"/>
      <c r="HN188" s="609"/>
      <c r="HO188" s="816"/>
      <c r="HP188" s="816"/>
      <c r="HQ188" s="609"/>
      <c r="HR188" s="816"/>
      <c r="HS188" s="816"/>
      <c r="HT188" s="816"/>
      <c r="HU188" s="816"/>
      <c r="HV188" s="816"/>
      <c r="HW188" s="816"/>
      <c r="HX188" s="816"/>
      <c r="HY188" s="816"/>
      <c r="HZ188" s="816"/>
      <c r="IA188" s="816"/>
      <c r="IB188" s="816"/>
      <c r="IC188" s="823"/>
      <c r="ID188" s="824"/>
      <c r="IE188" s="825"/>
      <c r="IF188" s="825"/>
      <c r="IG188" s="816"/>
      <c r="II188" s="826"/>
      <c r="IJ188" s="826"/>
      <c r="IK188" s="826"/>
      <c r="IL188" s="826"/>
    </row>
    <row r="189" spans="2:246" s="780" customFormat="1">
      <c r="B189" s="609"/>
      <c r="C189" s="609"/>
      <c r="D189" s="609"/>
      <c r="E189" s="609"/>
      <c r="F189" s="609"/>
      <c r="G189" s="609"/>
      <c r="H189" s="609"/>
      <c r="I189" s="609"/>
      <c r="J189" s="609"/>
      <c r="K189" s="609"/>
      <c r="L189" s="609"/>
      <c r="M189" s="609"/>
      <c r="N189" s="609"/>
      <c r="O189" s="609"/>
      <c r="P189" s="609"/>
      <c r="Q189" s="609"/>
      <c r="R189" s="609"/>
      <c r="S189" s="609"/>
      <c r="T189" s="609"/>
      <c r="U189" s="609"/>
      <c r="V189" s="609"/>
      <c r="W189" s="609"/>
      <c r="X189" s="609"/>
      <c r="Y189" s="609"/>
      <c r="Z189" s="816"/>
      <c r="AA189" s="816"/>
      <c r="AB189" s="816"/>
      <c r="AC189" s="816"/>
      <c r="AD189" s="816"/>
      <c r="AE189" s="816"/>
      <c r="AF189" s="609"/>
      <c r="AG189" s="609"/>
      <c r="AH189" s="816"/>
      <c r="AI189" s="816"/>
      <c r="AJ189" s="609"/>
      <c r="AK189" s="609"/>
      <c r="AL189" s="816"/>
      <c r="AM189" s="816"/>
      <c r="AN189" s="816"/>
      <c r="AO189" s="816"/>
      <c r="AP189" s="816"/>
      <c r="AQ189" s="816"/>
      <c r="AR189" s="609"/>
      <c r="AS189" s="609"/>
      <c r="AT189" s="816"/>
      <c r="AU189" s="816"/>
      <c r="AV189" s="817"/>
      <c r="AW189" s="609"/>
      <c r="AX189" s="609"/>
      <c r="AY189" s="816"/>
      <c r="AZ189" s="816"/>
      <c r="BA189" s="816"/>
      <c r="BB189" s="816"/>
      <c r="BC189" s="816"/>
      <c r="BD189" s="816"/>
      <c r="BE189" s="816"/>
      <c r="BF189" s="816"/>
      <c r="BG189" s="816"/>
      <c r="BH189" s="816"/>
      <c r="BI189" s="816"/>
      <c r="BJ189" s="816"/>
      <c r="BK189" s="816"/>
      <c r="BL189" s="816"/>
      <c r="BM189" s="816"/>
      <c r="BN189" s="816"/>
      <c r="BO189" s="816"/>
      <c r="BP189" s="816"/>
      <c r="BQ189" s="816"/>
      <c r="BR189" s="816"/>
      <c r="BS189" s="816"/>
      <c r="BT189" s="609"/>
      <c r="BU189" s="609"/>
      <c r="BV189" s="609"/>
      <c r="BW189" s="818"/>
      <c r="BX189" s="816"/>
      <c r="BY189" s="816"/>
      <c r="BZ189" s="816"/>
      <c r="CA189" s="816"/>
      <c r="CB189" s="816"/>
      <c r="CC189" s="816"/>
      <c r="CD189" s="816"/>
      <c r="CE189" s="816"/>
      <c r="CF189" s="820"/>
      <c r="CG189" s="820"/>
      <c r="CH189" s="820"/>
      <c r="CI189" s="820"/>
      <c r="CJ189" s="609"/>
      <c r="CK189" s="609"/>
      <c r="CL189" s="816"/>
      <c r="CM189" s="816"/>
      <c r="CN189" s="609"/>
      <c r="CO189" s="609"/>
      <c r="CP189" s="816"/>
      <c r="CQ189" s="816"/>
      <c r="CR189" s="609"/>
      <c r="CS189" s="609"/>
      <c r="CT189" s="816"/>
      <c r="CU189" s="816"/>
      <c r="CV189" s="609"/>
      <c r="CW189" s="609"/>
      <c r="CX189" s="816"/>
      <c r="CY189" s="816"/>
      <c r="CZ189" s="816"/>
      <c r="DA189" s="816"/>
      <c r="DB189" s="816"/>
      <c r="DC189" s="816"/>
      <c r="DD189" s="816"/>
      <c r="DE189" s="816"/>
      <c r="DF189" s="816"/>
      <c r="DG189" s="816"/>
      <c r="DH189" s="816"/>
      <c r="DI189" s="816"/>
      <c r="DJ189" s="816"/>
      <c r="DK189" s="816"/>
      <c r="DL189" s="609"/>
      <c r="DM189" s="609"/>
      <c r="DN189" s="816"/>
      <c r="DO189" s="816"/>
      <c r="DP189" s="816"/>
      <c r="DQ189" s="816"/>
      <c r="DR189" s="816"/>
      <c r="DS189" s="816"/>
      <c r="DT189" s="816"/>
      <c r="DU189" s="816"/>
      <c r="DV189" s="816"/>
      <c r="DW189" s="816"/>
      <c r="DX189" s="816"/>
      <c r="DY189" s="816"/>
      <c r="DZ189" s="816"/>
      <c r="EA189" s="816"/>
      <c r="EB189" s="609"/>
      <c r="EC189" s="609"/>
      <c r="ED189" s="816"/>
      <c r="EE189" s="816"/>
      <c r="EF189" s="816"/>
      <c r="EG189" s="816"/>
      <c r="EH189" s="816"/>
      <c r="EI189" s="816"/>
      <c r="EJ189" s="816"/>
      <c r="EK189" s="816"/>
      <c r="EL189" s="816"/>
      <c r="EM189" s="816"/>
      <c r="EN189" s="816"/>
      <c r="EO189" s="816"/>
      <c r="EP189" s="816"/>
      <c r="EQ189" s="816"/>
      <c r="ER189" s="816"/>
      <c r="ES189" s="816"/>
      <c r="ET189" s="816"/>
      <c r="EU189" s="816"/>
      <c r="EV189" s="816"/>
      <c r="EW189" s="816"/>
      <c r="EX189" s="816"/>
      <c r="EY189" s="816"/>
      <c r="EZ189" s="816"/>
      <c r="FA189" s="816"/>
      <c r="FB189" s="819"/>
      <c r="FC189" s="816"/>
      <c r="FD189" s="820"/>
      <c r="FE189" s="820"/>
      <c r="FF189" s="820"/>
      <c r="FG189" s="820"/>
      <c r="FH189" s="609"/>
      <c r="FI189" s="609"/>
      <c r="FJ189" s="816"/>
      <c r="FK189" s="816"/>
      <c r="FL189" s="816"/>
      <c r="FM189" s="816"/>
      <c r="FN189" s="816"/>
      <c r="FO189" s="816"/>
      <c r="FP189" s="816"/>
      <c r="FQ189" s="816"/>
      <c r="FR189" s="816"/>
      <c r="FS189" s="816"/>
      <c r="FT189" s="816"/>
      <c r="FU189" s="816"/>
      <c r="FV189" s="816"/>
      <c r="FW189" s="816"/>
      <c r="FX189" s="609"/>
      <c r="FY189" s="609"/>
      <c r="FZ189" s="816"/>
      <c r="GA189" s="816"/>
      <c r="GB189" s="609"/>
      <c r="GC189" s="609"/>
      <c r="GD189" s="609"/>
      <c r="GE189" s="816"/>
      <c r="GF189" s="816"/>
      <c r="GG189" s="609"/>
      <c r="GH189" s="609"/>
      <c r="GI189" s="816"/>
      <c r="GJ189" s="816"/>
      <c r="GK189" s="609"/>
      <c r="GL189" s="609"/>
      <c r="GM189" s="816"/>
      <c r="GN189" s="816"/>
      <c r="GO189" s="816"/>
      <c r="GP189" s="816"/>
      <c r="GQ189" s="816"/>
      <c r="GR189" s="816"/>
      <c r="GS189" s="609"/>
      <c r="GT189" s="609"/>
      <c r="GU189" s="816"/>
      <c r="GV189" s="816"/>
      <c r="GW189" s="609"/>
      <c r="GX189" s="609"/>
      <c r="GY189" s="816"/>
      <c r="GZ189" s="816"/>
      <c r="HA189" s="609"/>
      <c r="HB189" s="609"/>
      <c r="HC189" s="816"/>
      <c r="HD189" s="816"/>
      <c r="HE189" s="816"/>
      <c r="HF189" s="816"/>
      <c r="HG189" s="816"/>
      <c r="HH189" s="816"/>
      <c r="HI189" s="821"/>
      <c r="HJ189" s="609"/>
      <c r="HK189" s="816"/>
      <c r="HL189" s="816"/>
      <c r="HM189" s="822"/>
      <c r="HN189" s="609"/>
      <c r="HO189" s="816"/>
      <c r="HP189" s="816"/>
      <c r="HQ189" s="609"/>
      <c r="HR189" s="816"/>
      <c r="HS189" s="816"/>
      <c r="HT189" s="816"/>
      <c r="HU189" s="816"/>
      <c r="HV189" s="816"/>
      <c r="HW189" s="816"/>
      <c r="HX189" s="816"/>
      <c r="HY189" s="816"/>
      <c r="HZ189" s="816"/>
      <c r="IA189" s="816"/>
      <c r="IB189" s="816"/>
      <c r="IC189" s="823"/>
      <c r="ID189" s="824"/>
      <c r="IE189" s="825"/>
      <c r="IF189" s="825"/>
      <c r="IG189" s="816"/>
      <c r="II189" s="826"/>
      <c r="IJ189" s="826"/>
      <c r="IK189" s="826"/>
      <c r="IL189" s="826"/>
    </row>
    <row r="190" spans="2:246" s="780" customFormat="1">
      <c r="B190" s="609"/>
      <c r="C190" s="609"/>
      <c r="D190" s="609"/>
      <c r="E190" s="609"/>
      <c r="F190" s="609"/>
      <c r="G190" s="609"/>
      <c r="H190" s="609"/>
      <c r="I190" s="609"/>
      <c r="J190" s="609"/>
      <c r="K190" s="609"/>
      <c r="L190" s="609"/>
      <c r="M190" s="609"/>
      <c r="N190" s="609"/>
      <c r="O190" s="609"/>
      <c r="P190" s="609"/>
      <c r="Q190" s="609"/>
      <c r="R190" s="609"/>
      <c r="S190" s="609"/>
      <c r="T190" s="609"/>
      <c r="U190" s="609"/>
      <c r="V190" s="609"/>
      <c r="W190" s="609"/>
      <c r="X190" s="609"/>
      <c r="Y190" s="609"/>
      <c r="Z190" s="816"/>
      <c r="AA190" s="816"/>
      <c r="AB190" s="816"/>
      <c r="AC190" s="816"/>
      <c r="AD190" s="816"/>
      <c r="AE190" s="816"/>
      <c r="AF190" s="609"/>
      <c r="AG190" s="609"/>
      <c r="AH190" s="816"/>
      <c r="AI190" s="816"/>
      <c r="AJ190" s="609"/>
      <c r="AK190" s="609"/>
      <c r="AL190" s="816"/>
      <c r="AM190" s="816"/>
      <c r="AN190" s="816"/>
      <c r="AO190" s="816"/>
      <c r="AP190" s="816"/>
      <c r="AQ190" s="816"/>
      <c r="AR190" s="609"/>
      <c r="AS190" s="609"/>
      <c r="AT190" s="816"/>
      <c r="AU190" s="816"/>
      <c r="AV190" s="817"/>
      <c r="AW190" s="609"/>
      <c r="AX190" s="609"/>
      <c r="AY190" s="816"/>
      <c r="AZ190" s="816"/>
      <c r="BA190" s="816"/>
      <c r="BB190" s="816"/>
      <c r="BC190" s="816"/>
      <c r="BD190" s="816"/>
      <c r="BE190" s="816"/>
      <c r="BF190" s="816"/>
      <c r="BG190" s="816"/>
      <c r="BH190" s="816"/>
      <c r="BI190" s="816"/>
      <c r="BJ190" s="816"/>
      <c r="BK190" s="816"/>
      <c r="BL190" s="816"/>
      <c r="BM190" s="816"/>
      <c r="BN190" s="816"/>
      <c r="BO190" s="816"/>
      <c r="BP190" s="816"/>
      <c r="BQ190" s="816"/>
      <c r="BR190" s="816"/>
      <c r="BS190" s="816"/>
      <c r="BT190" s="609"/>
      <c r="BU190" s="609"/>
      <c r="BV190" s="609"/>
      <c r="BW190" s="818"/>
      <c r="BX190" s="816"/>
      <c r="BY190" s="816"/>
      <c r="BZ190" s="816"/>
      <c r="CA190" s="816"/>
      <c r="CB190" s="816"/>
      <c r="CC190" s="816"/>
      <c r="CD190" s="816"/>
      <c r="CE190" s="816"/>
      <c r="CF190" s="820"/>
      <c r="CG190" s="820"/>
      <c r="CH190" s="820"/>
      <c r="CI190" s="820"/>
      <c r="CJ190" s="609"/>
      <c r="CK190" s="609"/>
      <c r="CL190" s="816"/>
      <c r="CM190" s="816"/>
      <c r="CN190" s="609"/>
      <c r="CO190" s="609"/>
      <c r="CP190" s="816"/>
      <c r="CQ190" s="816"/>
      <c r="CR190" s="609"/>
      <c r="CS190" s="609"/>
      <c r="CT190" s="816"/>
      <c r="CU190" s="816"/>
      <c r="CV190" s="609"/>
      <c r="CW190" s="609"/>
      <c r="CX190" s="816"/>
      <c r="CY190" s="816"/>
      <c r="CZ190" s="816"/>
      <c r="DA190" s="816"/>
      <c r="DB190" s="816"/>
      <c r="DC190" s="816"/>
      <c r="DD190" s="816"/>
      <c r="DE190" s="816"/>
      <c r="DF190" s="816"/>
      <c r="DG190" s="816"/>
      <c r="DH190" s="816"/>
      <c r="DI190" s="816"/>
      <c r="DJ190" s="816"/>
      <c r="DK190" s="816"/>
      <c r="DL190" s="609"/>
      <c r="DM190" s="609"/>
      <c r="DN190" s="816"/>
      <c r="DO190" s="816"/>
      <c r="DP190" s="816"/>
      <c r="DQ190" s="816"/>
      <c r="DR190" s="816"/>
      <c r="DS190" s="816"/>
      <c r="DT190" s="816"/>
      <c r="DU190" s="816"/>
      <c r="DV190" s="816"/>
      <c r="DW190" s="816"/>
      <c r="DX190" s="816"/>
      <c r="DY190" s="816"/>
      <c r="DZ190" s="816"/>
      <c r="EA190" s="816"/>
      <c r="EB190" s="609"/>
      <c r="EC190" s="609"/>
      <c r="ED190" s="816"/>
      <c r="EE190" s="816"/>
      <c r="EF190" s="816"/>
      <c r="EG190" s="816"/>
      <c r="EH190" s="816"/>
      <c r="EI190" s="816"/>
      <c r="EJ190" s="816"/>
      <c r="EK190" s="816"/>
      <c r="EL190" s="816"/>
      <c r="EM190" s="816"/>
      <c r="EN190" s="816"/>
      <c r="EO190" s="816"/>
      <c r="EP190" s="816"/>
      <c r="EQ190" s="816"/>
      <c r="ER190" s="816"/>
      <c r="ES190" s="816"/>
      <c r="ET190" s="816"/>
      <c r="EU190" s="816"/>
      <c r="EV190" s="816"/>
      <c r="EW190" s="816"/>
      <c r="EX190" s="816"/>
      <c r="EY190" s="816"/>
      <c r="EZ190" s="816"/>
      <c r="FA190" s="816"/>
      <c r="FB190" s="819"/>
      <c r="FC190" s="816"/>
      <c r="FD190" s="820"/>
      <c r="FE190" s="820"/>
      <c r="FF190" s="820"/>
      <c r="FG190" s="820"/>
      <c r="FH190" s="609"/>
      <c r="FI190" s="609"/>
      <c r="FJ190" s="816"/>
      <c r="FK190" s="816"/>
      <c r="FL190" s="816"/>
      <c r="FM190" s="816"/>
      <c r="FN190" s="816"/>
      <c r="FO190" s="816"/>
      <c r="FP190" s="816"/>
      <c r="FQ190" s="816"/>
      <c r="FR190" s="816"/>
      <c r="FS190" s="816"/>
      <c r="FT190" s="816"/>
      <c r="FU190" s="816"/>
      <c r="FV190" s="816"/>
      <c r="FW190" s="816"/>
      <c r="FX190" s="609"/>
      <c r="FY190" s="609"/>
      <c r="FZ190" s="816"/>
      <c r="GA190" s="816"/>
      <c r="GB190" s="609"/>
      <c r="GC190" s="609"/>
      <c r="GD190" s="609"/>
      <c r="GE190" s="816"/>
      <c r="GF190" s="816"/>
      <c r="GG190" s="609"/>
      <c r="GH190" s="609"/>
      <c r="GI190" s="816"/>
      <c r="GJ190" s="816"/>
      <c r="GK190" s="609"/>
      <c r="GL190" s="609"/>
      <c r="GM190" s="816"/>
      <c r="GN190" s="816"/>
      <c r="GO190" s="816"/>
      <c r="GP190" s="816"/>
      <c r="GQ190" s="816"/>
      <c r="GR190" s="816"/>
      <c r="GS190" s="609"/>
      <c r="GT190" s="609"/>
      <c r="GU190" s="816"/>
      <c r="GV190" s="816"/>
      <c r="GW190" s="609"/>
      <c r="GX190" s="609"/>
      <c r="GY190" s="816"/>
      <c r="GZ190" s="816"/>
      <c r="HA190" s="609"/>
      <c r="HB190" s="609"/>
      <c r="HC190" s="816"/>
      <c r="HD190" s="816"/>
      <c r="HE190" s="816"/>
      <c r="HF190" s="816"/>
      <c r="HG190" s="816"/>
      <c r="HH190" s="816"/>
      <c r="HI190" s="821"/>
      <c r="HJ190" s="609"/>
      <c r="HK190" s="816"/>
      <c r="HL190" s="816"/>
      <c r="HM190" s="822"/>
      <c r="HN190" s="609"/>
      <c r="HO190" s="816"/>
      <c r="HP190" s="816"/>
      <c r="HQ190" s="609"/>
      <c r="HR190" s="816"/>
      <c r="HS190" s="816"/>
      <c r="HT190" s="816"/>
      <c r="HU190" s="816"/>
      <c r="HV190" s="816"/>
      <c r="HW190" s="816"/>
      <c r="HX190" s="816"/>
      <c r="HY190" s="816"/>
      <c r="HZ190" s="816"/>
      <c r="IA190" s="816"/>
      <c r="IB190" s="816"/>
      <c r="IC190" s="823"/>
      <c r="ID190" s="824"/>
      <c r="IE190" s="825"/>
      <c r="IF190" s="825"/>
      <c r="IG190" s="816"/>
      <c r="II190" s="826"/>
      <c r="IJ190" s="826"/>
      <c r="IK190" s="826"/>
      <c r="IL190" s="826"/>
    </row>
    <row r="191" spans="2:246" s="780" customFormat="1">
      <c r="B191" s="609"/>
      <c r="C191" s="609"/>
      <c r="D191" s="609"/>
      <c r="E191" s="609"/>
      <c r="F191" s="609"/>
      <c r="G191" s="609"/>
      <c r="H191" s="609"/>
      <c r="I191" s="609"/>
      <c r="J191" s="609"/>
      <c r="K191" s="609"/>
      <c r="L191" s="609"/>
      <c r="M191" s="609"/>
      <c r="N191" s="609"/>
      <c r="O191" s="609"/>
      <c r="P191" s="609"/>
      <c r="Q191" s="609"/>
      <c r="R191" s="609"/>
      <c r="S191" s="609"/>
      <c r="T191" s="609"/>
      <c r="U191" s="609"/>
      <c r="V191" s="609"/>
      <c r="W191" s="609"/>
      <c r="X191" s="609"/>
      <c r="Y191" s="609"/>
      <c r="Z191" s="816"/>
      <c r="AA191" s="816"/>
      <c r="AB191" s="816"/>
      <c r="AC191" s="816"/>
      <c r="AD191" s="816"/>
      <c r="AE191" s="816"/>
      <c r="AF191" s="609"/>
      <c r="AG191" s="609"/>
      <c r="AH191" s="816"/>
      <c r="AI191" s="816"/>
      <c r="AJ191" s="609"/>
      <c r="AK191" s="609"/>
      <c r="AL191" s="816"/>
      <c r="AM191" s="816"/>
      <c r="AN191" s="816"/>
      <c r="AO191" s="816"/>
      <c r="AP191" s="816"/>
      <c r="AQ191" s="816"/>
      <c r="AR191" s="609"/>
      <c r="AS191" s="609"/>
      <c r="AT191" s="816"/>
      <c r="AU191" s="816"/>
      <c r="AV191" s="817"/>
      <c r="AW191" s="609"/>
      <c r="AX191" s="609"/>
      <c r="AY191" s="816"/>
      <c r="AZ191" s="816"/>
      <c r="BA191" s="816"/>
      <c r="BB191" s="816"/>
      <c r="BC191" s="816"/>
      <c r="BD191" s="816"/>
      <c r="BE191" s="816"/>
      <c r="BF191" s="816"/>
      <c r="BG191" s="816"/>
      <c r="BH191" s="816"/>
      <c r="BI191" s="816"/>
      <c r="BJ191" s="816"/>
      <c r="BK191" s="816"/>
      <c r="BL191" s="816"/>
      <c r="BM191" s="816"/>
      <c r="BN191" s="816"/>
      <c r="BO191" s="816"/>
      <c r="BP191" s="816"/>
      <c r="BQ191" s="816"/>
      <c r="BR191" s="816"/>
      <c r="BS191" s="816"/>
      <c r="BT191" s="609"/>
      <c r="BU191" s="609"/>
      <c r="BV191" s="609"/>
      <c r="BW191" s="818"/>
      <c r="BX191" s="816"/>
      <c r="BY191" s="816"/>
      <c r="BZ191" s="816"/>
      <c r="CA191" s="816"/>
      <c r="CB191" s="816"/>
      <c r="CC191" s="816"/>
      <c r="CD191" s="816"/>
      <c r="CE191" s="816"/>
      <c r="CF191" s="820"/>
      <c r="CG191" s="820"/>
      <c r="CH191" s="820"/>
      <c r="CI191" s="820"/>
      <c r="CJ191" s="609"/>
      <c r="CK191" s="609"/>
      <c r="CL191" s="816"/>
      <c r="CM191" s="816"/>
      <c r="CN191" s="609"/>
      <c r="CO191" s="609"/>
      <c r="CP191" s="816"/>
      <c r="CQ191" s="816"/>
      <c r="CR191" s="609"/>
      <c r="CS191" s="609"/>
      <c r="CT191" s="816"/>
      <c r="CU191" s="816"/>
      <c r="CV191" s="609"/>
      <c r="CW191" s="609"/>
      <c r="CX191" s="816"/>
      <c r="CY191" s="816"/>
      <c r="CZ191" s="816"/>
      <c r="DA191" s="816"/>
      <c r="DB191" s="816"/>
      <c r="DC191" s="816"/>
      <c r="DD191" s="816"/>
      <c r="DE191" s="816"/>
      <c r="DF191" s="816"/>
      <c r="DG191" s="816"/>
      <c r="DH191" s="816"/>
      <c r="DI191" s="816"/>
      <c r="DJ191" s="816"/>
      <c r="DK191" s="816"/>
      <c r="DL191" s="609"/>
      <c r="DM191" s="609"/>
      <c r="DN191" s="816"/>
      <c r="DO191" s="816"/>
      <c r="DP191" s="816"/>
      <c r="DQ191" s="816"/>
      <c r="DR191" s="816"/>
      <c r="DS191" s="816"/>
      <c r="DT191" s="816"/>
      <c r="DU191" s="816"/>
      <c r="DV191" s="816"/>
      <c r="DW191" s="816"/>
      <c r="DX191" s="816"/>
      <c r="DY191" s="816"/>
      <c r="DZ191" s="816"/>
      <c r="EA191" s="816"/>
      <c r="EB191" s="609"/>
      <c r="EC191" s="609"/>
      <c r="ED191" s="816"/>
      <c r="EE191" s="816"/>
      <c r="EF191" s="816"/>
      <c r="EG191" s="816"/>
      <c r="EH191" s="816"/>
      <c r="EI191" s="816"/>
      <c r="EJ191" s="816"/>
      <c r="EK191" s="816"/>
      <c r="EL191" s="816"/>
      <c r="EM191" s="816"/>
      <c r="EN191" s="816"/>
      <c r="EO191" s="816"/>
      <c r="EP191" s="816"/>
      <c r="EQ191" s="816"/>
      <c r="ER191" s="816"/>
      <c r="ES191" s="816"/>
      <c r="ET191" s="816"/>
      <c r="EU191" s="816"/>
      <c r="EV191" s="816"/>
      <c r="EW191" s="816"/>
      <c r="EX191" s="816"/>
      <c r="EY191" s="816"/>
      <c r="EZ191" s="816"/>
      <c r="FA191" s="816"/>
      <c r="FB191" s="819"/>
      <c r="FC191" s="816"/>
      <c r="FD191" s="820"/>
      <c r="FE191" s="820"/>
      <c r="FF191" s="820"/>
      <c r="FG191" s="820"/>
      <c r="FH191" s="609"/>
      <c r="FI191" s="609"/>
      <c r="FJ191" s="816"/>
      <c r="FK191" s="816"/>
      <c r="FL191" s="816"/>
      <c r="FM191" s="816"/>
      <c r="FN191" s="816"/>
      <c r="FO191" s="816"/>
      <c r="FP191" s="816"/>
      <c r="FQ191" s="816"/>
      <c r="FR191" s="816"/>
      <c r="FS191" s="816"/>
      <c r="FT191" s="816"/>
      <c r="FU191" s="816"/>
      <c r="FV191" s="816"/>
      <c r="FW191" s="816"/>
      <c r="FX191" s="609"/>
      <c r="FY191" s="609"/>
      <c r="FZ191" s="816"/>
      <c r="GA191" s="816"/>
      <c r="GB191" s="609"/>
      <c r="GC191" s="609"/>
      <c r="GD191" s="609"/>
      <c r="GE191" s="816"/>
      <c r="GF191" s="816"/>
      <c r="GG191" s="609"/>
      <c r="GH191" s="609"/>
      <c r="GI191" s="816"/>
      <c r="GJ191" s="816"/>
      <c r="GK191" s="609"/>
      <c r="GL191" s="609"/>
      <c r="GM191" s="816"/>
      <c r="GN191" s="816"/>
      <c r="GO191" s="816"/>
      <c r="GP191" s="816"/>
      <c r="GQ191" s="816"/>
      <c r="GR191" s="816"/>
      <c r="GS191" s="609"/>
      <c r="GT191" s="609"/>
      <c r="GU191" s="816"/>
      <c r="GV191" s="816"/>
      <c r="GW191" s="609"/>
      <c r="GX191" s="609"/>
      <c r="GY191" s="816"/>
      <c r="GZ191" s="816"/>
      <c r="HA191" s="609"/>
      <c r="HB191" s="609"/>
      <c r="HC191" s="816"/>
      <c r="HD191" s="816"/>
      <c r="HE191" s="816"/>
      <c r="HF191" s="816"/>
      <c r="HG191" s="816"/>
      <c r="HH191" s="816"/>
      <c r="HI191" s="821"/>
      <c r="HJ191" s="609"/>
      <c r="HK191" s="816"/>
      <c r="HL191" s="816"/>
      <c r="HM191" s="822"/>
      <c r="HN191" s="609"/>
      <c r="HO191" s="816"/>
      <c r="HP191" s="816"/>
      <c r="HQ191" s="609"/>
      <c r="HR191" s="816"/>
      <c r="HS191" s="816"/>
      <c r="HT191" s="816"/>
      <c r="HU191" s="816"/>
      <c r="HV191" s="816"/>
      <c r="HW191" s="816"/>
      <c r="HX191" s="816"/>
      <c r="HY191" s="816"/>
      <c r="HZ191" s="816"/>
      <c r="IA191" s="816"/>
      <c r="IB191" s="816"/>
      <c r="IC191" s="823"/>
      <c r="ID191" s="824"/>
      <c r="IE191" s="825"/>
      <c r="IF191" s="825"/>
      <c r="IG191" s="816"/>
      <c r="II191" s="826"/>
      <c r="IJ191" s="826"/>
      <c r="IK191" s="826"/>
      <c r="IL191" s="826"/>
    </row>
    <row r="192" spans="2:246" s="780" customFormat="1">
      <c r="B192" s="609"/>
      <c r="C192" s="609"/>
      <c r="D192" s="609"/>
      <c r="E192" s="609"/>
      <c r="F192" s="609"/>
      <c r="G192" s="609"/>
      <c r="H192" s="609"/>
      <c r="I192" s="609"/>
      <c r="J192" s="609"/>
      <c r="K192" s="609"/>
      <c r="L192" s="609"/>
      <c r="M192" s="609"/>
      <c r="N192" s="609"/>
      <c r="O192" s="609"/>
      <c r="P192" s="609"/>
      <c r="Q192" s="609"/>
      <c r="R192" s="609"/>
      <c r="S192" s="609"/>
      <c r="T192" s="609"/>
      <c r="U192" s="609"/>
      <c r="V192" s="609"/>
      <c r="W192" s="609"/>
      <c r="X192" s="609"/>
      <c r="Y192" s="609"/>
      <c r="Z192" s="816"/>
      <c r="AA192" s="816"/>
      <c r="AB192" s="816"/>
      <c r="AC192" s="816"/>
      <c r="AD192" s="816"/>
      <c r="AE192" s="816"/>
      <c r="AF192" s="609"/>
      <c r="AG192" s="609"/>
      <c r="AH192" s="816"/>
      <c r="AI192" s="816"/>
      <c r="AJ192" s="609"/>
      <c r="AK192" s="609"/>
      <c r="AL192" s="816"/>
      <c r="AM192" s="816"/>
      <c r="AN192" s="816"/>
      <c r="AO192" s="816"/>
      <c r="AP192" s="816"/>
      <c r="AQ192" s="816"/>
      <c r="AR192" s="609"/>
      <c r="AS192" s="609"/>
      <c r="AT192" s="816"/>
      <c r="AU192" s="816"/>
      <c r="AV192" s="817"/>
      <c r="AW192" s="609"/>
      <c r="AX192" s="609"/>
      <c r="AY192" s="816"/>
      <c r="AZ192" s="816"/>
      <c r="BA192" s="816"/>
      <c r="BB192" s="816"/>
      <c r="BC192" s="816"/>
      <c r="BD192" s="816"/>
      <c r="BE192" s="816"/>
      <c r="BF192" s="816"/>
      <c r="BG192" s="816"/>
      <c r="BH192" s="816"/>
      <c r="BI192" s="816"/>
      <c r="BJ192" s="816"/>
      <c r="BK192" s="816"/>
      <c r="BL192" s="816"/>
      <c r="BM192" s="816"/>
      <c r="BN192" s="816"/>
      <c r="BO192" s="816"/>
      <c r="BP192" s="816"/>
      <c r="BQ192" s="816"/>
      <c r="BR192" s="816"/>
      <c r="BS192" s="816"/>
      <c r="BT192" s="609"/>
      <c r="BU192" s="609"/>
      <c r="BV192" s="609"/>
      <c r="BW192" s="818"/>
      <c r="BX192" s="816"/>
      <c r="BY192" s="816"/>
      <c r="BZ192" s="816"/>
      <c r="CA192" s="816"/>
      <c r="CB192" s="816"/>
      <c r="CC192" s="816"/>
      <c r="CD192" s="816"/>
      <c r="CE192" s="816"/>
      <c r="CF192" s="820"/>
      <c r="CG192" s="820"/>
      <c r="CH192" s="820"/>
      <c r="CI192" s="820"/>
      <c r="CJ192" s="609"/>
      <c r="CK192" s="609"/>
      <c r="CL192" s="816"/>
      <c r="CM192" s="816"/>
      <c r="CN192" s="609"/>
      <c r="CO192" s="609"/>
      <c r="CP192" s="816"/>
      <c r="CQ192" s="816"/>
      <c r="CR192" s="609"/>
      <c r="CS192" s="609"/>
      <c r="CT192" s="816"/>
      <c r="CU192" s="816"/>
      <c r="CV192" s="609"/>
      <c r="CW192" s="609"/>
      <c r="CX192" s="816"/>
      <c r="CY192" s="816"/>
      <c r="CZ192" s="816"/>
      <c r="DA192" s="816"/>
      <c r="DB192" s="816"/>
      <c r="DC192" s="816"/>
      <c r="DD192" s="816"/>
      <c r="DE192" s="816"/>
      <c r="DF192" s="816"/>
      <c r="DG192" s="816"/>
      <c r="DH192" s="816"/>
      <c r="DI192" s="816"/>
      <c r="DJ192" s="816"/>
      <c r="DK192" s="816"/>
      <c r="DL192" s="609"/>
      <c r="DM192" s="609"/>
      <c r="DN192" s="816"/>
      <c r="DO192" s="816"/>
      <c r="DP192" s="816"/>
      <c r="DQ192" s="816"/>
      <c r="DR192" s="816"/>
      <c r="DS192" s="816"/>
      <c r="DT192" s="816"/>
      <c r="DU192" s="816"/>
      <c r="DV192" s="816"/>
      <c r="DW192" s="816"/>
      <c r="DX192" s="816"/>
      <c r="DY192" s="816"/>
      <c r="DZ192" s="816"/>
      <c r="EA192" s="816"/>
      <c r="EB192" s="609"/>
      <c r="EC192" s="609"/>
      <c r="ED192" s="816"/>
      <c r="EE192" s="816"/>
      <c r="EF192" s="816"/>
      <c r="EG192" s="816"/>
      <c r="EH192" s="816"/>
      <c r="EI192" s="816"/>
      <c r="EJ192" s="816"/>
      <c r="EK192" s="816"/>
      <c r="EL192" s="816"/>
      <c r="EM192" s="816"/>
      <c r="EN192" s="816"/>
      <c r="EO192" s="816"/>
      <c r="EP192" s="816"/>
      <c r="EQ192" s="816"/>
      <c r="ER192" s="816"/>
      <c r="ES192" s="816"/>
      <c r="ET192" s="816"/>
      <c r="EU192" s="816"/>
      <c r="EV192" s="816"/>
      <c r="EW192" s="816"/>
      <c r="EX192" s="816"/>
      <c r="EY192" s="816"/>
      <c r="EZ192" s="816"/>
      <c r="FA192" s="816"/>
      <c r="FB192" s="819"/>
      <c r="FC192" s="816"/>
      <c r="FD192" s="820"/>
      <c r="FE192" s="820"/>
      <c r="FF192" s="820"/>
      <c r="FG192" s="820"/>
      <c r="FH192" s="609"/>
      <c r="FI192" s="609"/>
      <c r="FJ192" s="816"/>
      <c r="FK192" s="816"/>
      <c r="FL192" s="816"/>
      <c r="FM192" s="816"/>
      <c r="FN192" s="816"/>
      <c r="FO192" s="816"/>
      <c r="FP192" s="816"/>
      <c r="FQ192" s="816"/>
      <c r="FR192" s="816"/>
      <c r="FS192" s="816"/>
      <c r="FT192" s="816"/>
      <c r="FU192" s="816"/>
      <c r="FV192" s="816"/>
      <c r="FW192" s="816"/>
      <c r="FX192" s="609"/>
      <c r="FY192" s="609"/>
      <c r="FZ192" s="816"/>
      <c r="GA192" s="816"/>
      <c r="GB192" s="609"/>
      <c r="GC192" s="609"/>
      <c r="GD192" s="609"/>
      <c r="GE192" s="816"/>
      <c r="GF192" s="816"/>
      <c r="GG192" s="609"/>
      <c r="GH192" s="609"/>
      <c r="GI192" s="816"/>
      <c r="GJ192" s="816"/>
      <c r="GK192" s="609"/>
      <c r="GL192" s="609"/>
      <c r="GM192" s="816"/>
      <c r="GN192" s="816"/>
      <c r="GO192" s="816"/>
      <c r="GP192" s="816"/>
      <c r="GQ192" s="816"/>
      <c r="GR192" s="816"/>
      <c r="GS192" s="609"/>
      <c r="GT192" s="609"/>
      <c r="GU192" s="816"/>
      <c r="GV192" s="816"/>
      <c r="GW192" s="609"/>
      <c r="GX192" s="609"/>
      <c r="GY192" s="816"/>
      <c r="GZ192" s="816"/>
      <c r="HA192" s="609"/>
      <c r="HB192" s="609"/>
      <c r="HC192" s="816"/>
      <c r="HD192" s="816"/>
      <c r="HE192" s="816"/>
      <c r="HF192" s="816"/>
      <c r="HG192" s="816"/>
      <c r="HH192" s="816"/>
      <c r="HI192" s="821"/>
      <c r="HJ192" s="609"/>
      <c r="HK192" s="816"/>
      <c r="HL192" s="816"/>
      <c r="HM192" s="822"/>
      <c r="HN192" s="609"/>
      <c r="HO192" s="816"/>
      <c r="HP192" s="816"/>
      <c r="HQ192" s="609"/>
      <c r="HR192" s="816"/>
      <c r="HS192" s="816"/>
      <c r="HT192" s="816"/>
      <c r="HU192" s="816"/>
      <c r="HV192" s="816"/>
      <c r="HW192" s="816"/>
      <c r="HX192" s="816"/>
      <c r="HY192" s="816"/>
      <c r="HZ192" s="816"/>
      <c r="IA192" s="816"/>
      <c r="IB192" s="816"/>
      <c r="IC192" s="823"/>
      <c r="ID192" s="824"/>
      <c r="IE192" s="825"/>
      <c r="IF192" s="825"/>
      <c r="IG192" s="816"/>
      <c r="II192" s="826"/>
      <c r="IJ192" s="826"/>
      <c r="IK192" s="826"/>
      <c r="IL192" s="826"/>
    </row>
    <row r="193" spans="2:246" s="780" customFormat="1">
      <c r="B193" s="609"/>
      <c r="C193" s="609"/>
      <c r="D193" s="609"/>
      <c r="E193" s="609"/>
      <c r="F193" s="609"/>
      <c r="G193" s="609"/>
      <c r="H193" s="609"/>
      <c r="I193" s="609"/>
      <c r="J193" s="609"/>
      <c r="K193" s="609"/>
      <c r="L193" s="609"/>
      <c r="M193" s="609"/>
      <c r="N193" s="609"/>
      <c r="O193" s="609"/>
      <c r="P193" s="609"/>
      <c r="Q193" s="609"/>
      <c r="R193" s="609"/>
      <c r="S193" s="609"/>
      <c r="T193" s="609"/>
      <c r="U193" s="609"/>
      <c r="V193" s="609"/>
      <c r="W193" s="609"/>
      <c r="X193" s="609"/>
      <c r="Y193" s="609"/>
      <c r="Z193" s="816"/>
      <c r="AA193" s="816"/>
      <c r="AB193" s="816"/>
      <c r="AC193" s="816"/>
      <c r="AD193" s="816"/>
      <c r="AE193" s="816"/>
      <c r="AF193" s="609"/>
      <c r="AG193" s="609"/>
      <c r="AH193" s="816"/>
      <c r="AI193" s="816"/>
      <c r="AJ193" s="609"/>
      <c r="AK193" s="609"/>
      <c r="AL193" s="816"/>
      <c r="AM193" s="816"/>
      <c r="AN193" s="816"/>
      <c r="AO193" s="816"/>
      <c r="AP193" s="816"/>
      <c r="AQ193" s="816"/>
      <c r="AR193" s="609"/>
      <c r="AS193" s="609"/>
      <c r="AT193" s="816"/>
      <c r="AU193" s="816"/>
      <c r="AV193" s="817"/>
      <c r="AW193" s="609"/>
      <c r="AX193" s="609"/>
      <c r="AY193" s="816"/>
      <c r="AZ193" s="816"/>
      <c r="BA193" s="816"/>
      <c r="BB193" s="816"/>
      <c r="BC193" s="816"/>
      <c r="BD193" s="816"/>
      <c r="BE193" s="816"/>
      <c r="BF193" s="816"/>
      <c r="BG193" s="816"/>
      <c r="BH193" s="816"/>
      <c r="BI193" s="816"/>
      <c r="BJ193" s="816"/>
      <c r="BK193" s="816"/>
      <c r="BL193" s="816"/>
      <c r="BM193" s="816"/>
      <c r="BN193" s="816"/>
      <c r="BO193" s="816"/>
      <c r="BP193" s="816"/>
      <c r="BQ193" s="816"/>
      <c r="BR193" s="816"/>
      <c r="BS193" s="816"/>
      <c r="BT193" s="609"/>
      <c r="BU193" s="609"/>
      <c r="BV193" s="609"/>
      <c r="BW193" s="818"/>
      <c r="BX193" s="816"/>
      <c r="BY193" s="816"/>
      <c r="BZ193" s="816"/>
      <c r="CA193" s="816"/>
      <c r="CB193" s="816"/>
      <c r="CC193" s="816"/>
      <c r="CD193" s="816"/>
      <c r="CE193" s="816"/>
      <c r="CF193" s="820"/>
      <c r="CG193" s="820"/>
      <c r="CH193" s="820"/>
      <c r="CI193" s="820"/>
      <c r="CJ193" s="609"/>
      <c r="CK193" s="609"/>
      <c r="CL193" s="816"/>
      <c r="CM193" s="816"/>
      <c r="CN193" s="609"/>
      <c r="CO193" s="609"/>
      <c r="CP193" s="816"/>
      <c r="CQ193" s="816"/>
      <c r="CR193" s="609"/>
      <c r="CS193" s="609"/>
      <c r="CT193" s="816"/>
      <c r="CU193" s="816"/>
      <c r="CV193" s="609"/>
      <c r="CW193" s="609"/>
      <c r="CX193" s="816"/>
      <c r="CY193" s="816"/>
      <c r="CZ193" s="816"/>
      <c r="DA193" s="816"/>
      <c r="DB193" s="816"/>
      <c r="DC193" s="816"/>
      <c r="DD193" s="816"/>
      <c r="DE193" s="816"/>
      <c r="DF193" s="816"/>
      <c r="DG193" s="816"/>
      <c r="DH193" s="816"/>
      <c r="DI193" s="816"/>
      <c r="DJ193" s="816"/>
      <c r="DK193" s="816"/>
      <c r="DL193" s="609"/>
      <c r="DM193" s="609"/>
      <c r="DN193" s="816"/>
      <c r="DO193" s="816"/>
      <c r="DP193" s="816"/>
      <c r="DQ193" s="816"/>
      <c r="DR193" s="816"/>
      <c r="DS193" s="816"/>
      <c r="DT193" s="816"/>
      <c r="DU193" s="816"/>
      <c r="DV193" s="816"/>
      <c r="DW193" s="816"/>
      <c r="DX193" s="816"/>
      <c r="DY193" s="816"/>
      <c r="DZ193" s="816"/>
      <c r="EA193" s="816"/>
      <c r="EB193" s="609"/>
      <c r="EC193" s="609"/>
      <c r="ED193" s="816"/>
      <c r="EE193" s="816"/>
      <c r="EF193" s="816"/>
      <c r="EG193" s="816"/>
      <c r="EH193" s="816"/>
      <c r="EI193" s="816"/>
      <c r="EJ193" s="816"/>
      <c r="EK193" s="816"/>
      <c r="EL193" s="816"/>
      <c r="EM193" s="816"/>
      <c r="EN193" s="816"/>
      <c r="EO193" s="816"/>
      <c r="EP193" s="816"/>
      <c r="EQ193" s="816"/>
      <c r="ER193" s="816"/>
      <c r="ES193" s="816"/>
      <c r="ET193" s="816"/>
      <c r="EU193" s="816"/>
      <c r="EV193" s="816"/>
      <c r="EW193" s="816"/>
      <c r="EX193" s="816"/>
      <c r="EY193" s="816"/>
      <c r="EZ193" s="816"/>
      <c r="FA193" s="816"/>
      <c r="FB193" s="819"/>
      <c r="FC193" s="816"/>
      <c r="FD193" s="820"/>
      <c r="FE193" s="820"/>
      <c r="FF193" s="820"/>
      <c r="FG193" s="820"/>
      <c r="FH193" s="609"/>
      <c r="FI193" s="609"/>
      <c r="FJ193" s="816"/>
      <c r="FK193" s="816"/>
      <c r="FL193" s="816"/>
      <c r="FM193" s="816"/>
      <c r="FN193" s="816"/>
      <c r="FO193" s="816"/>
      <c r="FP193" s="816"/>
      <c r="FQ193" s="816"/>
      <c r="FR193" s="816"/>
      <c r="FS193" s="816"/>
      <c r="FT193" s="816"/>
      <c r="FU193" s="816"/>
      <c r="FV193" s="816"/>
      <c r="FW193" s="816"/>
      <c r="FX193" s="609"/>
      <c r="FY193" s="609"/>
      <c r="FZ193" s="816"/>
      <c r="GA193" s="816"/>
      <c r="GB193" s="609"/>
      <c r="GC193" s="609"/>
      <c r="GD193" s="609"/>
      <c r="GE193" s="816"/>
      <c r="GF193" s="816"/>
      <c r="GG193" s="609"/>
      <c r="GH193" s="609"/>
      <c r="GI193" s="816"/>
      <c r="GJ193" s="816"/>
      <c r="GK193" s="609"/>
      <c r="GL193" s="609"/>
      <c r="GM193" s="816"/>
      <c r="GN193" s="816"/>
      <c r="GO193" s="816"/>
      <c r="GP193" s="816"/>
      <c r="GQ193" s="816"/>
      <c r="GR193" s="816"/>
      <c r="GS193" s="609"/>
      <c r="GT193" s="609"/>
      <c r="GU193" s="816"/>
      <c r="GV193" s="816"/>
      <c r="GW193" s="609"/>
      <c r="GX193" s="609"/>
      <c r="GY193" s="816"/>
      <c r="GZ193" s="816"/>
      <c r="HA193" s="609"/>
      <c r="HB193" s="609"/>
      <c r="HC193" s="816"/>
      <c r="HD193" s="816"/>
      <c r="HE193" s="816"/>
      <c r="HF193" s="816"/>
      <c r="HG193" s="816"/>
      <c r="HH193" s="816"/>
      <c r="HI193" s="821"/>
      <c r="HJ193" s="609"/>
      <c r="HK193" s="816"/>
      <c r="HL193" s="816"/>
      <c r="HM193" s="822"/>
      <c r="HN193" s="609"/>
      <c r="HO193" s="816"/>
      <c r="HP193" s="816"/>
      <c r="HQ193" s="609"/>
      <c r="HR193" s="816"/>
      <c r="HS193" s="816"/>
      <c r="HT193" s="816"/>
      <c r="HU193" s="816"/>
      <c r="HV193" s="816"/>
      <c r="HW193" s="816"/>
      <c r="HX193" s="816"/>
      <c r="HY193" s="816"/>
      <c r="HZ193" s="816"/>
      <c r="IA193" s="816"/>
      <c r="IB193" s="816"/>
      <c r="IC193" s="823"/>
      <c r="ID193" s="824"/>
      <c r="IE193" s="825"/>
      <c r="IF193" s="825"/>
      <c r="IG193" s="816"/>
      <c r="II193" s="834"/>
      <c r="IJ193" s="834"/>
      <c r="IK193" s="826"/>
      <c r="IL193" s="834"/>
    </row>
    <row r="194" spans="2:246" s="780" customFormat="1">
      <c r="B194" s="609"/>
      <c r="C194" s="609"/>
      <c r="D194" s="609"/>
      <c r="E194" s="609"/>
      <c r="F194" s="609"/>
      <c r="G194" s="609"/>
      <c r="H194" s="609"/>
      <c r="I194" s="609"/>
      <c r="J194" s="609"/>
      <c r="K194" s="609"/>
      <c r="L194" s="609"/>
      <c r="M194" s="609"/>
      <c r="N194" s="609"/>
      <c r="O194" s="609"/>
      <c r="P194" s="609"/>
      <c r="Q194" s="609"/>
      <c r="R194" s="609"/>
      <c r="S194" s="609"/>
      <c r="T194" s="609"/>
      <c r="U194" s="609"/>
      <c r="V194" s="609"/>
      <c r="W194" s="609"/>
      <c r="X194" s="609"/>
      <c r="Y194" s="609"/>
      <c r="Z194" s="816"/>
      <c r="AA194" s="816"/>
      <c r="AB194" s="816"/>
      <c r="AC194" s="816"/>
      <c r="AD194" s="816"/>
      <c r="AE194" s="816"/>
      <c r="AF194" s="609"/>
      <c r="AG194" s="609"/>
      <c r="AH194" s="816"/>
      <c r="AI194" s="816"/>
      <c r="AJ194" s="609"/>
      <c r="AK194" s="609"/>
      <c r="AL194" s="816"/>
      <c r="AM194" s="816"/>
      <c r="AN194" s="816"/>
      <c r="AO194" s="816"/>
      <c r="AP194" s="816"/>
      <c r="AQ194" s="816"/>
      <c r="AR194" s="609"/>
      <c r="AS194" s="609"/>
      <c r="AT194" s="816"/>
      <c r="AU194" s="816"/>
      <c r="AV194" s="817"/>
      <c r="AW194" s="609"/>
      <c r="AX194" s="609"/>
      <c r="AY194" s="816"/>
      <c r="AZ194" s="816"/>
      <c r="BA194" s="816"/>
      <c r="BB194" s="816"/>
      <c r="BC194" s="816"/>
      <c r="BD194" s="816"/>
      <c r="BE194" s="816"/>
      <c r="BF194" s="816"/>
      <c r="BG194" s="816"/>
      <c r="BH194" s="816"/>
      <c r="BI194" s="816"/>
      <c r="BJ194" s="816"/>
      <c r="BK194" s="816"/>
      <c r="BL194" s="816"/>
      <c r="BM194" s="816"/>
      <c r="BN194" s="816"/>
      <c r="BO194" s="816"/>
      <c r="BP194" s="816"/>
      <c r="BQ194" s="816"/>
      <c r="BR194" s="816"/>
      <c r="BS194" s="816"/>
      <c r="BT194" s="609"/>
      <c r="BU194" s="609"/>
      <c r="BV194" s="609"/>
      <c r="BW194" s="818"/>
      <c r="BX194" s="816"/>
      <c r="BY194" s="816"/>
      <c r="BZ194" s="816"/>
      <c r="CA194" s="816"/>
      <c r="CB194" s="816"/>
      <c r="CC194" s="816"/>
      <c r="CD194" s="816"/>
      <c r="CE194" s="816"/>
      <c r="CF194" s="820"/>
      <c r="CG194" s="820"/>
      <c r="CH194" s="820"/>
      <c r="CI194" s="820"/>
      <c r="CJ194" s="609"/>
      <c r="CK194" s="609"/>
      <c r="CL194" s="816"/>
      <c r="CM194" s="816"/>
      <c r="CN194" s="609"/>
      <c r="CO194" s="609"/>
      <c r="CP194" s="816"/>
      <c r="CQ194" s="816"/>
      <c r="CR194" s="609"/>
      <c r="CS194" s="609"/>
      <c r="CT194" s="816"/>
      <c r="CU194" s="816"/>
      <c r="CV194" s="609"/>
      <c r="CW194" s="609"/>
      <c r="CX194" s="816"/>
      <c r="CY194" s="816"/>
      <c r="CZ194" s="816"/>
      <c r="DA194" s="816"/>
      <c r="DB194" s="816"/>
      <c r="DC194" s="816"/>
      <c r="DD194" s="816"/>
      <c r="DE194" s="816"/>
      <c r="DF194" s="816"/>
      <c r="DG194" s="816"/>
      <c r="DH194" s="816"/>
      <c r="DI194" s="816"/>
      <c r="DJ194" s="816"/>
      <c r="DK194" s="816"/>
      <c r="DL194" s="609"/>
      <c r="DM194" s="609"/>
      <c r="DN194" s="816"/>
      <c r="DO194" s="816"/>
      <c r="DP194" s="816"/>
      <c r="DQ194" s="816"/>
      <c r="DR194" s="816"/>
      <c r="DS194" s="816"/>
      <c r="DT194" s="816"/>
      <c r="DU194" s="816"/>
      <c r="DV194" s="816"/>
      <c r="DW194" s="816"/>
      <c r="DX194" s="816"/>
      <c r="DY194" s="816"/>
      <c r="DZ194" s="816"/>
      <c r="EA194" s="816"/>
      <c r="EB194" s="609"/>
      <c r="EC194" s="609"/>
      <c r="ED194" s="816"/>
      <c r="EE194" s="816"/>
      <c r="EF194" s="816"/>
      <c r="EG194" s="816"/>
      <c r="EH194" s="816"/>
      <c r="EI194" s="816"/>
      <c r="EJ194" s="816"/>
      <c r="EK194" s="816"/>
      <c r="EL194" s="816"/>
      <c r="EM194" s="816"/>
      <c r="EN194" s="816"/>
      <c r="EO194" s="816"/>
      <c r="EP194" s="816"/>
      <c r="EQ194" s="816"/>
      <c r="ER194" s="816"/>
      <c r="ES194" s="816"/>
      <c r="ET194" s="816"/>
      <c r="EU194" s="816"/>
      <c r="EV194" s="816"/>
      <c r="EW194" s="816"/>
      <c r="EX194" s="816"/>
      <c r="EY194" s="816"/>
      <c r="EZ194" s="816"/>
      <c r="FA194" s="816"/>
      <c r="FB194" s="819"/>
      <c r="FC194" s="816"/>
      <c r="FD194" s="820"/>
      <c r="FE194" s="820"/>
      <c r="FF194" s="820"/>
      <c r="FG194" s="820"/>
      <c r="FH194" s="609"/>
      <c r="FI194" s="609"/>
      <c r="FJ194" s="816"/>
      <c r="FK194" s="816"/>
      <c r="FL194" s="816"/>
      <c r="FM194" s="816"/>
      <c r="FN194" s="816"/>
      <c r="FO194" s="816"/>
      <c r="FP194" s="816"/>
      <c r="FQ194" s="816"/>
      <c r="FR194" s="816"/>
      <c r="FS194" s="816"/>
      <c r="FT194" s="816"/>
      <c r="FU194" s="816"/>
      <c r="FV194" s="816"/>
      <c r="FW194" s="816"/>
      <c r="FX194" s="609"/>
      <c r="FY194" s="609"/>
      <c r="FZ194" s="816"/>
      <c r="GA194" s="816"/>
      <c r="GB194" s="609"/>
      <c r="GC194" s="609"/>
      <c r="GD194" s="609"/>
      <c r="GE194" s="816"/>
      <c r="GF194" s="816"/>
      <c r="GG194" s="609"/>
      <c r="GH194" s="609"/>
      <c r="GI194" s="816"/>
      <c r="GJ194" s="816"/>
      <c r="GK194" s="609"/>
      <c r="GL194" s="609"/>
      <c r="GM194" s="816"/>
      <c r="GN194" s="816"/>
      <c r="GO194" s="816"/>
      <c r="GP194" s="816"/>
      <c r="GQ194" s="816"/>
      <c r="GR194" s="816"/>
      <c r="GS194" s="609"/>
      <c r="GT194" s="609"/>
      <c r="GU194" s="816"/>
      <c r="GV194" s="816"/>
      <c r="GW194" s="609"/>
      <c r="GX194" s="609"/>
      <c r="GY194" s="816"/>
      <c r="GZ194" s="816"/>
      <c r="HA194" s="609"/>
      <c r="HB194" s="609"/>
      <c r="HC194" s="816"/>
      <c r="HD194" s="816"/>
      <c r="HE194" s="816"/>
      <c r="HF194" s="816"/>
      <c r="HG194" s="816"/>
      <c r="HH194" s="816"/>
      <c r="HI194" s="821"/>
      <c r="HJ194" s="609"/>
      <c r="HK194" s="816"/>
      <c r="HL194" s="816"/>
      <c r="HM194" s="822"/>
      <c r="HN194" s="609"/>
      <c r="HO194" s="816"/>
      <c r="HP194" s="816"/>
      <c r="HQ194" s="609"/>
      <c r="HR194" s="816"/>
      <c r="HS194" s="816"/>
      <c r="HT194" s="816"/>
      <c r="HU194" s="816"/>
      <c r="HV194" s="816"/>
      <c r="HW194" s="816"/>
      <c r="HX194" s="816"/>
      <c r="HY194" s="816"/>
      <c r="HZ194" s="816"/>
      <c r="IA194" s="816"/>
      <c r="IB194" s="816"/>
      <c r="IC194" s="823"/>
      <c r="ID194" s="824"/>
      <c r="IE194" s="825"/>
      <c r="IF194" s="825"/>
      <c r="IG194" s="816"/>
      <c r="II194" s="834"/>
      <c r="IJ194" s="834"/>
      <c r="IK194" s="826"/>
      <c r="IL194" s="834"/>
    </row>
    <row r="195" spans="2:246" s="780" customFormat="1">
      <c r="B195" s="609"/>
      <c r="C195" s="609"/>
      <c r="D195" s="609"/>
      <c r="E195" s="609"/>
      <c r="F195" s="609"/>
      <c r="G195" s="609"/>
      <c r="H195" s="609"/>
      <c r="I195" s="609"/>
      <c r="J195" s="609"/>
      <c r="K195" s="609"/>
      <c r="L195" s="609"/>
      <c r="M195" s="609"/>
      <c r="N195" s="609"/>
      <c r="O195" s="609"/>
      <c r="P195" s="609"/>
      <c r="Q195" s="609"/>
      <c r="R195" s="609"/>
      <c r="S195" s="609"/>
      <c r="T195" s="609"/>
      <c r="U195" s="609"/>
      <c r="V195" s="609"/>
      <c r="W195" s="609"/>
      <c r="X195" s="609"/>
      <c r="Y195" s="609"/>
      <c r="Z195" s="816"/>
      <c r="AA195" s="816"/>
      <c r="AB195" s="816"/>
      <c r="AC195" s="816"/>
      <c r="AD195" s="816"/>
      <c r="AE195" s="816"/>
      <c r="AF195" s="609"/>
      <c r="AG195" s="609"/>
      <c r="AH195" s="816"/>
      <c r="AI195" s="816"/>
      <c r="AJ195" s="609"/>
      <c r="AK195" s="609"/>
      <c r="AL195" s="816"/>
      <c r="AM195" s="816"/>
      <c r="AN195" s="816"/>
      <c r="AO195" s="816"/>
      <c r="AP195" s="816"/>
      <c r="AQ195" s="816"/>
      <c r="AR195" s="609"/>
      <c r="AS195" s="609"/>
      <c r="AT195" s="816"/>
      <c r="AU195" s="816"/>
      <c r="AV195" s="817"/>
      <c r="AW195" s="609"/>
      <c r="AX195" s="609"/>
      <c r="AY195" s="816"/>
      <c r="AZ195" s="816"/>
      <c r="BA195" s="816"/>
      <c r="BB195" s="816"/>
      <c r="BC195" s="816"/>
      <c r="BD195" s="816"/>
      <c r="BE195" s="816"/>
      <c r="BF195" s="816"/>
      <c r="BG195" s="816"/>
      <c r="BH195" s="816"/>
      <c r="BI195" s="816"/>
      <c r="BJ195" s="816"/>
      <c r="BK195" s="816"/>
      <c r="BL195" s="816"/>
      <c r="BM195" s="816"/>
      <c r="BN195" s="816"/>
      <c r="BO195" s="816"/>
      <c r="BP195" s="816"/>
      <c r="BQ195" s="816"/>
      <c r="BR195" s="816"/>
      <c r="BS195" s="816"/>
      <c r="BT195" s="609"/>
      <c r="BU195" s="609"/>
      <c r="BV195" s="609"/>
      <c r="BW195" s="818"/>
      <c r="BX195" s="816"/>
      <c r="BY195" s="816"/>
      <c r="BZ195" s="816"/>
      <c r="CA195" s="816"/>
      <c r="CB195" s="816"/>
      <c r="CC195" s="816"/>
      <c r="CD195" s="816"/>
      <c r="CE195" s="816"/>
      <c r="CF195" s="820"/>
      <c r="CG195" s="820"/>
      <c r="CH195" s="820"/>
      <c r="CI195" s="820"/>
      <c r="CJ195" s="609"/>
      <c r="CK195" s="609"/>
      <c r="CL195" s="816"/>
      <c r="CM195" s="816"/>
      <c r="CN195" s="609"/>
      <c r="CO195" s="609"/>
      <c r="CP195" s="816"/>
      <c r="CQ195" s="816"/>
      <c r="CR195" s="609"/>
      <c r="CS195" s="609"/>
      <c r="CT195" s="816"/>
      <c r="CU195" s="816"/>
      <c r="CV195" s="609"/>
      <c r="CW195" s="609"/>
      <c r="CX195" s="816"/>
      <c r="CY195" s="816"/>
      <c r="CZ195" s="816"/>
      <c r="DA195" s="816"/>
      <c r="DB195" s="816"/>
      <c r="DC195" s="816"/>
      <c r="DD195" s="816"/>
      <c r="DE195" s="816"/>
      <c r="DF195" s="816"/>
      <c r="DG195" s="816"/>
      <c r="DH195" s="816"/>
      <c r="DI195" s="816"/>
      <c r="DJ195" s="816"/>
      <c r="DK195" s="816"/>
      <c r="DL195" s="609"/>
      <c r="DM195" s="609"/>
      <c r="DN195" s="816"/>
      <c r="DO195" s="816"/>
      <c r="DP195" s="816"/>
      <c r="DQ195" s="816"/>
      <c r="DR195" s="816"/>
      <c r="DS195" s="816"/>
      <c r="DT195" s="816"/>
      <c r="DU195" s="816"/>
      <c r="DV195" s="816"/>
      <c r="DW195" s="816"/>
      <c r="DX195" s="816"/>
      <c r="DY195" s="816"/>
      <c r="DZ195" s="816"/>
      <c r="EA195" s="816"/>
      <c r="EB195" s="609"/>
      <c r="EC195" s="609"/>
      <c r="ED195" s="816"/>
      <c r="EE195" s="816"/>
      <c r="EF195" s="816"/>
      <c r="EG195" s="816"/>
      <c r="EH195" s="816"/>
      <c r="EI195" s="816"/>
      <c r="EJ195" s="816"/>
      <c r="EK195" s="816"/>
      <c r="EL195" s="816"/>
      <c r="EM195" s="816"/>
      <c r="EN195" s="816"/>
      <c r="EO195" s="816"/>
      <c r="EP195" s="816"/>
      <c r="EQ195" s="816"/>
      <c r="ER195" s="816"/>
      <c r="ES195" s="816"/>
      <c r="ET195" s="816"/>
      <c r="EU195" s="816"/>
      <c r="EV195" s="816"/>
      <c r="EW195" s="816"/>
      <c r="EX195" s="816"/>
      <c r="EY195" s="816"/>
      <c r="EZ195" s="816"/>
      <c r="FA195" s="816"/>
      <c r="FB195" s="819"/>
      <c r="FC195" s="816"/>
      <c r="FD195" s="820"/>
      <c r="FE195" s="820"/>
      <c r="FF195" s="820"/>
      <c r="FG195" s="820"/>
      <c r="FH195" s="609"/>
      <c r="FI195" s="609"/>
      <c r="FJ195" s="816"/>
      <c r="FK195" s="816"/>
      <c r="FL195" s="816"/>
      <c r="FM195" s="816"/>
      <c r="FN195" s="816"/>
      <c r="FO195" s="816"/>
      <c r="FP195" s="816"/>
      <c r="FQ195" s="816"/>
      <c r="FR195" s="816"/>
      <c r="FS195" s="816"/>
      <c r="FT195" s="816"/>
      <c r="FU195" s="816"/>
      <c r="FV195" s="816"/>
      <c r="FW195" s="816"/>
      <c r="FX195" s="609"/>
      <c r="FY195" s="609"/>
      <c r="FZ195" s="816"/>
      <c r="GA195" s="816"/>
      <c r="GB195" s="609"/>
      <c r="GC195" s="609"/>
      <c r="GD195" s="609"/>
      <c r="GE195" s="816"/>
      <c r="GF195" s="816"/>
      <c r="GG195" s="609"/>
      <c r="GH195" s="609"/>
      <c r="GI195" s="816"/>
      <c r="GJ195" s="816"/>
      <c r="GK195" s="609"/>
      <c r="GL195" s="609"/>
      <c r="GM195" s="816"/>
      <c r="GN195" s="816"/>
      <c r="GO195" s="816"/>
      <c r="GP195" s="816"/>
      <c r="GQ195" s="816"/>
      <c r="GR195" s="816"/>
      <c r="GS195" s="609"/>
      <c r="GT195" s="609"/>
      <c r="GU195" s="816"/>
      <c r="GV195" s="816"/>
      <c r="GW195" s="609"/>
      <c r="GX195" s="609"/>
      <c r="GY195" s="816"/>
      <c r="GZ195" s="816"/>
      <c r="HA195" s="609"/>
      <c r="HB195" s="609"/>
      <c r="HC195" s="816"/>
      <c r="HD195" s="816"/>
      <c r="HE195" s="816"/>
      <c r="HF195" s="816"/>
      <c r="HG195" s="816"/>
      <c r="HH195" s="816"/>
      <c r="HI195" s="821"/>
      <c r="HJ195" s="609"/>
      <c r="HK195" s="816"/>
      <c r="HL195" s="816"/>
      <c r="HM195" s="822"/>
      <c r="HN195" s="609"/>
      <c r="HO195" s="816"/>
      <c r="HP195" s="816"/>
      <c r="HQ195" s="609"/>
      <c r="HR195" s="816"/>
      <c r="HS195" s="816"/>
      <c r="HT195" s="816"/>
      <c r="HU195" s="816"/>
      <c r="HV195" s="816"/>
      <c r="HW195" s="816"/>
      <c r="HX195" s="816"/>
      <c r="HY195" s="816"/>
      <c r="HZ195" s="816"/>
      <c r="IA195" s="816"/>
      <c r="IB195" s="816"/>
      <c r="IC195" s="823"/>
      <c r="ID195" s="824"/>
      <c r="IE195" s="825"/>
      <c r="IF195" s="825"/>
      <c r="IG195" s="816"/>
      <c r="II195" s="834"/>
      <c r="IJ195" s="834"/>
      <c r="IK195" s="826"/>
      <c r="IL195" s="834"/>
    </row>
    <row r="196" spans="2:246" s="780" customFormat="1">
      <c r="B196" s="609"/>
      <c r="C196" s="609"/>
      <c r="D196" s="609"/>
      <c r="E196" s="609"/>
      <c r="F196" s="609"/>
      <c r="G196" s="609"/>
      <c r="H196" s="609"/>
      <c r="I196" s="609"/>
      <c r="J196" s="609"/>
      <c r="K196" s="609"/>
      <c r="L196" s="609"/>
      <c r="M196" s="609"/>
      <c r="N196" s="609"/>
      <c r="O196" s="609"/>
      <c r="P196" s="609"/>
      <c r="Q196" s="609"/>
      <c r="R196" s="609"/>
      <c r="S196" s="609"/>
      <c r="T196" s="609"/>
      <c r="U196" s="609"/>
      <c r="V196" s="609"/>
      <c r="W196" s="609"/>
      <c r="X196" s="609"/>
      <c r="Y196" s="609"/>
      <c r="Z196" s="816"/>
      <c r="AA196" s="816"/>
      <c r="AB196" s="816"/>
      <c r="AC196" s="816"/>
      <c r="AD196" s="816"/>
      <c r="AE196" s="816"/>
      <c r="AF196" s="609"/>
      <c r="AG196" s="609"/>
      <c r="AH196" s="816"/>
      <c r="AI196" s="816"/>
      <c r="AJ196" s="609"/>
      <c r="AK196" s="609"/>
      <c r="AL196" s="816"/>
      <c r="AM196" s="816"/>
      <c r="AN196" s="816"/>
      <c r="AO196" s="816"/>
      <c r="AP196" s="816"/>
      <c r="AQ196" s="816"/>
      <c r="AR196" s="609"/>
      <c r="AS196" s="609"/>
      <c r="AT196" s="816"/>
      <c r="AU196" s="816"/>
      <c r="AV196" s="817"/>
      <c r="AW196" s="609"/>
      <c r="AX196" s="609"/>
      <c r="AY196" s="816"/>
      <c r="AZ196" s="816"/>
      <c r="BA196" s="816"/>
      <c r="BB196" s="816"/>
      <c r="BC196" s="816"/>
      <c r="BD196" s="816"/>
      <c r="BE196" s="816"/>
      <c r="BF196" s="816"/>
      <c r="BG196" s="816"/>
      <c r="BH196" s="816"/>
      <c r="BI196" s="816"/>
      <c r="BJ196" s="816"/>
      <c r="BK196" s="816"/>
      <c r="BL196" s="816"/>
      <c r="BM196" s="816"/>
      <c r="BN196" s="816"/>
      <c r="BO196" s="816"/>
      <c r="BP196" s="816"/>
      <c r="BQ196" s="816"/>
      <c r="BR196" s="816"/>
      <c r="BS196" s="816"/>
      <c r="BT196" s="609"/>
      <c r="BU196" s="609"/>
      <c r="BV196" s="609"/>
      <c r="BW196" s="818"/>
      <c r="BX196" s="816"/>
      <c r="BY196" s="816"/>
      <c r="BZ196" s="816"/>
      <c r="CA196" s="816"/>
      <c r="CB196" s="816"/>
      <c r="CC196" s="816"/>
      <c r="CD196" s="816"/>
      <c r="CE196" s="816"/>
      <c r="CF196" s="820"/>
      <c r="CG196" s="820"/>
      <c r="CH196" s="820"/>
      <c r="CI196" s="820"/>
      <c r="CJ196" s="609"/>
      <c r="CK196" s="609"/>
      <c r="CL196" s="816"/>
      <c r="CM196" s="816"/>
      <c r="CN196" s="609"/>
      <c r="CO196" s="609"/>
      <c r="CP196" s="816"/>
      <c r="CQ196" s="816"/>
      <c r="CR196" s="609"/>
      <c r="CS196" s="609"/>
      <c r="CT196" s="816"/>
      <c r="CU196" s="816"/>
      <c r="CV196" s="609"/>
      <c r="CW196" s="609"/>
      <c r="CX196" s="816"/>
      <c r="CY196" s="816"/>
      <c r="CZ196" s="816"/>
      <c r="DA196" s="816"/>
      <c r="DB196" s="816"/>
      <c r="DC196" s="816"/>
      <c r="DD196" s="816"/>
      <c r="DE196" s="816"/>
      <c r="DF196" s="816"/>
      <c r="DG196" s="816"/>
      <c r="DH196" s="816"/>
      <c r="DI196" s="816"/>
      <c r="DJ196" s="816"/>
      <c r="DK196" s="816"/>
      <c r="DL196" s="609"/>
      <c r="DM196" s="609"/>
      <c r="DN196" s="816"/>
      <c r="DO196" s="816"/>
      <c r="DP196" s="816"/>
      <c r="DQ196" s="816"/>
      <c r="DR196" s="816"/>
      <c r="DS196" s="816"/>
      <c r="DT196" s="816"/>
      <c r="DU196" s="816"/>
      <c r="DV196" s="816"/>
      <c r="DW196" s="816"/>
      <c r="DX196" s="816"/>
      <c r="DY196" s="816"/>
      <c r="DZ196" s="816"/>
      <c r="EA196" s="816"/>
      <c r="EB196" s="609"/>
      <c r="EC196" s="609"/>
      <c r="ED196" s="816"/>
      <c r="EE196" s="816"/>
      <c r="EF196" s="816"/>
      <c r="EG196" s="816"/>
      <c r="EH196" s="816"/>
      <c r="EI196" s="816"/>
      <c r="EJ196" s="816"/>
      <c r="EK196" s="816"/>
      <c r="EL196" s="816"/>
      <c r="EM196" s="816"/>
      <c r="EN196" s="816"/>
      <c r="EO196" s="816"/>
      <c r="EP196" s="816"/>
      <c r="EQ196" s="816"/>
      <c r="ER196" s="816"/>
      <c r="ES196" s="816"/>
      <c r="ET196" s="816"/>
      <c r="EU196" s="816"/>
      <c r="EV196" s="816"/>
      <c r="EW196" s="816"/>
      <c r="EX196" s="816"/>
      <c r="EY196" s="816"/>
      <c r="EZ196" s="816"/>
      <c r="FA196" s="816"/>
      <c r="FB196" s="819"/>
      <c r="FC196" s="816"/>
      <c r="FD196" s="820"/>
      <c r="FE196" s="820"/>
      <c r="FF196" s="820"/>
      <c r="FG196" s="820"/>
      <c r="FH196" s="609"/>
      <c r="FI196" s="609"/>
      <c r="FJ196" s="816"/>
      <c r="FK196" s="816"/>
      <c r="FL196" s="816"/>
      <c r="FM196" s="816"/>
      <c r="FN196" s="816"/>
      <c r="FO196" s="816"/>
      <c r="FP196" s="816"/>
      <c r="FQ196" s="816"/>
      <c r="FR196" s="816"/>
      <c r="FS196" s="816"/>
      <c r="FT196" s="816"/>
      <c r="FU196" s="816"/>
      <c r="FV196" s="816"/>
      <c r="FW196" s="816"/>
      <c r="FX196" s="609"/>
      <c r="FY196" s="609"/>
      <c r="FZ196" s="816"/>
      <c r="GA196" s="816"/>
      <c r="GB196" s="609"/>
      <c r="GC196" s="609"/>
      <c r="GD196" s="609"/>
      <c r="GE196" s="816"/>
      <c r="GF196" s="816"/>
      <c r="GG196" s="609"/>
      <c r="GH196" s="609"/>
      <c r="GI196" s="816"/>
      <c r="GJ196" s="816"/>
      <c r="GK196" s="609"/>
      <c r="GL196" s="609"/>
      <c r="GM196" s="816"/>
      <c r="GN196" s="816"/>
      <c r="GO196" s="816"/>
      <c r="GP196" s="816"/>
      <c r="GQ196" s="816"/>
      <c r="GR196" s="816"/>
      <c r="GS196" s="609"/>
      <c r="GT196" s="609"/>
      <c r="GU196" s="816"/>
      <c r="GV196" s="816"/>
      <c r="GW196" s="609"/>
      <c r="GX196" s="609"/>
      <c r="GY196" s="816"/>
      <c r="GZ196" s="816"/>
      <c r="HA196" s="609"/>
      <c r="HB196" s="609"/>
      <c r="HC196" s="816"/>
      <c r="HD196" s="816"/>
      <c r="HE196" s="816"/>
      <c r="HF196" s="816"/>
      <c r="HG196" s="816"/>
      <c r="HH196" s="816"/>
      <c r="HI196" s="821"/>
      <c r="HJ196" s="609"/>
      <c r="HK196" s="816"/>
      <c r="HL196" s="816"/>
      <c r="HM196" s="822"/>
      <c r="HN196" s="609"/>
      <c r="HO196" s="816"/>
      <c r="HP196" s="816"/>
      <c r="HQ196" s="609"/>
      <c r="HR196" s="816"/>
      <c r="HS196" s="816"/>
      <c r="HT196" s="816"/>
      <c r="HU196" s="816"/>
      <c r="HV196" s="816"/>
      <c r="HW196" s="816"/>
      <c r="HX196" s="816"/>
      <c r="HY196" s="816"/>
      <c r="HZ196" s="816"/>
      <c r="IA196" s="816"/>
      <c r="IB196" s="816"/>
      <c r="IC196" s="823"/>
      <c r="ID196" s="824"/>
      <c r="IE196" s="825"/>
      <c r="IF196" s="825"/>
      <c r="IG196" s="816"/>
      <c r="II196" s="834"/>
      <c r="IJ196" s="834"/>
      <c r="IK196" s="826"/>
      <c r="IL196" s="834"/>
    </row>
    <row r="197" spans="2:246" s="780" customFormat="1">
      <c r="B197" s="609"/>
      <c r="C197" s="609"/>
      <c r="D197" s="609"/>
      <c r="E197" s="609"/>
      <c r="F197" s="609"/>
      <c r="G197" s="609"/>
      <c r="H197" s="609"/>
      <c r="I197" s="609"/>
      <c r="J197" s="609"/>
      <c r="K197" s="609"/>
      <c r="L197" s="609"/>
      <c r="M197" s="609"/>
      <c r="N197" s="609"/>
      <c r="O197" s="609"/>
      <c r="P197" s="609"/>
      <c r="Q197" s="609"/>
      <c r="R197" s="609"/>
      <c r="S197" s="609"/>
      <c r="T197" s="609"/>
      <c r="U197" s="609"/>
      <c r="V197" s="609"/>
      <c r="W197" s="609"/>
      <c r="X197" s="609"/>
      <c r="Y197" s="609"/>
      <c r="Z197" s="816"/>
      <c r="AA197" s="816"/>
      <c r="AB197" s="816"/>
      <c r="AC197" s="816"/>
      <c r="AD197" s="816"/>
      <c r="AE197" s="816"/>
      <c r="AF197" s="609"/>
      <c r="AG197" s="609"/>
      <c r="AH197" s="816"/>
      <c r="AI197" s="816"/>
      <c r="AJ197" s="609"/>
      <c r="AK197" s="609"/>
      <c r="AL197" s="816"/>
      <c r="AM197" s="816"/>
      <c r="AN197" s="816"/>
      <c r="AO197" s="816"/>
      <c r="AP197" s="816"/>
      <c r="AQ197" s="816"/>
      <c r="AR197" s="609"/>
      <c r="AS197" s="609"/>
      <c r="AT197" s="816"/>
      <c r="AU197" s="816"/>
      <c r="AV197" s="817"/>
      <c r="AW197" s="609"/>
      <c r="AX197" s="609"/>
      <c r="AY197" s="816"/>
      <c r="AZ197" s="816"/>
      <c r="BA197" s="816"/>
      <c r="BB197" s="816"/>
      <c r="BC197" s="816"/>
      <c r="BD197" s="816"/>
      <c r="BE197" s="816"/>
      <c r="BF197" s="816"/>
      <c r="BG197" s="816"/>
      <c r="BH197" s="816"/>
      <c r="BI197" s="816"/>
      <c r="BJ197" s="816"/>
      <c r="BK197" s="816"/>
      <c r="BL197" s="816"/>
      <c r="BM197" s="816"/>
      <c r="BN197" s="816"/>
      <c r="BO197" s="816"/>
      <c r="BP197" s="816"/>
      <c r="BQ197" s="816"/>
      <c r="BR197" s="816"/>
      <c r="BS197" s="816"/>
      <c r="BT197" s="609"/>
      <c r="BU197" s="609"/>
      <c r="BV197" s="609"/>
      <c r="BW197" s="818"/>
      <c r="BX197" s="816"/>
      <c r="BY197" s="816"/>
      <c r="BZ197" s="816"/>
      <c r="CA197" s="816"/>
      <c r="CB197" s="816"/>
      <c r="CC197" s="816"/>
      <c r="CD197" s="816"/>
      <c r="CE197" s="816"/>
      <c r="CF197" s="820"/>
      <c r="CG197" s="820"/>
      <c r="CH197" s="820"/>
      <c r="CI197" s="820"/>
      <c r="CJ197" s="609"/>
      <c r="CK197" s="609"/>
      <c r="CL197" s="816"/>
      <c r="CM197" s="816"/>
      <c r="CN197" s="609"/>
      <c r="CO197" s="609"/>
      <c r="CP197" s="816"/>
      <c r="CQ197" s="816"/>
      <c r="CR197" s="609"/>
      <c r="CS197" s="609"/>
      <c r="CT197" s="816"/>
      <c r="CU197" s="816"/>
      <c r="CV197" s="609"/>
      <c r="CW197" s="609"/>
      <c r="CX197" s="816"/>
      <c r="CY197" s="816"/>
      <c r="CZ197" s="816"/>
      <c r="DA197" s="816"/>
      <c r="DB197" s="816"/>
      <c r="DC197" s="816"/>
      <c r="DD197" s="816"/>
      <c r="DE197" s="816"/>
      <c r="DF197" s="816"/>
      <c r="DG197" s="816"/>
      <c r="DH197" s="816"/>
      <c r="DI197" s="816"/>
      <c r="DJ197" s="816"/>
      <c r="DK197" s="816"/>
      <c r="DL197" s="609"/>
      <c r="DM197" s="609"/>
      <c r="DN197" s="816"/>
      <c r="DO197" s="816"/>
      <c r="DP197" s="816"/>
      <c r="DQ197" s="816"/>
      <c r="DR197" s="816"/>
      <c r="DS197" s="816"/>
      <c r="DT197" s="816"/>
      <c r="DU197" s="816"/>
      <c r="DV197" s="816"/>
      <c r="DW197" s="816"/>
      <c r="DX197" s="816"/>
      <c r="DY197" s="816"/>
      <c r="DZ197" s="816"/>
      <c r="EA197" s="816"/>
      <c r="EB197" s="609"/>
      <c r="EC197" s="609"/>
      <c r="ED197" s="816"/>
      <c r="EE197" s="816"/>
      <c r="EF197" s="816"/>
      <c r="EG197" s="816"/>
      <c r="EH197" s="816"/>
      <c r="EI197" s="816"/>
      <c r="EJ197" s="816"/>
      <c r="EK197" s="816"/>
      <c r="EL197" s="816"/>
      <c r="EM197" s="816"/>
      <c r="EN197" s="816"/>
      <c r="EO197" s="816"/>
      <c r="EP197" s="816"/>
      <c r="EQ197" s="816"/>
      <c r="ER197" s="816"/>
      <c r="ES197" s="816"/>
      <c r="ET197" s="816"/>
      <c r="EU197" s="816"/>
      <c r="EV197" s="816"/>
      <c r="EW197" s="816"/>
      <c r="EX197" s="816"/>
      <c r="EY197" s="816"/>
      <c r="EZ197" s="816"/>
      <c r="FA197" s="816"/>
      <c r="FB197" s="819"/>
      <c r="FC197" s="816"/>
      <c r="FD197" s="820"/>
      <c r="FE197" s="820"/>
      <c r="FF197" s="820"/>
      <c r="FG197" s="820"/>
      <c r="FH197" s="609"/>
      <c r="FI197" s="609"/>
      <c r="FJ197" s="816"/>
      <c r="FK197" s="816"/>
      <c r="FL197" s="816"/>
      <c r="FM197" s="816"/>
      <c r="FN197" s="816"/>
      <c r="FO197" s="816"/>
      <c r="FP197" s="816"/>
      <c r="FQ197" s="816"/>
      <c r="FR197" s="816"/>
      <c r="FS197" s="816"/>
      <c r="FT197" s="816"/>
      <c r="FU197" s="816"/>
      <c r="FV197" s="816"/>
      <c r="FW197" s="816"/>
      <c r="FX197" s="609"/>
      <c r="FY197" s="609"/>
      <c r="FZ197" s="816"/>
      <c r="GA197" s="816"/>
      <c r="GB197" s="609"/>
      <c r="GC197" s="609"/>
      <c r="GD197" s="609"/>
      <c r="GE197" s="816"/>
      <c r="GF197" s="816"/>
      <c r="GG197" s="609"/>
      <c r="GH197" s="609"/>
      <c r="GI197" s="816"/>
      <c r="GJ197" s="816"/>
      <c r="GK197" s="609"/>
      <c r="GL197" s="609"/>
      <c r="GM197" s="816"/>
      <c r="GN197" s="816"/>
      <c r="GO197" s="816"/>
      <c r="GP197" s="816"/>
      <c r="GQ197" s="816"/>
      <c r="GR197" s="816"/>
      <c r="GS197" s="609"/>
      <c r="GT197" s="609"/>
      <c r="GU197" s="816"/>
      <c r="GV197" s="816"/>
      <c r="GW197" s="609"/>
      <c r="GX197" s="609"/>
      <c r="GY197" s="816"/>
      <c r="GZ197" s="816"/>
      <c r="HA197" s="609"/>
      <c r="HB197" s="609"/>
      <c r="HC197" s="816"/>
      <c r="HD197" s="816"/>
      <c r="HE197" s="816"/>
      <c r="HF197" s="816"/>
      <c r="HG197" s="816"/>
      <c r="HH197" s="816"/>
      <c r="HI197" s="821"/>
      <c r="HJ197" s="609"/>
      <c r="HK197" s="816"/>
      <c r="HL197" s="816"/>
      <c r="HM197" s="822"/>
      <c r="HN197" s="609"/>
      <c r="HO197" s="816"/>
      <c r="HP197" s="816"/>
      <c r="HQ197" s="609"/>
      <c r="HR197" s="816"/>
      <c r="HS197" s="816"/>
      <c r="HT197" s="816"/>
      <c r="HU197" s="816"/>
      <c r="HV197" s="816"/>
      <c r="HW197" s="816"/>
      <c r="HX197" s="816"/>
      <c r="HY197" s="816"/>
      <c r="HZ197" s="816"/>
      <c r="IA197" s="816"/>
      <c r="IB197" s="816"/>
      <c r="IC197" s="823"/>
      <c r="ID197" s="824"/>
      <c r="IE197" s="825"/>
      <c r="IF197" s="825"/>
      <c r="IG197" s="816"/>
      <c r="II197" s="834"/>
      <c r="IJ197" s="834"/>
      <c r="IK197" s="826"/>
      <c r="IL197" s="834"/>
    </row>
    <row r="198" spans="2:246" s="780" customFormat="1">
      <c r="B198" s="609"/>
      <c r="C198" s="609"/>
      <c r="D198" s="609"/>
      <c r="E198" s="609"/>
      <c r="F198" s="609"/>
      <c r="G198" s="609"/>
      <c r="H198" s="609"/>
      <c r="I198" s="609"/>
      <c r="J198" s="609"/>
      <c r="K198" s="609"/>
      <c r="L198" s="609"/>
      <c r="M198" s="609"/>
      <c r="N198" s="609"/>
      <c r="O198" s="609"/>
      <c r="P198" s="609"/>
      <c r="Q198" s="609"/>
      <c r="R198" s="609"/>
      <c r="S198" s="609"/>
      <c r="T198" s="609"/>
      <c r="U198" s="609"/>
      <c r="V198" s="609"/>
      <c r="W198" s="609"/>
      <c r="X198" s="609"/>
      <c r="Y198" s="609"/>
      <c r="Z198" s="816"/>
      <c r="AA198" s="816"/>
      <c r="AB198" s="816"/>
      <c r="AC198" s="816"/>
      <c r="AD198" s="816"/>
      <c r="AE198" s="816"/>
      <c r="AF198" s="609"/>
      <c r="AG198" s="609"/>
      <c r="AH198" s="816"/>
      <c r="AI198" s="816"/>
      <c r="AJ198" s="609"/>
      <c r="AK198" s="609"/>
      <c r="AL198" s="816"/>
      <c r="AM198" s="816"/>
      <c r="AN198" s="816"/>
      <c r="AO198" s="816"/>
      <c r="AP198" s="816"/>
      <c r="AQ198" s="816"/>
      <c r="AR198" s="609"/>
      <c r="AS198" s="609"/>
      <c r="AT198" s="816"/>
      <c r="AU198" s="816"/>
      <c r="AV198" s="817"/>
      <c r="AW198" s="609"/>
      <c r="AX198" s="609"/>
      <c r="AY198" s="816"/>
      <c r="AZ198" s="816"/>
      <c r="BA198" s="816"/>
      <c r="BB198" s="816"/>
      <c r="BC198" s="816"/>
      <c r="BD198" s="816"/>
      <c r="BE198" s="816"/>
      <c r="BF198" s="816"/>
      <c r="BG198" s="816"/>
      <c r="BH198" s="816"/>
      <c r="BI198" s="816"/>
      <c r="BJ198" s="816"/>
      <c r="BK198" s="816"/>
      <c r="BL198" s="816"/>
      <c r="BM198" s="816"/>
      <c r="BN198" s="816"/>
      <c r="BO198" s="816"/>
      <c r="BP198" s="816"/>
      <c r="BQ198" s="816"/>
      <c r="BR198" s="816"/>
      <c r="BS198" s="816"/>
      <c r="BT198" s="609"/>
      <c r="BU198" s="609"/>
      <c r="BV198" s="609"/>
      <c r="BW198" s="818"/>
      <c r="BX198" s="816"/>
      <c r="BY198" s="816"/>
      <c r="BZ198" s="816"/>
      <c r="CA198" s="816"/>
      <c r="CB198" s="816"/>
      <c r="CC198" s="816"/>
      <c r="CD198" s="816"/>
      <c r="CE198" s="816"/>
      <c r="CF198" s="820"/>
      <c r="CG198" s="820"/>
      <c r="CH198" s="820"/>
      <c r="CI198" s="820"/>
      <c r="CJ198" s="609"/>
      <c r="CK198" s="609"/>
      <c r="CL198" s="816"/>
      <c r="CM198" s="816"/>
      <c r="CN198" s="609"/>
      <c r="CO198" s="609"/>
      <c r="CP198" s="816"/>
      <c r="CQ198" s="816"/>
      <c r="CR198" s="609"/>
      <c r="CS198" s="609"/>
      <c r="CT198" s="816"/>
      <c r="CU198" s="816"/>
      <c r="CV198" s="609"/>
      <c r="CW198" s="609"/>
      <c r="CX198" s="816"/>
      <c r="CY198" s="816"/>
      <c r="CZ198" s="816"/>
      <c r="DA198" s="816"/>
      <c r="DB198" s="816"/>
      <c r="DC198" s="816"/>
      <c r="DD198" s="816"/>
      <c r="DE198" s="816"/>
      <c r="DF198" s="816"/>
      <c r="DG198" s="816"/>
      <c r="DH198" s="816"/>
      <c r="DI198" s="816"/>
      <c r="DJ198" s="816"/>
      <c r="DK198" s="816"/>
      <c r="DL198" s="609"/>
      <c r="DM198" s="609"/>
      <c r="DN198" s="816"/>
      <c r="DO198" s="816"/>
      <c r="DP198" s="816"/>
      <c r="DQ198" s="816"/>
      <c r="DR198" s="816"/>
      <c r="DS198" s="816"/>
      <c r="DT198" s="816"/>
      <c r="DU198" s="816"/>
      <c r="DV198" s="816"/>
      <c r="DW198" s="816"/>
      <c r="DX198" s="816"/>
      <c r="DY198" s="816"/>
      <c r="DZ198" s="816"/>
      <c r="EA198" s="816"/>
      <c r="EB198" s="609"/>
      <c r="EC198" s="609"/>
      <c r="ED198" s="816"/>
      <c r="EE198" s="816"/>
      <c r="EF198" s="816"/>
      <c r="EG198" s="816"/>
      <c r="EH198" s="816"/>
      <c r="EI198" s="816"/>
      <c r="EJ198" s="816"/>
      <c r="EK198" s="816"/>
      <c r="EL198" s="816"/>
      <c r="EM198" s="816"/>
      <c r="EN198" s="816"/>
      <c r="EO198" s="816"/>
      <c r="EP198" s="816"/>
      <c r="EQ198" s="816"/>
      <c r="ER198" s="816"/>
      <c r="ES198" s="816"/>
      <c r="ET198" s="816"/>
      <c r="EU198" s="816"/>
      <c r="EV198" s="816"/>
      <c r="EW198" s="816"/>
      <c r="EX198" s="816"/>
      <c r="EY198" s="816"/>
      <c r="EZ198" s="816"/>
      <c r="FA198" s="816"/>
      <c r="FB198" s="819"/>
      <c r="FC198" s="816"/>
      <c r="FD198" s="820"/>
      <c r="FE198" s="820"/>
      <c r="FF198" s="820"/>
      <c r="FG198" s="820"/>
      <c r="FH198" s="609"/>
      <c r="FI198" s="609"/>
      <c r="FJ198" s="816"/>
      <c r="FK198" s="816"/>
      <c r="FL198" s="816"/>
      <c r="FM198" s="816"/>
      <c r="FN198" s="816"/>
      <c r="FO198" s="816"/>
      <c r="FP198" s="816"/>
      <c r="FQ198" s="816"/>
      <c r="FR198" s="816"/>
      <c r="FS198" s="816"/>
      <c r="FT198" s="816"/>
      <c r="FU198" s="816"/>
      <c r="FV198" s="816"/>
      <c r="FW198" s="816"/>
      <c r="FX198" s="609"/>
      <c r="FY198" s="609"/>
      <c r="FZ198" s="816"/>
      <c r="GA198" s="816"/>
      <c r="GB198" s="609"/>
      <c r="GC198" s="609"/>
      <c r="GD198" s="609"/>
      <c r="GE198" s="816"/>
      <c r="GF198" s="816"/>
      <c r="GG198" s="609"/>
      <c r="GH198" s="609"/>
      <c r="GI198" s="816"/>
      <c r="GJ198" s="816"/>
      <c r="GK198" s="609"/>
      <c r="GL198" s="609"/>
      <c r="GM198" s="816"/>
      <c r="GN198" s="816"/>
      <c r="GO198" s="816"/>
      <c r="GP198" s="816"/>
      <c r="GQ198" s="816"/>
      <c r="GR198" s="816"/>
      <c r="GS198" s="609"/>
      <c r="GT198" s="609"/>
      <c r="GU198" s="816"/>
      <c r="GV198" s="816"/>
      <c r="GW198" s="609"/>
      <c r="GX198" s="609"/>
      <c r="GY198" s="816"/>
      <c r="GZ198" s="816"/>
      <c r="HA198" s="609"/>
      <c r="HB198" s="609"/>
      <c r="HC198" s="816"/>
      <c r="HD198" s="816"/>
      <c r="HE198" s="816"/>
      <c r="HF198" s="816"/>
      <c r="HG198" s="816"/>
      <c r="HH198" s="816"/>
      <c r="HI198" s="821"/>
      <c r="HJ198" s="609"/>
      <c r="HK198" s="816"/>
      <c r="HL198" s="816"/>
      <c r="HM198" s="822"/>
      <c r="HN198" s="609"/>
      <c r="HO198" s="816"/>
      <c r="HP198" s="816"/>
      <c r="HQ198" s="609"/>
      <c r="HR198" s="816"/>
      <c r="HS198" s="816"/>
      <c r="HT198" s="816"/>
      <c r="HU198" s="816"/>
      <c r="HV198" s="816"/>
      <c r="HW198" s="816"/>
      <c r="HX198" s="816"/>
      <c r="HY198" s="816"/>
      <c r="HZ198" s="816"/>
      <c r="IA198" s="816"/>
      <c r="IB198" s="816"/>
      <c r="IC198" s="823"/>
      <c r="ID198" s="824"/>
      <c r="IE198" s="825"/>
      <c r="IF198" s="825"/>
      <c r="IG198" s="816"/>
      <c r="II198" s="834"/>
      <c r="IJ198" s="834"/>
      <c r="IK198" s="826"/>
      <c r="IL198" s="834"/>
    </row>
    <row r="199" spans="2:246" s="780" customFormat="1">
      <c r="B199" s="609"/>
      <c r="C199" s="609"/>
      <c r="D199" s="609"/>
      <c r="E199" s="609"/>
      <c r="F199" s="609"/>
      <c r="G199" s="609"/>
      <c r="H199" s="609"/>
      <c r="I199" s="609"/>
      <c r="J199" s="609"/>
      <c r="K199" s="609"/>
      <c r="L199" s="609"/>
      <c r="M199" s="609"/>
      <c r="N199" s="609"/>
      <c r="O199" s="609"/>
      <c r="P199" s="609"/>
      <c r="Q199" s="609"/>
      <c r="R199" s="609"/>
      <c r="S199" s="609"/>
      <c r="T199" s="609"/>
      <c r="U199" s="609"/>
      <c r="V199" s="609"/>
      <c r="W199" s="609"/>
      <c r="X199" s="609"/>
      <c r="Y199" s="609"/>
      <c r="Z199" s="816"/>
      <c r="AA199" s="816"/>
      <c r="AB199" s="816"/>
      <c r="AC199" s="816"/>
      <c r="AD199" s="816"/>
      <c r="AE199" s="816"/>
      <c r="AF199" s="609"/>
      <c r="AG199" s="609"/>
      <c r="AH199" s="816"/>
      <c r="AI199" s="816"/>
      <c r="AJ199" s="609"/>
      <c r="AK199" s="609"/>
      <c r="AL199" s="816"/>
      <c r="AM199" s="816"/>
      <c r="AN199" s="816"/>
      <c r="AO199" s="816"/>
      <c r="AP199" s="816"/>
      <c r="AQ199" s="816"/>
      <c r="AR199" s="609"/>
      <c r="AS199" s="609"/>
      <c r="AT199" s="816"/>
      <c r="AU199" s="816"/>
      <c r="AV199" s="817"/>
      <c r="AW199" s="609"/>
      <c r="AX199" s="609"/>
      <c r="AY199" s="816"/>
      <c r="AZ199" s="816"/>
      <c r="BA199" s="816"/>
      <c r="BB199" s="816"/>
      <c r="BC199" s="816"/>
      <c r="BD199" s="816"/>
      <c r="BE199" s="816"/>
      <c r="BF199" s="816"/>
      <c r="BG199" s="816"/>
      <c r="BH199" s="816"/>
      <c r="BI199" s="816"/>
      <c r="BJ199" s="816"/>
      <c r="BK199" s="816"/>
      <c r="BL199" s="816"/>
      <c r="BM199" s="816"/>
      <c r="BN199" s="816"/>
      <c r="BO199" s="816"/>
      <c r="BP199" s="816"/>
      <c r="BQ199" s="816"/>
      <c r="BR199" s="816"/>
      <c r="BS199" s="816"/>
      <c r="BT199" s="609"/>
      <c r="BU199" s="609"/>
      <c r="BV199" s="609"/>
      <c r="BW199" s="818"/>
      <c r="BX199" s="816"/>
      <c r="BY199" s="816"/>
      <c r="BZ199" s="816"/>
      <c r="CA199" s="816"/>
      <c r="CB199" s="816"/>
      <c r="CC199" s="816"/>
      <c r="CD199" s="816"/>
      <c r="CE199" s="816"/>
      <c r="CF199" s="820"/>
      <c r="CG199" s="820"/>
      <c r="CH199" s="820"/>
      <c r="CI199" s="820"/>
      <c r="CJ199" s="609"/>
      <c r="CK199" s="609"/>
      <c r="CL199" s="816"/>
      <c r="CM199" s="816"/>
      <c r="CN199" s="609"/>
      <c r="CO199" s="609"/>
      <c r="CP199" s="816"/>
      <c r="CQ199" s="816"/>
      <c r="CR199" s="609"/>
      <c r="CS199" s="609"/>
      <c r="CT199" s="816"/>
      <c r="CU199" s="816"/>
      <c r="CV199" s="609"/>
      <c r="CW199" s="609"/>
      <c r="CX199" s="816"/>
      <c r="CY199" s="816"/>
      <c r="CZ199" s="816"/>
      <c r="DA199" s="816"/>
      <c r="DB199" s="816"/>
      <c r="DC199" s="816"/>
      <c r="DD199" s="816"/>
      <c r="DE199" s="816"/>
      <c r="DF199" s="816"/>
      <c r="DG199" s="816"/>
      <c r="DH199" s="816"/>
      <c r="DI199" s="816"/>
      <c r="DJ199" s="816"/>
      <c r="DK199" s="816"/>
      <c r="DL199" s="609"/>
      <c r="DM199" s="609"/>
      <c r="DN199" s="816"/>
      <c r="DO199" s="816"/>
      <c r="DP199" s="816"/>
      <c r="DQ199" s="816"/>
      <c r="DR199" s="816"/>
      <c r="DS199" s="816"/>
      <c r="DT199" s="816"/>
      <c r="DU199" s="816"/>
      <c r="DV199" s="816"/>
      <c r="DW199" s="816"/>
      <c r="DX199" s="816"/>
      <c r="DY199" s="816"/>
      <c r="DZ199" s="816"/>
      <c r="EA199" s="816"/>
      <c r="EB199" s="609"/>
      <c r="EC199" s="609"/>
      <c r="ED199" s="816"/>
      <c r="EE199" s="816"/>
      <c r="EF199" s="816"/>
      <c r="EG199" s="816"/>
      <c r="EH199" s="816"/>
      <c r="EI199" s="816"/>
      <c r="EJ199" s="816"/>
      <c r="EK199" s="816"/>
      <c r="EL199" s="816"/>
      <c r="EM199" s="816"/>
      <c r="EN199" s="816"/>
      <c r="EO199" s="816"/>
      <c r="EP199" s="816"/>
      <c r="EQ199" s="816"/>
      <c r="ER199" s="816"/>
      <c r="ES199" s="816"/>
      <c r="ET199" s="816"/>
      <c r="EU199" s="816"/>
      <c r="EV199" s="816"/>
      <c r="EW199" s="816"/>
      <c r="EX199" s="816"/>
      <c r="EY199" s="816"/>
      <c r="EZ199" s="816"/>
      <c r="FA199" s="816"/>
      <c r="FB199" s="819"/>
      <c r="FC199" s="816"/>
      <c r="FD199" s="820"/>
      <c r="FE199" s="820"/>
      <c r="FF199" s="820"/>
      <c r="FG199" s="820"/>
      <c r="FH199" s="609"/>
      <c r="FI199" s="609"/>
      <c r="FJ199" s="816"/>
      <c r="FK199" s="816"/>
      <c r="FL199" s="816"/>
      <c r="FM199" s="816"/>
      <c r="FN199" s="816"/>
      <c r="FO199" s="816"/>
      <c r="FP199" s="816"/>
      <c r="FQ199" s="816"/>
      <c r="FR199" s="816"/>
      <c r="FS199" s="816"/>
      <c r="FT199" s="816"/>
      <c r="FU199" s="816"/>
      <c r="FV199" s="816"/>
      <c r="FW199" s="816"/>
      <c r="FX199" s="609"/>
      <c r="FY199" s="609"/>
      <c r="FZ199" s="816"/>
      <c r="GA199" s="816"/>
      <c r="GB199" s="609"/>
      <c r="GC199" s="609"/>
      <c r="GD199" s="609"/>
      <c r="GE199" s="816"/>
      <c r="GF199" s="816"/>
      <c r="GG199" s="609"/>
      <c r="GH199" s="609"/>
      <c r="GI199" s="816"/>
      <c r="GJ199" s="816"/>
      <c r="GK199" s="609"/>
      <c r="GL199" s="609"/>
      <c r="GM199" s="816"/>
      <c r="GN199" s="816"/>
      <c r="GO199" s="816"/>
      <c r="GP199" s="816"/>
      <c r="GQ199" s="816"/>
      <c r="GR199" s="816"/>
      <c r="GS199" s="609"/>
      <c r="GT199" s="609"/>
      <c r="GU199" s="816"/>
      <c r="GV199" s="816"/>
      <c r="GW199" s="609"/>
      <c r="GX199" s="609"/>
      <c r="GY199" s="816"/>
      <c r="GZ199" s="816"/>
      <c r="HA199" s="609"/>
      <c r="HB199" s="609"/>
      <c r="HC199" s="816"/>
      <c r="HD199" s="816"/>
      <c r="HE199" s="816"/>
      <c r="HF199" s="816"/>
      <c r="HG199" s="816"/>
      <c r="HH199" s="816"/>
      <c r="HI199" s="821"/>
      <c r="HJ199" s="609"/>
      <c r="HK199" s="816"/>
      <c r="HL199" s="816"/>
      <c r="HM199" s="822"/>
      <c r="HN199" s="609"/>
      <c r="HO199" s="816"/>
      <c r="HP199" s="816"/>
      <c r="HQ199" s="609"/>
      <c r="HR199" s="816"/>
      <c r="HS199" s="816"/>
      <c r="HT199" s="816"/>
      <c r="HU199" s="816"/>
      <c r="HV199" s="816"/>
      <c r="HW199" s="816"/>
      <c r="HX199" s="816"/>
      <c r="HY199" s="816"/>
      <c r="HZ199" s="816"/>
      <c r="IA199" s="816"/>
      <c r="IB199" s="816"/>
      <c r="IC199" s="823"/>
      <c r="ID199" s="824"/>
      <c r="IE199" s="825"/>
      <c r="IF199" s="825"/>
      <c r="IG199" s="816"/>
      <c r="II199" s="834"/>
      <c r="IJ199" s="834"/>
      <c r="IK199" s="826"/>
      <c r="IL199" s="834"/>
    </row>
    <row r="200" spans="2:246" s="780" customFormat="1">
      <c r="B200" s="609"/>
      <c r="C200" s="609"/>
      <c r="D200" s="609"/>
      <c r="E200" s="609"/>
      <c r="F200" s="609"/>
      <c r="G200" s="609"/>
      <c r="H200" s="609"/>
      <c r="I200" s="609"/>
      <c r="J200" s="609"/>
      <c r="K200" s="609"/>
      <c r="L200" s="609"/>
      <c r="M200" s="609"/>
      <c r="N200" s="609"/>
      <c r="O200" s="609"/>
      <c r="P200" s="609"/>
      <c r="Q200" s="609"/>
      <c r="R200" s="609"/>
      <c r="S200" s="609"/>
      <c r="T200" s="609"/>
      <c r="U200" s="609"/>
      <c r="V200" s="609"/>
      <c r="W200" s="609"/>
      <c r="X200" s="609"/>
      <c r="Y200" s="609"/>
      <c r="Z200" s="816"/>
      <c r="AA200" s="816"/>
      <c r="AB200" s="816"/>
      <c r="AC200" s="816"/>
      <c r="AD200" s="816"/>
      <c r="AE200" s="816"/>
      <c r="AF200" s="609"/>
      <c r="AG200" s="609"/>
      <c r="AH200" s="816"/>
      <c r="AI200" s="816"/>
      <c r="AJ200" s="609"/>
      <c r="AK200" s="609"/>
      <c r="AL200" s="816"/>
      <c r="AM200" s="816"/>
      <c r="AN200" s="816"/>
      <c r="AO200" s="816"/>
      <c r="AP200" s="816"/>
      <c r="AQ200" s="816"/>
      <c r="AR200" s="609"/>
      <c r="AS200" s="609"/>
      <c r="AT200" s="816"/>
      <c r="AU200" s="816"/>
      <c r="AV200" s="817"/>
      <c r="AW200" s="609"/>
      <c r="AX200" s="609"/>
      <c r="AY200" s="816"/>
      <c r="AZ200" s="816"/>
      <c r="BA200" s="816"/>
      <c r="BB200" s="816"/>
      <c r="BC200" s="816"/>
      <c r="BD200" s="816"/>
      <c r="BE200" s="816"/>
      <c r="BF200" s="816"/>
      <c r="BG200" s="816"/>
      <c r="BH200" s="816"/>
      <c r="BI200" s="816"/>
      <c r="BJ200" s="816"/>
      <c r="BK200" s="816"/>
      <c r="BL200" s="816"/>
      <c r="BM200" s="816"/>
      <c r="BN200" s="816"/>
      <c r="BO200" s="816"/>
      <c r="BP200" s="816"/>
      <c r="BQ200" s="816"/>
      <c r="BR200" s="816"/>
      <c r="BS200" s="816"/>
      <c r="BT200" s="609"/>
      <c r="BU200" s="609"/>
      <c r="BV200" s="609"/>
      <c r="BW200" s="818"/>
      <c r="BX200" s="816"/>
      <c r="BY200" s="816"/>
      <c r="BZ200" s="816"/>
      <c r="CA200" s="816"/>
      <c r="CB200" s="816"/>
      <c r="CC200" s="816"/>
      <c r="CD200" s="816"/>
      <c r="CE200" s="816"/>
      <c r="CF200" s="820"/>
      <c r="CG200" s="820"/>
      <c r="CH200" s="820"/>
      <c r="CI200" s="820"/>
      <c r="CJ200" s="609"/>
      <c r="CK200" s="609"/>
      <c r="CL200" s="816"/>
      <c r="CM200" s="816"/>
      <c r="CN200" s="609"/>
      <c r="CO200" s="609"/>
      <c r="CP200" s="816"/>
      <c r="CQ200" s="816"/>
      <c r="CR200" s="609"/>
      <c r="CS200" s="609"/>
      <c r="CT200" s="816"/>
      <c r="CU200" s="816"/>
      <c r="CV200" s="609"/>
      <c r="CW200" s="609"/>
      <c r="CX200" s="816"/>
      <c r="CY200" s="816"/>
      <c r="CZ200" s="816"/>
      <c r="DA200" s="816"/>
      <c r="DB200" s="816"/>
      <c r="DC200" s="816"/>
      <c r="DD200" s="816"/>
      <c r="DE200" s="816"/>
      <c r="DF200" s="816"/>
      <c r="DG200" s="816"/>
      <c r="DH200" s="816"/>
      <c r="DI200" s="816"/>
      <c r="DJ200" s="816"/>
      <c r="DK200" s="816"/>
      <c r="DL200" s="609"/>
      <c r="DM200" s="609"/>
      <c r="DN200" s="816"/>
      <c r="DO200" s="816"/>
      <c r="DP200" s="816"/>
      <c r="DQ200" s="816"/>
      <c r="DR200" s="816"/>
      <c r="DS200" s="816"/>
      <c r="DT200" s="816"/>
      <c r="DU200" s="816"/>
      <c r="DV200" s="816"/>
      <c r="DW200" s="816"/>
      <c r="DX200" s="816"/>
      <c r="DY200" s="816"/>
      <c r="DZ200" s="816"/>
      <c r="EA200" s="816"/>
      <c r="EB200" s="609"/>
      <c r="EC200" s="609"/>
      <c r="ED200" s="816"/>
      <c r="EE200" s="816"/>
      <c r="EF200" s="816"/>
      <c r="EG200" s="816"/>
      <c r="EH200" s="816"/>
      <c r="EI200" s="816"/>
      <c r="EJ200" s="816"/>
      <c r="EK200" s="816"/>
      <c r="EL200" s="816"/>
      <c r="EM200" s="816"/>
      <c r="EN200" s="816"/>
      <c r="EO200" s="816"/>
      <c r="EP200" s="816"/>
      <c r="EQ200" s="816"/>
      <c r="ER200" s="816"/>
      <c r="ES200" s="816"/>
      <c r="ET200" s="816"/>
      <c r="EU200" s="816"/>
      <c r="EV200" s="816"/>
      <c r="EW200" s="816"/>
      <c r="EX200" s="816"/>
      <c r="EY200" s="816"/>
      <c r="EZ200" s="816"/>
      <c r="FA200" s="816"/>
      <c r="FB200" s="819"/>
      <c r="FC200" s="816"/>
      <c r="FD200" s="820"/>
      <c r="FE200" s="820"/>
      <c r="FF200" s="820"/>
      <c r="FG200" s="820"/>
      <c r="FH200" s="609"/>
      <c r="FI200" s="609"/>
      <c r="FJ200" s="816"/>
      <c r="FK200" s="816"/>
      <c r="FL200" s="816"/>
      <c r="FM200" s="816"/>
      <c r="FN200" s="816"/>
      <c r="FO200" s="816"/>
      <c r="FP200" s="816"/>
      <c r="FQ200" s="816"/>
      <c r="FR200" s="816"/>
      <c r="FS200" s="816"/>
      <c r="FT200" s="816"/>
      <c r="FU200" s="816"/>
      <c r="FV200" s="816"/>
      <c r="FW200" s="816"/>
      <c r="FX200" s="609"/>
      <c r="FY200" s="609"/>
      <c r="FZ200" s="816"/>
      <c r="GA200" s="816"/>
      <c r="GB200" s="609"/>
      <c r="GC200" s="609"/>
      <c r="GD200" s="609"/>
      <c r="GE200" s="816"/>
      <c r="GF200" s="816"/>
      <c r="GG200" s="609"/>
      <c r="GH200" s="609"/>
      <c r="GI200" s="816"/>
      <c r="GJ200" s="816"/>
      <c r="GK200" s="609"/>
      <c r="GL200" s="609"/>
      <c r="GM200" s="816"/>
      <c r="GN200" s="816"/>
      <c r="GO200" s="816"/>
      <c r="GP200" s="816"/>
      <c r="GQ200" s="816"/>
      <c r="GR200" s="816"/>
      <c r="GS200" s="609"/>
      <c r="GT200" s="609"/>
      <c r="GU200" s="816"/>
      <c r="GV200" s="816"/>
      <c r="GW200" s="609"/>
      <c r="GX200" s="609"/>
      <c r="GY200" s="816"/>
      <c r="GZ200" s="816"/>
      <c r="HA200" s="609"/>
      <c r="HB200" s="609"/>
      <c r="HC200" s="816"/>
      <c r="HD200" s="816"/>
      <c r="HE200" s="816"/>
      <c r="HF200" s="816"/>
      <c r="HG200" s="816"/>
      <c r="HH200" s="816"/>
      <c r="HI200" s="821"/>
      <c r="HJ200" s="609"/>
      <c r="HK200" s="816"/>
      <c r="HL200" s="816"/>
      <c r="HM200" s="822"/>
      <c r="HN200" s="609"/>
      <c r="HO200" s="816"/>
      <c r="HP200" s="816"/>
      <c r="HQ200" s="609"/>
      <c r="HR200" s="816"/>
      <c r="HS200" s="816"/>
      <c r="HT200" s="816"/>
      <c r="HU200" s="816"/>
      <c r="HV200" s="816"/>
      <c r="HW200" s="816"/>
      <c r="HX200" s="816"/>
      <c r="HY200" s="816"/>
      <c r="HZ200" s="816"/>
      <c r="IA200" s="816"/>
      <c r="IB200" s="816"/>
      <c r="IC200" s="823"/>
      <c r="ID200" s="824"/>
      <c r="IE200" s="825"/>
      <c r="IF200" s="825"/>
      <c r="IG200" s="816"/>
      <c r="II200" s="834"/>
      <c r="IJ200" s="834"/>
      <c r="IK200" s="826"/>
      <c r="IL200" s="834"/>
    </row>
    <row r="201" spans="2:246" s="780" customFormat="1">
      <c r="B201" s="609"/>
      <c r="C201" s="609"/>
      <c r="D201" s="609"/>
      <c r="E201" s="609"/>
      <c r="F201" s="609"/>
      <c r="G201" s="609"/>
      <c r="H201" s="609"/>
      <c r="I201" s="609"/>
      <c r="J201" s="609"/>
      <c r="K201" s="609"/>
      <c r="L201" s="609"/>
      <c r="M201" s="609"/>
      <c r="N201" s="609"/>
      <c r="O201" s="609"/>
      <c r="P201" s="609"/>
      <c r="Q201" s="609"/>
      <c r="R201" s="609"/>
      <c r="S201" s="609"/>
      <c r="T201" s="609"/>
      <c r="U201" s="609"/>
      <c r="V201" s="609"/>
      <c r="W201" s="609"/>
      <c r="X201" s="609"/>
      <c r="Y201" s="609"/>
      <c r="Z201" s="816"/>
      <c r="AA201" s="816"/>
      <c r="AB201" s="816"/>
      <c r="AC201" s="816"/>
      <c r="AD201" s="816"/>
      <c r="AE201" s="816"/>
      <c r="AF201" s="609"/>
      <c r="AG201" s="609"/>
      <c r="AH201" s="816"/>
      <c r="AI201" s="816"/>
      <c r="AJ201" s="609"/>
      <c r="AK201" s="609"/>
      <c r="AL201" s="816"/>
      <c r="AM201" s="816"/>
      <c r="AN201" s="816"/>
      <c r="AO201" s="816"/>
      <c r="AP201" s="816"/>
      <c r="AQ201" s="816"/>
      <c r="AR201" s="609"/>
      <c r="AS201" s="609"/>
      <c r="AT201" s="816"/>
      <c r="AU201" s="816"/>
      <c r="AV201" s="817"/>
      <c r="AW201" s="609"/>
      <c r="AX201" s="609"/>
      <c r="AY201" s="816"/>
      <c r="AZ201" s="816"/>
      <c r="BA201" s="816"/>
      <c r="BB201" s="816"/>
      <c r="BC201" s="816"/>
      <c r="BD201" s="816"/>
      <c r="BE201" s="816"/>
      <c r="BF201" s="816"/>
      <c r="BG201" s="816"/>
      <c r="BH201" s="816"/>
      <c r="BI201" s="816"/>
      <c r="BJ201" s="816"/>
      <c r="BK201" s="816"/>
      <c r="BL201" s="816"/>
      <c r="BM201" s="816"/>
      <c r="BN201" s="816"/>
      <c r="BO201" s="816"/>
      <c r="BP201" s="816"/>
      <c r="BQ201" s="816"/>
      <c r="BR201" s="816"/>
      <c r="BS201" s="816"/>
      <c r="BT201" s="609"/>
      <c r="BU201" s="609"/>
      <c r="BV201" s="609"/>
      <c r="BW201" s="818"/>
      <c r="BX201" s="816"/>
      <c r="BY201" s="816"/>
      <c r="BZ201" s="816"/>
      <c r="CA201" s="816"/>
      <c r="CB201" s="816"/>
      <c r="CC201" s="816"/>
      <c r="CD201" s="816"/>
      <c r="CE201" s="816"/>
      <c r="CF201" s="820"/>
      <c r="CG201" s="820"/>
      <c r="CH201" s="820"/>
      <c r="CI201" s="820"/>
      <c r="CJ201" s="609"/>
      <c r="CK201" s="609"/>
      <c r="CL201" s="816"/>
      <c r="CM201" s="816"/>
      <c r="CN201" s="609"/>
      <c r="CO201" s="609"/>
      <c r="CP201" s="816"/>
      <c r="CQ201" s="816"/>
      <c r="CR201" s="609"/>
      <c r="CS201" s="609"/>
      <c r="CT201" s="816"/>
      <c r="CU201" s="816"/>
      <c r="CV201" s="609"/>
      <c r="CW201" s="609"/>
      <c r="CX201" s="816"/>
      <c r="CY201" s="816"/>
      <c r="CZ201" s="816"/>
      <c r="DA201" s="816"/>
      <c r="DB201" s="816"/>
      <c r="DC201" s="816"/>
      <c r="DD201" s="816"/>
      <c r="DE201" s="816"/>
      <c r="DF201" s="816"/>
      <c r="DG201" s="816"/>
      <c r="DH201" s="816"/>
      <c r="DI201" s="816"/>
      <c r="DJ201" s="816"/>
      <c r="DK201" s="816"/>
      <c r="DL201" s="609"/>
      <c r="DM201" s="609"/>
      <c r="DN201" s="816"/>
      <c r="DO201" s="816"/>
      <c r="DP201" s="816"/>
      <c r="DQ201" s="816"/>
      <c r="DR201" s="816"/>
      <c r="DS201" s="816"/>
      <c r="DT201" s="816"/>
      <c r="DU201" s="816"/>
      <c r="DV201" s="816"/>
      <c r="DW201" s="816"/>
      <c r="DX201" s="816"/>
      <c r="DY201" s="816"/>
      <c r="DZ201" s="816"/>
      <c r="EA201" s="816"/>
      <c r="EB201" s="609"/>
      <c r="EC201" s="609"/>
      <c r="ED201" s="816"/>
      <c r="EE201" s="816"/>
      <c r="EF201" s="816"/>
      <c r="EG201" s="816"/>
      <c r="EH201" s="816"/>
      <c r="EI201" s="816"/>
      <c r="EJ201" s="816"/>
      <c r="EK201" s="816"/>
      <c r="EL201" s="816"/>
      <c r="EM201" s="816"/>
      <c r="EN201" s="816"/>
      <c r="EO201" s="816"/>
      <c r="EP201" s="816"/>
      <c r="EQ201" s="816"/>
      <c r="ER201" s="816"/>
      <c r="ES201" s="816"/>
      <c r="ET201" s="816"/>
      <c r="EU201" s="816"/>
      <c r="EV201" s="816"/>
      <c r="EW201" s="816"/>
      <c r="EX201" s="816"/>
      <c r="EY201" s="816"/>
      <c r="EZ201" s="816"/>
      <c r="FA201" s="816"/>
      <c r="FB201" s="819"/>
      <c r="FC201" s="816"/>
      <c r="FD201" s="820"/>
      <c r="FE201" s="820"/>
      <c r="FF201" s="820"/>
      <c r="FG201" s="820"/>
      <c r="FH201" s="609"/>
      <c r="FI201" s="609"/>
      <c r="FJ201" s="816"/>
      <c r="FK201" s="816"/>
      <c r="FL201" s="816"/>
      <c r="FM201" s="816"/>
      <c r="FN201" s="816"/>
      <c r="FO201" s="816"/>
      <c r="FP201" s="816"/>
      <c r="FQ201" s="816"/>
      <c r="FR201" s="816"/>
      <c r="FS201" s="816"/>
      <c r="FT201" s="816"/>
      <c r="FU201" s="816"/>
      <c r="FV201" s="816"/>
      <c r="FW201" s="816"/>
      <c r="FX201" s="609"/>
      <c r="FY201" s="609"/>
      <c r="FZ201" s="816"/>
      <c r="GA201" s="816"/>
      <c r="GB201" s="609"/>
      <c r="GC201" s="609"/>
      <c r="GD201" s="609"/>
      <c r="GE201" s="816"/>
      <c r="GF201" s="816"/>
      <c r="GG201" s="609"/>
      <c r="GH201" s="609"/>
      <c r="GI201" s="816"/>
      <c r="GJ201" s="816"/>
      <c r="GK201" s="609"/>
      <c r="GL201" s="609"/>
      <c r="GM201" s="816"/>
      <c r="GN201" s="816"/>
      <c r="GO201" s="816"/>
      <c r="GP201" s="816"/>
      <c r="GQ201" s="816"/>
      <c r="GR201" s="816"/>
      <c r="GS201" s="609"/>
      <c r="GT201" s="609"/>
      <c r="GU201" s="816"/>
      <c r="GV201" s="816"/>
      <c r="GW201" s="609"/>
      <c r="GX201" s="609"/>
      <c r="GY201" s="816"/>
      <c r="GZ201" s="816"/>
      <c r="HA201" s="609"/>
      <c r="HB201" s="609"/>
      <c r="HC201" s="816"/>
      <c r="HD201" s="816"/>
      <c r="HE201" s="816"/>
      <c r="HF201" s="816"/>
      <c r="HG201" s="816"/>
      <c r="HH201" s="816"/>
      <c r="HI201" s="821"/>
      <c r="HJ201" s="609"/>
      <c r="HK201" s="816"/>
      <c r="HL201" s="816"/>
      <c r="HM201" s="822"/>
      <c r="HN201" s="609"/>
      <c r="HO201" s="816"/>
      <c r="HP201" s="816"/>
      <c r="HQ201" s="609"/>
      <c r="HR201" s="816"/>
      <c r="HS201" s="816"/>
      <c r="HT201" s="816"/>
      <c r="HU201" s="816"/>
      <c r="HV201" s="816"/>
      <c r="HW201" s="816"/>
      <c r="HX201" s="816"/>
      <c r="HY201" s="816"/>
      <c r="HZ201" s="816"/>
      <c r="IA201" s="816"/>
      <c r="IB201" s="816"/>
      <c r="IC201" s="823"/>
      <c r="ID201" s="824"/>
      <c r="IE201" s="825"/>
      <c r="IF201" s="825"/>
      <c r="IG201" s="816"/>
      <c r="II201" s="834"/>
      <c r="IJ201" s="834"/>
      <c r="IK201" s="826"/>
      <c r="IL201" s="834"/>
    </row>
    <row r="202" spans="2:246" s="780" customFormat="1">
      <c r="B202" s="609"/>
      <c r="C202" s="609"/>
      <c r="D202" s="609"/>
      <c r="E202" s="609"/>
      <c r="F202" s="609"/>
      <c r="G202" s="609"/>
      <c r="H202" s="609"/>
      <c r="I202" s="609"/>
      <c r="J202" s="609"/>
      <c r="K202" s="609"/>
      <c r="L202" s="609"/>
      <c r="M202" s="609"/>
      <c r="N202" s="609"/>
      <c r="O202" s="609"/>
      <c r="P202" s="609"/>
      <c r="Q202" s="609"/>
      <c r="R202" s="609"/>
      <c r="S202" s="609"/>
      <c r="T202" s="609"/>
      <c r="U202" s="609"/>
      <c r="V202" s="609"/>
      <c r="W202" s="609"/>
      <c r="X202" s="609"/>
      <c r="Y202" s="609"/>
      <c r="Z202" s="816"/>
      <c r="AA202" s="816"/>
      <c r="AB202" s="816"/>
      <c r="AC202" s="816"/>
      <c r="AD202" s="816"/>
      <c r="AE202" s="816"/>
      <c r="AF202" s="609"/>
      <c r="AG202" s="609"/>
      <c r="AH202" s="816"/>
      <c r="AI202" s="816"/>
      <c r="AJ202" s="609"/>
      <c r="AK202" s="609"/>
      <c r="AL202" s="816"/>
      <c r="AM202" s="816"/>
      <c r="AN202" s="816"/>
      <c r="AO202" s="816"/>
      <c r="AP202" s="816"/>
      <c r="AQ202" s="816"/>
      <c r="AR202" s="609"/>
      <c r="AS202" s="609"/>
      <c r="AT202" s="816"/>
      <c r="AU202" s="816"/>
      <c r="AV202" s="817"/>
      <c r="AW202" s="609"/>
      <c r="AX202" s="609"/>
      <c r="AY202" s="816"/>
      <c r="AZ202" s="816"/>
      <c r="BA202" s="816"/>
      <c r="BB202" s="816"/>
      <c r="BC202" s="816"/>
      <c r="BD202" s="816"/>
      <c r="BE202" s="816"/>
      <c r="BF202" s="816"/>
      <c r="BG202" s="816"/>
      <c r="BH202" s="816"/>
      <c r="BI202" s="816"/>
      <c r="BJ202" s="816"/>
      <c r="BK202" s="816"/>
      <c r="BL202" s="816"/>
      <c r="BM202" s="816"/>
      <c r="BN202" s="816"/>
      <c r="BO202" s="816"/>
      <c r="BP202" s="816"/>
      <c r="BQ202" s="816"/>
      <c r="BR202" s="816"/>
      <c r="BS202" s="816"/>
      <c r="BT202" s="609"/>
      <c r="BU202" s="609"/>
      <c r="BV202" s="609"/>
      <c r="BW202" s="818"/>
      <c r="BX202" s="816"/>
      <c r="BY202" s="816"/>
      <c r="BZ202" s="816"/>
      <c r="CA202" s="816"/>
      <c r="CB202" s="816"/>
      <c r="CC202" s="816"/>
      <c r="CD202" s="816"/>
      <c r="CE202" s="816"/>
      <c r="CF202" s="820"/>
      <c r="CG202" s="820"/>
      <c r="CH202" s="820"/>
      <c r="CI202" s="820"/>
      <c r="CJ202" s="609"/>
      <c r="CK202" s="609"/>
      <c r="CL202" s="816"/>
      <c r="CM202" s="816"/>
      <c r="CN202" s="609"/>
      <c r="CO202" s="609"/>
      <c r="CP202" s="816"/>
      <c r="CQ202" s="816"/>
      <c r="CR202" s="609"/>
      <c r="CS202" s="609"/>
      <c r="CT202" s="816"/>
      <c r="CU202" s="816"/>
      <c r="CV202" s="609"/>
      <c r="CW202" s="609"/>
      <c r="CX202" s="816"/>
      <c r="CY202" s="816"/>
      <c r="CZ202" s="816"/>
      <c r="DA202" s="816"/>
      <c r="DB202" s="816"/>
      <c r="DC202" s="816"/>
      <c r="DD202" s="816"/>
      <c r="DE202" s="816"/>
      <c r="DF202" s="816"/>
      <c r="DG202" s="816"/>
      <c r="DH202" s="816"/>
      <c r="DI202" s="816"/>
      <c r="DJ202" s="816"/>
      <c r="DK202" s="816"/>
      <c r="DL202" s="609"/>
      <c r="DM202" s="609"/>
      <c r="DN202" s="816"/>
      <c r="DO202" s="816"/>
      <c r="DP202" s="816"/>
      <c r="DQ202" s="816"/>
      <c r="DR202" s="816"/>
      <c r="DS202" s="816"/>
      <c r="DT202" s="816"/>
      <c r="DU202" s="816"/>
      <c r="DV202" s="816"/>
      <c r="DW202" s="816"/>
      <c r="DX202" s="816"/>
      <c r="DY202" s="816"/>
      <c r="DZ202" s="816"/>
      <c r="EA202" s="816"/>
      <c r="EB202" s="609"/>
      <c r="EC202" s="609"/>
      <c r="ED202" s="816"/>
      <c r="EE202" s="816"/>
      <c r="EF202" s="816"/>
      <c r="EG202" s="816"/>
      <c r="EH202" s="816"/>
      <c r="EI202" s="816"/>
      <c r="EJ202" s="816"/>
      <c r="EK202" s="816"/>
      <c r="EL202" s="816"/>
      <c r="EM202" s="816"/>
      <c r="EN202" s="816"/>
      <c r="EO202" s="816"/>
      <c r="EP202" s="816"/>
      <c r="EQ202" s="816"/>
      <c r="ER202" s="816"/>
      <c r="ES202" s="816"/>
      <c r="ET202" s="816"/>
      <c r="EU202" s="816"/>
      <c r="EV202" s="816"/>
      <c r="EW202" s="816"/>
      <c r="EX202" s="816"/>
      <c r="EY202" s="816"/>
      <c r="EZ202" s="816"/>
      <c r="FA202" s="816"/>
      <c r="FB202" s="819"/>
      <c r="FC202" s="816"/>
      <c r="FD202" s="820"/>
      <c r="FE202" s="820"/>
      <c r="FF202" s="820"/>
      <c r="FG202" s="820"/>
      <c r="FH202" s="609"/>
      <c r="FI202" s="609"/>
      <c r="FJ202" s="816"/>
      <c r="FK202" s="816"/>
      <c r="FL202" s="816"/>
      <c r="FM202" s="816"/>
      <c r="FN202" s="816"/>
      <c r="FO202" s="816"/>
      <c r="FP202" s="816"/>
      <c r="FQ202" s="816"/>
      <c r="FR202" s="816"/>
      <c r="FS202" s="816"/>
      <c r="FT202" s="816"/>
      <c r="FU202" s="816"/>
      <c r="FV202" s="816"/>
      <c r="FW202" s="816"/>
      <c r="FX202" s="609"/>
      <c r="FY202" s="609"/>
      <c r="FZ202" s="816"/>
      <c r="GA202" s="816"/>
      <c r="GB202" s="609"/>
      <c r="GC202" s="609"/>
      <c r="GD202" s="609"/>
      <c r="GE202" s="816"/>
      <c r="GF202" s="816"/>
      <c r="GG202" s="609"/>
      <c r="GH202" s="609"/>
      <c r="GI202" s="816"/>
      <c r="GJ202" s="816"/>
      <c r="GK202" s="609"/>
      <c r="GL202" s="609"/>
      <c r="GM202" s="816"/>
      <c r="GN202" s="816"/>
      <c r="GO202" s="816"/>
      <c r="GP202" s="816"/>
      <c r="GQ202" s="816"/>
      <c r="GR202" s="816"/>
      <c r="GS202" s="609"/>
      <c r="GT202" s="609"/>
      <c r="GU202" s="816"/>
      <c r="GV202" s="816"/>
      <c r="GW202" s="609"/>
      <c r="GX202" s="609"/>
      <c r="GY202" s="816"/>
      <c r="GZ202" s="816"/>
      <c r="HA202" s="609"/>
      <c r="HB202" s="609"/>
      <c r="HC202" s="816"/>
      <c r="HD202" s="816"/>
      <c r="HE202" s="816"/>
      <c r="HF202" s="816"/>
      <c r="HG202" s="816"/>
      <c r="HH202" s="816"/>
      <c r="HI202" s="821"/>
      <c r="HJ202" s="609"/>
      <c r="HK202" s="816"/>
      <c r="HL202" s="816"/>
      <c r="HM202" s="822"/>
      <c r="HN202" s="609"/>
      <c r="HO202" s="816"/>
      <c r="HP202" s="816"/>
      <c r="HQ202" s="609"/>
      <c r="HR202" s="816"/>
      <c r="HS202" s="816"/>
      <c r="HT202" s="816"/>
      <c r="HU202" s="816"/>
      <c r="HV202" s="816"/>
      <c r="HW202" s="816"/>
      <c r="HX202" s="816"/>
      <c r="HY202" s="816"/>
      <c r="HZ202" s="816"/>
      <c r="IA202" s="816"/>
      <c r="IB202" s="816"/>
      <c r="IC202" s="823"/>
      <c r="ID202" s="824"/>
      <c r="IE202" s="825"/>
      <c r="IF202" s="825"/>
      <c r="IG202" s="816"/>
      <c r="II202" s="834"/>
      <c r="IJ202" s="834"/>
      <c r="IK202" s="826"/>
      <c r="IL202" s="834"/>
    </row>
    <row r="203" spans="2:246" s="780" customFormat="1">
      <c r="B203" s="609"/>
      <c r="C203" s="609"/>
      <c r="D203" s="609"/>
      <c r="E203" s="609"/>
      <c r="F203" s="609"/>
      <c r="G203" s="609"/>
      <c r="H203" s="609"/>
      <c r="I203" s="609"/>
      <c r="J203" s="609"/>
      <c r="K203" s="609"/>
      <c r="L203" s="609"/>
      <c r="M203" s="609"/>
      <c r="N203" s="609"/>
      <c r="O203" s="609"/>
      <c r="P203" s="609"/>
      <c r="Q203" s="609"/>
      <c r="R203" s="609"/>
      <c r="S203" s="609"/>
      <c r="T203" s="609"/>
      <c r="U203" s="609"/>
      <c r="V203" s="609"/>
      <c r="W203" s="609"/>
      <c r="X203" s="609"/>
      <c r="Y203" s="609"/>
      <c r="Z203" s="816"/>
      <c r="AA203" s="816"/>
      <c r="AB203" s="816"/>
      <c r="AC203" s="816"/>
      <c r="AD203" s="816"/>
      <c r="AE203" s="816"/>
      <c r="AF203" s="609"/>
      <c r="AG203" s="609"/>
      <c r="AH203" s="816"/>
      <c r="AI203" s="816"/>
      <c r="AJ203" s="609"/>
      <c r="AK203" s="609"/>
      <c r="AL203" s="816"/>
      <c r="AM203" s="816"/>
      <c r="AN203" s="816"/>
      <c r="AO203" s="816"/>
      <c r="AP203" s="816"/>
      <c r="AQ203" s="816"/>
      <c r="AR203" s="609"/>
      <c r="AS203" s="609"/>
      <c r="AT203" s="816"/>
      <c r="AU203" s="816"/>
      <c r="AV203" s="817"/>
      <c r="AW203" s="609"/>
      <c r="AX203" s="609"/>
      <c r="AY203" s="816"/>
      <c r="AZ203" s="816"/>
      <c r="BA203" s="816"/>
      <c r="BB203" s="816"/>
      <c r="BC203" s="816"/>
      <c r="BD203" s="816"/>
      <c r="BE203" s="816"/>
      <c r="BF203" s="816"/>
      <c r="BG203" s="816"/>
      <c r="BH203" s="816"/>
      <c r="BI203" s="816"/>
      <c r="BJ203" s="816"/>
      <c r="BK203" s="816"/>
      <c r="BL203" s="816"/>
      <c r="BM203" s="816"/>
      <c r="BN203" s="816"/>
      <c r="BO203" s="816"/>
      <c r="BP203" s="816"/>
      <c r="BQ203" s="816"/>
      <c r="BR203" s="816"/>
      <c r="BS203" s="816"/>
      <c r="BT203" s="609"/>
      <c r="BU203" s="609"/>
      <c r="BV203" s="609"/>
      <c r="BW203" s="818"/>
      <c r="BX203" s="816"/>
      <c r="BY203" s="816"/>
      <c r="BZ203" s="816"/>
      <c r="CA203" s="816"/>
      <c r="CB203" s="816"/>
      <c r="CC203" s="816"/>
      <c r="CD203" s="816"/>
      <c r="CE203" s="816"/>
      <c r="CF203" s="820"/>
      <c r="CG203" s="820"/>
      <c r="CH203" s="820"/>
      <c r="CI203" s="820"/>
      <c r="CJ203" s="609"/>
      <c r="CK203" s="609"/>
      <c r="CL203" s="816"/>
      <c r="CM203" s="816"/>
      <c r="CN203" s="609"/>
      <c r="CO203" s="609"/>
      <c r="CP203" s="816"/>
      <c r="CQ203" s="816"/>
      <c r="CR203" s="609"/>
      <c r="CS203" s="609"/>
      <c r="CT203" s="816"/>
      <c r="CU203" s="816"/>
      <c r="CV203" s="609"/>
      <c r="CW203" s="609"/>
      <c r="CX203" s="816"/>
      <c r="CY203" s="816"/>
      <c r="CZ203" s="816"/>
      <c r="DA203" s="816"/>
      <c r="DB203" s="816"/>
      <c r="DC203" s="816"/>
      <c r="DD203" s="816"/>
      <c r="DE203" s="816"/>
      <c r="DF203" s="816"/>
      <c r="DG203" s="816"/>
      <c r="DH203" s="816"/>
      <c r="DI203" s="816"/>
      <c r="DJ203" s="816"/>
      <c r="DK203" s="816"/>
      <c r="DL203" s="609"/>
      <c r="DM203" s="609"/>
      <c r="DN203" s="816"/>
      <c r="DO203" s="816"/>
      <c r="DP203" s="816"/>
      <c r="DQ203" s="816"/>
      <c r="DR203" s="816"/>
      <c r="DS203" s="816"/>
      <c r="DT203" s="816"/>
      <c r="DU203" s="816"/>
      <c r="DV203" s="816"/>
      <c r="DW203" s="816"/>
      <c r="DX203" s="816"/>
      <c r="DY203" s="816"/>
      <c r="DZ203" s="816"/>
      <c r="EA203" s="816"/>
      <c r="EB203" s="609"/>
      <c r="EC203" s="609"/>
      <c r="ED203" s="816"/>
      <c r="EE203" s="816"/>
      <c r="EF203" s="816"/>
      <c r="EG203" s="816"/>
      <c r="EH203" s="816"/>
      <c r="EI203" s="816"/>
      <c r="EJ203" s="816"/>
      <c r="EK203" s="816"/>
      <c r="EL203" s="816"/>
      <c r="EM203" s="816"/>
      <c r="EN203" s="816"/>
      <c r="EO203" s="816"/>
      <c r="EP203" s="816"/>
      <c r="EQ203" s="816"/>
      <c r="ER203" s="816"/>
      <c r="ES203" s="816"/>
      <c r="ET203" s="816"/>
      <c r="EU203" s="816"/>
      <c r="EV203" s="816"/>
      <c r="EW203" s="816"/>
      <c r="EX203" s="816"/>
      <c r="EY203" s="816"/>
      <c r="EZ203" s="816"/>
      <c r="FA203" s="816"/>
      <c r="FB203" s="819"/>
      <c r="FC203" s="816"/>
      <c r="FD203" s="820"/>
      <c r="FE203" s="820"/>
      <c r="FF203" s="820"/>
      <c r="FG203" s="820"/>
      <c r="FH203" s="609"/>
      <c r="FI203" s="609"/>
      <c r="FJ203" s="816"/>
      <c r="FK203" s="816"/>
      <c r="FL203" s="816"/>
      <c r="FM203" s="816"/>
      <c r="FN203" s="816"/>
      <c r="FO203" s="816"/>
      <c r="FP203" s="816"/>
      <c r="FQ203" s="816"/>
      <c r="FR203" s="816"/>
      <c r="FS203" s="816"/>
      <c r="FT203" s="816"/>
      <c r="FU203" s="816"/>
      <c r="FV203" s="816"/>
      <c r="FW203" s="816"/>
      <c r="FX203" s="609"/>
      <c r="FY203" s="609"/>
      <c r="FZ203" s="816"/>
      <c r="GA203" s="816"/>
      <c r="GB203" s="609"/>
      <c r="GC203" s="609"/>
      <c r="GD203" s="609"/>
      <c r="GE203" s="816"/>
      <c r="GF203" s="816"/>
      <c r="GG203" s="609"/>
      <c r="GH203" s="609"/>
      <c r="GI203" s="816"/>
      <c r="GJ203" s="816"/>
      <c r="GK203" s="609"/>
      <c r="GL203" s="609"/>
      <c r="GM203" s="816"/>
      <c r="GN203" s="816"/>
      <c r="GO203" s="816"/>
      <c r="GP203" s="816"/>
      <c r="GQ203" s="816"/>
      <c r="GR203" s="816"/>
      <c r="GS203" s="609"/>
      <c r="GT203" s="609"/>
      <c r="GU203" s="816"/>
      <c r="GV203" s="816"/>
      <c r="GW203" s="609"/>
      <c r="GX203" s="609"/>
      <c r="GY203" s="816"/>
      <c r="GZ203" s="816"/>
      <c r="HA203" s="609"/>
      <c r="HB203" s="609"/>
      <c r="HC203" s="816"/>
      <c r="HD203" s="816"/>
      <c r="HE203" s="816"/>
      <c r="HF203" s="816"/>
      <c r="HG203" s="816"/>
      <c r="HH203" s="816"/>
      <c r="HI203" s="821"/>
      <c r="HJ203" s="609"/>
      <c r="HK203" s="816"/>
      <c r="HL203" s="816"/>
      <c r="HM203" s="822"/>
      <c r="HN203" s="609"/>
      <c r="HO203" s="816"/>
      <c r="HP203" s="816"/>
      <c r="HQ203" s="609"/>
      <c r="HR203" s="816"/>
      <c r="HS203" s="816"/>
      <c r="HT203" s="816"/>
      <c r="HU203" s="816"/>
      <c r="HV203" s="816"/>
      <c r="HW203" s="816"/>
      <c r="HX203" s="816"/>
      <c r="HY203" s="816"/>
      <c r="HZ203" s="816"/>
      <c r="IA203" s="816"/>
      <c r="IB203" s="816"/>
      <c r="IC203" s="823"/>
      <c r="ID203" s="824"/>
      <c r="IE203" s="825"/>
      <c r="IF203" s="825"/>
      <c r="IG203" s="816"/>
      <c r="II203" s="834"/>
      <c r="IJ203" s="834"/>
      <c r="IK203" s="826"/>
      <c r="IL203" s="834"/>
    </row>
    <row r="204" spans="2:246" s="780" customFormat="1">
      <c r="B204" s="609"/>
      <c r="C204" s="609"/>
      <c r="D204" s="609"/>
      <c r="E204" s="609"/>
      <c r="F204" s="609"/>
      <c r="G204" s="609"/>
      <c r="H204" s="609"/>
      <c r="I204" s="609"/>
      <c r="J204" s="609"/>
      <c r="K204" s="609"/>
      <c r="L204" s="609"/>
      <c r="M204" s="609"/>
      <c r="N204" s="609"/>
      <c r="O204" s="609"/>
      <c r="P204" s="609"/>
      <c r="Q204" s="609"/>
      <c r="R204" s="609"/>
      <c r="S204" s="609"/>
      <c r="T204" s="609"/>
      <c r="U204" s="609"/>
      <c r="V204" s="609"/>
      <c r="W204" s="609"/>
      <c r="X204" s="609"/>
      <c r="Y204" s="609"/>
      <c r="Z204" s="816"/>
      <c r="AA204" s="816"/>
      <c r="AB204" s="816"/>
      <c r="AC204" s="816"/>
      <c r="AD204" s="816"/>
      <c r="AE204" s="816"/>
      <c r="AF204" s="609"/>
      <c r="AG204" s="609"/>
      <c r="AH204" s="816"/>
      <c r="AI204" s="816"/>
      <c r="AJ204" s="609"/>
      <c r="AK204" s="609"/>
      <c r="AL204" s="816"/>
      <c r="AM204" s="816"/>
      <c r="AN204" s="816"/>
      <c r="AO204" s="816"/>
      <c r="AP204" s="816"/>
      <c r="AQ204" s="816"/>
      <c r="AR204" s="609"/>
      <c r="AS204" s="609"/>
      <c r="AT204" s="816"/>
      <c r="AU204" s="816"/>
      <c r="AV204" s="817"/>
      <c r="AW204" s="609"/>
      <c r="AX204" s="609"/>
      <c r="AY204" s="816"/>
      <c r="AZ204" s="816"/>
      <c r="BA204" s="816"/>
      <c r="BB204" s="816"/>
      <c r="BC204" s="816"/>
      <c r="BD204" s="816"/>
      <c r="BE204" s="816"/>
      <c r="BF204" s="816"/>
      <c r="BG204" s="816"/>
      <c r="BH204" s="816"/>
      <c r="BI204" s="816"/>
      <c r="BJ204" s="816"/>
      <c r="BK204" s="816"/>
      <c r="BL204" s="816"/>
      <c r="BM204" s="816"/>
      <c r="BN204" s="816"/>
      <c r="BO204" s="816"/>
      <c r="BP204" s="816"/>
      <c r="BQ204" s="816"/>
      <c r="BR204" s="816"/>
      <c r="BS204" s="816"/>
      <c r="BT204" s="609"/>
      <c r="BU204" s="609"/>
      <c r="BV204" s="609"/>
      <c r="BW204" s="818"/>
      <c r="BX204" s="816"/>
      <c r="BY204" s="816"/>
      <c r="BZ204" s="816"/>
      <c r="CA204" s="816"/>
      <c r="CB204" s="816"/>
      <c r="CC204" s="816"/>
      <c r="CD204" s="816"/>
      <c r="CE204" s="816"/>
      <c r="CF204" s="820"/>
      <c r="CG204" s="820"/>
      <c r="CH204" s="820"/>
      <c r="CI204" s="820"/>
      <c r="CJ204" s="609"/>
      <c r="CK204" s="609"/>
      <c r="CL204" s="816"/>
      <c r="CM204" s="816"/>
      <c r="CN204" s="609"/>
      <c r="CO204" s="609"/>
      <c r="CP204" s="816"/>
      <c r="CQ204" s="816"/>
      <c r="CR204" s="609"/>
      <c r="CS204" s="609"/>
      <c r="CT204" s="816"/>
      <c r="CU204" s="816"/>
      <c r="CV204" s="609"/>
      <c r="CW204" s="609"/>
      <c r="CX204" s="816"/>
      <c r="CY204" s="816"/>
      <c r="CZ204" s="816"/>
      <c r="DA204" s="816"/>
      <c r="DB204" s="816"/>
      <c r="DC204" s="816"/>
      <c r="DD204" s="816"/>
      <c r="DE204" s="816"/>
      <c r="DF204" s="816"/>
      <c r="DG204" s="816"/>
      <c r="DH204" s="816"/>
      <c r="DI204" s="816"/>
      <c r="DJ204" s="816"/>
      <c r="DK204" s="816"/>
      <c r="DL204" s="609"/>
      <c r="DM204" s="609"/>
      <c r="DN204" s="816"/>
      <c r="DO204" s="816"/>
      <c r="DP204" s="816"/>
      <c r="DQ204" s="816"/>
      <c r="DR204" s="816"/>
      <c r="DS204" s="816"/>
      <c r="DT204" s="816"/>
      <c r="DU204" s="816"/>
      <c r="DV204" s="816"/>
      <c r="DW204" s="816"/>
      <c r="DX204" s="816"/>
      <c r="DY204" s="816"/>
      <c r="DZ204" s="816"/>
      <c r="EA204" s="816"/>
      <c r="EB204" s="609"/>
      <c r="EC204" s="609"/>
      <c r="ED204" s="816"/>
      <c r="EE204" s="816"/>
      <c r="EF204" s="816"/>
      <c r="EG204" s="816"/>
      <c r="EH204" s="816"/>
      <c r="EI204" s="816"/>
      <c r="EJ204" s="816"/>
      <c r="EK204" s="816"/>
      <c r="EL204" s="816"/>
      <c r="EM204" s="816"/>
      <c r="EN204" s="816"/>
      <c r="EO204" s="816"/>
      <c r="EP204" s="816"/>
      <c r="EQ204" s="816"/>
      <c r="ER204" s="816"/>
      <c r="ES204" s="816"/>
      <c r="ET204" s="816"/>
      <c r="EU204" s="816"/>
      <c r="EV204" s="816"/>
      <c r="EW204" s="816"/>
      <c r="EX204" s="816"/>
      <c r="EY204" s="816"/>
      <c r="EZ204" s="816"/>
      <c r="FA204" s="816"/>
      <c r="FB204" s="819"/>
      <c r="FC204" s="816"/>
      <c r="FD204" s="820"/>
      <c r="FE204" s="820"/>
      <c r="FF204" s="820"/>
      <c r="FG204" s="820"/>
      <c r="FH204" s="609"/>
      <c r="FI204" s="609"/>
      <c r="FJ204" s="816"/>
      <c r="FK204" s="816"/>
      <c r="FL204" s="816"/>
      <c r="FM204" s="816"/>
      <c r="FN204" s="816"/>
      <c r="FO204" s="816"/>
      <c r="FP204" s="816"/>
      <c r="FQ204" s="816"/>
      <c r="FR204" s="816"/>
      <c r="FS204" s="816"/>
      <c r="FT204" s="816"/>
      <c r="FU204" s="816"/>
      <c r="FV204" s="816"/>
      <c r="FW204" s="816"/>
      <c r="FX204" s="609"/>
      <c r="FY204" s="609"/>
      <c r="FZ204" s="816"/>
      <c r="GA204" s="816"/>
      <c r="GB204" s="609"/>
      <c r="GC204" s="609"/>
      <c r="GD204" s="609"/>
      <c r="GE204" s="816"/>
      <c r="GF204" s="816"/>
      <c r="GG204" s="609"/>
      <c r="GH204" s="609"/>
      <c r="GI204" s="816"/>
      <c r="GJ204" s="816"/>
      <c r="GK204" s="609"/>
      <c r="GL204" s="609"/>
      <c r="GM204" s="816"/>
      <c r="GN204" s="816"/>
      <c r="GO204" s="816"/>
      <c r="GP204" s="816"/>
      <c r="GQ204" s="816"/>
      <c r="GR204" s="816"/>
      <c r="GS204" s="609"/>
      <c r="GT204" s="609"/>
      <c r="GU204" s="816"/>
      <c r="GV204" s="816"/>
      <c r="GW204" s="609"/>
      <c r="GX204" s="609"/>
      <c r="GY204" s="816"/>
      <c r="GZ204" s="816"/>
      <c r="HA204" s="609"/>
      <c r="HB204" s="609"/>
      <c r="HC204" s="816"/>
      <c r="HD204" s="816"/>
      <c r="HE204" s="816"/>
      <c r="HF204" s="816"/>
      <c r="HG204" s="816"/>
      <c r="HH204" s="816"/>
      <c r="HI204" s="821"/>
      <c r="HJ204" s="609"/>
      <c r="HK204" s="816"/>
      <c r="HL204" s="816"/>
      <c r="HM204" s="822"/>
      <c r="HN204" s="609"/>
      <c r="HO204" s="816"/>
      <c r="HP204" s="816"/>
      <c r="HQ204" s="609"/>
      <c r="HR204" s="816"/>
      <c r="HS204" s="816"/>
      <c r="HT204" s="816"/>
      <c r="HU204" s="816"/>
      <c r="HV204" s="816"/>
      <c r="HW204" s="816"/>
      <c r="HX204" s="816"/>
      <c r="HY204" s="816"/>
      <c r="HZ204" s="816"/>
      <c r="IA204" s="816"/>
      <c r="IB204" s="816"/>
      <c r="IC204" s="823"/>
      <c r="ID204" s="824"/>
      <c r="IE204" s="825"/>
      <c r="IF204" s="825"/>
      <c r="IG204" s="816"/>
      <c r="II204" s="834"/>
      <c r="IJ204" s="834"/>
      <c r="IK204" s="826"/>
      <c r="IL204" s="834"/>
    </row>
    <row r="205" spans="2:246" s="780" customFormat="1">
      <c r="B205" s="609"/>
      <c r="C205" s="609"/>
      <c r="D205" s="609"/>
      <c r="E205" s="609"/>
      <c r="F205" s="609"/>
      <c r="G205" s="609"/>
      <c r="H205" s="609"/>
      <c r="I205" s="609"/>
      <c r="J205" s="609"/>
      <c r="K205" s="609"/>
      <c r="L205" s="609"/>
      <c r="M205" s="609"/>
      <c r="N205" s="609"/>
      <c r="O205" s="609"/>
      <c r="P205" s="609"/>
      <c r="Q205" s="609"/>
      <c r="R205" s="609"/>
      <c r="S205" s="609"/>
      <c r="T205" s="609"/>
      <c r="U205" s="609"/>
      <c r="V205" s="609"/>
      <c r="W205" s="609"/>
      <c r="X205" s="609"/>
      <c r="Y205" s="609"/>
      <c r="Z205" s="816"/>
      <c r="AA205" s="816"/>
      <c r="AB205" s="816"/>
      <c r="AC205" s="816"/>
      <c r="AD205" s="816"/>
      <c r="AE205" s="816"/>
      <c r="AF205" s="609"/>
      <c r="AG205" s="609"/>
      <c r="AH205" s="816"/>
      <c r="AI205" s="816"/>
      <c r="AJ205" s="609"/>
      <c r="AK205" s="609"/>
      <c r="AL205" s="816"/>
      <c r="AM205" s="816"/>
      <c r="AN205" s="816"/>
      <c r="AO205" s="816"/>
      <c r="AP205" s="816"/>
      <c r="AQ205" s="816"/>
      <c r="AR205" s="609"/>
      <c r="AS205" s="609"/>
      <c r="AT205" s="816"/>
      <c r="AU205" s="816"/>
      <c r="AV205" s="817"/>
      <c r="AW205" s="609"/>
      <c r="AX205" s="609"/>
      <c r="AY205" s="816"/>
      <c r="AZ205" s="816"/>
      <c r="BA205" s="816"/>
      <c r="BB205" s="816"/>
      <c r="BC205" s="816"/>
      <c r="BD205" s="816"/>
      <c r="BE205" s="816"/>
      <c r="BF205" s="816"/>
      <c r="BG205" s="816"/>
      <c r="BH205" s="816"/>
      <c r="BI205" s="816"/>
      <c r="BJ205" s="816"/>
      <c r="BK205" s="816"/>
      <c r="BL205" s="816"/>
      <c r="BM205" s="816"/>
      <c r="BN205" s="816"/>
      <c r="BO205" s="816"/>
      <c r="BP205" s="816"/>
      <c r="BQ205" s="816"/>
      <c r="BR205" s="816"/>
      <c r="BS205" s="816"/>
      <c r="BT205" s="609"/>
      <c r="BU205" s="609"/>
      <c r="BV205" s="609"/>
      <c r="BW205" s="818"/>
      <c r="BX205" s="816"/>
      <c r="BY205" s="816"/>
      <c r="BZ205" s="816"/>
      <c r="CA205" s="816"/>
      <c r="CB205" s="816"/>
      <c r="CC205" s="816"/>
      <c r="CD205" s="816"/>
      <c r="CE205" s="816"/>
      <c r="CF205" s="820"/>
      <c r="CG205" s="820"/>
      <c r="CH205" s="820"/>
      <c r="CI205" s="820"/>
      <c r="CJ205" s="609"/>
      <c r="CK205" s="609"/>
      <c r="CL205" s="816"/>
      <c r="CM205" s="816"/>
      <c r="CN205" s="609"/>
      <c r="CO205" s="609"/>
      <c r="CP205" s="816"/>
      <c r="CQ205" s="816"/>
      <c r="CR205" s="609"/>
      <c r="CS205" s="609"/>
      <c r="CT205" s="816"/>
      <c r="CU205" s="816"/>
      <c r="CV205" s="609"/>
      <c r="CW205" s="609"/>
      <c r="CX205" s="816"/>
      <c r="CY205" s="816"/>
      <c r="CZ205" s="816"/>
      <c r="DA205" s="816"/>
      <c r="DB205" s="816"/>
      <c r="DC205" s="816"/>
      <c r="DD205" s="816"/>
      <c r="DE205" s="816"/>
      <c r="DF205" s="816"/>
      <c r="DG205" s="816"/>
      <c r="DH205" s="816"/>
      <c r="DI205" s="816"/>
      <c r="DJ205" s="816"/>
      <c r="DK205" s="816"/>
      <c r="DL205" s="609"/>
      <c r="DM205" s="609"/>
      <c r="DN205" s="816"/>
      <c r="DO205" s="816"/>
      <c r="DP205" s="816"/>
      <c r="DQ205" s="816"/>
      <c r="DR205" s="816"/>
      <c r="DS205" s="816"/>
      <c r="DT205" s="816"/>
      <c r="DU205" s="816"/>
      <c r="DV205" s="816"/>
      <c r="DW205" s="816"/>
      <c r="DX205" s="816"/>
      <c r="DY205" s="816"/>
      <c r="DZ205" s="816"/>
      <c r="EA205" s="816"/>
      <c r="EB205" s="609"/>
      <c r="EC205" s="609"/>
      <c r="ED205" s="816"/>
      <c r="EE205" s="816"/>
      <c r="EF205" s="816"/>
      <c r="EG205" s="816"/>
      <c r="EH205" s="816"/>
      <c r="EI205" s="816"/>
      <c r="EJ205" s="816"/>
      <c r="EK205" s="816"/>
      <c r="EL205" s="816"/>
      <c r="EM205" s="816"/>
      <c r="EN205" s="816"/>
      <c r="EO205" s="816"/>
      <c r="EP205" s="816"/>
      <c r="EQ205" s="816"/>
      <c r="ER205" s="816"/>
      <c r="ES205" s="816"/>
      <c r="ET205" s="816"/>
      <c r="EU205" s="816"/>
      <c r="EV205" s="816"/>
      <c r="EW205" s="816"/>
      <c r="EX205" s="816"/>
      <c r="EY205" s="816"/>
      <c r="EZ205" s="816"/>
      <c r="FA205" s="816"/>
      <c r="FB205" s="819"/>
      <c r="FC205" s="816"/>
      <c r="FD205" s="820"/>
      <c r="FE205" s="820"/>
      <c r="FF205" s="820"/>
      <c r="FG205" s="820"/>
      <c r="FH205" s="609"/>
      <c r="FI205" s="609"/>
      <c r="FJ205" s="816"/>
      <c r="FK205" s="816"/>
      <c r="FL205" s="816"/>
      <c r="FM205" s="816"/>
      <c r="FN205" s="816"/>
      <c r="FO205" s="816"/>
      <c r="FP205" s="816"/>
      <c r="FQ205" s="816"/>
      <c r="FR205" s="816"/>
      <c r="FS205" s="816"/>
      <c r="FT205" s="816"/>
      <c r="FU205" s="816"/>
      <c r="FV205" s="816"/>
      <c r="FW205" s="816"/>
      <c r="FX205" s="609"/>
      <c r="FY205" s="609"/>
      <c r="FZ205" s="816"/>
      <c r="GA205" s="816"/>
      <c r="GB205" s="609"/>
      <c r="GC205" s="609"/>
      <c r="GD205" s="609"/>
      <c r="GE205" s="816"/>
      <c r="GF205" s="816"/>
      <c r="GG205" s="609"/>
      <c r="GH205" s="609"/>
      <c r="GI205" s="816"/>
      <c r="GJ205" s="816"/>
      <c r="GK205" s="609"/>
      <c r="GL205" s="609"/>
      <c r="GM205" s="816"/>
      <c r="GN205" s="816"/>
      <c r="GO205" s="816"/>
      <c r="GP205" s="816"/>
      <c r="GQ205" s="816"/>
      <c r="GR205" s="816"/>
      <c r="GS205" s="609"/>
      <c r="GT205" s="609"/>
      <c r="GU205" s="816"/>
      <c r="GV205" s="816"/>
      <c r="GW205" s="609"/>
      <c r="GX205" s="609"/>
      <c r="GY205" s="816"/>
      <c r="GZ205" s="816"/>
      <c r="HA205" s="609"/>
      <c r="HB205" s="609"/>
      <c r="HC205" s="816"/>
      <c r="HD205" s="816"/>
      <c r="HE205" s="816"/>
      <c r="HF205" s="816"/>
      <c r="HG205" s="816"/>
      <c r="HH205" s="816"/>
      <c r="HI205" s="821"/>
      <c r="HJ205" s="609"/>
      <c r="HK205" s="816"/>
      <c r="HL205" s="816"/>
      <c r="HM205" s="822"/>
      <c r="HN205" s="609"/>
      <c r="HO205" s="816"/>
      <c r="HP205" s="816"/>
      <c r="HQ205" s="609"/>
      <c r="HR205" s="816"/>
      <c r="HS205" s="816"/>
      <c r="HT205" s="816"/>
      <c r="HU205" s="816"/>
      <c r="HV205" s="816"/>
      <c r="HW205" s="816"/>
      <c r="HX205" s="816"/>
      <c r="HY205" s="816"/>
      <c r="HZ205" s="816"/>
      <c r="IA205" s="816"/>
      <c r="IB205" s="816"/>
      <c r="IC205" s="823"/>
      <c r="ID205" s="824"/>
      <c r="IE205" s="825"/>
      <c r="IF205" s="825"/>
      <c r="IG205" s="816"/>
      <c r="II205" s="834"/>
      <c r="IJ205" s="834"/>
      <c r="IK205" s="826"/>
      <c r="IL205" s="834"/>
    </row>
    <row r="206" spans="2:246" s="780" customFormat="1">
      <c r="B206" s="609"/>
      <c r="C206" s="609"/>
      <c r="D206" s="609"/>
      <c r="E206" s="609"/>
      <c r="F206" s="609"/>
      <c r="G206" s="609"/>
      <c r="H206" s="609"/>
      <c r="I206" s="609"/>
      <c r="J206" s="609"/>
      <c r="K206" s="609"/>
      <c r="L206" s="609"/>
      <c r="M206" s="609"/>
      <c r="N206" s="609"/>
      <c r="O206" s="609"/>
      <c r="P206" s="609"/>
      <c r="Q206" s="609"/>
      <c r="R206" s="609"/>
      <c r="S206" s="609"/>
      <c r="T206" s="609"/>
      <c r="U206" s="609"/>
      <c r="V206" s="609"/>
      <c r="W206" s="609"/>
      <c r="X206" s="609"/>
      <c r="Y206" s="609"/>
      <c r="Z206" s="816"/>
      <c r="AA206" s="816"/>
      <c r="AB206" s="816"/>
      <c r="AC206" s="816"/>
      <c r="AD206" s="816"/>
      <c r="AE206" s="816"/>
      <c r="AF206" s="609"/>
      <c r="AG206" s="609"/>
      <c r="AH206" s="816"/>
      <c r="AI206" s="816"/>
      <c r="AJ206" s="609"/>
      <c r="AK206" s="609"/>
      <c r="AL206" s="816"/>
      <c r="AM206" s="816"/>
      <c r="AN206" s="816"/>
      <c r="AO206" s="816"/>
      <c r="AP206" s="816"/>
      <c r="AQ206" s="816"/>
      <c r="AR206" s="609"/>
      <c r="AS206" s="609"/>
      <c r="AT206" s="816"/>
      <c r="AU206" s="816"/>
      <c r="AV206" s="817"/>
      <c r="AW206" s="609"/>
      <c r="AX206" s="609"/>
      <c r="AY206" s="816"/>
      <c r="AZ206" s="816"/>
      <c r="BA206" s="816"/>
      <c r="BB206" s="816"/>
      <c r="BC206" s="816"/>
      <c r="BD206" s="816"/>
      <c r="BE206" s="816"/>
      <c r="BF206" s="816"/>
      <c r="BG206" s="816"/>
      <c r="BH206" s="816"/>
      <c r="BI206" s="816"/>
      <c r="BJ206" s="816"/>
      <c r="BK206" s="816"/>
      <c r="BL206" s="816"/>
      <c r="BM206" s="816"/>
      <c r="BN206" s="816"/>
      <c r="BO206" s="816"/>
      <c r="BP206" s="816"/>
      <c r="BQ206" s="816"/>
      <c r="BR206" s="816"/>
      <c r="BS206" s="816"/>
      <c r="BT206" s="609"/>
      <c r="BU206" s="609"/>
      <c r="BV206" s="609"/>
      <c r="BW206" s="818"/>
      <c r="BX206" s="816"/>
      <c r="BY206" s="816"/>
      <c r="BZ206" s="816"/>
      <c r="CA206" s="816"/>
      <c r="CB206" s="816"/>
      <c r="CC206" s="816"/>
      <c r="CD206" s="816"/>
      <c r="CE206" s="816"/>
      <c r="CF206" s="820"/>
      <c r="CG206" s="820"/>
      <c r="CH206" s="820"/>
      <c r="CI206" s="820"/>
      <c r="CJ206" s="609"/>
      <c r="CK206" s="609"/>
      <c r="CL206" s="816"/>
      <c r="CM206" s="816"/>
      <c r="CN206" s="609"/>
      <c r="CO206" s="609"/>
      <c r="CP206" s="816"/>
      <c r="CQ206" s="816"/>
      <c r="CR206" s="609"/>
      <c r="CS206" s="609"/>
      <c r="CT206" s="816"/>
      <c r="CU206" s="816"/>
      <c r="CV206" s="609"/>
      <c r="CW206" s="609"/>
      <c r="CX206" s="816"/>
      <c r="CY206" s="816"/>
      <c r="CZ206" s="816"/>
      <c r="DA206" s="816"/>
      <c r="DB206" s="816"/>
      <c r="DC206" s="816"/>
      <c r="DD206" s="816"/>
      <c r="DE206" s="816"/>
      <c r="DF206" s="816"/>
      <c r="DG206" s="816"/>
      <c r="DH206" s="816"/>
      <c r="DI206" s="816"/>
      <c r="DJ206" s="816"/>
      <c r="DK206" s="816"/>
      <c r="DL206" s="609"/>
      <c r="DM206" s="609"/>
      <c r="DN206" s="816"/>
      <c r="DO206" s="816"/>
      <c r="DP206" s="816"/>
      <c r="DQ206" s="816"/>
      <c r="DR206" s="816"/>
      <c r="DS206" s="816"/>
      <c r="DT206" s="816"/>
      <c r="DU206" s="816"/>
      <c r="DV206" s="816"/>
      <c r="DW206" s="816"/>
      <c r="DX206" s="816"/>
      <c r="DY206" s="816"/>
      <c r="DZ206" s="816"/>
      <c r="EA206" s="816"/>
      <c r="EB206" s="609"/>
      <c r="EC206" s="609"/>
      <c r="ED206" s="816"/>
      <c r="EE206" s="816"/>
      <c r="EF206" s="816"/>
      <c r="EG206" s="816"/>
      <c r="EH206" s="816"/>
      <c r="EI206" s="816"/>
      <c r="EJ206" s="816"/>
      <c r="EK206" s="816"/>
      <c r="EL206" s="816"/>
      <c r="EM206" s="816"/>
      <c r="EN206" s="816"/>
      <c r="EO206" s="816"/>
      <c r="EP206" s="816"/>
      <c r="EQ206" s="816"/>
      <c r="ER206" s="816"/>
      <c r="ES206" s="816"/>
      <c r="ET206" s="816"/>
      <c r="EU206" s="816"/>
      <c r="EV206" s="816"/>
      <c r="EW206" s="816"/>
      <c r="EX206" s="816"/>
      <c r="EY206" s="816"/>
      <c r="EZ206" s="816"/>
      <c r="FA206" s="816"/>
      <c r="FB206" s="819"/>
      <c r="FC206" s="816"/>
      <c r="FD206" s="820"/>
      <c r="FE206" s="820"/>
      <c r="FF206" s="820"/>
      <c r="FG206" s="820"/>
      <c r="FH206" s="609"/>
      <c r="FI206" s="609"/>
      <c r="FJ206" s="816"/>
      <c r="FK206" s="816"/>
      <c r="FL206" s="816"/>
      <c r="FM206" s="816"/>
      <c r="FN206" s="816"/>
      <c r="FO206" s="816"/>
      <c r="FP206" s="816"/>
      <c r="FQ206" s="816"/>
      <c r="FR206" s="816"/>
      <c r="FS206" s="816"/>
      <c r="FT206" s="816"/>
      <c r="FU206" s="816"/>
      <c r="FV206" s="816"/>
      <c r="FW206" s="816"/>
      <c r="FX206" s="609"/>
      <c r="FY206" s="609"/>
      <c r="FZ206" s="816"/>
      <c r="GA206" s="816"/>
      <c r="GB206" s="609"/>
      <c r="GC206" s="609"/>
      <c r="GD206" s="609"/>
      <c r="GE206" s="816"/>
      <c r="GF206" s="816"/>
      <c r="GG206" s="609"/>
      <c r="GH206" s="609"/>
      <c r="GI206" s="816"/>
      <c r="GJ206" s="816"/>
      <c r="GK206" s="609"/>
      <c r="GL206" s="609"/>
      <c r="GM206" s="816"/>
      <c r="GN206" s="816"/>
      <c r="GO206" s="816"/>
      <c r="GP206" s="816"/>
      <c r="GQ206" s="816"/>
      <c r="GR206" s="816"/>
      <c r="GS206" s="609"/>
      <c r="GT206" s="609"/>
      <c r="GU206" s="816"/>
      <c r="GV206" s="816"/>
      <c r="GW206" s="609"/>
      <c r="GX206" s="609"/>
      <c r="GY206" s="816"/>
      <c r="GZ206" s="816"/>
      <c r="HA206" s="609"/>
      <c r="HB206" s="609"/>
      <c r="HC206" s="816"/>
      <c r="HD206" s="816"/>
      <c r="HE206" s="816"/>
      <c r="HF206" s="816"/>
      <c r="HG206" s="816"/>
      <c r="HH206" s="816"/>
      <c r="HI206" s="821"/>
      <c r="HJ206" s="609"/>
      <c r="HK206" s="816"/>
      <c r="HL206" s="816"/>
      <c r="HM206" s="822"/>
      <c r="HN206" s="609"/>
      <c r="HO206" s="816"/>
      <c r="HP206" s="816"/>
      <c r="HQ206" s="609"/>
      <c r="HR206" s="816"/>
      <c r="HS206" s="816"/>
      <c r="HT206" s="816"/>
      <c r="HU206" s="816"/>
      <c r="HV206" s="816"/>
      <c r="HW206" s="816"/>
      <c r="HX206" s="816"/>
      <c r="HY206" s="816"/>
      <c r="HZ206" s="816"/>
      <c r="IA206" s="816"/>
      <c r="IB206" s="816"/>
      <c r="IC206" s="823"/>
      <c r="ID206" s="824"/>
      <c r="IE206" s="825"/>
      <c r="IF206" s="825"/>
      <c r="IG206" s="816"/>
      <c r="II206" s="834"/>
      <c r="IJ206" s="834"/>
      <c r="IK206" s="826"/>
      <c r="IL206" s="834"/>
    </row>
    <row r="207" spans="2:246" s="780" customFormat="1">
      <c r="B207" s="609"/>
      <c r="C207" s="609"/>
      <c r="D207" s="609"/>
      <c r="E207" s="609"/>
      <c r="F207" s="609"/>
      <c r="G207" s="609"/>
      <c r="H207" s="609"/>
      <c r="I207" s="609"/>
      <c r="J207" s="609"/>
      <c r="K207" s="609"/>
      <c r="L207" s="609"/>
      <c r="M207" s="609"/>
      <c r="N207" s="609"/>
      <c r="O207" s="609"/>
      <c r="P207" s="609"/>
      <c r="Q207" s="609"/>
      <c r="R207" s="609"/>
      <c r="S207" s="609"/>
      <c r="T207" s="609"/>
      <c r="U207" s="609"/>
      <c r="V207" s="609"/>
      <c r="W207" s="609"/>
      <c r="X207" s="609"/>
      <c r="Y207" s="609"/>
      <c r="Z207" s="816"/>
      <c r="AA207" s="816"/>
      <c r="AB207" s="816"/>
      <c r="AC207" s="816"/>
      <c r="AD207" s="816"/>
      <c r="AE207" s="816"/>
      <c r="AF207" s="609"/>
      <c r="AG207" s="609"/>
      <c r="AH207" s="816"/>
      <c r="AI207" s="816"/>
      <c r="AJ207" s="609"/>
      <c r="AK207" s="609"/>
      <c r="AL207" s="816"/>
      <c r="AM207" s="816"/>
      <c r="AN207" s="816"/>
      <c r="AO207" s="816"/>
      <c r="AP207" s="816"/>
      <c r="AQ207" s="816"/>
      <c r="AR207" s="609"/>
      <c r="AS207" s="609"/>
      <c r="AT207" s="816"/>
      <c r="AU207" s="816"/>
      <c r="AV207" s="817"/>
      <c r="AW207" s="609"/>
      <c r="AX207" s="609"/>
      <c r="AY207" s="816"/>
      <c r="AZ207" s="816"/>
      <c r="BA207" s="816"/>
      <c r="BB207" s="816"/>
      <c r="BC207" s="816"/>
      <c r="BD207" s="816"/>
      <c r="BE207" s="816"/>
      <c r="BF207" s="816"/>
      <c r="BG207" s="816"/>
      <c r="BH207" s="816"/>
      <c r="BI207" s="816"/>
      <c r="BJ207" s="816"/>
      <c r="BK207" s="816"/>
      <c r="BL207" s="816"/>
      <c r="BM207" s="816"/>
      <c r="BN207" s="816"/>
      <c r="BO207" s="816"/>
      <c r="BP207" s="816"/>
      <c r="BQ207" s="816"/>
      <c r="BR207" s="816"/>
      <c r="BS207" s="816"/>
      <c r="BT207" s="609"/>
      <c r="BU207" s="609"/>
      <c r="BV207" s="609"/>
      <c r="BW207" s="818"/>
      <c r="BX207" s="816"/>
      <c r="BY207" s="816"/>
      <c r="BZ207" s="816"/>
      <c r="CA207" s="816"/>
      <c r="CB207" s="816"/>
      <c r="CC207" s="816"/>
      <c r="CD207" s="816"/>
      <c r="CE207" s="816"/>
      <c r="CF207" s="820"/>
      <c r="CG207" s="820"/>
      <c r="CH207" s="820"/>
      <c r="CI207" s="820"/>
      <c r="CJ207" s="609"/>
      <c r="CK207" s="609"/>
      <c r="CL207" s="816"/>
      <c r="CM207" s="816"/>
      <c r="CN207" s="609"/>
      <c r="CO207" s="609"/>
      <c r="CP207" s="816"/>
      <c r="CQ207" s="816"/>
      <c r="CR207" s="609"/>
      <c r="CS207" s="609"/>
      <c r="CT207" s="816"/>
      <c r="CU207" s="816"/>
      <c r="CV207" s="609"/>
      <c r="CW207" s="609"/>
      <c r="CX207" s="816"/>
      <c r="CY207" s="816"/>
      <c r="CZ207" s="816"/>
      <c r="DA207" s="816"/>
      <c r="DB207" s="816"/>
      <c r="DC207" s="816"/>
      <c r="DD207" s="816"/>
      <c r="DE207" s="816"/>
      <c r="DF207" s="816"/>
      <c r="DG207" s="816"/>
      <c r="DH207" s="816"/>
      <c r="DI207" s="816"/>
      <c r="DJ207" s="816"/>
      <c r="DK207" s="816"/>
      <c r="DL207" s="609"/>
      <c r="DM207" s="609"/>
      <c r="DN207" s="816"/>
      <c r="DO207" s="816"/>
      <c r="DP207" s="816"/>
      <c r="DQ207" s="816"/>
      <c r="DR207" s="816"/>
      <c r="DS207" s="816"/>
      <c r="DT207" s="816"/>
      <c r="DU207" s="816"/>
      <c r="DV207" s="816"/>
      <c r="DW207" s="816"/>
      <c r="DX207" s="816"/>
      <c r="DY207" s="816"/>
      <c r="DZ207" s="816"/>
      <c r="EA207" s="816"/>
      <c r="EB207" s="609"/>
      <c r="EC207" s="609"/>
      <c r="ED207" s="816"/>
      <c r="EE207" s="816"/>
      <c r="EF207" s="816"/>
      <c r="EG207" s="816"/>
      <c r="EH207" s="816"/>
      <c r="EI207" s="816"/>
      <c r="EJ207" s="816"/>
      <c r="EK207" s="816"/>
      <c r="EL207" s="816"/>
      <c r="EM207" s="816"/>
      <c r="EN207" s="816"/>
      <c r="EO207" s="816"/>
      <c r="EP207" s="816"/>
      <c r="EQ207" s="816"/>
      <c r="ER207" s="816"/>
      <c r="ES207" s="816"/>
      <c r="ET207" s="816"/>
      <c r="EU207" s="816"/>
      <c r="EV207" s="816"/>
      <c r="EW207" s="816"/>
      <c r="EX207" s="816"/>
      <c r="EY207" s="816"/>
      <c r="EZ207" s="816"/>
      <c r="FA207" s="816"/>
      <c r="FB207" s="819"/>
      <c r="FC207" s="816"/>
      <c r="FD207" s="820"/>
      <c r="FE207" s="820"/>
      <c r="FF207" s="820"/>
      <c r="FG207" s="820"/>
      <c r="FH207" s="609"/>
      <c r="FI207" s="609"/>
      <c r="FJ207" s="816"/>
      <c r="FK207" s="816"/>
      <c r="FL207" s="816"/>
      <c r="FM207" s="816"/>
      <c r="FN207" s="816"/>
      <c r="FO207" s="816"/>
      <c r="FP207" s="816"/>
      <c r="FQ207" s="816"/>
      <c r="FR207" s="816"/>
      <c r="FS207" s="816"/>
      <c r="FT207" s="816"/>
      <c r="FU207" s="816"/>
      <c r="FV207" s="816"/>
      <c r="FW207" s="816"/>
      <c r="FX207" s="609"/>
      <c r="FY207" s="609"/>
      <c r="FZ207" s="816"/>
      <c r="GA207" s="816"/>
      <c r="GB207" s="609"/>
      <c r="GC207" s="609"/>
      <c r="GD207" s="609"/>
      <c r="GE207" s="816"/>
      <c r="GF207" s="816"/>
      <c r="GG207" s="609"/>
      <c r="GH207" s="609"/>
      <c r="GI207" s="816"/>
      <c r="GJ207" s="816"/>
      <c r="GK207" s="609"/>
      <c r="GL207" s="609"/>
      <c r="GM207" s="816"/>
      <c r="GN207" s="816"/>
      <c r="GO207" s="816"/>
      <c r="GP207" s="816"/>
      <c r="GQ207" s="816"/>
      <c r="GR207" s="816"/>
      <c r="GS207" s="609"/>
      <c r="GT207" s="609"/>
      <c r="GU207" s="816"/>
      <c r="GV207" s="816"/>
      <c r="GW207" s="609"/>
      <c r="GX207" s="609"/>
      <c r="GY207" s="816"/>
      <c r="GZ207" s="816"/>
      <c r="HA207" s="609"/>
      <c r="HB207" s="609"/>
      <c r="HC207" s="816"/>
      <c r="HD207" s="816"/>
      <c r="HE207" s="816"/>
      <c r="HF207" s="816"/>
      <c r="HG207" s="816"/>
      <c r="HH207" s="816"/>
      <c r="HI207" s="821"/>
      <c r="HJ207" s="609"/>
      <c r="HK207" s="816"/>
      <c r="HL207" s="816"/>
      <c r="HM207" s="822"/>
      <c r="HN207" s="609"/>
      <c r="HO207" s="816"/>
      <c r="HP207" s="816"/>
      <c r="HQ207" s="609"/>
      <c r="HR207" s="816"/>
      <c r="HS207" s="816"/>
      <c r="HT207" s="816"/>
      <c r="HU207" s="816"/>
      <c r="HV207" s="816"/>
      <c r="HW207" s="816"/>
      <c r="HX207" s="816"/>
      <c r="HY207" s="816"/>
      <c r="HZ207" s="816"/>
      <c r="IA207" s="816"/>
      <c r="IB207" s="816"/>
      <c r="IC207" s="823"/>
      <c r="ID207" s="824"/>
      <c r="IE207" s="825"/>
      <c r="IF207" s="825"/>
      <c r="IG207" s="816"/>
      <c r="II207" s="834"/>
      <c r="IJ207" s="834"/>
      <c r="IK207" s="826"/>
      <c r="IL207" s="834"/>
    </row>
    <row r="208" spans="2:246" s="780" customFormat="1">
      <c r="B208" s="609"/>
      <c r="C208" s="609"/>
      <c r="D208" s="609"/>
      <c r="E208" s="609"/>
      <c r="F208" s="609"/>
      <c r="G208" s="609"/>
      <c r="H208" s="609"/>
      <c r="I208" s="609"/>
      <c r="J208" s="609"/>
      <c r="K208" s="609"/>
      <c r="L208" s="609"/>
      <c r="M208" s="609"/>
      <c r="N208" s="609"/>
      <c r="O208" s="609"/>
      <c r="P208" s="609"/>
      <c r="Q208" s="609"/>
      <c r="R208" s="609"/>
      <c r="S208" s="609"/>
      <c r="T208" s="609"/>
      <c r="U208" s="609"/>
      <c r="V208" s="609"/>
      <c r="W208" s="609"/>
      <c r="X208" s="609"/>
      <c r="Y208" s="609"/>
      <c r="Z208" s="816"/>
      <c r="AA208" s="816"/>
      <c r="AB208" s="816"/>
      <c r="AC208" s="816"/>
      <c r="AD208" s="816"/>
      <c r="AE208" s="816"/>
      <c r="AF208" s="609"/>
      <c r="AG208" s="609"/>
      <c r="AH208" s="816"/>
      <c r="AI208" s="816"/>
      <c r="AJ208" s="609"/>
      <c r="AK208" s="609"/>
      <c r="AL208" s="816"/>
      <c r="AM208" s="816"/>
      <c r="AN208" s="816"/>
      <c r="AO208" s="816"/>
      <c r="AP208" s="816"/>
      <c r="AQ208" s="816"/>
      <c r="AR208" s="609"/>
      <c r="AS208" s="609"/>
      <c r="AT208" s="816"/>
      <c r="AU208" s="816"/>
      <c r="AV208" s="817"/>
      <c r="AW208" s="609"/>
      <c r="AX208" s="609"/>
      <c r="AY208" s="816"/>
      <c r="AZ208" s="816"/>
      <c r="BA208" s="816"/>
      <c r="BB208" s="816"/>
      <c r="BC208" s="816"/>
      <c r="BD208" s="816"/>
      <c r="BE208" s="816"/>
      <c r="BF208" s="816"/>
      <c r="BG208" s="816"/>
      <c r="BH208" s="816"/>
      <c r="BI208" s="816"/>
      <c r="BJ208" s="816"/>
      <c r="BK208" s="816"/>
      <c r="BL208" s="816"/>
      <c r="BM208" s="816"/>
      <c r="BN208" s="816"/>
      <c r="BO208" s="816"/>
      <c r="BP208" s="816"/>
      <c r="BQ208" s="816"/>
      <c r="BR208" s="816"/>
      <c r="BS208" s="816"/>
      <c r="BT208" s="609"/>
      <c r="BU208" s="609"/>
      <c r="BV208" s="609"/>
      <c r="BW208" s="818"/>
      <c r="BX208" s="816"/>
      <c r="BY208" s="816"/>
      <c r="BZ208" s="816"/>
      <c r="CA208" s="816"/>
      <c r="CB208" s="816"/>
      <c r="CC208" s="816"/>
      <c r="CD208" s="816"/>
      <c r="CE208" s="816"/>
      <c r="CF208" s="820"/>
      <c r="CG208" s="820"/>
      <c r="CH208" s="820"/>
      <c r="CI208" s="820"/>
      <c r="CJ208" s="609"/>
      <c r="CK208" s="609"/>
      <c r="CL208" s="816"/>
      <c r="CM208" s="816"/>
      <c r="CN208" s="609"/>
      <c r="CO208" s="609"/>
      <c r="CP208" s="816"/>
      <c r="CQ208" s="816"/>
      <c r="CR208" s="609"/>
      <c r="CS208" s="609"/>
      <c r="CT208" s="816"/>
      <c r="CU208" s="816"/>
      <c r="CV208" s="609"/>
      <c r="CW208" s="609"/>
      <c r="CX208" s="816"/>
      <c r="CY208" s="816"/>
      <c r="CZ208" s="816"/>
      <c r="DA208" s="816"/>
      <c r="DB208" s="816"/>
      <c r="DC208" s="816"/>
      <c r="DD208" s="816"/>
      <c r="DE208" s="816"/>
      <c r="DF208" s="816"/>
      <c r="DG208" s="816"/>
      <c r="DH208" s="816"/>
      <c r="DI208" s="816"/>
      <c r="DJ208" s="816"/>
      <c r="DK208" s="816"/>
      <c r="DL208" s="609"/>
      <c r="DM208" s="609"/>
      <c r="DN208" s="816"/>
      <c r="DO208" s="816"/>
      <c r="DP208" s="816"/>
      <c r="DQ208" s="816"/>
      <c r="DR208" s="816"/>
      <c r="DS208" s="816"/>
      <c r="DT208" s="816"/>
      <c r="DU208" s="816"/>
      <c r="DV208" s="816"/>
      <c r="DW208" s="816"/>
      <c r="DX208" s="816"/>
      <c r="DY208" s="816"/>
      <c r="DZ208" s="816"/>
      <c r="EA208" s="816"/>
      <c r="EB208" s="609"/>
      <c r="EC208" s="609"/>
      <c r="ED208" s="816"/>
      <c r="EE208" s="816"/>
      <c r="EF208" s="816"/>
      <c r="EG208" s="816"/>
      <c r="EH208" s="816"/>
      <c r="EI208" s="816"/>
      <c r="EJ208" s="816"/>
      <c r="EK208" s="816"/>
      <c r="EL208" s="816"/>
      <c r="EM208" s="816"/>
      <c r="EN208" s="816"/>
      <c r="EO208" s="816"/>
      <c r="EP208" s="816"/>
      <c r="EQ208" s="816"/>
      <c r="ER208" s="816"/>
      <c r="ES208" s="816"/>
      <c r="ET208" s="816"/>
      <c r="EU208" s="816"/>
      <c r="EV208" s="816"/>
      <c r="EW208" s="816"/>
      <c r="EX208" s="816"/>
      <c r="EY208" s="816"/>
      <c r="EZ208" s="816"/>
      <c r="FA208" s="816"/>
      <c r="FB208" s="819"/>
      <c r="FC208" s="816"/>
      <c r="FD208" s="820"/>
      <c r="FE208" s="820"/>
      <c r="FF208" s="820"/>
      <c r="FG208" s="820"/>
      <c r="FH208" s="609"/>
      <c r="FI208" s="609"/>
      <c r="FJ208" s="816"/>
      <c r="FK208" s="816"/>
      <c r="FL208" s="816"/>
      <c r="FM208" s="816"/>
      <c r="FN208" s="816"/>
      <c r="FO208" s="816"/>
      <c r="FP208" s="816"/>
      <c r="FQ208" s="816"/>
      <c r="FR208" s="816"/>
      <c r="FS208" s="816"/>
      <c r="FT208" s="816"/>
      <c r="FU208" s="816"/>
      <c r="FV208" s="816"/>
      <c r="FW208" s="816"/>
      <c r="FX208" s="609"/>
      <c r="FY208" s="609"/>
      <c r="FZ208" s="816"/>
      <c r="GA208" s="816"/>
      <c r="GB208" s="609"/>
      <c r="GC208" s="609"/>
      <c r="GD208" s="609"/>
      <c r="GE208" s="816"/>
      <c r="GF208" s="816"/>
      <c r="GG208" s="609"/>
      <c r="GH208" s="609"/>
      <c r="GI208" s="816"/>
      <c r="GJ208" s="816"/>
      <c r="GK208" s="609"/>
      <c r="GL208" s="609"/>
      <c r="GM208" s="816"/>
      <c r="GN208" s="816"/>
      <c r="GO208" s="816"/>
      <c r="GP208" s="816"/>
      <c r="GQ208" s="816"/>
      <c r="GR208" s="816"/>
      <c r="GS208" s="609"/>
      <c r="GT208" s="609"/>
      <c r="GU208" s="816"/>
      <c r="GV208" s="816"/>
      <c r="GW208" s="609"/>
      <c r="GX208" s="609"/>
      <c r="GY208" s="816"/>
      <c r="GZ208" s="816"/>
      <c r="HA208" s="609"/>
      <c r="HB208" s="609"/>
      <c r="HC208" s="816"/>
      <c r="HD208" s="816"/>
      <c r="HE208" s="816"/>
      <c r="HF208" s="816"/>
      <c r="HG208" s="816"/>
      <c r="HH208" s="816"/>
      <c r="HI208" s="821"/>
      <c r="HJ208" s="609"/>
      <c r="HK208" s="816"/>
      <c r="HL208" s="816"/>
      <c r="HM208" s="822"/>
      <c r="HN208" s="609"/>
      <c r="HO208" s="816"/>
      <c r="HP208" s="816"/>
      <c r="HQ208" s="609"/>
      <c r="HR208" s="816"/>
      <c r="HS208" s="816"/>
      <c r="HT208" s="816"/>
      <c r="HU208" s="816"/>
      <c r="HV208" s="816"/>
      <c r="HW208" s="816"/>
      <c r="HX208" s="816"/>
      <c r="HY208" s="816"/>
      <c r="HZ208" s="816"/>
      <c r="IA208" s="816"/>
      <c r="IB208" s="816"/>
      <c r="IC208" s="823"/>
      <c r="ID208" s="824"/>
      <c r="IE208" s="825"/>
      <c r="IF208" s="825"/>
      <c r="IG208" s="816"/>
      <c r="II208" s="834"/>
      <c r="IJ208" s="834"/>
      <c r="IK208" s="826"/>
      <c r="IL208" s="834"/>
    </row>
    <row r="209" spans="2:246" s="780" customFormat="1">
      <c r="B209" s="609"/>
      <c r="C209" s="609"/>
      <c r="D209" s="609"/>
      <c r="E209" s="609"/>
      <c r="F209" s="609"/>
      <c r="G209" s="609"/>
      <c r="H209" s="609"/>
      <c r="I209" s="609"/>
      <c r="J209" s="609"/>
      <c r="K209" s="609"/>
      <c r="L209" s="609"/>
      <c r="M209" s="609"/>
      <c r="N209" s="609"/>
      <c r="O209" s="609"/>
      <c r="P209" s="609"/>
      <c r="Q209" s="609"/>
      <c r="R209" s="609"/>
      <c r="S209" s="609"/>
      <c r="T209" s="609"/>
      <c r="U209" s="609"/>
      <c r="V209" s="609"/>
      <c r="W209" s="609"/>
      <c r="X209" s="609"/>
      <c r="Y209" s="609"/>
      <c r="Z209" s="816"/>
      <c r="AA209" s="816"/>
      <c r="AB209" s="816"/>
      <c r="AC209" s="816"/>
      <c r="AD209" s="816"/>
      <c r="AE209" s="816"/>
      <c r="AF209" s="609"/>
      <c r="AG209" s="609"/>
      <c r="AH209" s="816"/>
      <c r="AI209" s="816"/>
      <c r="AJ209" s="609"/>
      <c r="AK209" s="609"/>
      <c r="AL209" s="816"/>
      <c r="AM209" s="816"/>
      <c r="AN209" s="816"/>
      <c r="AO209" s="816"/>
      <c r="AP209" s="816"/>
      <c r="AQ209" s="816"/>
      <c r="AR209" s="609"/>
      <c r="AS209" s="609"/>
      <c r="AT209" s="816"/>
      <c r="AU209" s="816"/>
      <c r="AV209" s="817"/>
      <c r="AW209" s="609"/>
      <c r="AX209" s="609"/>
      <c r="AY209" s="816"/>
      <c r="AZ209" s="816"/>
      <c r="BA209" s="816"/>
      <c r="BB209" s="816"/>
      <c r="BC209" s="816"/>
      <c r="BD209" s="816"/>
      <c r="BE209" s="816"/>
      <c r="BF209" s="816"/>
      <c r="BG209" s="816"/>
      <c r="BH209" s="816"/>
      <c r="BI209" s="816"/>
      <c r="BJ209" s="816"/>
      <c r="BK209" s="816"/>
      <c r="BL209" s="816"/>
      <c r="BM209" s="816"/>
      <c r="BN209" s="816"/>
      <c r="BO209" s="816"/>
      <c r="BP209" s="816"/>
      <c r="BQ209" s="816"/>
      <c r="BR209" s="816"/>
      <c r="BS209" s="816"/>
      <c r="BT209" s="609"/>
      <c r="BU209" s="609"/>
      <c r="BV209" s="609"/>
      <c r="BW209" s="818"/>
      <c r="BX209" s="816"/>
      <c r="BY209" s="816"/>
      <c r="BZ209" s="816"/>
      <c r="CA209" s="816"/>
      <c r="CB209" s="816"/>
      <c r="CC209" s="816"/>
      <c r="CD209" s="816"/>
      <c r="CE209" s="816"/>
      <c r="CF209" s="820"/>
      <c r="CG209" s="820"/>
      <c r="CH209" s="820"/>
      <c r="CI209" s="820"/>
      <c r="CJ209" s="609"/>
      <c r="CK209" s="609"/>
      <c r="CL209" s="816"/>
      <c r="CM209" s="816"/>
      <c r="CN209" s="609"/>
      <c r="CO209" s="609"/>
      <c r="CP209" s="816"/>
      <c r="CQ209" s="816"/>
      <c r="CR209" s="609"/>
      <c r="CS209" s="609"/>
      <c r="CT209" s="816"/>
      <c r="CU209" s="816"/>
      <c r="CV209" s="609"/>
      <c r="CW209" s="609"/>
      <c r="CX209" s="816"/>
      <c r="CY209" s="816"/>
      <c r="CZ209" s="816"/>
      <c r="DA209" s="816"/>
      <c r="DB209" s="816"/>
      <c r="DC209" s="816"/>
      <c r="DD209" s="816"/>
      <c r="DE209" s="816"/>
      <c r="DF209" s="816"/>
      <c r="DG209" s="816"/>
      <c r="DH209" s="816"/>
      <c r="DI209" s="816"/>
      <c r="DJ209" s="816"/>
      <c r="DK209" s="816"/>
      <c r="DL209" s="609"/>
      <c r="DM209" s="609"/>
      <c r="DN209" s="816"/>
      <c r="DO209" s="816"/>
      <c r="DP209" s="816"/>
      <c r="DQ209" s="816"/>
      <c r="DR209" s="816"/>
      <c r="DS209" s="816"/>
      <c r="DT209" s="816"/>
      <c r="DU209" s="816"/>
      <c r="DV209" s="816"/>
      <c r="DW209" s="816"/>
      <c r="DX209" s="816"/>
      <c r="DY209" s="816"/>
      <c r="DZ209" s="816"/>
      <c r="EA209" s="816"/>
      <c r="EB209" s="609"/>
      <c r="EC209" s="609"/>
      <c r="ED209" s="816"/>
      <c r="EE209" s="816"/>
      <c r="EF209" s="816"/>
      <c r="EG209" s="816"/>
      <c r="EH209" s="816"/>
      <c r="EI209" s="816"/>
      <c r="EJ209" s="816"/>
      <c r="EK209" s="816"/>
      <c r="EL209" s="816"/>
      <c r="EM209" s="816"/>
      <c r="EN209" s="816"/>
      <c r="EO209" s="816"/>
      <c r="EP209" s="816"/>
      <c r="EQ209" s="816"/>
      <c r="ER209" s="816"/>
      <c r="ES209" s="816"/>
      <c r="ET209" s="816"/>
      <c r="EU209" s="816"/>
      <c r="EV209" s="816"/>
      <c r="EW209" s="816"/>
      <c r="EX209" s="816"/>
      <c r="EY209" s="816"/>
      <c r="EZ209" s="816"/>
      <c r="FA209" s="816"/>
      <c r="FB209" s="819"/>
      <c r="FC209" s="816"/>
      <c r="FD209" s="820"/>
      <c r="FE209" s="820"/>
      <c r="FF209" s="820"/>
      <c r="FG209" s="820"/>
      <c r="FH209" s="609"/>
      <c r="FI209" s="609"/>
      <c r="FJ209" s="816"/>
      <c r="FK209" s="816"/>
      <c r="FL209" s="816"/>
      <c r="FM209" s="816"/>
      <c r="FN209" s="816"/>
      <c r="FO209" s="816"/>
      <c r="FP209" s="816"/>
      <c r="FQ209" s="816"/>
      <c r="FR209" s="816"/>
      <c r="FS209" s="816"/>
      <c r="FT209" s="816"/>
      <c r="FU209" s="816"/>
      <c r="FV209" s="816"/>
      <c r="FW209" s="816"/>
      <c r="FX209" s="609"/>
      <c r="FY209" s="609"/>
      <c r="FZ209" s="816"/>
      <c r="GA209" s="816"/>
      <c r="GB209" s="609"/>
      <c r="GC209" s="609"/>
      <c r="GD209" s="609"/>
      <c r="GE209" s="816"/>
      <c r="GF209" s="816"/>
      <c r="GG209" s="609"/>
      <c r="GH209" s="609"/>
      <c r="GI209" s="816"/>
      <c r="GJ209" s="816"/>
      <c r="GK209" s="609"/>
      <c r="GL209" s="609"/>
      <c r="GM209" s="816"/>
      <c r="GN209" s="816"/>
      <c r="GO209" s="816"/>
      <c r="GP209" s="816"/>
      <c r="GQ209" s="816"/>
      <c r="GR209" s="816"/>
      <c r="GS209" s="609"/>
      <c r="GT209" s="609"/>
      <c r="GU209" s="816"/>
      <c r="GV209" s="816"/>
      <c r="GW209" s="609"/>
      <c r="GX209" s="609"/>
      <c r="GY209" s="816"/>
      <c r="GZ209" s="816"/>
      <c r="HA209" s="609"/>
      <c r="HB209" s="609"/>
      <c r="HC209" s="816"/>
      <c r="HD209" s="816"/>
      <c r="HE209" s="816"/>
      <c r="HF209" s="816"/>
      <c r="HG209" s="816"/>
      <c r="HH209" s="816"/>
      <c r="HI209" s="821"/>
      <c r="HJ209" s="609"/>
      <c r="HK209" s="816"/>
      <c r="HL209" s="816"/>
      <c r="HM209" s="822"/>
      <c r="HN209" s="609"/>
      <c r="HO209" s="816"/>
      <c r="HP209" s="816"/>
      <c r="HQ209" s="609"/>
      <c r="HR209" s="816"/>
      <c r="HS209" s="816"/>
      <c r="HT209" s="816"/>
      <c r="HU209" s="816"/>
      <c r="HV209" s="816"/>
      <c r="HW209" s="816"/>
      <c r="HX209" s="816"/>
      <c r="HY209" s="816"/>
      <c r="HZ209" s="816"/>
      <c r="IA209" s="816"/>
      <c r="IB209" s="816"/>
      <c r="IC209" s="823"/>
      <c r="ID209" s="824"/>
      <c r="IE209" s="825"/>
      <c r="IF209" s="825"/>
      <c r="IG209" s="816"/>
      <c r="II209" s="834"/>
      <c r="IJ209" s="834"/>
      <c r="IK209" s="826"/>
      <c r="IL209" s="834"/>
    </row>
    <row r="210" spans="2:246" s="780" customFormat="1">
      <c r="B210" s="609"/>
      <c r="C210" s="609"/>
      <c r="D210" s="609"/>
      <c r="E210" s="609"/>
      <c r="F210" s="609"/>
      <c r="G210" s="609"/>
      <c r="H210" s="609"/>
      <c r="I210" s="609"/>
      <c r="J210" s="609"/>
      <c r="K210" s="609"/>
      <c r="L210" s="609"/>
      <c r="M210" s="609"/>
      <c r="N210" s="609"/>
      <c r="O210" s="609"/>
      <c r="P210" s="609"/>
      <c r="Q210" s="609"/>
      <c r="R210" s="609"/>
      <c r="S210" s="609"/>
      <c r="T210" s="609"/>
      <c r="U210" s="609"/>
      <c r="V210" s="609"/>
      <c r="W210" s="609"/>
      <c r="X210" s="609"/>
      <c r="Y210" s="609"/>
      <c r="Z210" s="816"/>
      <c r="AA210" s="816"/>
      <c r="AB210" s="816"/>
      <c r="AC210" s="816"/>
      <c r="AD210" s="816"/>
      <c r="AE210" s="816"/>
      <c r="AF210" s="609"/>
      <c r="AG210" s="609"/>
      <c r="AH210" s="816"/>
      <c r="AI210" s="816"/>
      <c r="AJ210" s="609"/>
      <c r="AK210" s="609"/>
      <c r="AL210" s="816"/>
      <c r="AM210" s="816"/>
      <c r="AN210" s="816"/>
      <c r="AO210" s="816"/>
      <c r="AP210" s="816"/>
      <c r="AQ210" s="816"/>
      <c r="AR210" s="609"/>
      <c r="AS210" s="609"/>
      <c r="AT210" s="816"/>
      <c r="AU210" s="816"/>
      <c r="AV210" s="817"/>
      <c r="AW210" s="609"/>
      <c r="AX210" s="609"/>
      <c r="AY210" s="816"/>
      <c r="AZ210" s="816"/>
      <c r="BA210" s="816"/>
      <c r="BB210" s="816"/>
      <c r="BC210" s="816"/>
      <c r="BD210" s="816"/>
      <c r="BE210" s="816"/>
      <c r="BF210" s="816"/>
      <c r="BG210" s="816"/>
      <c r="BH210" s="816"/>
      <c r="BI210" s="816"/>
      <c r="BJ210" s="816"/>
      <c r="BK210" s="816"/>
      <c r="BL210" s="816"/>
      <c r="BM210" s="816"/>
      <c r="BN210" s="816"/>
      <c r="BO210" s="816"/>
      <c r="BP210" s="816"/>
      <c r="BQ210" s="816"/>
      <c r="BR210" s="816"/>
      <c r="BS210" s="816"/>
      <c r="BT210" s="609"/>
      <c r="BU210" s="609"/>
      <c r="BV210" s="609"/>
      <c r="BW210" s="818"/>
      <c r="BX210" s="816"/>
      <c r="BY210" s="816"/>
      <c r="BZ210" s="816"/>
      <c r="CA210" s="816"/>
      <c r="CB210" s="816"/>
      <c r="CC210" s="816"/>
      <c r="CD210" s="816"/>
      <c r="CE210" s="816"/>
      <c r="CF210" s="820"/>
      <c r="CG210" s="820"/>
      <c r="CH210" s="820"/>
      <c r="CI210" s="820"/>
      <c r="CJ210" s="609"/>
      <c r="CK210" s="609"/>
      <c r="CL210" s="816"/>
      <c r="CM210" s="816"/>
      <c r="CN210" s="609"/>
      <c r="CO210" s="609"/>
      <c r="CP210" s="816"/>
      <c r="CQ210" s="816"/>
      <c r="CR210" s="609"/>
      <c r="CS210" s="609"/>
      <c r="CT210" s="816"/>
      <c r="CU210" s="816"/>
      <c r="CV210" s="609"/>
      <c r="CW210" s="609"/>
      <c r="CX210" s="816"/>
      <c r="CY210" s="816"/>
      <c r="CZ210" s="816"/>
      <c r="DA210" s="816"/>
      <c r="DB210" s="816"/>
      <c r="DC210" s="816"/>
      <c r="DD210" s="816"/>
      <c r="DE210" s="816"/>
      <c r="DF210" s="816"/>
      <c r="DG210" s="816"/>
      <c r="DH210" s="816"/>
      <c r="DI210" s="816"/>
      <c r="DJ210" s="816"/>
      <c r="DK210" s="816"/>
      <c r="DL210" s="609"/>
      <c r="DM210" s="609"/>
      <c r="DN210" s="816"/>
      <c r="DO210" s="816"/>
      <c r="DP210" s="816"/>
      <c r="DQ210" s="816"/>
      <c r="DR210" s="816"/>
      <c r="DS210" s="816"/>
      <c r="DT210" s="816"/>
      <c r="DU210" s="816"/>
      <c r="DV210" s="816"/>
      <c r="DW210" s="816"/>
      <c r="DX210" s="816"/>
      <c r="DY210" s="816"/>
      <c r="DZ210" s="816"/>
      <c r="EA210" s="816"/>
      <c r="EB210" s="609"/>
      <c r="EC210" s="609"/>
      <c r="ED210" s="816"/>
      <c r="EE210" s="816"/>
      <c r="EF210" s="816"/>
      <c r="EG210" s="816"/>
      <c r="EH210" s="816"/>
      <c r="EI210" s="816"/>
      <c r="EJ210" s="816"/>
      <c r="EK210" s="816"/>
      <c r="EL210" s="816"/>
      <c r="EM210" s="816"/>
      <c r="EN210" s="816"/>
      <c r="EO210" s="816"/>
      <c r="EP210" s="816"/>
      <c r="EQ210" s="816"/>
      <c r="ER210" s="816"/>
      <c r="ES210" s="816"/>
      <c r="ET210" s="816"/>
      <c r="EU210" s="816"/>
      <c r="EV210" s="816"/>
      <c r="EW210" s="816"/>
      <c r="EX210" s="816"/>
      <c r="EY210" s="816"/>
      <c r="EZ210" s="816"/>
      <c r="FA210" s="816"/>
      <c r="FB210" s="819"/>
      <c r="FC210" s="816"/>
      <c r="FD210" s="820"/>
      <c r="FE210" s="820"/>
      <c r="FF210" s="820"/>
      <c r="FG210" s="820"/>
      <c r="FH210" s="609"/>
      <c r="FI210" s="609"/>
      <c r="FJ210" s="816"/>
      <c r="FK210" s="816"/>
      <c r="FL210" s="816"/>
      <c r="FM210" s="816"/>
      <c r="FN210" s="816"/>
      <c r="FO210" s="816"/>
      <c r="FP210" s="816"/>
      <c r="FQ210" s="816"/>
      <c r="FR210" s="816"/>
      <c r="FS210" s="816"/>
      <c r="FT210" s="816"/>
      <c r="FU210" s="816"/>
      <c r="FV210" s="816"/>
      <c r="FW210" s="816"/>
      <c r="FX210" s="609"/>
      <c r="FY210" s="609"/>
      <c r="FZ210" s="816"/>
      <c r="GA210" s="816"/>
      <c r="GB210" s="609"/>
      <c r="GC210" s="609"/>
      <c r="GD210" s="609"/>
      <c r="GE210" s="816"/>
      <c r="GF210" s="816"/>
      <c r="GG210" s="609"/>
      <c r="GH210" s="609"/>
      <c r="GI210" s="816"/>
      <c r="GJ210" s="816"/>
      <c r="GK210" s="609"/>
      <c r="GL210" s="609"/>
      <c r="GM210" s="816"/>
      <c r="GN210" s="816"/>
      <c r="GO210" s="816"/>
      <c r="GP210" s="816"/>
      <c r="GQ210" s="816"/>
      <c r="GR210" s="816"/>
      <c r="GS210" s="609"/>
      <c r="GT210" s="609"/>
      <c r="GU210" s="816"/>
      <c r="GV210" s="816"/>
      <c r="GW210" s="609"/>
      <c r="GX210" s="609"/>
      <c r="GY210" s="816"/>
      <c r="GZ210" s="816"/>
      <c r="HA210" s="609"/>
      <c r="HB210" s="609"/>
      <c r="HC210" s="816"/>
      <c r="HD210" s="816"/>
      <c r="HE210" s="816"/>
      <c r="HF210" s="816"/>
      <c r="HG210" s="816"/>
      <c r="HH210" s="816"/>
      <c r="HI210" s="821"/>
      <c r="HJ210" s="609"/>
      <c r="HK210" s="816"/>
      <c r="HL210" s="816"/>
      <c r="HM210" s="822"/>
      <c r="HN210" s="609"/>
      <c r="HO210" s="816"/>
      <c r="HP210" s="816"/>
      <c r="HQ210" s="609"/>
      <c r="HR210" s="816"/>
      <c r="HS210" s="816"/>
      <c r="HT210" s="816"/>
      <c r="HU210" s="816"/>
      <c r="HV210" s="816"/>
      <c r="HW210" s="816"/>
      <c r="HX210" s="816"/>
      <c r="HY210" s="816"/>
      <c r="HZ210" s="816"/>
      <c r="IA210" s="816"/>
      <c r="IB210" s="816"/>
      <c r="IC210" s="823"/>
      <c r="ID210" s="824"/>
      <c r="IE210" s="825"/>
      <c r="IF210" s="825"/>
      <c r="IG210" s="816"/>
      <c r="II210" s="834"/>
      <c r="IJ210" s="834"/>
      <c r="IK210" s="826"/>
      <c r="IL210" s="834"/>
    </row>
    <row r="211" spans="2:246" s="780" customFormat="1">
      <c r="B211" s="609"/>
      <c r="C211" s="609"/>
      <c r="D211" s="609"/>
      <c r="E211" s="609"/>
      <c r="F211" s="609"/>
      <c r="G211" s="609"/>
      <c r="H211" s="609"/>
      <c r="I211" s="609"/>
      <c r="J211" s="609"/>
      <c r="K211" s="609"/>
      <c r="L211" s="609"/>
      <c r="M211" s="609"/>
      <c r="N211" s="609"/>
      <c r="O211" s="609"/>
      <c r="P211" s="609"/>
      <c r="Q211" s="609"/>
      <c r="R211" s="609"/>
      <c r="S211" s="609"/>
      <c r="T211" s="609"/>
      <c r="U211" s="609"/>
      <c r="V211" s="609"/>
      <c r="W211" s="609"/>
      <c r="X211" s="609"/>
      <c r="Y211" s="609"/>
      <c r="Z211" s="816"/>
      <c r="AA211" s="816"/>
      <c r="AB211" s="816"/>
      <c r="AC211" s="816"/>
      <c r="AD211" s="816"/>
      <c r="AE211" s="816"/>
      <c r="AF211" s="609"/>
      <c r="AG211" s="609"/>
      <c r="AH211" s="816"/>
      <c r="AI211" s="816"/>
      <c r="AJ211" s="609"/>
      <c r="AK211" s="609"/>
      <c r="AL211" s="816"/>
      <c r="AM211" s="816"/>
      <c r="AN211" s="816"/>
      <c r="AO211" s="816"/>
      <c r="AP211" s="816"/>
      <c r="AQ211" s="816"/>
      <c r="AR211" s="609"/>
      <c r="AS211" s="609"/>
      <c r="AT211" s="816"/>
      <c r="AU211" s="816"/>
      <c r="AV211" s="817"/>
      <c r="AW211" s="609"/>
      <c r="AX211" s="609"/>
      <c r="AY211" s="816"/>
      <c r="AZ211" s="816"/>
      <c r="BA211" s="816"/>
      <c r="BB211" s="816"/>
      <c r="BC211" s="816"/>
      <c r="BD211" s="816"/>
      <c r="BE211" s="816"/>
      <c r="BF211" s="816"/>
      <c r="BG211" s="816"/>
      <c r="BH211" s="816"/>
      <c r="BI211" s="816"/>
      <c r="BJ211" s="816"/>
      <c r="BK211" s="816"/>
      <c r="BL211" s="816"/>
      <c r="BM211" s="816"/>
      <c r="BN211" s="816"/>
      <c r="BO211" s="816"/>
      <c r="BP211" s="816"/>
      <c r="BQ211" s="816"/>
      <c r="BR211" s="816"/>
      <c r="BS211" s="816"/>
      <c r="BT211" s="609"/>
      <c r="BU211" s="609"/>
      <c r="BV211" s="609"/>
      <c r="BW211" s="818"/>
      <c r="BX211" s="816"/>
      <c r="BY211" s="816"/>
      <c r="BZ211" s="816"/>
      <c r="CA211" s="816"/>
      <c r="CB211" s="816"/>
      <c r="CC211" s="816"/>
      <c r="CD211" s="816"/>
      <c r="CE211" s="816"/>
      <c r="CF211" s="820"/>
      <c r="CG211" s="820"/>
      <c r="CH211" s="820"/>
      <c r="CI211" s="820"/>
      <c r="CJ211" s="609"/>
      <c r="CK211" s="609"/>
      <c r="CL211" s="816"/>
      <c r="CM211" s="816"/>
      <c r="CN211" s="609"/>
      <c r="CO211" s="609"/>
      <c r="CP211" s="816"/>
      <c r="CQ211" s="816"/>
      <c r="CR211" s="609"/>
      <c r="CS211" s="609"/>
      <c r="CT211" s="816"/>
      <c r="CU211" s="816"/>
      <c r="CV211" s="609"/>
      <c r="CW211" s="609"/>
      <c r="CX211" s="816"/>
      <c r="CY211" s="816"/>
      <c r="CZ211" s="816"/>
      <c r="DA211" s="816"/>
      <c r="DB211" s="816"/>
      <c r="DC211" s="816"/>
      <c r="DD211" s="816"/>
      <c r="DE211" s="816"/>
      <c r="DF211" s="816"/>
      <c r="DG211" s="816"/>
      <c r="DH211" s="816"/>
      <c r="DI211" s="816"/>
      <c r="DJ211" s="816"/>
      <c r="DK211" s="816"/>
      <c r="DL211" s="609"/>
      <c r="DM211" s="609"/>
      <c r="DN211" s="816"/>
      <c r="DO211" s="816"/>
      <c r="DP211" s="816"/>
      <c r="DQ211" s="816"/>
      <c r="DR211" s="816"/>
      <c r="DS211" s="816"/>
      <c r="DT211" s="816"/>
      <c r="DU211" s="816"/>
      <c r="DV211" s="816"/>
      <c r="DW211" s="816"/>
      <c r="DX211" s="816"/>
      <c r="DY211" s="816"/>
      <c r="DZ211" s="816"/>
      <c r="EA211" s="816"/>
      <c r="EB211" s="609"/>
      <c r="EC211" s="609"/>
      <c r="ED211" s="816"/>
      <c r="EE211" s="816"/>
      <c r="EF211" s="816"/>
      <c r="EG211" s="816"/>
      <c r="EH211" s="816"/>
      <c r="EI211" s="816"/>
      <c r="EJ211" s="816"/>
      <c r="EK211" s="816"/>
      <c r="EL211" s="816"/>
      <c r="EM211" s="816"/>
      <c r="EN211" s="816"/>
      <c r="EO211" s="816"/>
      <c r="EP211" s="816"/>
      <c r="EQ211" s="816"/>
      <c r="ER211" s="816"/>
      <c r="ES211" s="816"/>
      <c r="ET211" s="816"/>
      <c r="EU211" s="816"/>
      <c r="EV211" s="816"/>
      <c r="EW211" s="816"/>
      <c r="EX211" s="816"/>
      <c r="EY211" s="816"/>
      <c r="EZ211" s="816"/>
      <c r="FA211" s="816"/>
      <c r="FB211" s="819"/>
      <c r="FC211" s="816"/>
      <c r="FD211" s="820"/>
      <c r="FE211" s="820"/>
      <c r="FF211" s="820"/>
      <c r="FG211" s="820"/>
      <c r="FH211" s="609"/>
      <c r="FI211" s="609"/>
      <c r="FJ211" s="816"/>
      <c r="FK211" s="816"/>
      <c r="FL211" s="816"/>
      <c r="FM211" s="816"/>
      <c r="FN211" s="816"/>
      <c r="FO211" s="816"/>
      <c r="FP211" s="816"/>
      <c r="FQ211" s="816"/>
      <c r="FR211" s="816"/>
      <c r="FS211" s="816"/>
      <c r="FT211" s="816"/>
      <c r="FU211" s="816"/>
      <c r="FV211" s="816"/>
      <c r="FW211" s="816"/>
      <c r="FX211" s="609"/>
      <c r="FY211" s="609"/>
      <c r="FZ211" s="816"/>
      <c r="GA211" s="816"/>
      <c r="GB211" s="609"/>
      <c r="GC211" s="609"/>
      <c r="GD211" s="609"/>
      <c r="GE211" s="816"/>
      <c r="GF211" s="816"/>
      <c r="GG211" s="609"/>
      <c r="GH211" s="609"/>
      <c r="GI211" s="816"/>
      <c r="GJ211" s="816"/>
      <c r="GK211" s="609"/>
      <c r="GL211" s="609"/>
      <c r="GM211" s="816"/>
      <c r="GN211" s="816"/>
      <c r="GO211" s="816"/>
      <c r="GP211" s="816"/>
      <c r="GQ211" s="816"/>
      <c r="GR211" s="816"/>
      <c r="GS211" s="609"/>
      <c r="GT211" s="609"/>
      <c r="GU211" s="816"/>
      <c r="GV211" s="816"/>
      <c r="GW211" s="609"/>
      <c r="GX211" s="609"/>
      <c r="GY211" s="816"/>
      <c r="GZ211" s="816"/>
      <c r="HA211" s="609"/>
      <c r="HB211" s="609"/>
      <c r="HC211" s="816"/>
      <c r="HD211" s="816"/>
      <c r="HE211" s="816"/>
      <c r="HF211" s="816"/>
      <c r="HG211" s="816"/>
      <c r="HH211" s="816"/>
      <c r="HI211" s="821"/>
      <c r="HJ211" s="609"/>
      <c r="HK211" s="816"/>
      <c r="HL211" s="816"/>
      <c r="HM211" s="822"/>
      <c r="HN211" s="609"/>
      <c r="HO211" s="816"/>
      <c r="HP211" s="816"/>
      <c r="HQ211" s="609"/>
      <c r="HR211" s="816"/>
      <c r="HS211" s="816"/>
      <c r="HT211" s="816"/>
      <c r="HU211" s="816"/>
      <c r="HV211" s="816"/>
      <c r="HW211" s="816"/>
      <c r="HX211" s="816"/>
      <c r="HY211" s="816"/>
      <c r="HZ211" s="816"/>
      <c r="IA211" s="816"/>
      <c r="IB211" s="816"/>
      <c r="IC211" s="823"/>
      <c r="ID211" s="824"/>
      <c r="IE211" s="825"/>
      <c r="IF211" s="825"/>
      <c r="IG211" s="816"/>
      <c r="II211" s="834"/>
      <c r="IJ211" s="834"/>
      <c r="IK211" s="826"/>
      <c r="IL211" s="834"/>
    </row>
    <row r="212" spans="2:246" s="780" customFormat="1">
      <c r="B212" s="609"/>
      <c r="C212" s="609"/>
      <c r="D212" s="609"/>
      <c r="E212" s="609"/>
      <c r="F212" s="609"/>
      <c r="G212" s="609"/>
      <c r="H212" s="609"/>
      <c r="I212" s="609"/>
      <c r="J212" s="609"/>
      <c r="K212" s="609"/>
      <c r="L212" s="609"/>
      <c r="M212" s="609"/>
      <c r="N212" s="609"/>
      <c r="O212" s="609"/>
      <c r="P212" s="609"/>
      <c r="Q212" s="609"/>
      <c r="R212" s="609"/>
      <c r="S212" s="609"/>
      <c r="T212" s="609"/>
      <c r="U212" s="609"/>
      <c r="V212" s="609"/>
      <c r="W212" s="609"/>
      <c r="X212" s="609"/>
      <c r="Y212" s="609"/>
      <c r="Z212" s="816"/>
      <c r="AA212" s="816"/>
      <c r="AB212" s="816"/>
      <c r="AC212" s="816"/>
      <c r="AD212" s="816"/>
      <c r="AE212" s="816"/>
      <c r="AF212" s="609"/>
      <c r="AG212" s="609"/>
      <c r="AH212" s="816"/>
      <c r="AI212" s="816"/>
      <c r="AJ212" s="609"/>
      <c r="AK212" s="609"/>
      <c r="AL212" s="816"/>
      <c r="AM212" s="816"/>
      <c r="AN212" s="816"/>
      <c r="AO212" s="816"/>
      <c r="AP212" s="816"/>
      <c r="AQ212" s="816"/>
      <c r="AR212" s="609"/>
      <c r="AS212" s="609"/>
      <c r="AT212" s="816"/>
      <c r="AU212" s="816"/>
      <c r="AV212" s="817"/>
      <c r="AW212" s="609"/>
      <c r="AX212" s="609"/>
      <c r="AY212" s="816"/>
      <c r="AZ212" s="816"/>
      <c r="BA212" s="816"/>
      <c r="BB212" s="816"/>
      <c r="BC212" s="816"/>
      <c r="BD212" s="816"/>
      <c r="BE212" s="816"/>
      <c r="BF212" s="816"/>
      <c r="BG212" s="816"/>
      <c r="BH212" s="816"/>
      <c r="BI212" s="816"/>
      <c r="BJ212" s="816"/>
      <c r="BK212" s="816"/>
      <c r="BL212" s="816"/>
      <c r="BM212" s="816"/>
      <c r="BN212" s="816"/>
      <c r="BO212" s="816"/>
      <c r="BP212" s="816"/>
      <c r="BQ212" s="816"/>
      <c r="BR212" s="816"/>
      <c r="BS212" s="816"/>
      <c r="BT212" s="609"/>
      <c r="BU212" s="609"/>
      <c r="BV212" s="609"/>
      <c r="BW212" s="818"/>
      <c r="BX212" s="816"/>
      <c r="BY212" s="816"/>
      <c r="BZ212" s="816"/>
      <c r="CA212" s="816"/>
      <c r="CB212" s="816"/>
      <c r="CC212" s="816"/>
      <c r="CD212" s="816"/>
      <c r="CE212" s="816"/>
      <c r="CF212" s="820"/>
      <c r="CG212" s="820"/>
      <c r="CH212" s="820"/>
      <c r="CI212" s="820"/>
      <c r="CJ212" s="609"/>
      <c r="CK212" s="609"/>
      <c r="CL212" s="816"/>
      <c r="CM212" s="816"/>
      <c r="CN212" s="609"/>
      <c r="CO212" s="609"/>
      <c r="CP212" s="816"/>
      <c r="CQ212" s="816"/>
      <c r="CR212" s="609"/>
      <c r="CS212" s="609"/>
      <c r="CT212" s="816"/>
      <c r="CU212" s="816"/>
      <c r="CV212" s="609"/>
      <c r="CW212" s="609"/>
      <c r="CX212" s="816"/>
      <c r="CY212" s="816"/>
      <c r="CZ212" s="816"/>
      <c r="DA212" s="816"/>
      <c r="DB212" s="816"/>
      <c r="DC212" s="816"/>
      <c r="DD212" s="816"/>
      <c r="DE212" s="816"/>
      <c r="DF212" s="816"/>
      <c r="DG212" s="816"/>
      <c r="DH212" s="816"/>
      <c r="DI212" s="816"/>
      <c r="DJ212" s="816"/>
      <c r="DK212" s="816"/>
      <c r="DL212" s="609"/>
      <c r="DM212" s="609"/>
      <c r="DN212" s="816"/>
      <c r="DO212" s="816"/>
      <c r="DP212" s="816"/>
      <c r="DQ212" s="816"/>
      <c r="DR212" s="816"/>
      <c r="DS212" s="816"/>
      <c r="DT212" s="816"/>
      <c r="DU212" s="816"/>
      <c r="DV212" s="816"/>
      <c r="DW212" s="816"/>
      <c r="DX212" s="816"/>
      <c r="DY212" s="816"/>
      <c r="DZ212" s="816"/>
      <c r="EA212" s="816"/>
      <c r="EB212" s="609"/>
      <c r="EC212" s="609"/>
      <c r="ED212" s="816"/>
      <c r="EE212" s="816"/>
      <c r="EF212" s="816"/>
      <c r="EG212" s="816"/>
      <c r="EH212" s="816"/>
      <c r="EI212" s="816"/>
      <c r="EJ212" s="816"/>
      <c r="EK212" s="816"/>
      <c r="EL212" s="816"/>
      <c r="EM212" s="816"/>
      <c r="EN212" s="816"/>
      <c r="EO212" s="816"/>
      <c r="EP212" s="816"/>
      <c r="EQ212" s="816"/>
      <c r="ER212" s="816"/>
      <c r="ES212" s="816"/>
      <c r="ET212" s="816"/>
      <c r="EU212" s="816"/>
      <c r="EV212" s="816"/>
      <c r="EW212" s="816"/>
      <c r="EX212" s="816"/>
      <c r="EY212" s="816"/>
      <c r="EZ212" s="816"/>
      <c r="FA212" s="816"/>
      <c r="FB212" s="819"/>
      <c r="FC212" s="816"/>
      <c r="FD212" s="820"/>
      <c r="FE212" s="820"/>
      <c r="FF212" s="820"/>
      <c r="FG212" s="820"/>
      <c r="FH212" s="609"/>
      <c r="FI212" s="609"/>
      <c r="FJ212" s="816"/>
      <c r="FK212" s="816"/>
      <c r="FL212" s="816"/>
      <c r="FM212" s="816"/>
      <c r="FN212" s="816"/>
      <c r="FO212" s="816"/>
      <c r="FP212" s="816"/>
      <c r="FQ212" s="816"/>
      <c r="FR212" s="816"/>
      <c r="FS212" s="816"/>
      <c r="FT212" s="816"/>
      <c r="FU212" s="816"/>
      <c r="FV212" s="816"/>
      <c r="FW212" s="816"/>
      <c r="FX212" s="609"/>
      <c r="FY212" s="609"/>
      <c r="FZ212" s="816"/>
      <c r="GA212" s="816"/>
      <c r="GB212" s="609"/>
      <c r="GC212" s="609"/>
      <c r="GD212" s="609"/>
      <c r="GE212" s="816"/>
      <c r="GF212" s="816"/>
      <c r="GG212" s="609"/>
      <c r="GH212" s="609"/>
      <c r="GI212" s="816"/>
      <c r="GJ212" s="816"/>
      <c r="GK212" s="609"/>
      <c r="GL212" s="609"/>
      <c r="GM212" s="816"/>
      <c r="GN212" s="816"/>
      <c r="GO212" s="816"/>
      <c r="GP212" s="816"/>
      <c r="GQ212" s="816"/>
      <c r="GR212" s="816"/>
      <c r="GS212" s="609"/>
      <c r="GT212" s="609"/>
      <c r="GU212" s="816"/>
      <c r="GV212" s="816"/>
      <c r="GW212" s="609"/>
      <c r="GX212" s="609"/>
      <c r="GY212" s="816"/>
      <c r="GZ212" s="816"/>
      <c r="HA212" s="609"/>
      <c r="HB212" s="609"/>
      <c r="HC212" s="816"/>
      <c r="HD212" s="816"/>
      <c r="HE212" s="816"/>
      <c r="HF212" s="816"/>
      <c r="HG212" s="816"/>
      <c r="HH212" s="816"/>
      <c r="HI212" s="821"/>
      <c r="HJ212" s="609"/>
      <c r="HK212" s="816"/>
      <c r="HL212" s="816"/>
      <c r="HM212" s="822"/>
      <c r="HN212" s="609"/>
      <c r="HO212" s="816"/>
      <c r="HP212" s="816"/>
      <c r="HQ212" s="609"/>
      <c r="HR212" s="816"/>
      <c r="HS212" s="816"/>
      <c r="HT212" s="816"/>
      <c r="HU212" s="816"/>
      <c r="HV212" s="816"/>
      <c r="HW212" s="816"/>
      <c r="HX212" s="816"/>
      <c r="HY212" s="816"/>
      <c r="HZ212" s="816"/>
      <c r="IA212" s="816"/>
      <c r="IB212" s="816"/>
      <c r="IC212" s="823"/>
      <c r="ID212" s="824"/>
      <c r="IE212" s="825"/>
      <c r="IF212" s="825"/>
      <c r="IG212" s="816"/>
      <c r="II212" s="834"/>
      <c r="IJ212" s="834"/>
      <c r="IK212" s="826"/>
      <c r="IL212" s="834"/>
    </row>
    <row r="213" spans="2:246" s="780" customFormat="1">
      <c r="B213" s="609"/>
      <c r="C213" s="609"/>
      <c r="D213" s="609"/>
      <c r="E213" s="609"/>
      <c r="F213" s="609"/>
      <c r="G213" s="609"/>
      <c r="H213" s="609"/>
      <c r="I213" s="609"/>
      <c r="J213" s="609"/>
      <c r="K213" s="609"/>
      <c r="L213" s="609"/>
      <c r="M213" s="609"/>
      <c r="N213" s="609"/>
      <c r="O213" s="609"/>
      <c r="P213" s="609"/>
      <c r="Q213" s="609"/>
      <c r="R213" s="609"/>
      <c r="S213" s="609"/>
      <c r="T213" s="609"/>
      <c r="U213" s="609"/>
      <c r="V213" s="609"/>
      <c r="W213" s="609"/>
      <c r="X213" s="609"/>
      <c r="Y213" s="609"/>
      <c r="Z213" s="816"/>
      <c r="AA213" s="816"/>
      <c r="AB213" s="816"/>
      <c r="AC213" s="816"/>
      <c r="AD213" s="816"/>
      <c r="AE213" s="816"/>
      <c r="AF213" s="609"/>
      <c r="AG213" s="609"/>
      <c r="AH213" s="816"/>
      <c r="AI213" s="816"/>
      <c r="AJ213" s="609"/>
      <c r="AK213" s="609"/>
      <c r="AL213" s="816"/>
      <c r="AM213" s="816"/>
      <c r="AN213" s="816"/>
      <c r="AO213" s="816"/>
      <c r="AP213" s="816"/>
      <c r="AQ213" s="816"/>
      <c r="AR213" s="609"/>
      <c r="AS213" s="609"/>
      <c r="AT213" s="816"/>
      <c r="AU213" s="816"/>
      <c r="AV213" s="817"/>
      <c r="AW213" s="609"/>
      <c r="AX213" s="609"/>
      <c r="AY213" s="816"/>
      <c r="AZ213" s="816"/>
      <c r="BA213" s="816"/>
      <c r="BB213" s="816"/>
      <c r="BC213" s="816"/>
      <c r="BD213" s="816"/>
      <c r="BE213" s="816"/>
      <c r="BF213" s="816"/>
      <c r="BG213" s="816"/>
      <c r="BH213" s="816"/>
      <c r="BI213" s="816"/>
      <c r="BJ213" s="816"/>
      <c r="BK213" s="816"/>
      <c r="BL213" s="816"/>
      <c r="BM213" s="816"/>
      <c r="BN213" s="816"/>
      <c r="BO213" s="816"/>
      <c r="BP213" s="816"/>
      <c r="BQ213" s="816"/>
      <c r="BR213" s="816"/>
      <c r="BS213" s="816"/>
      <c r="BT213" s="609"/>
      <c r="BU213" s="609"/>
      <c r="BV213" s="609"/>
      <c r="BW213" s="818"/>
      <c r="BX213" s="816"/>
      <c r="BY213" s="816"/>
      <c r="BZ213" s="816"/>
      <c r="CA213" s="816"/>
      <c r="CB213" s="816"/>
      <c r="CC213" s="816"/>
      <c r="CD213" s="816"/>
      <c r="CE213" s="816"/>
      <c r="CF213" s="820"/>
      <c r="CG213" s="820"/>
      <c r="CH213" s="820"/>
      <c r="CI213" s="820"/>
      <c r="CJ213" s="609"/>
      <c r="CK213" s="609"/>
      <c r="CL213" s="816"/>
      <c r="CM213" s="816"/>
      <c r="CN213" s="609"/>
      <c r="CO213" s="609"/>
      <c r="CP213" s="816"/>
      <c r="CQ213" s="816"/>
      <c r="CR213" s="609"/>
      <c r="CS213" s="609"/>
      <c r="CT213" s="816"/>
      <c r="CU213" s="816"/>
      <c r="CV213" s="609"/>
      <c r="CW213" s="609"/>
      <c r="CX213" s="816"/>
      <c r="CY213" s="816"/>
      <c r="CZ213" s="816"/>
      <c r="DA213" s="816"/>
      <c r="DB213" s="816"/>
      <c r="DC213" s="816"/>
      <c r="DD213" s="816"/>
      <c r="DE213" s="816"/>
      <c r="DF213" s="816"/>
      <c r="DG213" s="816"/>
      <c r="DH213" s="816"/>
      <c r="DI213" s="816"/>
      <c r="DJ213" s="816"/>
      <c r="DK213" s="816"/>
      <c r="DL213" s="609"/>
      <c r="DM213" s="609"/>
      <c r="DN213" s="816"/>
      <c r="DO213" s="816"/>
      <c r="DP213" s="816"/>
      <c r="DQ213" s="816"/>
      <c r="DR213" s="816"/>
      <c r="DS213" s="816"/>
      <c r="DT213" s="816"/>
      <c r="DU213" s="816"/>
      <c r="DV213" s="816"/>
      <c r="DW213" s="816"/>
      <c r="DX213" s="816"/>
      <c r="DY213" s="816"/>
      <c r="DZ213" s="816"/>
      <c r="EA213" s="816"/>
      <c r="EB213" s="609"/>
      <c r="EC213" s="609"/>
      <c r="ED213" s="816"/>
      <c r="EE213" s="816"/>
      <c r="EF213" s="816"/>
      <c r="EG213" s="816"/>
      <c r="EH213" s="816"/>
      <c r="EI213" s="816"/>
      <c r="EJ213" s="816"/>
      <c r="EK213" s="816"/>
      <c r="EL213" s="816"/>
      <c r="EM213" s="816"/>
      <c r="EN213" s="816"/>
      <c r="EO213" s="816"/>
      <c r="EP213" s="816"/>
      <c r="EQ213" s="816"/>
      <c r="ER213" s="816"/>
      <c r="ES213" s="816"/>
      <c r="ET213" s="816"/>
      <c r="EU213" s="816"/>
      <c r="EV213" s="816"/>
      <c r="EW213" s="816"/>
      <c r="EX213" s="816"/>
      <c r="EY213" s="816"/>
      <c r="EZ213" s="816"/>
      <c r="FA213" s="816"/>
      <c r="FB213" s="819"/>
      <c r="FC213" s="816"/>
      <c r="FD213" s="820"/>
      <c r="FE213" s="820"/>
      <c r="FF213" s="820"/>
      <c r="FG213" s="820"/>
      <c r="FH213" s="609"/>
      <c r="FI213" s="609"/>
      <c r="FJ213" s="816"/>
      <c r="FK213" s="816"/>
      <c r="FL213" s="816"/>
      <c r="FM213" s="816"/>
      <c r="FN213" s="816"/>
      <c r="FO213" s="816"/>
      <c r="FP213" s="816"/>
      <c r="FQ213" s="816"/>
      <c r="FR213" s="816"/>
      <c r="FS213" s="816"/>
      <c r="FT213" s="816"/>
      <c r="FU213" s="816"/>
      <c r="FV213" s="816"/>
      <c r="FW213" s="816"/>
      <c r="FX213" s="609"/>
      <c r="FY213" s="609"/>
      <c r="FZ213" s="816"/>
      <c r="GA213" s="816"/>
      <c r="GB213" s="609"/>
      <c r="GC213" s="609"/>
      <c r="GD213" s="609"/>
      <c r="GE213" s="816"/>
      <c r="GF213" s="816"/>
      <c r="GG213" s="609"/>
      <c r="GH213" s="609"/>
      <c r="GI213" s="816"/>
      <c r="GJ213" s="816"/>
      <c r="GK213" s="609"/>
      <c r="GL213" s="609"/>
      <c r="GM213" s="816"/>
      <c r="GN213" s="816"/>
      <c r="GO213" s="816"/>
      <c r="GP213" s="816"/>
      <c r="GQ213" s="816"/>
      <c r="GR213" s="816"/>
      <c r="GS213" s="609"/>
      <c r="GT213" s="609"/>
      <c r="GU213" s="816"/>
      <c r="GV213" s="816"/>
      <c r="GW213" s="609"/>
      <c r="GX213" s="609"/>
      <c r="GY213" s="816"/>
      <c r="GZ213" s="816"/>
      <c r="HA213" s="609"/>
      <c r="HB213" s="609"/>
      <c r="HC213" s="816"/>
      <c r="HD213" s="816"/>
      <c r="HE213" s="816"/>
      <c r="HF213" s="816"/>
      <c r="HG213" s="816"/>
      <c r="HH213" s="816"/>
      <c r="HI213" s="821"/>
      <c r="HJ213" s="609"/>
      <c r="HK213" s="816"/>
      <c r="HL213" s="816"/>
      <c r="HM213" s="822"/>
      <c r="HN213" s="609"/>
      <c r="HO213" s="816"/>
      <c r="HP213" s="816"/>
      <c r="HQ213" s="609"/>
      <c r="HR213" s="816"/>
      <c r="HS213" s="816"/>
      <c r="HT213" s="816"/>
      <c r="HU213" s="816"/>
      <c r="HV213" s="816"/>
      <c r="HW213" s="816"/>
      <c r="HX213" s="816"/>
      <c r="HY213" s="816"/>
      <c r="HZ213" s="816"/>
      <c r="IA213" s="816"/>
      <c r="IB213" s="816"/>
      <c r="IC213" s="823"/>
      <c r="ID213" s="824"/>
      <c r="IE213" s="825"/>
      <c r="IF213" s="825"/>
      <c r="IG213" s="816"/>
      <c r="II213" s="834"/>
      <c r="IJ213" s="834"/>
      <c r="IK213" s="826"/>
      <c r="IL213" s="834"/>
    </row>
    <row r="214" spans="2:246" s="780" customFormat="1">
      <c r="B214" s="609"/>
      <c r="C214" s="609"/>
      <c r="D214" s="609"/>
      <c r="E214" s="609"/>
      <c r="F214" s="609"/>
      <c r="G214" s="609"/>
      <c r="H214" s="609"/>
      <c r="I214" s="609"/>
      <c r="J214" s="609"/>
      <c r="K214" s="609"/>
      <c r="L214" s="609"/>
      <c r="M214" s="609"/>
      <c r="N214" s="609"/>
      <c r="O214" s="609"/>
      <c r="P214" s="609"/>
      <c r="Q214" s="609"/>
      <c r="R214" s="609"/>
      <c r="S214" s="609"/>
      <c r="T214" s="609"/>
      <c r="U214" s="609"/>
      <c r="V214" s="609"/>
      <c r="W214" s="609"/>
      <c r="X214" s="609"/>
      <c r="Y214" s="609"/>
      <c r="Z214" s="816"/>
      <c r="AA214" s="816"/>
      <c r="AB214" s="816"/>
      <c r="AC214" s="816"/>
      <c r="AD214" s="816"/>
      <c r="AE214" s="816"/>
      <c r="AF214" s="609"/>
      <c r="AG214" s="609"/>
      <c r="AH214" s="816"/>
      <c r="AI214" s="816"/>
      <c r="AJ214" s="609"/>
      <c r="AK214" s="609"/>
      <c r="AL214" s="816"/>
      <c r="AM214" s="816"/>
      <c r="AN214" s="816"/>
      <c r="AO214" s="816"/>
      <c r="AP214" s="816"/>
      <c r="AQ214" s="816"/>
      <c r="AR214" s="609"/>
      <c r="AS214" s="609"/>
      <c r="AT214" s="816"/>
      <c r="AU214" s="816"/>
      <c r="AV214" s="817"/>
      <c r="AW214" s="609"/>
      <c r="AX214" s="609"/>
      <c r="AY214" s="816"/>
      <c r="AZ214" s="816"/>
      <c r="BA214" s="816"/>
      <c r="BB214" s="816"/>
      <c r="BC214" s="816"/>
      <c r="BD214" s="816"/>
      <c r="BE214" s="816"/>
      <c r="BF214" s="816"/>
      <c r="BG214" s="816"/>
      <c r="BH214" s="816"/>
      <c r="BI214" s="816"/>
      <c r="BJ214" s="816"/>
      <c r="BK214" s="816"/>
      <c r="BL214" s="816"/>
      <c r="BM214" s="816"/>
      <c r="BN214" s="816"/>
      <c r="BO214" s="816"/>
      <c r="BP214" s="816"/>
      <c r="BQ214" s="816"/>
      <c r="BR214" s="816"/>
      <c r="BS214" s="816"/>
      <c r="BT214" s="609"/>
      <c r="BU214" s="609"/>
      <c r="BV214" s="609"/>
      <c r="BW214" s="818"/>
      <c r="BX214" s="816"/>
      <c r="BY214" s="816"/>
      <c r="BZ214" s="816"/>
      <c r="CA214" s="816"/>
      <c r="CB214" s="816"/>
      <c r="CC214" s="816"/>
      <c r="CD214" s="816"/>
      <c r="CE214" s="816"/>
      <c r="CF214" s="820"/>
      <c r="CG214" s="820"/>
      <c r="CH214" s="820"/>
      <c r="CI214" s="820"/>
      <c r="CJ214" s="609"/>
      <c r="CK214" s="609"/>
      <c r="CL214" s="816"/>
      <c r="CM214" s="816"/>
      <c r="CN214" s="609"/>
      <c r="CO214" s="609"/>
      <c r="CP214" s="816"/>
      <c r="CQ214" s="816"/>
      <c r="CR214" s="609"/>
      <c r="CS214" s="609"/>
      <c r="CT214" s="816"/>
      <c r="CU214" s="816"/>
      <c r="CV214" s="609"/>
      <c r="CW214" s="609"/>
      <c r="CX214" s="816"/>
      <c r="CY214" s="816"/>
      <c r="CZ214" s="816"/>
      <c r="DA214" s="816"/>
      <c r="DB214" s="816"/>
      <c r="DC214" s="816"/>
      <c r="DD214" s="816"/>
      <c r="DE214" s="816"/>
      <c r="DF214" s="816"/>
      <c r="DG214" s="816"/>
      <c r="DH214" s="816"/>
      <c r="DI214" s="816"/>
      <c r="DJ214" s="816"/>
      <c r="DK214" s="816"/>
      <c r="DL214" s="609"/>
      <c r="DM214" s="609"/>
      <c r="DN214" s="816"/>
      <c r="DO214" s="816"/>
      <c r="DP214" s="816"/>
      <c r="DQ214" s="816"/>
      <c r="DR214" s="816"/>
      <c r="DS214" s="816"/>
      <c r="DT214" s="816"/>
      <c r="DU214" s="816"/>
      <c r="DV214" s="816"/>
      <c r="DW214" s="816"/>
      <c r="DX214" s="816"/>
      <c r="DY214" s="816"/>
      <c r="DZ214" s="816"/>
      <c r="EA214" s="816"/>
      <c r="EB214" s="609"/>
      <c r="EC214" s="609"/>
      <c r="ED214" s="816"/>
      <c r="EE214" s="816"/>
      <c r="EF214" s="816"/>
      <c r="EG214" s="816"/>
      <c r="EH214" s="816"/>
      <c r="EI214" s="816"/>
      <c r="EJ214" s="816"/>
      <c r="EK214" s="816"/>
      <c r="EL214" s="816"/>
      <c r="EM214" s="816"/>
      <c r="EN214" s="816"/>
      <c r="EO214" s="816"/>
      <c r="EP214" s="816"/>
      <c r="EQ214" s="816"/>
      <c r="ER214" s="816"/>
      <c r="ES214" s="816"/>
      <c r="ET214" s="816"/>
      <c r="EU214" s="816"/>
      <c r="EV214" s="816"/>
      <c r="EW214" s="816"/>
      <c r="EX214" s="816"/>
      <c r="EY214" s="816"/>
      <c r="EZ214" s="816"/>
      <c r="FA214" s="816"/>
      <c r="FB214" s="819"/>
      <c r="FC214" s="816"/>
      <c r="FD214" s="820"/>
      <c r="FE214" s="820"/>
      <c r="FF214" s="820"/>
      <c r="FG214" s="820"/>
      <c r="FH214" s="609"/>
      <c r="FI214" s="609"/>
      <c r="FJ214" s="816"/>
      <c r="FK214" s="816"/>
      <c r="FL214" s="816"/>
      <c r="FM214" s="816"/>
      <c r="FN214" s="816"/>
      <c r="FO214" s="816"/>
      <c r="FP214" s="816"/>
      <c r="FQ214" s="816"/>
      <c r="FR214" s="816"/>
      <c r="FS214" s="816"/>
      <c r="FT214" s="816"/>
      <c r="FU214" s="816"/>
      <c r="FV214" s="816"/>
      <c r="FW214" s="816"/>
      <c r="FX214" s="609"/>
      <c r="FY214" s="609"/>
      <c r="FZ214" s="816"/>
      <c r="GA214" s="816"/>
      <c r="GB214" s="609"/>
      <c r="GC214" s="609"/>
      <c r="GD214" s="609"/>
      <c r="GE214" s="816"/>
      <c r="GF214" s="816"/>
      <c r="GG214" s="609"/>
      <c r="GH214" s="609"/>
      <c r="GI214" s="816"/>
      <c r="GJ214" s="816"/>
      <c r="GK214" s="609"/>
      <c r="GL214" s="609"/>
      <c r="GM214" s="816"/>
      <c r="GN214" s="816"/>
      <c r="GO214" s="816"/>
      <c r="GP214" s="816"/>
      <c r="GQ214" s="816"/>
      <c r="GR214" s="816"/>
      <c r="GS214" s="609"/>
      <c r="GT214" s="609"/>
      <c r="GU214" s="816"/>
      <c r="GV214" s="816"/>
      <c r="GW214" s="609"/>
      <c r="GX214" s="609"/>
      <c r="GY214" s="816"/>
      <c r="GZ214" s="816"/>
      <c r="HA214" s="609"/>
      <c r="HB214" s="609"/>
      <c r="HC214" s="816"/>
      <c r="HD214" s="816"/>
      <c r="HE214" s="816"/>
      <c r="HF214" s="816"/>
      <c r="HG214" s="816"/>
      <c r="HH214" s="816"/>
      <c r="HI214" s="821"/>
      <c r="HJ214" s="609"/>
      <c r="HK214" s="816"/>
      <c r="HL214" s="816"/>
      <c r="HM214" s="822"/>
      <c r="HN214" s="609"/>
      <c r="HO214" s="816"/>
      <c r="HP214" s="816"/>
      <c r="HQ214" s="609"/>
      <c r="HR214" s="816"/>
      <c r="HS214" s="816"/>
      <c r="HT214" s="816"/>
      <c r="HU214" s="816"/>
      <c r="HV214" s="816"/>
      <c r="HW214" s="816"/>
      <c r="HX214" s="816"/>
      <c r="HY214" s="816"/>
      <c r="HZ214" s="816"/>
      <c r="IA214" s="816"/>
      <c r="IB214" s="816"/>
      <c r="IC214" s="823"/>
      <c r="ID214" s="824"/>
      <c r="IE214" s="825"/>
      <c r="IF214" s="825"/>
      <c r="IG214" s="816"/>
      <c r="II214" s="834"/>
      <c r="IJ214" s="834"/>
      <c r="IK214" s="826"/>
      <c r="IL214" s="834"/>
    </row>
    <row r="215" spans="2:246" s="780" customFormat="1">
      <c r="B215" s="609"/>
      <c r="C215" s="609"/>
      <c r="D215" s="609"/>
      <c r="E215" s="609"/>
      <c r="F215" s="609"/>
      <c r="G215" s="609"/>
      <c r="H215" s="609"/>
      <c r="I215" s="609"/>
      <c r="J215" s="609"/>
      <c r="K215" s="609"/>
      <c r="L215" s="609"/>
      <c r="M215" s="609"/>
      <c r="N215" s="609"/>
      <c r="O215" s="609"/>
      <c r="P215" s="609"/>
      <c r="Q215" s="609"/>
      <c r="R215" s="609"/>
      <c r="S215" s="609"/>
      <c r="T215" s="609"/>
      <c r="U215" s="609"/>
      <c r="V215" s="609"/>
      <c r="W215" s="609"/>
      <c r="X215" s="609"/>
      <c r="Y215" s="609"/>
      <c r="Z215" s="816"/>
      <c r="AA215" s="816"/>
      <c r="AB215" s="816"/>
      <c r="AC215" s="816"/>
      <c r="AD215" s="816"/>
      <c r="AE215" s="816"/>
      <c r="AF215" s="609"/>
      <c r="AG215" s="609"/>
      <c r="AH215" s="816"/>
      <c r="AI215" s="816"/>
      <c r="AJ215" s="609"/>
      <c r="AK215" s="609"/>
      <c r="AL215" s="816"/>
      <c r="AM215" s="816"/>
      <c r="AN215" s="816"/>
      <c r="AO215" s="816"/>
      <c r="AP215" s="816"/>
      <c r="AQ215" s="816"/>
      <c r="AR215" s="609"/>
      <c r="AS215" s="609"/>
      <c r="AT215" s="816"/>
      <c r="AU215" s="816"/>
      <c r="AV215" s="817"/>
      <c r="AW215" s="609"/>
      <c r="AX215" s="609"/>
      <c r="AY215" s="816"/>
      <c r="AZ215" s="816"/>
      <c r="BA215" s="816"/>
      <c r="BB215" s="816"/>
      <c r="BC215" s="816"/>
      <c r="BD215" s="816"/>
      <c r="BE215" s="816"/>
      <c r="BF215" s="816"/>
      <c r="BG215" s="816"/>
      <c r="BH215" s="816"/>
      <c r="BI215" s="816"/>
      <c r="BJ215" s="816"/>
      <c r="BK215" s="816"/>
      <c r="BL215" s="816"/>
      <c r="BM215" s="816"/>
      <c r="BN215" s="816"/>
      <c r="BO215" s="816"/>
      <c r="BP215" s="816"/>
      <c r="BQ215" s="816"/>
      <c r="BR215" s="816"/>
      <c r="BS215" s="816"/>
      <c r="BT215" s="609"/>
      <c r="BU215" s="609"/>
      <c r="BV215" s="609"/>
      <c r="BW215" s="818"/>
      <c r="BX215" s="816"/>
      <c r="BY215" s="816"/>
      <c r="BZ215" s="816"/>
      <c r="CA215" s="816"/>
      <c r="CB215" s="816"/>
      <c r="CC215" s="816"/>
      <c r="CD215" s="816"/>
      <c r="CE215" s="816"/>
      <c r="CF215" s="820"/>
      <c r="CG215" s="820"/>
      <c r="CH215" s="820"/>
      <c r="CI215" s="820"/>
      <c r="CJ215" s="609"/>
      <c r="CK215" s="609"/>
      <c r="CL215" s="816"/>
      <c r="CM215" s="816"/>
      <c r="CN215" s="609"/>
      <c r="CO215" s="609"/>
      <c r="CP215" s="816"/>
      <c r="CQ215" s="816"/>
      <c r="CR215" s="609"/>
      <c r="CS215" s="609"/>
      <c r="CT215" s="816"/>
      <c r="CU215" s="816"/>
      <c r="CV215" s="609"/>
      <c r="CW215" s="609"/>
      <c r="CX215" s="816"/>
      <c r="CY215" s="816"/>
      <c r="CZ215" s="816"/>
      <c r="DA215" s="816"/>
      <c r="DB215" s="816"/>
      <c r="DC215" s="816"/>
      <c r="DD215" s="816"/>
      <c r="DE215" s="816"/>
      <c r="DF215" s="816"/>
      <c r="DG215" s="816"/>
      <c r="DH215" s="816"/>
      <c r="DI215" s="816"/>
      <c r="DJ215" s="816"/>
      <c r="DK215" s="816"/>
      <c r="DL215" s="609"/>
      <c r="DM215" s="609"/>
      <c r="DN215" s="816"/>
      <c r="DO215" s="816"/>
      <c r="DP215" s="816"/>
      <c r="DQ215" s="816"/>
      <c r="DR215" s="816"/>
      <c r="DS215" s="816"/>
      <c r="DT215" s="816"/>
      <c r="DU215" s="816"/>
      <c r="DV215" s="816"/>
      <c r="DW215" s="816"/>
      <c r="DX215" s="816"/>
      <c r="DY215" s="816"/>
      <c r="DZ215" s="816"/>
      <c r="EA215" s="816"/>
      <c r="EB215" s="609"/>
      <c r="EC215" s="609"/>
      <c r="ED215" s="816"/>
      <c r="EE215" s="816"/>
      <c r="EF215" s="816"/>
      <c r="EG215" s="816"/>
      <c r="EH215" s="816"/>
      <c r="EI215" s="816"/>
      <c r="EJ215" s="816"/>
      <c r="EK215" s="816"/>
      <c r="EL215" s="816"/>
      <c r="EM215" s="816"/>
      <c r="EN215" s="816"/>
      <c r="EO215" s="816"/>
      <c r="EP215" s="816"/>
      <c r="EQ215" s="816"/>
      <c r="ER215" s="816"/>
      <c r="ES215" s="816"/>
      <c r="ET215" s="816"/>
      <c r="EU215" s="816"/>
      <c r="EV215" s="816"/>
      <c r="EW215" s="816"/>
      <c r="EX215" s="816"/>
      <c r="EY215" s="816"/>
      <c r="EZ215" s="816"/>
      <c r="FA215" s="816"/>
      <c r="FB215" s="819"/>
      <c r="FC215" s="816"/>
      <c r="FD215" s="820"/>
      <c r="FE215" s="820"/>
      <c r="FF215" s="820"/>
      <c r="FG215" s="820"/>
      <c r="FH215" s="609"/>
      <c r="FI215" s="609"/>
      <c r="FJ215" s="816"/>
      <c r="FK215" s="816"/>
      <c r="FL215" s="816"/>
      <c r="FM215" s="816"/>
      <c r="FN215" s="816"/>
      <c r="FO215" s="816"/>
      <c r="FP215" s="816"/>
      <c r="FQ215" s="816"/>
      <c r="FR215" s="816"/>
      <c r="FS215" s="816"/>
      <c r="FT215" s="816"/>
      <c r="FU215" s="816"/>
      <c r="FV215" s="816"/>
      <c r="FW215" s="816"/>
      <c r="FX215" s="609"/>
      <c r="FY215" s="609"/>
      <c r="FZ215" s="816"/>
      <c r="GA215" s="816"/>
      <c r="GB215" s="609"/>
      <c r="GC215" s="609"/>
      <c r="GD215" s="609"/>
      <c r="GE215" s="816"/>
      <c r="GF215" s="816"/>
      <c r="GG215" s="609"/>
      <c r="GH215" s="609"/>
      <c r="GI215" s="816"/>
      <c r="GJ215" s="816"/>
      <c r="GK215" s="609"/>
      <c r="GL215" s="609"/>
      <c r="GM215" s="816"/>
      <c r="GN215" s="816"/>
      <c r="GO215" s="816"/>
      <c r="GP215" s="816"/>
      <c r="GQ215" s="816"/>
      <c r="GR215" s="816"/>
      <c r="GS215" s="609"/>
      <c r="GT215" s="609"/>
      <c r="GU215" s="816"/>
      <c r="GV215" s="816"/>
      <c r="GW215" s="609"/>
      <c r="GX215" s="609"/>
      <c r="GY215" s="816"/>
      <c r="GZ215" s="816"/>
      <c r="HA215" s="609"/>
      <c r="HB215" s="609"/>
      <c r="HC215" s="816"/>
      <c r="HD215" s="816"/>
      <c r="HE215" s="816"/>
      <c r="HF215" s="816"/>
      <c r="HG215" s="816"/>
      <c r="HH215" s="816"/>
      <c r="HI215" s="821"/>
      <c r="HJ215" s="609"/>
      <c r="HK215" s="816"/>
      <c r="HL215" s="816"/>
      <c r="HM215" s="822"/>
      <c r="HN215" s="609"/>
      <c r="HO215" s="816"/>
      <c r="HP215" s="816"/>
      <c r="HQ215" s="609"/>
      <c r="HR215" s="816"/>
      <c r="HS215" s="816"/>
      <c r="HT215" s="816"/>
      <c r="HU215" s="816"/>
      <c r="HV215" s="816"/>
      <c r="HW215" s="816"/>
      <c r="HX215" s="816"/>
      <c r="HY215" s="816"/>
      <c r="HZ215" s="816"/>
      <c r="IA215" s="816"/>
      <c r="IB215" s="816"/>
      <c r="IC215" s="823"/>
      <c r="ID215" s="824"/>
      <c r="IE215" s="825"/>
      <c r="IF215" s="825"/>
      <c r="IG215" s="816"/>
      <c r="II215" s="834"/>
      <c r="IJ215" s="834"/>
      <c r="IK215" s="826"/>
      <c r="IL215" s="834"/>
    </row>
    <row r="216" spans="2:246" s="780" customFormat="1">
      <c r="B216" s="609"/>
      <c r="C216" s="609"/>
      <c r="D216" s="609"/>
      <c r="E216" s="609"/>
      <c r="F216" s="609"/>
      <c r="G216" s="609"/>
      <c r="H216" s="609"/>
      <c r="I216" s="609"/>
      <c r="J216" s="609"/>
      <c r="K216" s="609"/>
      <c r="L216" s="609"/>
      <c r="M216" s="609"/>
      <c r="N216" s="609"/>
      <c r="O216" s="609"/>
      <c r="P216" s="609"/>
      <c r="Q216" s="609"/>
      <c r="R216" s="609"/>
      <c r="S216" s="609"/>
      <c r="T216" s="609"/>
      <c r="U216" s="609"/>
      <c r="V216" s="609"/>
      <c r="W216" s="609"/>
      <c r="X216" s="609"/>
      <c r="Y216" s="609"/>
      <c r="Z216" s="816"/>
      <c r="AA216" s="816"/>
      <c r="AB216" s="816"/>
      <c r="AC216" s="816"/>
      <c r="AD216" s="816"/>
      <c r="AE216" s="816"/>
      <c r="AF216" s="609"/>
      <c r="AG216" s="609"/>
      <c r="AH216" s="816"/>
      <c r="AI216" s="816"/>
      <c r="AJ216" s="609"/>
      <c r="AK216" s="609"/>
      <c r="AL216" s="816"/>
      <c r="AM216" s="816"/>
      <c r="AN216" s="816"/>
      <c r="AO216" s="816"/>
      <c r="AP216" s="816"/>
      <c r="AQ216" s="816"/>
      <c r="AR216" s="609"/>
      <c r="AS216" s="609"/>
      <c r="AT216" s="816"/>
      <c r="AU216" s="816"/>
      <c r="AV216" s="817"/>
      <c r="AW216" s="609"/>
      <c r="AX216" s="609"/>
      <c r="AY216" s="816"/>
      <c r="AZ216" s="816"/>
      <c r="BA216" s="816"/>
      <c r="BB216" s="816"/>
      <c r="BC216" s="816"/>
      <c r="BD216" s="816"/>
      <c r="BE216" s="816"/>
      <c r="BF216" s="816"/>
      <c r="BG216" s="816"/>
      <c r="BH216" s="816"/>
      <c r="BI216" s="816"/>
      <c r="BJ216" s="816"/>
      <c r="BK216" s="816"/>
      <c r="BL216" s="816"/>
      <c r="BM216" s="816"/>
      <c r="BN216" s="816"/>
      <c r="BO216" s="816"/>
      <c r="BP216" s="816"/>
      <c r="BQ216" s="816"/>
      <c r="BR216" s="816"/>
      <c r="BS216" s="816"/>
      <c r="BT216" s="609"/>
      <c r="BU216" s="609"/>
      <c r="BV216" s="609"/>
      <c r="BW216" s="818"/>
      <c r="BX216" s="816"/>
      <c r="BY216" s="816"/>
      <c r="BZ216" s="816"/>
      <c r="CA216" s="816"/>
      <c r="CB216" s="816"/>
      <c r="CC216" s="816"/>
      <c r="CD216" s="816"/>
      <c r="CE216" s="816"/>
      <c r="CF216" s="820"/>
      <c r="CG216" s="820"/>
      <c r="CH216" s="820"/>
      <c r="CI216" s="820"/>
      <c r="CJ216" s="609"/>
      <c r="CK216" s="609"/>
      <c r="CL216" s="816"/>
      <c r="CM216" s="816"/>
      <c r="CN216" s="609"/>
      <c r="CO216" s="609"/>
      <c r="CP216" s="816"/>
      <c r="CQ216" s="816"/>
      <c r="CR216" s="609"/>
      <c r="CS216" s="609"/>
      <c r="CT216" s="816"/>
      <c r="CU216" s="816"/>
      <c r="CV216" s="609"/>
      <c r="CW216" s="609"/>
      <c r="CX216" s="816"/>
      <c r="CY216" s="816"/>
      <c r="CZ216" s="816"/>
      <c r="DA216" s="816"/>
      <c r="DB216" s="816"/>
      <c r="DC216" s="816"/>
      <c r="DD216" s="816"/>
      <c r="DE216" s="816"/>
      <c r="DF216" s="816"/>
      <c r="DG216" s="816"/>
      <c r="DH216" s="816"/>
      <c r="DI216" s="816"/>
      <c r="DJ216" s="816"/>
      <c r="DK216" s="816"/>
      <c r="DL216" s="609"/>
      <c r="DM216" s="609"/>
      <c r="DN216" s="816"/>
      <c r="DO216" s="816"/>
      <c r="DP216" s="816"/>
      <c r="DQ216" s="816"/>
      <c r="DR216" s="816"/>
      <c r="DS216" s="816"/>
      <c r="DT216" s="816"/>
      <c r="DU216" s="816"/>
      <c r="DV216" s="816"/>
      <c r="DW216" s="816"/>
      <c r="DX216" s="816"/>
      <c r="DY216" s="816"/>
      <c r="DZ216" s="816"/>
      <c r="EA216" s="816"/>
      <c r="EB216" s="609"/>
      <c r="EC216" s="609"/>
      <c r="ED216" s="816"/>
      <c r="EE216" s="816"/>
      <c r="EF216" s="816"/>
      <c r="EG216" s="816"/>
      <c r="EH216" s="816"/>
      <c r="EI216" s="816"/>
      <c r="EJ216" s="816"/>
      <c r="EK216" s="816"/>
      <c r="EL216" s="816"/>
      <c r="EM216" s="816"/>
      <c r="EN216" s="816"/>
      <c r="EO216" s="816"/>
      <c r="EP216" s="816"/>
      <c r="EQ216" s="816"/>
      <c r="ER216" s="816"/>
      <c r="ES216" s="816"/>
      <c r="ET216" s="816"/>
      <c r="EU216" s="816"/>
      <c r="EV216" s="816"/>
      <c r="EW216" s="816"/>
      <c r="EX216" s="816"/>
      <c r="EY216" s="816"/>
      <c r="EZ216" s="816"/>
      <c r="FA216" s="816"/>
      <c r="FB216" s="819"/>
      <c r="FC216" s="816"/>
      <c r="FD216" s="820"/>
      <c r="FE216" s="820"/>
      <c r="FF216" s="820"/>
      <c r="FG216" s="820"/>
      <c r="FH216" s="609"/>
      <c r="FI216" s="609"/>
      <c r="FJ216" s="816"/>
      <c r="FK216" s="816"/>
      <c r="FL216" s="816"/>
      <c r="FM216" s="816"/>
      <c r="FN216" s="816"/>
      <c r="FO216" s="816"/>
      <c r="FP216" s="816"/>
      <c r="FQ216" s="816"/>
      <c r="FR216" s="816"/>
      <c r="FS216" s="816"/>
      <c r="FT216" s="816"/>
      <c r="FU216" s="816"/>
      <c r="FV216" s="816"/>
      <c r="FW216" s="816"/>
      <c r="FX216" s="609"/>
      <c r="FY216" s="609"/>
      <c r="FZ216" s="816"/>
      <c r="GA216" s="816"/>
      <c r="GB216" s="609"/>
      <c r="GC216" s="609"/>
      <c r="GD216" s="609"/>
      <c r="GE216" s="816"/>
      <c r="GF216" s="816"/>
      <c r="GG216" s="609"/>
      <c r="GH216" s="609"/>
      <c r="GI216" s="816"/>
      <c r="GJ216" s="816"/>
      <c r="GK216" s="609"/>
      <c r="GL216" s="609"/>
      <c r="GM216" s="816"/>
      <c r="GN216" s="816"/>
      <c r="GO216" s="816"/>
      <c r="GP216" s="816"/>
      <c r="GQ216" s="816"/>
      <c r="GR216" s="816"/>
      <c r="GS216" s="609"/>
      <c r="GT216" s="609"/>
      <c r="GU216" s="816"/>
      <c r="GV216" s="816"/>
      <c r="GW216" s="609"/>
      <c r="GX216" s="609"/>
      <c r="GY216" s="816"/>
      <c r="GZ216" s="816"/>
      <c r="HA216" s="609"/>
      <c r="HB216" s="609"/>
      <c r="HC216" s="816"/>
      <c r="HD216" s="816"/>
      <c r="HE216" s="816"/>
      <c r="HF216" s="816"/>
      <c r="HG216" s="816"/>
      <c r="HH216" s="816"/>
      <c r="HI216" s="821"/>
      <c r="HJ216" s="609"/>
      <c r="HK216" s="816"/>
      <c r="HL216" s="816"/>
      <c r="HM216" s="822"/>
      <c r="HN216" s="609"/>
      <c r="HO216" s="816"/>
      <c r="HP216" s="816"/>
      <c r="HQ216" s="609"/>
      <c r="HR216" s="816"/>
      <c r="HS216" s="816"/>
      <c r="HT216" s="816"/>
      <c r="HU216" s="816"/>
      <c r="HV216" s="816"/>
      <c r="HW216" s="816"/>
      <c r="HX216" s="816"/>
      <c r="HY216" s="816"/>
      <c r="HZ216" s="816"/>
      <c r="IA216" s="816"/>
      <c r="IB216" s="816"/>
      <c r="IC216" s="823"/>
      <c r="ID216" s="824"/>
      <c r="IE216" s="825"/>
      <c r="IF216" s="825"/>
      <c r="IG216" s="816"/>
      <c r="II216" s="834"/>
      <c r="IJ216" s="834"/>
      <c r="IK216" s="826"/>
      <c r="IL216" s="834"/>
    </row>
    <row r="217" spans="2:246" s="780" customFormat="1">
      <c r="B217" s="609"/>
      <c r="C217" s="609"/>
      <c r="D217" s="609"/>
      <c r="E217" s="609"/>
      <c r="F217" s="609"/>
      <c r="G217" s="609"/>
      <c r="H217" s="609"/>
      <c r="I217" s="609"/>
      <c r="J217" s="609"/>
      <c r="K217" s="609"/>
      <c r="L217" s="609"/>
      <c r="M217" s="609"/>
      <c r="N217" s="609"/>
      <c r="O217" s="609"/>
      <c r="P217" s="609"/>
      <c r="Q217" s="609"/>
      <c r="R217" s="609"/>
      <c r="S217" s="609"/>
      <c r="T217" s="609"/>
      <c r="U217" s="609"/>
      <c r="V217" s="609"/>
      <c r="W217" s="609"/>
      <c r="X217" s="609"/>
      <c r="Y217" s="609"/>
      <c r="Z217" s="816"/>
      <c r="AA217" s="816"/>
      <c r="AB217" s="816"/>
      <c r="AC217" s="816"/>
      <c r="AD217" s="816"/>
      <c r="AE217" s="816"/>
      <c r="AF217" s="609"/>
      <c r="AG217" s="609"/>
      <c r="AH217" s="816"/>
      <c r="AI217" s="816"/>
      <c r="AJ217" s="609"/>
      <c r="AK217" s="609"/>
      <c r="AL217" s="816"/>
      <c r="AM217" s="816"/>
      <c r="AN217" s="816"/>
      <c r="AO217" s="816"/>
      <c r="AP217" s="816"/>
      <c r="AQ217" s="816"/>
      <c r="AR217" s="609"/>
      <c r="AS217" s="609"/>
      <c r="AT217" s="816"/>
      <c r="AU217" s="816"/>
      <c r="AV217" s="817"/>
      <c r="AW217" s="609"/>
      <c r="AX217" s="609"/>
      <c r="AY217" s="816"/>
      <c r="AZ217" s="816"/>
      <c r="BA217" s="816"/>
      <c r="BB217" s="816"/>
      <c r="BC217" s="816"/>
      <c r="BD217" s="816"/>
      <c r="BE217" s="816"/>
      <c r="BF217" s="816"/>
      <c r="BG217" s="816"/>
      <c r="BH217" s="816"/>
      <c r="BI217" s="816"/>
      <c r="BJ217" s="816"/>
      <c r="BK217" s="816"/>
      <c r="BL217" s="816"/>
      <c r="BM217" s="816"/>
      <c r="BN217" s="816"/>
      <c r="BO217" s="816"/>
      <c r="BP217" s="816"/>
      <c r="BQ217" s="816"/>
      <c r="BR217" s="816"/>
      <c r="BS217" s="816"/>
      <c r="BT217" s="609"/>
      <c r="BU217" s="609"/>
      <c r="BV217" s="609"/>
      <c r="BW217" s="818"/>
      <c r="BX217" s="816"/>
      <c r="BY217" s="816"/>
      <c r="BZ217" s="816"/>
      <c r="CA217" s="816"/>
      <c r="CB217" s="816"/>
      <c r="CC217" s="816"/>
      <c r="CD217" s="816"/>
      <c r="CE217" s="816"/>
      <c r="CF217" s="820"/>
      <c r="CG217" s="820"/>
      <c r="CH217" s="820"/>
      <c r="CI217" s="820"/>
      <c r="CJ217" s="609"/>
      <c r="CK217" s="609"/>
      <c r="CL217" s="816"/>
      <c r="CM217" s="816"/>
      <c r="CN217" s="609"/>
      <c r="CO217" s="609"/>
      <c r="CP217" s="816"/>
      <c r="CQ217" s="816"/>
      <c r="CR217" s="609"/>
      <c r="CS217" s="609"/>
      <c r="CT217" s="816"/>
      <c r="CU217" s="816"/>
      <c r="CV217" s="609"/>
      <c r="CW217" s="609"/>
      <c r="CX217" s="816"/>
      <c r="CY217" s="816"/>
      <c r="CZ217" s="816"/>
      <c r="DA217" s="816"/>
      <c r="DB217" s="816"/>
      <c r="DC217" s="816"/>
      <c r="DD217" s="816"/>
      <c r="DE217" s="816"/>
      <c r="DF217" s="816"/>
      <c r="DG217" s="816"/>
      <c r="DH217" s="816"/>
      <c r="DI217" s="816"/>
      <c r="DJ217" s="816"/>
      <c r="DK217" s="816"/>
      <c r="DL217" s="609"/>
      <c r="DM217" s="609"/>
      <c r="DN217" s="816"/>
      <c r="DO217" s="816"/>
      <c r="DP217" s="816"/>
      <c r="DQ217" s="816"/>
      <c r="DR217" s="816"/>
      <c r="DS217" s="816"/>
      <c r="DT217" s="816"/>
      <c r="DU217" s="816"/>
      <c r="DV217" s="816"/>
      <c r="DW217" s="816"/>
      <c r="DX217" s="816"/>
      <c r="DY217" s="816"/>
      <c r="DZ217" s="816"/>
      <c r="EA217" s="816"/>
      <c r="EB217" s="609"/>
      <c r="EC217" s="609"/>
      <c r="ED217" s="816"/>
      <c r="EE217" s="816"/>
      <c r="EF217" s="816"/>
      <c r="EG217" s="816"/>
      <c r="EH217" s="816"/>
      <c r="EI217" s="816"/>
      <c r="EJ217" s="816"/>
      <c r="EK217" s="816"/>
      <c r="EL217" s="816"/>
      <c r="EM217" s="816"/>
      <c r="EN217" s="816"/>
      <c r="EO217" s="816"/>
      <c r="EP217" s="816"/>
      <c r="EQ217" s="816"/>
      <c r="ER217" s="816"/>
      <c r="ES217" s="816"/>
      <c r="ET217" s="816"/>
      <c r="EU217" s="816"/>
      <c r="EV217" s="816"/>
      <c r="EW217" s="816"/>
      <c r="EX217" s="816"/>
      <c r="EY217" s="816"/>
      <c r="EZ217" s="816"/>
      <c r="FA217" s="816"/>
      <c r="FB217" s="819"/>
      <c r="FC217" s="816"/>
      <c r="FD217" s="820"/>
      <c r="FE217" s="820"/>
      <c r="FF217" s="820"/>
      <c r="FG217" s="820"/>
      <c r="FH217" s="609"/>
      <c r="FI217" s="609"/>
      <c r="FJ217" s="816"/>
      <c r="FK217" s="816"/>
      <c r="FL217" s="816"/>
      <c r="FM217" s="816"/>
      <c r="FN217" s="816"/>
      <c r="FO217" s="816"/>
      <c r="FP217" s="816"/>
      <c r="FQ217" s="816"/>
      <c r="FR217" s="816"/>
      <c r="FS217" s="816"/>
      <c r="FT217" s="816"/>
      <c r="FU217" s="816"/>
      <c r="FV217" s="816"/>
      <c r="FW217" s="816"/>
      <c r="FX217" s="609"/>
      <c r="FY217" s="609"/>
      <c r="FZ217" s="816"/>
      <c r="GA217" s="816"/>
      <c r="GB217" s="609"/>
      <c r="GC217" s="609"/>
      <c r="GD217" s="609"/>
      <c r="GE217" s="816"/>
      <c r="GF217" s="816"/>
      <c r="GG217" s="609"/>
      <c r="GH217" s="609"/>
      <c r="GI217" s="816"/>
      <c r="GJ217" s="816"/>
      <c r="GK217" s="609"/>
      <c r="GL217" s="609"/>
      <c r="GM217" s="816"/>
      <c r="GN217" s="816"/>
      <c r="GO217" s="816"/>
      <c r="GP217" s="816"/>
      <c r="GQ217" s="816"/>
      <c r="GR217" s="816"/>
      <c r="GS217" s="609"/>
      <c r="GT217" s="609"/>
      <c r="GU217" s="816"/>
      <c r="GV217" s="816"/>
      <c r="GW217" s="609"/>
      <c r="GX217" s="609"/>
      <c r="GY217" s="816"/>
      <c r="GZ217" s="816"/>
      <c r="HA217" s="609"/>
      <c r="HB217" s="609"/>
      <c r="HC217" s="816"/>
      <c r="HD217" s="816"/>
      <c r="HE217" s="816"/>
      <c r="HF217" s="816"/>
      <c r="HG217" s="816"/>
      <c r="HH217" s="816"/>
      <c r="HI217" s="821"/>
      <c r="HJ217" s="609"/>
      <c r="HK217" s="816"/>
      <c r="HL217" s="816"/>
      <c r="HM217" s="822"/>
      <c r="HN217" s="609"/>
      <c r="HO217" s="816"/>
      <c r="HP217" s="816"/>
      <c r="HQ217" s="609"/>
      <c r="HR217" s="816"/>
      <c r="HS217" s="816"/>
      <c r="HT217" s="816"/>
      <c r="HU217" s="816"/>
      <c r="HV217" s="816"/>
      <c r="HW217" s="816"/>
      <c r="HX217" s="816"/>
      <c r="HY217" s="816"/>
      <c r="HZ217" s="816"/>
      <c r="IA217" s="816"/>
      <c r="IB217" s="816"/>
      <c r="IC217" s="823"/>
      <c r="ID217" s="824"/>
      <c r="IE217" s="825"/>
      <c r="IF217" s="825"/>
      <c r="IG217" s="816"/>
      <c r="II217" s="834"/>
      <c r="IJ217" s="834"/>
      <c r="IK217" s="826"/>
      <c r="IL217" s="834"/>
    </row>
    <row r="218" spans="2:246" s="780" customFormat="1">
      <c r="B218" s="609"/>
      <c r="C218" s="609"/>
      <c r="D218" s="609"/>
      <c r="E218" s="609"/>
      <c r="F218" s="609"/>
      <c r="G218" s="609"/>
      <c r="H218" s="609"/>
      <c r="I218" s="609"/>
      <c r="J218" s="609"/>
      <c r="K218" s="609"/>
      <c r="L218" s="609"/>
      <c r="M218" s="609"/>
      <c r="N218" s="609"/>
      <c r="O218" s="609"/>
      <c r="P218" s="609"/>
      <c r="Q218" s="609"/>
      <c r="R218" s="609"/>
      <c r="S218" s="609"/>
      <c r="T218" s="609"/>
      <c r="U218" s="609"/>
      <c r="V218" s="609"/>
      <c r="W218" s="609"/>
      <c r="X218" s="609"/>
      <c r="Y218" s="609"/>
      <c r="Z218" s="816"/>
      <c r="AA218" s="816"/>
      <c r="AB218" s="816"/>
      <c r="AC218" s="816"/>
      <c r="AD218" s="816"/>
      <c r="AE218" s="816"/>
      <c r="AF218" s="609"/>
      <c r="AG218" s="609"/>
      <c r="AH218" s="816"/>
      <c r="AI218" s="816"/>
      <c r="AJ218" s="609"/>
      <c r="AK218" s="609"/>
      <c r="AL218" s="816"/>
      <c r="AM218" s="816"/>
      <c r="AN218" s="816"/>
      <c r="AO218" s="816"/>
      <c r="AP218" s="816"/>
      <c r="AQ218" s="816"/>
      <c r="AR218" s="609"/>
      <c r="AS218" s="609"/>
      <c r="AT218" s="816"/>
      <c r="AU218" s="816"/>
      <c r="AV218" s="817"/>
      <c r="AW218" s="609"/>
      <c r="AX218" s="609"/>
      <c r="AY218" s="816"/>
      <c r="AZ218" s="816"/>
      <c r="BA218" s="816"/>
      <c r="BB218" s="816"/>
      <c r="BC218" s="816"/>
      <c r="BD218" s="816"/>
      <c r="BE218" s="816"/>
      <c r="BF218" s="816"/>
      <c r="BG218" s="816"/>
      <c r="BH218" s="816"/>
      <c r="BI218" s="816"/>
      <c r="BJ218" s="816"/>
      <c r="BK218" s="816"/>
      <c r="BL218" s="816"/>
      <c r="BM218" s="816"/>
      <c r="BN218" s="816"/>
      <c r="BO218" s="816"/>
      <c r="BP218" s="816"/>
      <c r="BQ218" s="816"/>
      <c r="BR218" s="816"/>
      <c r="BS218" s="816"/>
      <c r="BT218" s="609"/>
      <c r="BU218" s="609"/>
      <c r="BV218" s="609"/>
      <c r="BW218" s="818"/>
      <c r="BX218" s="816"/>
      <c r="BY218" s="816"/>
      <c r="BZ218" s="816"/>
      <c r="CA218" s="816"/>
      <c r="CB218" s="816"/>
      <c r="CC218" s="816"/>
      <c r="CD218" s="816"/>
      <c r="CE218" s="816"/>
      <c r="CF218" s="820"/>
      <c r="CG218" s="820"/>
      <c r="CH218" s="820"/>
      <c r="CI218" s="820"/>
      <c r="CJ218" s="609"/>
      <c r="CK218" s="609"/>
      <c r="CL218" s="816"/>
      <c r="CM218" s="816"/>
      <c r="CN218" s="609"/>
      <c r="CO218" s="609"/>
      <c r="CP218" s="816"/>
      <c r="CQ218" s="816"/>
      <c r="CR218" s="609"/>
      <c r="CS218" s="609"/>
      <c r="CT218" s="816"/>
      <c r="CU218" s="816"/>
      <c r="CV218" s="609"/>
      <c r="CW218" s="609"/>
      <c r="CX218" s="816"/>
      <c r="CY218" s="816"/>
      <c r="CZ218" s="816"/>
      <c r="DA218" s="816"/>
      <c r="DB218" s="816"/>
      <c r="DC218" s="816"/>
      <c r="DD218" s="816"/>
      <c r="DE218" s="816"/>
      <c r="DF218" s="816"/>
      <c r="DG218" s="816"/>
      <c r="DH218" s="816"/>
      <c r="DI218" s="816"/>
      <c r="DJ218" s="816"/>
      <c r="DK218" s="816"/>
      <c r="DL218" s="609"/>
      <c r="DM218" s="609"/>
      <c r="DN218" s="816"/>
      <c r="DO218" s="816"/>
      <c r="DP218" s="816"/>
      <c r="DQ218" s="816"/>
      <c r="DR218" s="816"/>
      <c r="DS218" s="816"/>
      <c r="DT218" s="816"/>
      <c r="DU218" s="816"/>
      <c r="DV218" s="816"/>
      <c r="DW218" s="816"/>
      <c r="DX218" s="816"/>
      <c r="DY218" s="816"/>
      <c r="DZ218" s="816"/>
      <c r="EA218" s="816"/>
      <c r="EB218" s="609"/>
      <c r="EC218" s="609"/>
      <c r="ED218" s="816"/>
      <c r="EE218" s="816"/>
      <c r="EF218" s="816"/>
      <c r="EG218" s="816"/>
      <c r="EH218" s="816"/>
      <c r="EI218" s="816"/>
      <c r="EJ218" s="816"/>
      <c r="EK218" s="816"/>
      <c r="EL218" s="816"/>
      <c r="EM218" s="816"/>
      <c r="EN218" s="816"/>
      <c r="EO218" s="816"/>
      <c r="EP218" s="816"/>
      <c r="EQ218" s="816"/>
      <c r="ER218" s="816"/>
      <c r="ES218" s="816"/>
      <c r="ET218" s="816"/>
      <c r="EU218" s="816"/>
      <c r="EV218" s="816"/>
      <c r="EW218" s="816"/>
      <c r="EX218" s="816"/>
      <c r="EY218" s="816"/>
      <c r="EZ218" s="816"/>
      <c r="FA218" s="816"/>
      <c r="FB218" s="819"/>
      <c r="FC218" s="816"/>
      <c r="FD218" s="820"/>
      <c r="FE218" s="820"/>
      <c r="FF218" s="820"/>
      <c r="FG218" s="820"/>
      <c r="FH218" s="609"/>
      <c r="FI218" s="609"/>
      <c r="FJ218" s="816"/>
      <c r="FK218" s="816"/>
      <c r="FL218" s="816"/>
      <c r="FM218" s="816"/>
      <c r="FN218" s="816"/>
      <c r="FO218" s="816"/>
      <c r="FP218" s="816"/>
      <c r="FQ218" s="816"/>
      <c r="FR218" s="816"/>
      <c r="FS218" s="816"/>
      <c r="FT218" s="816"/>
      <c r="FU218" s="816"/>
      <c r="FV218" s="816"/>
      <c r="FW218" s="816"/>
      <c r="FX218" s="609"/>
      <c r="FY218" s="609"/>
      <c r="FZ218" s="816"/>
      <c r="GA218" s="816"/>
      <c r="GB218" s="609"/>
      <c r="GC218" s="609"/>
      <c r="GD218" s="609"/>
      <c r="GE218" s="816"/>
      <c r="GF218" s="816"/>
      <c r="GG218" s="609"/>
      <c r="GH218" s="609"/>
      <c r="GI218" s="816"/>
      <c r="GJ218" s="816"/>
      <c r="GK218" s="609"/>
      <c r="GL218" s="609"/>
      <c r="GM218" s="816"/>
      <c r="GN218" s="816"/>
      <c r="GO218" s="816"/>
      <c r="GP218" s="816"/>
      <c r="GQ218" s="816"/>
      <c r="GR218" s="816"/>
      <c r="GS218" s="609"/>
      <c r="GT218" s="609"/>
      <c r="GU218" s="816"/>
      <c r="GV218" s="816"/>
      <c r="GW218" s="609"/>
      <c r="GX218" s="609"/>
      <c r="GY218" s="816"/>
      <c r="GZ218" s="816"/>
      <c r="HA218" s="609"/>
      <c r="HB218" s="609"/>
      <c r="HC218" s="816"/>
      <c r="HD218" s="816"/>
      <c r="HE218" s="816"/>
      <c r="HF218" s="816"/>
      <c r="HG218" s="816"/>
      <c r="HH218" s="816"/>
      <c r="HI218" s="821"/>
      <c r="HJ218" s="609"/>
      <c r="HK218" s="816"/>
      <c r="HL218" s="816"/>
      <c r="HM218" s="822"/>
      <c r="HN218" s="609"/>
      <c r="HO218" s="816"/>
      <c r="HP218" s="816"/>
      <c r="HQ218" s="609"/>
      <c r="HR218" s="816"/>
      <c r="HS218" s="816"/>
      <c r="HT218" s="816"/>
      <c r="HU218" s="816"/>
      <c r="HV218" s="816"/>
      <c r="HW218" s="816"/>
      <c r="HX218" s="816"/>
      <c r="HY218" s="816"/>
      <c r="HZ218" s="816"/>
      <c r="IA218" s="816"/>
      <c r="IB218" s="816"/>
      <c r="IC218" s="823"/>
      <c r="ID218" s="824"/>
      <c r="IE218" s="825"/>
      <c r="IF218" s="825"/>
      <c r="IG218" s="816"/>
      <c r="II218" s="834"/>
      <c r="IJ218" s="834"/>
      <c r="IK218" s="826"/>
      <c r="IL218" s="834"/>
    </row>
    <row r="219" spans="2:246" s="780" customFormat="1">
      <c r="B219" s="609"/>
      <c r="C219" s="609"/>
      <c r="D219" s="609"/>
      <c r="E219" s="609"/>
      <c r="F219" s="609"/>
      <c r="G219" s="609"/>
      <c r="H219" s="609"/>
      <c r="I219" s="609"/>
      <c r="J219" s="609"/>
      <c r="K219" s="609"/>
      <c r="L219" s="609"/>
      <c r="M219" s="609"/>
      <c r="N219" s="609"/>
      <c r="O219" s="609"/>
      <c r="P219" s="609"/>
      <c r="Q219" s="609"/>
      <c r="R219" s="609"/>
      <c r="S219" s="609"/>
      <c r="T219" s="609"/>
      <c r="U219" s="609"/>
      <c r="V219" s="609"/>
      <c r="W219" s="609"/>
      <c r="X219" s="609"/>
      <c r="Y219" s="609"/>
      <c r="Z219" s="816"/>
      <c r="AA219" s="816"/>
      <c r="AB219" s="816"/>
      <c r="AC219" s="816"/>
      <c r="AD219" s="816"/>
      <c r="AE219" s="816"/>
      <c r="AF219" s="609"/>
      <c r="AG219" s="609"/>
      <c r="AH219" s="816"/>
      <c r="AI219" s="816"/>
      <c r="AJ219" s="609"/>
      <c r="AK219" s="609"/>
      <c r="AL219" s="816"/>
      <c r="AM219" s="816"/>
      <c r="AN219" s="816"/>
      <c r="AO219" s="816"/>
      <c r="AP219" s="816"/>
      <c r="AQ219" s="816"/>
      <c r="AR219" s="609"/>
      <c r="AS219" s="609"/>
      <c r="AT219" s="816"/>
      <c r="AU219" s="816"/>
      <c r="AV219" s="817"/>
      <c r="AW219" s="609"/>
      <c r="AX219" s="609"/>
      <c r="AY219" s="816"/>
      <c r="AZ219" s="816"/>
      <c r="BA219" s="816"/>
      <c r="BB219" s="816"/>
      <c r="BC219" s="816"/>
      <c r="BD219" s="816"/>
      <c r="BE219" s="816"/>
      <c r="BF219" s="816"/>
      <c r="BG219" s="816"/>
      <c r="BH219" s="816"/>
      <c r="BI219" s="816"/>
      <c r="BJ219" s="816"/>
      <c r="BK219" s="816"/>
      <c r="BL219" s="816"/>
      <c r="BM219" s="816"/>
      <c r="BN219" s="816"/>
      <c r="BO219" s="816"/>
      <c r="BP219" s="816"/>
      <c r="BQ219" s="816"/>
      <c r="BR219" s="816"/>
      <c r="BS219" s="816"/>
      <c r="BT219" s="609"/>
      <c r="BU219" s="609"/>
      <c r="BV219" s="609"/>
      <c r="BW219" s="818"/>
      <c r="BX219" s="816"/>
      <c r="BY219" s="816"/>
      <c r="BZ219" s="816"/>
      <c r="CA219" s="816"/>
      <c r="CB219" s="816"/>
      <c r="CC219" s="816"/>
      <c r="CD219" s="816"/>
      <c r="CE219" s="816"/>
      <c r="CF219" s="820"/>
      <c r="CG219" s="820"/>
      <c r="CH219" s="820"/>
      <c r="CI219" s="820"/>
      <c r="CJ219" s="609"/>
      <c r="CK219" s="609"/>
      <c r="CL219" s="816"/>
      <c r="CM219" s="816"/>
      <c r="CN219" s="609"/>
      <c r="CO219" s="609"/>
      <c r="CP219" s="816"/>
      <c r="CQ219" s="816"/>
      <c r="CR219" s="609"/>
      <c r="CS219" s="609"/>
      <c r="CT219" s="816"/>
      <c r="CU219" s="816"/>
      <c r="CV219" s="609"/>
      <c r="CW219" s="609"/>
      <c r="CX219" s="816"/>
      <c r="CY219" s="816"/>
      <c r="CZ219" s="816"/>
      <c r="DA219" s="816"/>
      <c r="DB219" s="816"/>
      <c r="DC219" s="816"/>
      <c r="DD219" s="816"/>
      <c r="DE219" s="816"/>
      <c r="DF219" s="816"/>
      <c r="DG219" s="816"/>
      <c r="DH219" s="816"/>
      <c r="DI219" s="816"/>
      <c r="DJ219" s="816"/>
      <c r="DK219" s="816"/>
      <c r="DL219" s="609"/>
      <c r="DM219" s="609"/>
      <c r="DN219" s="816"/>
      <c r="DO219" s="816"/>
      <c r="DP219" s="816"/>
      <c r="DQ219" s="816"/>
      <c r="DR219" s="816"/>
      <c r="DS219" s="816"/>
      <c r="DT219" s="816"/>
      <c r="DU219" s="816"/>
      <c r="DV219" s="816"/>
      <c r="DW219" s="816"/>
      <c r="DX219" s="816"/>
      <c r="DY219" s="816"/>
      <c r="DZ219" s="816"/>
      <c r="EA219" s="816"/>
      <c r="EB219" s="609"/>
      <c r="EC219" s="609"/>
      <c r="ED219" s="816"/>
      <c r="EE219" s="816"/>
      <c r="EF219" s="816"/>
      <c r="EG219" s="816"/>
      <c r="EH219" s="816"/>
      <c r="EI219" s="816"/>
      <c r="EJ219" s="816"/>
      <c r="EK219" s="816"/>
      <c r="EL219" s="816"/>
      <c r="EM219" s="816"/>
      <c r="EN219" s="816"/>
      <c r="EO219" s="816"/>
      <c r="EP219" s="816"/>
      <c r="EQ219" s="816"/>
      <c r="ER219" s="816"/>
      <c r="ES219" s="816"/>
      <c r="ET219" s="816"/>
      <c r="EU219" s="816"/>
      <c r="EV219" s="816"/>
      <c r="EW219" s="816"/>
      <c r="EX219" s="816"/>
      <c r="EY219" s="816"/>
      <c r="EZ219" s="816"/>
      <c r="FA219" s="816"/>
      <c r="FB219" s="819"/>
      <c r="FC219" s="816"/>
      <c r="FD219" s="820"/>
      <c r="FE219" s="820"/>
      <c r="FF219" s="820"/>
      <c r="FG219" s="820"/>
      <c r="FH219" s="609"/>
      <c r="FI219" s="609"/>
      <c r="FJ219" s="816"/>
      <c r="FK219" s="816"/>
      <c r="FL219" s="816"/>
      <c r="FM219" s="816"/>
      <c r="FN219" s="816"/>
      <c r="FO219" s="816"/>
      <c r="FP219" s="816"/>
      <c r="FQ219" s="816"/>
      <c r="FR219" s="816"/>
      <c r="FS219" s="816"/>
      <c r="FT219" s="816"/>
      <c r="FU219" s="816"/>
      <c r="FV219" s="816"/>
      <c r="FW219" s="816"/>
      <c r="FX219" s="609"/>
      <c r="FY219" s="609"/>
      <c r="FZ219" s="816"/>
      <c r="GA219" s="816"/>
      <c r="GB219" s="609"/>
      <c r="GC219" s="609"/>
      <c r="GD219" s="609"/>
      <c r="GE219" s="816"/>
      <c r="GF219" s="816"/>
      <c r="GG219" s="609"/>
      <c r="GH219" s="609"/>
      <c r="GI219" s="816"/>
      <c r="GJ219" s="816"/>
      <c r="GK219" s="609"/>
      <c r="GL219" s="609"/>
      <c r="GM219" s="816"/>
      <c r="GN219" s="816"/>
      <c r="GO219" s="816"/>
      <c r="GP219" s="816"/>
      <c r="GQ219" s="816"/>
      <c r="GR219" s="816"/>
      <c r="GS219" s="609"/>
      <c r="GT219" s="609"/>
      <c r="GU219" s="816"/>
      <c r="GV219" s="816"/>
      <c r="GW219" s="609"/>
      <c r="GX219" s="609"/>
      <c r="GY219" s="816"/>
      <c r="GZ219" s="816"/>
      <c r="HA219" s="609"/>
      <c r="HB219" s="609"/>
      <c r="HC219" s="816"/>
      <c r="HD219" s="816"/>
      <c r="HE219" s="816"/>
      <c r="HF219" s="816"/>
      <c r="HG219" s="816"/>
      <c r="HH219" s="816"/>
      <c r="HI219" s="821"/>
      <c r="HJ219" s="609"/>
      <c r="HK219" s="816"/>
      <c r="HL219" s="816"/>
      <c r="HM219" s="822"/>
      <c r="HN219" s="609"/>
      <c r="HO219" s="816"/>
      <c r="HP219" s="816"/>
      <c r="HQ219" s="609"/>
      <c r="HR219" s="816"/>
      <c r="HS219" s="816"/>
      <c r="HT219" s="816"/>
      <c r="HU219" s="816"/>
      <c r="HV219" s="816"/>
      <c r="HW219" s="816"/>
      <c r="HX219" s="816"/>
      <c r="HY219" s="816"/>
      <c r="HZ219" s="816"/>
      <c r="IA219" s="816"/>
      <c r="IB219" s="816"/>
      <c r="IC219" s="823"/>
      <c r="ID219" s="824"/>
      <c r="IE219" s="825"/>
      <c r="IF219" s="825"/>
      <c r="IG219" s="816"/>
      <c r="II219" s="834"/>
      <c r="IJ219" s="834"/>
      <c r="IK219" s="826"/>
      <c r="IL219" s="834"/>
    </row>
    <row r="220" spans="2:246" s="780" customFormat="1">
      <c r="B220" s="609"/>
      <c r="C220" s="609"/>
      <c r="D220" s="609"/>
      <c r="E220" s="609"/>
      <c r="F220" s="609"/>
      <c r="G220" s="609"/>
      <c r="H220" s="609"/>
      <c r="I220" s="609"/>
      <c r="J220" s="609"/>
      <c r="K220" s="609"/>
      <c r="L220" s="609"/>
      <c r="M220" s="609"/>
      <c r="N220" s="609"/>
      <c r="O220" s="609"/>
      <c r="P220" s="609"/>
      <c r="Q220" s="609"/>
      <c r="R220" s="609"/>
      <c r="S220" s="609"/>
      <c r="T220" s="609"/>
      <c r="U220" s="609"/>
      <c r="V220" s="609"/>
      <c r="W220" s="609"/>
      <c r="X220" s="609"/>
      <c r="Y220" s="609"/>
      <c r="Z220" s="816"/>
      <c r="AA220" s="816"/>
      <c r="AB220" s="816"/>
      <c r="AC220" s="816"/>
      <c r="AD220" s="816"/>
      <c r="AE220" s="816"/>
      <c r="AF220" s="609"/>
      <c r="AG220" s="609"/>
      <c r="AH220" s="816"/>
      <c r="AI220" s="816"/>
      <c r="AJ220" s="609"/>
      <c r="AK220" s="609"/>
      <c r="AL220" s="816"/>
      <c r="AM220" s="816"/>
      <c r="AN220" s="816"/>
      <c r="AO220" s="816"/>
      <c r="AP220" s="816"/>
      <c r="AQ220" s="816"/>
      <c r="AR220" s="609"/>
      <c r="AS220" s="609"/>
      <c r="AT220" s="816"/>
      <c r="AU220" s="816"/>
      <c r="AV220" s="817"/>
      <c r="AW220" s="609"/>
      <c r="AX220" s="609"/>
      <c r="AY220" s="816"/>
      <c r="AZ220" s="816"/>
      <c r="BA220" s="816"/>
      <c r="BB220" s="816"/>
      <c r="BC220" s="816"/>
      <c r="BD220" s="816"/>
      <c r="BE220" s="816"/>
      <c r="BF220" s="816"/>
      <c r="BG220" s="816"/>
      <c r="BH220" s="816"/>
      <c r="BI220" s="816"/>
      <c r="BJ220" s="816"/>
      <c r="BK220" s="816"/>
      <c r="BL220" s="816"/>
      <c r="BM220" s="816"/>
      <c r="BN220" s="816"/>
      <c r="BO220" s="816"/>
      <c r="BP220" s="816"/>
      <c r="BQ220" s="816"/>
      <c r="BR220" s="816"/>
      <c r="BS220" s="816"/>
      <c r="BT220" s="609"/>
      <c r="BU220" s="609"/>
      <c r="BV220" s="609"/>
      <c r="BW220" s="818"/>
      <c r="BX220" s="816"/>
      <c r="BY220" s="816"/>
      <c r="BZ220" s="816"/>
      <c r="CA220" s="816"/>
      <c r="CB220" s="816"/>
      <c r="CC220" s="816"/>
      <c r="CD220" s="816"/>
      <c r="CE220" s="816"/>
      <c r="CF220" s="820"/>
      <c r="CG220" s="820"/>
      <c r="CH220" s="820"/>
      <c r="CI220" s="820"/>
      <c r="CJ220" s="609"/>
      <c r="CK220" s="609"/>
      <c r="CL220" s="816"/>
      <c r="CM220" s="816"/>
      <c r="CN220" s="609"/>
      <c r="CO220" s="609"/>
      <c r="CP220" s="816"/>
      <c r="CQ220" s="816"/>
      <c r="CR220" s="609"/>
      <c r="CS220" s="609"/>
      <c r="CT220" s="816"/>
      <c r="CU220" s="816"/>
      <c r="CV220" s="609"/>
      <c r="CW220" s="609"/>
      <c r="CX220" s="816"/>
      <c r="CY220" s="816"/>
      <c r="CZ220" s="816"/>
      <c r="DA220" s="816"/>
      <c r="DB220" s="816"/>
      <c r="DC220" s="816"/>
      <c r="DD220" s="816"/>
      <c r="DE220" s="816"/>
      <c r="DF220" s="816"/>
      <c r="DG220" s="816"/>
      <c r="DH220" s="816"/>
      <c r="DI220" s="816"/>
      <c r="DJ220" s="816"/>
      <c r="DK220" s="816"/>
      <c r="DL220" s="609"/>
      <c r="DM220" s="609"/>
      <c r="DN220" s="816"/>
      <c r="DO220" s="816"/>
      <c r="DP220" s="816"/>
      <c r="DQ220" s="816"/>
      <c r="DR220" s="816"/>
      <c r="DS220" s="816"/>
      <c r="DT220" s="816"/>
      <c r="DU220" s="816"/>
      <c r="DV220" s="816"/>
      <c r="DW220" s="816"/>
      <c r="DX220" s="816"/>
      <c r="DY220" s="816"/>
      <c r="DZ220" s="816"/>
      <c r="EA220" s="816"/>
      <c r="EB220" s="609"/>
      <c r="EC220" s="609"/>
      <c r="ED220" s="816"/>
      <c r="EE220" s="816"/>
      <c r="EF220" s="816"/>
      <c r="EG220" s="816"/>
      <c r="EH220" s="816"/>
      <c r="EI220" s="816"/>
      <c r="EJ220" s="816"/>
      <c r="EK220" s="816"/>
      <c r="EL220" s="816"/>
      <c r="EM220" s="816"/>
      <c r="EN220" s="816"/>
      <c r="EO220" s="816"/>
      <c r="EP220" s="816"/>
      <c r="EQ220" s="816"/>
      <c r="ER220" s="816"/>
      <c r="ES220" s="816"/>
      <c r="ET220" s="816"/>
      <c r="EU220" s="816"/>
      <c r="EV220" s="816"/>
      <c r="EW220" s="816"/>
      <c r="EX220" s="816"/>
      <c r="EY220" s="816"/>
      <c r="EZ220" s="816"/>
      <c r="FA220" s="816"/>
      <c r="FB220" s="819"/>
      <c r="FC220" s="816"/>
      <c r="FD220" s="820"/>
      <c r="FE220" s="820"/>
      <c r="FF220" s="820"/>
      <c r="FG220" s="820"/>
      <c r="FH220" s="609"/>
      <c r="FI220" s="609"/>
      <c r="FJ220" s="816"/>
      <c r="FK220" s="816"/>
      <c r="FL220" s="816"/>
      <c r="FM220" s="816"/>
      <c r="FN220" s="816"/>
      <c r="FO220" s="816"/>
      <c r="FP220" s="816"/>
      <c r="FQ220" s="816"/>
      <c r="FR220" s="816"/>
      <c r="FS220" s="816"/>
      <c r="FT220" s="816"/>
      <c r="FU220" s="816"/>
      <c r="FV220" s="816"/>
      <c r="FW220" s="816"/>
      <c r="FX220" s="609"/>
      <c r="FY220" s="609"/>
      <c r="FZ220" s="816"/>
      <c r="GA220" s="816"/>
      <c r="GB220" s="609"/>
      <c r="GC220" s="609"/>
      <c r="GD220" s="609"/>
      <c r="GE220" s="816"/>
      <c r="GF220" s="816"/>
      <c r="GG220" s="609"/>
      <c r="GH220" s="609"/>
      <c r="GI220" s="816"/>
      <c r="GJ220" s="816"/>
      <c r="GK220" s="609"/>
      <c r="GL220" s="609"/>
      <c r="GM220" s="816"/>
      <c r="GN220" s="816"/>
      <c r="GO220" s="816"/>
      <c r="GP220" s="816"/>
      <c r="GQ220" s="816"/>
      <c r="GR220" s="816"/>
      <c r="GS220" s="609"/>
      <c r="GT220" s="609"/>
      <c r="GU220" s="816"/>
      <c r="GV220" s="816"/>
      <c r="GW220" s="609"/>
      <c r="GX220" s="609"/>
      <c r="GY220" s="816"/>
      <c r="GZ220" s="816"/>
      <c r="HA220" s="609"/>
      <c r="HB220" s="609"/>
      <c r="HC220" s="816"/>
      <c r="HD220" s="816"/>
      <c r="HE220" s="816"/>
      <c r="HF220" s="816"/>
      <c r="HG220" s="816"/>
      <c r="HH220" s="816"/>
      <c r="HI220" s="821"/>
      <c r="HJ220" s="609"/>
      <c r="HK220" s="816"/>
      <c r="HL220" s="816"/>
      <c r="HM220" s="822"/>
      <c r="HN220" s="609"/>
      <c r="HO220" s="816"/>
      <c r="HP220" s="816"/>
      <c r="HQ220" s="609"/>
      <c r="HR220" s="816"/>
      <c r="HS220" s="816"/>
      <c r="HT220" s="816"/>
      <c r="HU220" s="816"/>
      <c r="HV220" s="816"/>
      <c r="HW220" s="816"/>
      <c r="HX220" s="816"/>
      <c r="HY220" s="816"/>
      <c r="HZ220" s="816"/>
      <c r="IA220" s="816"/>
      <c r="IB220" s="816"/>
      <c r="IC220" s="823"/>
      <c r="ID220" s="824"/>
      <c r="IE220" s="825"/>
      <c r="IF220" s="825"/>
      <c r="IG220" s="816"/>
      <c r="II220" s="834"/>
      <c r="IJ220" s="834"/>
      <c r="IK220" s="826"/>
      <c r="IL220" s="834"/>
    </row>
    <row r="221" spans="2:246" s="780" customFormat="1">
      <c r="B221" s="609"/>
      <c r="C221" s="609"/>
      <c r="D221" s="609"/>
      <c r="E221" s="609"/>
      <c r="F221" s="609"/>
      <c r="G221" s="609"/>
      <c r="H221" s="609"/>
      <c r="I221" s="609"/>
      <c r="J221" s="609"/>
      <c r="K221" s="609"/>
      <c r="L221" s="609"/>
      <c r="M221" s="609"/>
      <c r="N221" s="609"/>
      <c r="O221" s="609"/>
      <c r="P221" s="609"/>
      <c r="Q221" s="609"/>
      <c r="R221" s="609"/>
      <c r="S221" s="609"/>
      <c r="T221" s="609"/>
      <c r="U221" s="609"/>
      <c r="V221" s="609"/>
      <c r="W221" s="609"/>
      <c r="X221" s="609"/>
      <c r="Y221" s="609"/>
      <c r="Z221" s="816"/>
      <c r="AA221" s="816"/>
      <c r="AB221" s="816"/>
      <c r="AC221" s="816"/>
      <c r="AD221" s="816"/>
      <c r="AE221" s="816"/>
      <c r="AF221" s="609"/>
      <c r="AG221" s="609"/>
      <c r="AH221" s="816"/>
      <c r="AI221" s="816"/>
      <c r="AJ221" s="609"/>
      <c r="AK221" s="609"/>
      <c r="AL221" s="816"/>
      <c r="AM221" s="816"/>
      <c r="AN221" s="816"/>
      <c r="AO221" s="816"/>
      <c r="AP221" s="816"/>
      <c r="AQ221" s="816"/>
      <c r="AR221" s="609"/>
      <c r="AS221" s="609"/>
      <c r="AT221" s="816"/>
      <c r="AU221" s="816"/>
      <c r="AV221" s="817"/>
      <c r="AW221" s="609"/>
      <c r="AX221" s="609"/>
      <c r="AY221" s="816"/>
      <c r="AZ221" s="816"/>
      <c r="BA221" s="816"/>
      <c r="BB221" s="816"/>
      <c r="BC221" s="816"/>
      <c r="BD221" s="816"/>
      <c r="BE221" s="816"/>
      <c r="BF221" s="816"/>
      <c r="BG221" s="816"/>
      <c r="BH221" s="816"/>
      <c r="BI221" s="816"/>
      <c r="BJ221" s="816"/>
      <c r="BK221" s="816"/>
      <c r="BL221" s="816"/>
      <c r="BM221" s="816"/>
      <c r="BN221" s="816"/>
      <c r="BO221" s="816"/>
      <c r="BP221" s="816"/>
      <c r="BQ221" s="816"/>
      <c r="BR221" s="816"/>
      <c r="BS221" s="816"/>
      <c r="BT221" s="609"/>
      <c r="BU221" s="609"/>
      <c r="BV221" s="609"/>
      <c r="BW221" s="818"/>
      <c r="BX221" s="816"/>
      <c r="BY221" s="816"/>
      <c r="BZ221" s="816"/>
      <c r="CA221" s="816"/>
      <c r="CB221" s="816"/>
      <c r="CC221" s="816"/>
      <c r="CD221" s="816"/>
      <c r="CE221" s="816"/>
      <c r="CF221" s="820"/>
      <c r="CG221" s="820"/>
      <c r="CH221" s="820"/>
      <c r="CI221" s="820"/>
      <c r="CJ221" s="609"/>
      <c r="CK221" s="609"/>
      <c r="CL221" s="816"/>
      <c r="CM221" s="816"/>
      <c r="CN221" s="609"/>
      <c r="CO221" s="609"/>
      <c r="CP221" s="816"/>
      <c r="CQ221" s="816"/>
      <c r="CR221" s="609"/>
      <c r="CS221" s="609"/>
      <c r="CT221" s="816"/>
      <c r="CU221" s="816"/>
      <c r="CV221" s="609"/>
      <c r="CW221" s="609"/>
      <c r="CX221" s="816"/>
      <c r="CY221" s="816"/>
      <c r="CZ221" s="816"/>
      <c r="DA221" s="816"/>
      <c r="DB221" s="816"/>
      <c r="DC221" s="816"/>
      <c r="DD221" s="816"/>
      <c r="DE221" s="816"/>
      <c r="DF221" s="816"/>
      <c r="DG221" s="816"/>
      <c r="DH221" s="816"/>
      <c r="DI221" s="816"/>
      <c r="DJ221" s="816"/>
      <c r="DK221" s="816"/>
      <c r="DL221" s="609"/>
      <c r="DM221" s="609"/>
      <c r="DN221" s="816"/>
      <c r="DO221" s="816"/>
      <c r="DP221" s="816"/>
      <c r="DQ221" s="816"/>
      <c r="DR221" s="816"/>
      <c r="DS221" s="816"/>
      <c r="DT221" s="816"/>
      <c r="DU221" s="816"/>
      <c r="DV221" s="816"/>
      <c r="DW221" s="816"/>
      <c r="DX221" s="816"/>
      <c r="DY221" s="816"/>
      <c r="DZ221" s="816"/>
      <c r="EA221" s="816"/>
      <c r="EB221" s="609"/>
      <c r="EC221" s="609"/>
      <c r="ED221" s="816"/>
      <c r="EE221" s="816"/>
      <c r="EF221" s="816"/>
      <c r="EG221" s="816"/>
      <c r="EH221" s="816"/>
      <c r="EI221" s="816"/>
      <c r="EJ221" s="816"/>
      <c r="EK221" s="816"/>
      <c r="EL221" s="816"/>
      <c r="EM221" s="816"/>
      <c r="EN221" s="816"/>
      <c r="EO221" s="816"/>
      <c r="EP221" s="816"/>
      <c r="EQ221" s="816"/>
      <c r="ER221" s="816"/>
      <c r="ES221" s="816"/>
      <c r="ET221" s="816"/>
      <c r="EU221" s="816"/>
      <c r="EV221" s="816"/>
      <c r="EW221" s="816"/>
      <c r="EX221" s="816"/>
      <c r="EY221" s="816"/>
      <c r="EZ221" s="816"/>
      <c r="FA221" s="816"/>
      <c r="FB221" s="819"/>
      <c r="FC221" s="816"/>
      <c r="FD221" s="820"/>
      <c r="FE221" s="820"/>
      <c r="FF221" s="820"/>
      <c r="FG221" s="820"/>
      <c r="FH221" s="609"/>
      <c r="FI221" s="609"/>
      <c r="FJ221" s="816"/>
      <c r="FK221" s="816"/>
      <c r="FL221" s="816"/>
      <c r="FM221" s="816"/>
      <c r="FN221" s="816"/>
      <c r="FO221" s="816"/>
      <c r="FP221" s="816"/>
      <c r="FQ221" s="816"/>
      <c r="FR221" s="816"/>
      <c r="FS221" s="816"/>
      <c r="FT221" s="816"/>
      <c r="FU221" s="816"/>
      <c r="FV221" s="816"/>
      <c r="FW221" s="816"/>
      <c r="FX221" s="609"/>
      <c r="FY221" s="609"/>
      <c r="FZ221" s="816"/>
      <c r="GA221" s="816"/>
      <c r="GB221" s="609"/>
      <c r="GC221" s="609"/>
      <c r="GD221" s="609"/>
      <c r="GE221" s="816"/>
      <c r="GF221" s="816"/>
      <c r="GG221" s="609"/>
      <c r="GH221" s="609"/>
      <c r="GI221" s="816"/>
      <c r="GJ221" s="816"/>
      <c r="GK221" s="609"/>
      <c r="GL221" s="609"/>
      <c r="GM221" s="816"/>
      <c r="GN221" s="816"/>
      <c r="GO221" s="816"/>
      <c r="GP221" s="816"/>
      <c r="GQ221" s="816"/>
      <c r="GR221" s="816"/>
      <c r="GS221" s="609"/>
      <c r="GT221" s="609"/>
      <c r="GU221" s="816"/>
      <c r="GV221" s="816"/>
      <c r="GW221" s="609"/>
      <c r="GX221" s="609"/>
      <c r="GY221" s="816"/>
      <c r="GZ221" s="816"/>
      <c r="HA221" s="609"/>
      <c r="HB221" s="609"/>
      <c r="HC221" s="816"/>
      <c r="HD221" s="816"/>
      <c r="HE221" s="816"/>
      <c r="HF221" s="816"/>
      <c r="HG221" s="816"/>
      <c r="HH221" s="816"/>
      <c r="HI221" s="821"/>
      <c r="HJ221" s="609"/>
      <c r="HK221" s="816"/>
      <c r="HL221" s="816"/>
      <c r="HM221" s="822"/>
      <c r="HN221" s="609"/>
      <c r="HO221" s="816"/>
      <c r="HP221" s="816"/>
      <c r="HQ221" s="609"/>
      <c r="HR221" s="816"/>
      <c r="HS221" s="816"/>
      <c r="HT221" s="816"/>
      <c r="HU221" s="816"/>
      <c r="HV221" s="816"/>
      <c r="HW221" s="816"/>
      <c r="HX221" s="816"/>
      <c r="HY221" s="816"/>
      <c r="HZ221" s="816"/>
      <c r="IA221" s="816"/>
      <c r="IB221" s="816"/>
      <c r="IC221" s="823"/>
      <c r="ID221" s="824"/>
      <c r="IE221" s="825"/>
      <c r="IF221" s="825"/>
      <c r="IG221" s="816"/>
      <c r="II221" s="834"/>
      <c r="IJ221" s="834"/>
      <c r="IK221" s="826"/>
      <c r="IL221" s="834"/>
    </row>
    <row r="222" spans="2:246" s="780" customFormat="1">
      <c r="B222" s="609"/>
      <c r="C222" s="609"/>
      <c r="D222" s="609"/>
      <c r="E222" s="609"/>
      <c r="F222" s="609"/>
      <c r="G222" s="609"/>
      <c r="H222" s="609"/>
      <c r="I222" s="609"/>
      <c r="J222" s="609"/>
      <c r="K222" s="609"/>
      <c r="L222" s="609"/>
      <c r="M222" s="609"/>
      <c r="N222" s="609"/>
      <c r="O222" s="609"/>
      <c r="P222" s="609"/>
      <c r="Q222" s="609"/>
      <c r="R222" s="609"/>
      <c r="S222" s="609"/>
      <c r="T222" s="609"/>
      <c r="U222" s="609"/>
      <c r="V222" s="609"/>
      <c r="W222" s="609"/>
      <c r="X222" s="609"/>
      <c r="Y222" s="609"/>
      <c r="Z222" s="816"/>
      <c r="AA222" s="816"/>
      <c r="AB222" s="816"/>
      <c r="AC222" s="816"/>
      <c r="AD222" s="816"/>
      <c r="AE222" s="816"/>
      <c r="AF222" s="609"/>
      <c r="AG222" s="609"/>
      <c r="AH222" s="816"/>
      <c r="AI222" s="816"/>
      <c r="AJ222" s="609"/>
      <c r="AK222" s="609"/>
      <c r="AL222" s="816"/>
      <c r="AM222" s="816"/>
      <c r="AN222" s="816"/>
      <c r="AO222" s="816"/>
      <c r="AP222" s="816"/>
      <c r="AQ222" s="816"/>
      <c r="AR222" s="609"/>
      <c r="AS222" s="609"/>
      <c r="AT222" s="816"/>
      <c r="AU222" s="816"/>
      <c r="AV222" s="817"/>
      <c r="AW222" s="609"/>
      <c r="AX222" s="609"/>
      <c r="AY222" s="816"/>
      <c r="AZ222" s="816"/>
      <c r="BA222" s="816"/>
      <c r="BB222" s="816"/>
      <c r="BC222" s="816"/>
      <c r="BD222" s="816"/>
      <c r="BE222" s="816"/>
      <c r="BF222" s="816"/>
      <c r="BG222" s="816"/>
      <c r="BH222" s="816"/>
      <c r="BI222" s="816"/>
      <c r="BJ222" s="816"/>
      <c r="BK222" s="816"/>
      <c r="BL222" s="816"/>
      <c r="BM222" s="816"/>
      <c r="BN222" s="816"/>
      <c r="BO222" s="816"/>
      <c r="BP222" s="816"/>
      <c r="BQ222" s="816"/>
      <c r="BR222" s="816"/>
      <c r="BS222" s="816"/>
      <c r="BT222" s="609"/>
      <c r="BU222" s="609"/>
      <c r="BV222" s="609"/>
      <c r="BW222" s="818"/>
      <c r="BX222" s="816"/>
      <c r="BY222" s="816"/>
      <c r="BZ222" s="816"/>
      <c r="CA222" s="816"/>
      <c r="CB222" s="816"/>
      <c r="CC222" s="816"/>
      <c r="CD222" s="816"/>
      <c r="CE222" s="816"/>
      <c r="CF222" s="820"/>
      <c r="CG222" s="820"/>
      <c r="CH222" s="820"/>
      <c r="CI222" s="820"/>
      <c r="CJ222" s="609"/>
      <c r="CK222" s="609"/>
      <c r="CL222" s="816"/>
      <c r="CM222" s="816"/>
      <c r="CN222" s="609"/>
      <c r="CO222" s="609"/>
      <c r="CP222" s="816"/>
      <c r="CQ222" s="816"/>
      <c r="CR222" s="609"/>
      <c r="CS222" s="609"/>
      <c r="CT222" s="816"/>
      <c r="CU222" s="816"/>
      <c r="CV222" s="609"/>
      <c r="CW222" s="609"/>
      <c r="CX222" s="816"/>
      <c r="CY222" s="816"/>
      <c r="CZ222" s="816"/>
      <c r="DA222" s="816"/>
      <c r="DB222" s="816"/>
      <c r="DC222" s="816"/>
      <c r="DD222" s="816"/>
      <c r="DE222" s="816"/>
      <c r="DF222" s="816"/>
      <c r="DG222" s="816"/>
      <c r="DH222" s="816"/>
      <c r="DI222" s="816"/>
      <c r="DJ222" s="816"/>
      <c r="DK222" s="816"/>
      <c r="DL222" s="609"/>
      <c r="DM222" s="609"/>
      <c r="DN222" s="816"/>
      <c r="DO222" s="816"/>
      <c r="DP222" s="816"/>
      <c r="DQ222" s="816"/>
      <c r="DR222" s="816"/>
      <c r="DS222" s="816"/>
      <c r="DT222" s="816"/>
      <c r="DU222" s="816"/>
      <c r="DV222" s="816"/>
      <c r="DW222" s="816"/>
      <c r="DX222" s="816"/>
      <c r="DY222" s="816"/>
      <c r="DZ222" s="816"/>
      <c r="EA222" s="816"/>
      <c r="EB222" s="609"/>
      <c r="EC222" s="609"/>
      <c r="ED222" s="816"/>
      <c r="EE222" s="816"/>
      <c r="EF222" s="816"/>
      <c r="EG222" s="816"/>
      <c r="EH222" s="816"/>
      <c r="EI222" s="816"/>
      <c r="EJ222" s="816"/>
      <c r="EK222" s="816"/>
      <c r="EL222" s="816"/>
      <c r="EM222" s="816"/>
      <c r="EN222" s="816"/>
      <c r="EO222" s="816"/>
      <c r="EP222" s="816"/>
      <c r="EQ222" s="816"/>
      <c r="ER222" s="816"/>
      <c r="ES222" s="816"/>
      <c r="ET222" s="816"/>
      <c r="EU222" s="816"/>
      <c r="EV222" s="816"/>
      <c r="EW222" s="816"/>
      <c r="EX222" s="816"/>
      <c r="EY222" s="816"/>
      <c r="EZ222" s="816"/>
      <c r="FA222" s="816"/>
      <c r="FB222" s="819"/>
      <c r="FC222" s="816"/>
      <c r="FD222" s="820"/>
      <c r="FE222" s="820"/>
      <c r="FF222" s="820"/>
      <c r="FG222" s="820"/>
      <c r="FH222" s="817"/>
      <c r="FI222" s="609"/>
      <c r="FJ222" s="816"/>
      <c r="FK222" s="816"/>
      <c r="FL222" s="816"/>
      <c r="FM222" s="816"/>
      <c r="FN222" s="816"/>
      <c r="FO222" s="816"/>
      <c r="FP222" s="816"/>
      <c r="FQ222" s="816"/>
      <c r="FR222" s="816"/>
      <c r="FS222" s="816"/>
      <c r="FT222" s="816"/>
      <c r="FU222" s="816"/>
      <c r="FV222" s="816"/>
      <c r="FW222" s="816"/>
      <c r="FX222" s="609"/>
      <c r="FY222" s="609"/>
      <c r="FZ222" s="816"/>
      <c r="GA222" s="816"/>
      <c r="GB222" s="609"/>
      <c r="GC222" s="609"/>
      <c r="GD222" s="609"/>
      <c r="GE222" s="816"/>
      <c r="GF222" s="816"/>
      <c r="GG222" s="609"/>
      <c r="GH222" s="609"/>
      <c r="GI222" s="816"/>
      <c r="GJ222" s="816"/>
      <c r="GK222" s="609"/>
      <c r="GL222" s="609"/>
      <c r="GM222" s="816"/>
      <c r="GN222" s="816"/>
      <c r="GO222" s="816"/>
      <c r="GP222" s="816"/>
      <c r="GQ222" s="816"/>
      <c r="GR222" s="816"/>
      <c r="GS222" s="609"/>
      <c r="GT222" s="609"/>
      <c r="GU222" s="816"/>
      <c r="GV222" s="816"/>
      <c r="GW222" s="609"/>
      <c r="GX222" s="609"/>
      <c r="GY222" s="816"/>
      <c r="GZ222" s="816"/>
      <c r="HA222" s="609"/>
      <c r="HB222" s="609"/>
      <c r="HC222" s="816"/>
      <c r="HD222" s="816"/>
      <c r="HE222" s="816"/>
      <c r="HF222" s="816"/>
      <c r="HG222" s="816"/>
      <c r="HH222" s="816"/>
      <c r="HI222" s="821"/>
      <c r="HJ222" s="609"/>
      <c r="HK222" s="816"/>
      <c r="HL222" s="816"/>
      <c r="HM222" s="822"/>
      <c r="HN222" s="609"/>
      <c r="HO222" s="816"/>
      <c r="HP222" s="816"/>
      <c r="HQ222" s="609"/>
      <c r="HR222" s="816"/>
      <c r="HS222" s="816"/>
      <c r="HT222" s="816"/>
      <c r="HU222" s="816"/>
      <c r="HV222" s="816"/>
      <c r="HW222" s="816"/>
      <c r="HX222" s="816"/>
      <c r="HY222" s="816"/>
      <c r="HZ222" s="816"/>
      <c r="IA222" s="816"/>
      <c r="IB222" s="816"/>
      <c r="IC222" s="823"/>
      <c r="ID222" s="824"/>
      <c r="IE222" s="825"/>
      <c r="IF222" s="825"/>
      <c r="IG222" s="816"/>
      <c r="II222" s="834"/>
      <c r="IJ222" s="834"/>
      <c r="IK222" s="826"/>
      <c r="IL222" s="834"/>
    </row>
    <row r="223" spans="2:246" s="780" customFormat="1">
      <c r="B223" s="609"/>
      <c r="C223" s="609"/>
      <c r="D223" s="609"/>
      <c r="E223" s="609"/>
      <c r="F223" s="609"/>
      <c r="G223" s="609"/>
      <c r="H223" s="609"/>
      <c r="I223" s="609"/>
      <c r="J223" s="609"/>
      <c r="K223" s="609"/>
      <c r="L223" s="609"/>
      <c r="M223" s="609"/>
      <c r="N223" s="609"/>
      <c r="O223" s="609"/>
      <c r="P223" s="609"/>
      <c r="Q223" s="609"/>
      <c r="R223" s="609"/>
      <c r="S223" s="609"/>
      <c r="T223" s="609"/>
      <c r="U223" s="609"/>
      <c r="V223" s="609"/>
      <c r="W223" s="609"/>
      <c r="X223" s="609"/>
      <c r="Y223" s="609"/>
      <c r="Z223" s="816"/>
      <c r="AA223" s="816"/>
      <c r="AB223" s="816"/>
      <c r="AC223" s="816"/>
      <c r="AD223" s="816"/>
      <c r="AE223" s="816"/>
      <c r="AF223" s="609"/>
      <c r="AG223" s="609"/>
      <c r="AH223" s="816"/>
      <c r="AI223" s="816"/>
      <c r="AJ223" s="609"/>
      <c r="AK223" s="609"/>
      <c r="AL223" s="816"/>
      <c r="AM223" s="816"/>
      <c r="AN223" s="816"/>
      <c r="AO223" s="816"/>
      <c r="AP223" s="816"/>
      <c r="AQ223" s="816"/>
      <c r="AR223" s="609"/>
      <c r="AS223" s="609"/>
      <c r="AT223" s="816"/>
      <c r="AU223" s="816"/>
      <c r="AV223" s="817"/>
      <c r="AW223" s="609"/>
      <c r="AX223" s="609"/>
      <c r="AY223" s="816"/>
      <c r="AZ223" s="816"/>
      <c r="BA223" s="816"/>
      <c r="BB223" s="816"/>
      <c r="BC223" s="816"/>
      <c r="BD223" s="816"/>
      <c r="BE223" s="816"/>
      <c r="BF223" s="816"/>
      <c r="BG223" s="816"/>
      <c r="BH223" s="816"/>
      <c r="BI223" s="816"/>
      <c r="BJ223" s="816"/>
      <c r="BK223" s="816"/>
      <c r="BL223" s="816"/>
      <c r="BM223" s="816"/>
      <c r="BN223" s="816"/>
      <c r="BO223" s="816"/>
      <c r="BP223" s="816"/>
      <c r="BQ223" s="816"/>
      <c r="BR223" s="816"/>
      <c r="BS223" s="816"/>
      <c r="BT223" s="609"/>
      <c r="BU223" s="609"/>
      <c r="BV223" s="609"/>
      <c r="BW223" s="818"/>
      <c r="BX223" s="816"/>
      <c r="BY223" s="816"/>
      <c r="BZ223" s="816"/>
      <c r="CA223" s="816"/>
      <c r="CB223" s="816"/>
      <c r="CC223" s="816"/>
      <c r="CD223" s="816"/>
      <c r="CE223" s="816"/>
      <c r="CF223" s="820"/>
      <c r="CG223" s="820"/>
      <c r="CH223" s="820"/>
      <c r="CI223" s="820"/>
      <c r="CJ223" s="609"/>
      <c r="CK223" s="609"/>
      <c r="CL223" s="816"/>
      <c r="CM223" s="816"/>
      <c r="CN223" s="609"/>
      <c r="CO223" s="609"/>
      <c r="CP223" s="816"/>
      <c r="CQ223" s="816"/>
      <c r="CR223" s="609"/>
      <c r="CS223" s="609"/>
      <c r="CT223" s="816"/>
      <c r="CU223" s="816"/>
      <c r="CV223" s="609"/>
      <c r="CW223" s="609"/>
      <c r="CX223" s="816"/>
      <c r="CY223" s="816"/>
      <c r="CZ223" s="816"/>
      <c r="DA223" s="816"/>
      <c r="DB223" s="816"/>
      <c r="DC223" s="816"/>
      <c r="DD223" s="816"/>
      <c r="DE223" s="816"/>
      <c r="DF223" s="816"/>
      <c r="DG223" s="816"/>
      <c r="DH223" s="816"/>
      <c r="DI223" s="816"/>
      <c r="DJ223" s="816"/>
      <c r="DK223" s="816"/>
      <c r="DL223" s="609"/>
      <c r="DM223" s="609"/>
      <c r="DN223" s="816"/>
      <c r="DO223" s="816"/>
      <c r="DP223" s="816"/>
      <c r="DQ223" s="816"/>
      <c r="DR223" s="816"/>
      <c r="DS223" s="816"/>
      <c r="DT223" s="816"/>
      <c r="DU223" s="816"/>
      <c r="DV223" s="816"/>
      <c r="DW223" s="816"/>
      <c r="DX223" s="816"/>
      <c r="DY223" s="816"/>
      <c r="DZ223" s="816"/>
      <c r="EA223" s="816"/>
      <c r="EB223" s="609"/>
      <c r="EC223" s="609"/>
      <c r="ED223" s="816"/>
      <c r="EE223" s="816"/>
      <c r="EF223" s="816"/>
      <c r="EG223" s="816"/>
      <c r="EH223" s="816"/>
      <c r="EI223" s="816"/>
      <c r="EJ223" s="816"/>
      <c r="EK223" s="816"/>
      <c r="EL223" s="816"/>
      <c r="EM223" s="816"/>
      <c r="EN223" s="816"/>
      <c r="EO223" s="816"/>
      <c r="EP223" s="816"/>
      <c r="EQ223" s="816"/>
      <c r="ER223" s="816"/>
      <c r="ES223" s="816"/>
      <c r="ET223" s="816"/>
      <c r="EU223" s="816"/>
      <c r="EV223" s="816"/>
      <c r="EW223" s="816"/>
      <c r="EX223" s="816"/>
      <c r="EY223" s="816"/>
      <c r="EZ223" s="816"/>
      <c r="FA223" s="816"/>
      <c r="FB223" s="819"/>
      <c r="FC223" s="816"/>
      <c r="FD223" s="820"/>
      <c r="FE223" s="820"/>
      <c r="FF223" s="820"/>
      <c r="FG223" s="820"/>
      <c r="FH223" s="609"/>
      <c r="FI223" s="609"/>
      <c r="FJ223" s="816"/>
      <c r="FK223" s="816"/>
      <c r="FL223" s="816"/>
      <c r="FM223" s="816"/>
      <c r="FN223" s="816"/>
      <c r="FO223" s="816"/>
      <c r="FP223" s="816"/>
      <c r="FQ223" s="816"/>
      <c r="FR223" s="816"/>
      <c r="FS223" s="816"/>
      <c r="FT223" s="816"/>
      <c r="FU223" s="816"/>
      <c r="FV223" s="816"/>
      <c r="FW223" s="816"/>
      <c r="FX223" s="609"/>
      <c r="FY223" s="609"/>
      <c r="FZ223" s="816"/>
      <c r="GA223" s="816"/>
      <c r="GB223" s="609"/>
      <c r="GC223" s="609"/>
      <c r="GD223" s="609"/>
      <c r="GE223" s="816"/>
      <c r="GF223" s="816"/>
      <c r="GG223" s="609"/>
      <c r="GH223" s="609"/>
      <c r="GI223" s="816"/>
      <c r="GJ223" s="816"/>
      <c r="GK223" s="609"/>
      <c r="GL223" s="609"/>
      <c r="GM223" s="816"/>
      <c r="GN223" s="816"/>
      <c r="GO223" s="816"/>
      <c r="GP223" s="816"/>
      <c r="GQ223" s="816"/>
      <c r="GR223" s="816"/>
      <c r="GS223" s="609"/>
      <c r="GT223" s="609"/>
      <c r="GU223" s="816"/>
      <c r="GV223" s="816"/>
      <c r="GW223" s="609"/>
      <c r="GX223" s="609"/>
      <c r="GY223" s="816"/>
      <c r="GZ223" s="816"/>
      <c r="HA223" s="609"/>
      <c r="HB223" s="609"/>
      <c r="HC223" s="816"/>
      <c r="HD223" s="816"/>
      <c r="HE223" s="816"/>
      <c r="HF223" s="816"/>
      <c r="HG223" s="816"/>
      <c r="HH223" s="816"/>
      <c r="HI223" s="821"/>
      <c r="HJ223" s="609"/>
      <c r="HK223" s="816"/>
      <c r="HL223" s="816"/>
      <c r="HM223" s="822"/>
      <c r="HN223" s="609"/>
      <c r="HO223" s="816"/>
      <c r="HP223" s="816"/>
      <c r="HQ223" s="609"/>
      <c r="HR223" s="816"/>
      <c r="HS223" s="816"/>
      <c r="HT223" s="816"/>
      <c r="HU223" s="816"/>
      <c r="HV223" s="816"/>
      <c r="HW223" s="816"/>
      <c r="HX223" s="816"/>
      <c r="HY223" s="816"/>
      <c r="HZ223" s="816"/>
      <c r="IA223" s="816"/>
      <c r="IB223" s="816"/>
      <c r="IC223" s="823"/>
      <c r="ID223" s="824"/>
      <c r="IE223" s="825"/>
      <c r="IF223" s="825"/>
      <c r="IG223" s="816"/>
      <c r="II223" s="834"/>
      <c r="IJ223" s="834"/>
      <c r="IK223" s="826"/>
      <c r="IL223" s="834"/>
    </row>
    <row r="224" spans="2:246" s="780" customFormat="1">
      <c r="B224" s="609"/>
      <c r="C224" s="609"/>
      <c r="D224" s="609"/>
      <c r="E224" s="609"/>
      <c r="F224" s="609"/>
      <c r="G224" s="609"/>
      <c r="H224" s="609"/>
      <c r="I224" s="609"/>
      <c r="J224" s="609"/>
      <c r="K224" s="609"/>
      <c r="L224" s="609"/>
      <c r="M224" s="609"/>
      <c r="N224" s="609"/>
      <c r="O224" s="609"/>
      <c r="P224" s="609"/>
      <c r="Q224" s="609"/>
      <c r="R224" s="609"/>
      <c r="S224" s="609"/>
      <c r="T224" s="609"/>
      <c r="U224" s="609"/>
      <c r="V224" s="609"/>
      <c r="W224" s="609"/>
      <c r="X224" s="609"/>
      <c r="Y224" s="609"/>
      <c r="Z224" s="816"/>
      <c r="AA224" s="816"/>
      <c r="AB224" s="816"/>
      <c r="AC224" s="816"/>
      <c r="AD224" s="816"/>
      <c r="AE224" s="816"/>
      <c r="AF224" s="609"/>
      <c r="AG224" s="609"/>
      <c r="AH224" s="816"/>
      <c r="AI224" s="816"/>
      <c r="AJ224" s="609"/>
      <c r="AK224" s="609"/>
      <c r="AL224" s="816"/>
      <c r="AM224" s="816"/>
      <c r="AN224" s="816"/>
      <c r="AO224" s="816"/>
      <c r="AP224" s="816"/>
      <c r="AQ224" s="816"/>
      <c r="AR224" s="609"/>
      <c r="AS224" s="609"/>
      <c r="AT224" s="816"/>
      <c r="AU224" s="816"/>
      <c r="AV224" s="817"/>
      <c r="AW224" s="609"/>
      <c r="AX224" s="609"/>
      <c r="AY224" s="816"/>
      <c r="AZ224" s="816"/>
      <c r="BA224" s="816"/>
      <c r="BB224" s="816"/>
      <c r="BC224" s="816"/>
      <c r="BD224" s="816"/>
      <c r="BE224" s="816"/>
      <c r="BF224" s="816"/>
      <c r="BG224" s="816"/>
      <c r="BH224" s="816"/>
      <c r="BI224" s="816"/>
      <c r="BJ224" s="816"/>
      <c r="BK224" s="816"/>
      <c r="BL224" s="816"/>
      <c r="BM224" s="816"/>
      <c r="BN224" s="816"/>
      <c r="BO224" s="816"/>
      <c r="BP224" s="816"/>
      <c r="BQ224" s="816"/>
      <c r="BR224" s="816"/>
      <c r="BS224" s="816"/>
      <c r="BT224" s="609"/>
      <c r="BU224" s="609"/>
      <c r="BV224" s="609"/>
      <c r="BW224" s="818"/>
      <c r="BX224" s="816"/>
      <c r="BY224" s="816"/>
      <c r="BZ224" s="816"/>
      <c r="CA224" s="816"/>
      <c r="CB224" s="816"/>
      <c r="CC224" s="816"/>
      <c r="CD224" s="816"/>
      <c r="CE224" s="816"/>
      <c r="CF224" s="820"/>
      <c r="CG224" s="820"/>
      <c r="CH224" s="820"/>
      <c r="CI224" s="820"/>
      <c r="CJ224" s="609"/>
      <c r="CK224" s="609"/>
      <c r="CL224" s="816"/>
      <c r="CM224" s="816"/>
      <c r="CN224" s="609"/>
      <c r="CO224" s="609"/>
      <c r="CP224" s="816"/>
      <c r="CQ224" s="816"/>
      <c r="CR224" s="609"/>
      <c r="CS224" s="609"/>
      <c r="CT224" s="816"/>
      <c r="CU224" s="816"/>
      <c r="CV224" s="609"/>
      <c r="CW224" s="609"/>
      <c r="CX224" s="816"/>
      <c r="CY224" s="816"/>
      <c r="CZ224" s="816"/>
      <c r="DA224" s="816"/>
      <c r="DB224" s="816"/>
      <c r="DC224" s="816"/>
      <c r="DD224" s="816"/>
      <c r="DE224" s="816"/>
      <c r="DF224" s="816"/>
      <c r="DG224" s="816"/>
      <c r="DH224" s="816"/>
      <c r="DI224" s="816"/>
      <c r="DJ224" s="816"/>
      <c r="DK224" s="816"/>
      <c r="DL224" s="609"/>
      <c r="DM224" s="609"/>
      <c r="DN224" s="816"/>
      <c r="DO224" s="816"/>
      <c r="DP224" s="816"/>
      <c r="DQ224" s="816"/>
      <c r="DR224" s="816"/>
      <c r="DS224" s="816"/>
      <c r="DT224" s="816"/>
      <c r="DU224" s="816"/>
      <c r="DV224" s="816"/>
      <c r="DW224" s="816"/>
      <c r="DX224" s="816"/>
      <c r="DY224" s="816"/>
      <c r="DZ224" s="816"/>
      <c r="EA224" s="816"/>
      <c r="EB224" s="609"/>
      <c r="EC224" s="609"/>
      <c r="ED224" s="816"/>
      <c r="EE224" s="816"/>
      <c r="EF224" s="816"/>
      <c r="EG224" s="816"/>
      <c r="EH224" s="816"/>
      <c r="EI224" s="816"/>
      <c r="EJ224" s="816"/>
      <c r="EK224" s="816"/>
      <c r="EL224" s="816"/>
      <c r="EM224" s="816"/>
      <c r="EN224" s="816"/>
      <c r="EO224" s="816"/>
      <c r="EP224" s="816"/>
      <c r="EQ224" s="816"/>
      <c r="ER224" s="816"/>
      <c r="ES224" s="816"/>
      <c r="ET224" s="816"/>
      <c r="EU224" s="816"/>
      <c r="EV224" s="816"/>
      <c r="EW224" s="816"/>
      <c r="EX224" s="816"/>
      <c r="EY224" s="816"/>
      <c r="EZ224" s="816"/>
      <c r="FA224" s="816"/>
      <c r="FB224" s="819"/>
      <c r="FC224" s="816"/>
      <c r="FD224" s="820"/>
      <c r="FE224" s="820"/>
      <c r="FF224" s="820"/>
      <c r="FG224" s="820"/>
      <c r="FH224" s="609"/>
      <c r="FI224" s="609"/>
      <c r="FJ224" s="816"/>
      <c r="FK224" s="816"/>
      <c r="FL224" s="816"/>
      <c r="FM224" s="816"/>
      <c r="FN224" s="816"/>
      <c r="FO224" s="816"/>
      <c r="FP224" s="816"/>
      <c r="FQ224" s="816"/>
      <c r="FR224" s="816"/>
      <c r="FS224" s="816"/>
      <c r="FT224" s="816"/>
      <c r="FU224" s="816"/>
      <c r="FV224" s="816"/>
      <c r="FW224" s="816"/>
      <c r="FX224" s="609"/>
      <c r="FY224" s="609"/>
      <c r="FZ224" s="816"/>
      <c r="GA224" s="816"/>
      <c r="GB224" s="609"/>
      <c r="GC224" s="609"/>
      <c r="GD224" s="609"/>
      <c r="GE224" s="816"/>
      <c r="GF224" s="816"/>
      <c r="GG224" s="609"/>
      <c r="GH224" s="609"/>
      <c r="GI224" s="816"/>
      <c r="GJ224" s="816"/>
      <c r="GK224" s="609"/>
      <c r="GL224" s="609"/>
      <c r="GM224" s="816"/>
      <c r="GN224" s="816"/>
      <c r="GO224" s="816"/>
      <c r="GP224" s="816"/>
      <c r="GQ224" s="816"/>
      <c r="GR224" s="816"/>
      <c r="GS224" s="609"/>
      <c r="GT224" s="609"/>
      <c r="GU224" s="816"/>
      <c r="GV224" s="816"/>
      <c r="GW224" s="609"/>
      <c r="GX224" s="609"/>
      <c r="GY224" s="816"/>
      <c r="GZ224" s="816"/>
      <c r="HA224" s="609"/>
      <c r="HB224" s="609"/>
      <c r="HC224" s="816"/>
      <c r="HD224" s="816"/>
      <c r="HE224" s="816"/>
      <c r="HF224" s="816"/>
      <c r="HG224" s="816"/>
      <c r="HH224" s="816"/>
      <c r="HI224" s="821"/>
      <c r="HJ224" s="609"/>
      <c r="HK224" s="816"/>
      <c r="HL224" s="816"/>
      <c r="HM224" s="822"/>
      <c r="HN224" s="609"/>
      <c r="HO224" s="816"/>
      <c r="HP224" s="816"/>
      <c r="HQ224" s="609"/>
      <c r="HR224" s="816"/>
      <c r="HS224" s="816"/>
      <c r="HT224" s="816"/>
      <c r="HU224" s="816"/>
      <c r="HV224" s="816"/>
      <c r="HW224" s="816"/>
      <c r="HX224" s="816"/>
      <c r="HY224" s="816"/>
      <c r="HZ224" s="816"/>
      <c r="IA224" s="816"/>
      <c r="IB224" s="816"/>
      <c r="IC224" s="823"/>
      <c r="ID224" s="824"/>
      <c r="IE224" s="825"/>
      <c r="IF224" s="825"/>
      <c r="IG224" s="816"/>
      <c r="II224" s="834"/>
      <c r="IJ224" s="834"/>
      <c r="IK224" s="826"/>
      <c r="IL224" s="834"/>
    </row>
    <row r="225" spans="2:246" s="780" customFormat="1">
      <c r="B225" s="609"/>
      <c r="C225" s="609"/>
      <c r="D225" s="609"/>
      <c r="E225" s="609"/>
      <c r="F225" s="609"/>
      <c r="G225" s="609"/>
      <c r="H225" s="609"/>
      <c r="I225" s="609"/>
      <c r="J225" s="609"/>
      <c r="K225" s="609"/>
      <c r="L225" s="609"/>
      <c r="M225" s="609"/>
      <c r="N225" s="609"/>
      <c r="O225" s="609"/>
      <c r="P225" s="609"/>
      <c r="Q225" s="609"/>
      <c r="R225" s="609"/>
      <c r="S225" s="609"/>
      <c r="T225" s="609"/>
      <c r="U225" s="609"/>
      <c r="V225" s="609"/>
      <c r="W225" s="609"/>
      <c r="X225" s="609"/>
      <c r="Y225" s="609"/>
      <c r="Z225" s="816"/>
      <c r="AA225" s="816"/>
      <c r="AB225" s="816"/>
      <c r="AC225" s="816"/>
      <c r="AD225" s="816"/>
      <c r="AE225" s="816"/>
      <c r="AF225" s="609"/>
      <c r="AG225" s="609"/>
      <c r="AH225" s="816"/>
      <c r="AI225" s="816"/>
      <c r="AJ225" s="609"/>
      <c r="AK225" s="609"/>
      <c r="AL225" s="816"/>
      <c r="AM225" s="816"/>
      <c r="AN225" s="816"/>
      <c r="AO225" s="816"/>
      <c r="AP225" s="816"/>
      <c r="AQ225" s="816"/>
      <c r="AR225" s="609"/>
      <c r="AS225" s="609"/>
      <c r="AT225" s="816"/>
      <c r="AU225" s="816"/>
      <c r="AV225" s="817"/>
      <c r="AW225" s="609"/>
      <c r="AX225" s="609"/>
      <c r="AY225" s="816"/>
      <c r="AZ225" s="816"/>
      <c r="BA225" s="816"/>
      <c r="BB225" s="816"/>
      <c r="BC225" s="816"/>
      <c r="BD225" s="816"/>
      <c r="BE225" s="816"/>
      <c r="BF225" s="816"/>
      <c r="BG225" s="816"/>
      <c r="BH225" s="816"/>
      <c r="BI225" s="816"/>
      <c r="BJ225" s="816"/>
      <c r="BK225" s="816"/>
      <c r="BL225" s="816"/>
      <c r="BM225" s="816"/>
      <c r="BN225" s="816"/>
      <c r="BO225" s="816"/>
      <c r="BP225" s="816"/>
      <c r="BQ225" s="816"/>
      <c r="BR225" s="816"/>
      <c r="BS225" s="816"/>
      <c r="BT225" s="609"/>
      <c r="BU225" s="609"/>
      <c r="BV225" s="609"/>
      <c r="BW225" s="818"/>
      <c r="BX225" s="816"/>
      <c r="BY225" s="816"/>
      <c r="BZ225" s="816"/>
      <c r="CA225" s="816"/>
      <c r="CB225" s="816"/>
      <c r="CC225" s="816"/>
      <c r="CD225" s="816"/>
      <c r="CE225" s="816"/>
      <c r="CF225" s="820"/>
      <c r="CG225" s="820"/>
      <c r="CH225" s="820"/>
      <c r="CI225" s="820"/>
      <c r="CJ225" s="609"/>
      <c r="CK225" s="609"/>
      <c r="CL225" s="816"/>
      <c r="CM225" s="816"/>
      <c r="CN225" s="609"/>
      <c r="CO225" s="609"/>
      <c r="CP225" s="816"/>
      <c r="CQ225" s="816"/>
      <c r="CR225" s="609"/>
      <c r="CS225" s="609"/>
      <c r="CT225" s="816"/>
      <c r="CU225" s="816"/>
      <c r="CV225" s="609"/>
      <c r="CW225" s="609"/>
      <c r="CX225" s="816"/>
      <c r="CY225" s="816"/>
      <c r="CZ225" s="816"/>
      <c r="DA225" s="816"/>
      <c r="DB225" s="816"/>
      <c r="DC225" s="816"/>
      <c r="DD225" s="816"/>
      <c r="DE225" s="816"/>
      <c r="DF225" s="816"/>
      <c r="DG225" s="816"/>
      <c r="DH225" s="816"/>
      <c r="DI225" s="816"/>
      <c r="DJ225" s="816"/>
      <c r="DK225" s="816"/>
      <c r="DL225" s="609"/>
      <c r="DM225" s="609"/>
      <c r="DN225" s="816"/>
      <c r="DO225" s="816"/>
      <c r="DP225" s="816"/>
      <c r="DQ225" s="816"/>
      <c r="DR225" s="816"/>
      <c r="DS225" s="816"/>
      <c r="DT225" s="816"/>
      <c r="DU225" s="816"/>
      <c r="DV225" s="816"/>
      <c r="DW225" s="816"/>
      <c r="DX225" s="816"/>
      <c r="DY225" s="816"/>
      <c r="DZ225" s="816"/>
      <c r="EA225" s="816"/>
      <c r="EB225" s="609"/>
      <c r="EC225" s="609"/>
      <c r="ED225" s="816"/>
      <c r="EE225" s="816"/>
      <c r="EF225" s="816"/>
      <c r="EG225" s="816"/>
      <c r="EH225" s="816"/>
      <c r="EI225" s="816"/>
      <c r="EJ225" s="816"/>
      <c r="EK225" s="816"/>
      <c r="EL225" s="816"/>
      <c r="EM225" s="816"/>
      <c r="EN225" s="816"/>
      <c r="EO225" s="816"/>
      <c r="EP225" s="816"/>
      <c r="EQ225" s="816"/>
      <c r="ER225" s="816"/>
      <c r="ES225" s="816"/>
      <c r="ET225" s="816"/>
      <c r="EU225" s="816"/>
      <c r="EV225" s="816"/>
      <c r="EW225" s="816"/>
      <c r="EX225" s="816"/>
      <c r="EY225" s="816"/>
      <c r="EZ225" s="816"/>
      <c r="FA225" s="816"/>
      <c r="FB225" s="819"/>
      <c r="FC225" s="816"/>
      <c r="FD225" s="820"/>
      <c r="FE225" s="820"/>
      <c r="FF225" s="820"/>
      <c r="FG225" s="820"/>
      <c r="FH225" s="609"/>
      <c r="FI225" s="609"/>
      <c r="FJ225" s="816"/>
      <c r="FK225" s="816"/>
      <c r="FL225" s="816"/>
      <c r="FM225" s="816"/>
      <c r="FN225" s="816"/>
      <c r="FO225" s="816"/>
      <c r="FP225" s="816"/>
      <c r="FQ225" s="816"/>
      <c r="FR225" s="816"/>
      <c r="FS225" s="816"/>
      <c r="FT225" s="816"/>
      <c r="FU225" s="816"/>
      <c r="FV225" s="816"/>
      <c r="FW225" s="816"/>
      <c r="FX225" s="609"/>
      <c r="FY225" s="609"/>
      <c r="FZ225" s="816"/>
      <c r="GA225" s="816"/>
      <c r="GB225" s="609"/>
      <c r="GC225" s="609"/>
      <c r="GD225" s="609"/>
      <c r="GE225" s="816"/>
      <c r="GF225" s="816"/>
      <c r="GG225" s="609"/>
      <c r="GH225" s="609"/>
      <c r="GI225" s="816"/>
      <c r="GJ225" s="816"/>
      <c r="GK225" s="609"/>
      <c r="GL225" s="609"/>
      <c r="GM225" s="816"/>
      <c r="GN225" s="816"/>
      <c r="GO225" s="816"/>
      <c r="GP225" s="816"/>
      <c r="GQ225" s="816"/>
      <c r="GR225" s="816"/>
      <c r="GS225" s="609"/>
      <c r="GT225" s="609"/>
      <c r="GU225" s="816"/>
      <c r="GV225" s="816"/>
      <c r="GW225" s="609"/>
      <c r="GX225" s="609"/>
      <c r="GY225" s="816"/>
      <c r="GZ225" s="816"/>
      <c r="HA225" s="609"/>
      <c r="HB225" s="609"/>
      <c r="HC225" s="816"/>
      <c r="HD225" s="816"/>
      <c r="HE225" s="816"/>
      <c r="HF225" s="816"/>
      <c r="HG225" s="816"/>
      <c r="HH225" s="816"/>
      <c r="HI225" s="821"/>
      <c r="HJ225" s="609"/>
      <c r="HK225" s="816"/>
      <c r="HL225" s="816"/>
      <c r="HM225" s="822"/>
      <c r="HN225" s="609"/>
      <c r="HO225" s="816"/>
      <c r="HP225" s="816"/>
      <c r="HQ225" s="609"/>
      <c r="HR225" s="816"/>
      <c r="HS225" s="816"/>
      <c r="HT225" s="816"/>
      <c r="HU225" s="816"/>
      <c r="HV225" s="816"/>
      <c r="HW225" s="816"/>
      <c r="HX225" s="816"/>
      <c r="HY225" s="816"/>
      <c r="HZ225" s="816"/>
      <c r="IA225" s="816"/>
      <c r="IB225" s="816"/>
      <c r="IC225" s="823"/>
      <c r="ID225" s="824"/>
      <c r="IE225" s="825"/>
      <c r="IF225" s="825"/>
      <c r="IG225" s="816"/>
      <c r="II225" s="834"/>
      <c r="IJ225" s="834"/>
      <c r="IK225" s="826"/>
      <c r="IL225" s="834"/>
    </row>
    <row r="226" spans="2:246" s="780" customFormat="1">
      <c r="B226" s="609"/>
      <c r="C226" s="609"/>
      <c r="D226" s="609"/>
      <c r="E226" s="609"/>
      <c r="F226" s="609"/>
      <c r="G226" s="609"/>
      <c r="H226" s="609"/>
      <c r="I226" s="609"/>
      <c r="J226" s="609"/>
      <c r="K226" s="609"/>
      <c r="L226" s="609"/>
      <c r="M226" s="609"/>
      <c r="N226" s="609"/>
      <c r="O226" s="609"/>
      <c r="P226" s="609"/>
      <c r="Q226" s="609"/>
      <c r="R226" s="609"/>
      <c r="S226" s="609"/>
      <c r="T226" s="609"/>
      <c r="U226" s="609"/>
      <c r="V226" s="609"/>
      <c r="W226" s="609"/>
      <c r="X226" s="609"/>
      <c r="Y226" s="609"/>
      <c r="Z226" s="816"/>
      <c r="AA226" s="816"/>
      <c r="AB226" s="816"/>
      <c r="AC226" s="816"/>
      <c r="AD226" s="816"/>
      <c r="AE226" s="816"/>
      <c r="AF226" s="609"/>
      <c r="AG226" s="609"/>
      <c r="AH226" s="816"/>
      <c r="AI226" s="816"/>
      <c r="AJ226" s="609"/>
      <c r="AK226" s="609"/>
      <c r="AL226" s="816"/>
      <c r="AM226" s="816"/>
      <c r="AN226" s="816"/>
      <c r="AO226" s="816"/>
      <c r="AP226" s="816"/>
      <c r="AQ226" s="816"/>
      <c r="AR226" s="609"/>
      <c r="AS226" s="609"/>
      <c r="AT226" s="816"/>
      <c r="AU226" s="816"/>
      <c r="AV226" s="817"/>
      <c r="AW226" s="609"/>
      <c r="AX226" s="609"/>
      <c r="AY226" s="816"/>
      <c r="AZ226" s="816"/>
      <c r="BA226" s="816"/>
      <c r="BB226" s="816"/>
      <c r="BC226" s="816"/>
      <c r="BD226" s="816"/>
      <c r="BE226" s="816"/>
      <c r="BF226" s="816"/>
      <c r="BG226" s="816"/>
      <c r="BH226" s="816"/>
      <c r="BI226" s="816"/>
      <c r="BJ226" s="816"/>
      <c r="BK226" s="816"/>
      <c r="BL226" s="816"/>
      <c r="BM226" s="816"/>
      <c r="BN226" s="816"/>
      <c r="BO226" s="816"/>
      <c r="BP226" s="816"/>
      <c r="BQ226" s="816"/>
      <c r="BR226" s="816"/>
      <c r="BS226" s="816"/>
      <c r="BT226" s="609"/>
      <c r="BU226" s="609"/>
      <c r="BV226" s="609"/>
      <c r="BW226" s="818"/>
      <c r="BX226" s="816"/>
      <c r="BY226" s="816"/>
      <c r="BZ226" s="816"/>
      <c r="CA226" s="816"/>
      <c r="CB226" s="816"/>
      <c r="CC226" s="816"/>
      <c r="CD226" s="816"/>
      <c r="CE226" s="816"/>
      <c r="CF226" s="820"/>
      <c r="CG226" s="820"/>
      <c r="CH226" s="820"/>
      <c r="CI226" s="820"/>
      <c r="CJ226" s="609"/>
      <c r="CK226" s="609"/>
      <c r="CL226" s="816"/>
      <c r="CM226" s="816"/>
      <c r="CN226" s="609"/>
      <c r="CO226" s="609"/>
      <c r="CP226" s="816"/>
      <c r="CQ226" s="816"/>
      <c r="CR226" s="609"/>
      <c r="CS226" s="609"/>
      <c r="CT226" s="816"/>
      <c r="CU226" s="816"/>
      <c r="CV226" s="609"/>
      <c r="CW226" s="609"/>
      <c r="CX226" s="816"/>
      <c r="CY226" s="816"/>
      <c r="CZ226" s="816"/>
      <c r="DA226" s="816"/>
      <c r="DB226" s="816"/>
      <c r="DC226" s="816"/>
      <c r="DD226" s="816"/>
      <c r="DE226" s="816"/>
      <c r="DF226" s="816"/>
      <c r="DG226" s="816"/>
      <c r="DH226" s="816"/>
      <c r="DI226" s="816"/>
      <c r="DJ226" s="816"/>
      <c r="DK226" s="816"/>
      <c r="DL226" s="609"/>
      <c r="DM226" s="609"/>
      <c r="DN226" s="816"/>
      <c r="DO226" s="816"/>
      <c r="DP226" s="816"/>
      <c r="DQ226" s="816"/>
      <c r="DR226" s="816"/>
      <c r="DS226" s="816"/>
      <c r="DT226" s="816"/>
      <c r="DU226" s="816"/>
      <c r="DV226" s="816"/>
      <c r="DW226" s="816"/>
      <c r="DX226" s="816"/>
      <c r="DY226" s="816"/>
      <c r="DZ226" s="816"/>
      <c r="EA226" s="816"/>
      <c r="EB226" s="609"/>
      <c r="EC226" s="609"/>
      <c r="ED226" s="816"/>
      <c r="EE226" s="816"/>
      <c r="EF226" s="816"/>
      <c r="EG226" s="816"/>
      <c r="EH226" s="816"/>
      <c r="EI226" s="816"/>
      <c r="EJ226" s="816"/>
      <c r="EK226" s="816"/>
      <c r="EL226" s="816"/>
      <c r="EM226" s="816"/>
      <c r="EN226" s="816"/>
      <c r="EO226" s="816"/>
      <c r="EP226" s="816"/>
      <c r="EQ226" s="816"/>
      <c r="ER226" s="816"/>
      <c r="ES226" s="816"/>
      <c r="ET226" s="816"/>
      <c r="EU226" s="816"/>
      <c r="EV226" s="816"/>
      <c r="EW226" s="816"/>
      <c r="EX226" s="816"/>
      <c r="EY226" s="816"/>
      <c r="EZ226" s="816"/>
      <c r="FA226" s="816"/>
      <c r="FB226" s="819"/>
      <c r="FC226" s="816"/>
      <c r="FD226" s="820"/>
      <c r="FE226" s="820"/>
      <c r="FF226" s="820"/>
      <c r="FG226" s="820"/>
      <c r="FH226" s="609"/>
      <c r="FI226" s="609"/>
      <c r="FJ226" s="816"/>
      <c r="FK226" s="816"/>
      <c r="FL226" s="816"/>
      <c r="FM226" s="816"/>
      <c r="FN226" s="816"/>
      <c r="FO226" s="816"/>
      <c r="FP226" s="816"/>
      <c r="FQ226" s="816"/>
      <c r="FR226" s="816"/>
      <c r="FS226" s="816"/>
      <c r="FT226" s="816"/>
      <c r="FU226" s="816"/>
      <c r="FV226" s="816"/>
      <c r="FW226" s="816"/>
      <c r="FX226" s="609"/>
      <c r="FY226" s="609"/>
      <c r="FZ226" s="816"/>
      <c r="GA226" s="816"/>
      <c r="GB226" s="609"/>
      <c r="GC226" s="609"/>
      <c r="GD226" s="609"/>
      <c r="GE226" s="816"/>
      <c r="GF226" s="816"/>
      <c r="GG226" s="609"/>
      <c r="GH226" s="609"/>
      <c r="GI226" s="816"/>
      <c r="GJ226" s="816"/>
      <c r="GK226" s="609"/>
      <c r="GL226" s="609"/>
      <c r="GM226" s="816"/>
      <c r="GN226" s="816"/>
      <c r="GO226" s="816"/>
      <c r="GP226" s="816"/>
      <c r="GQ226" s="816"/>
      <c r="GR226" s="816"/>
      <c r="GS226" s="609"/>
      <c r="GT226" s="609"/>
      <c r="GU226" s="816"/>
      <c r="GV226" s="816"/>
      <c r="GW226" s="609"/>
      <c r="GX226" s="609"/>
      <c r="GY226" s="816"/>
      <c r="GZ226" s="816"/>
      <c r="HA226" s="609"/>
      <c r="HB226" s="609"/>
      <c r="HC226" s="816"/>
      <c r="HD226" s="816"/>
      <c r="HE226" s="816"/>
      <c r="HF226" s="816"/>
      <c r="HG226" s="816"/>
      <c r="HH226" s="816"/>
      <c r="HI226" s="821"/>
      <c r="HJ226" s="609"/>
      <c r="HK226" s="816"/>
      <c r="HL226" s="816"/>
      <c r="HM226" s="822"/>
      <c r="HN226" s="609"/>
      <c r="HO226" s="816"/>
      <c r="HP226" s="816"/>
      <c r="HQ226" s="609"/>
      <c r="HR226" s="816"/>
      <c r="HS226" s="816"/>
      <c r="HT226" s="816"/>
      <c r="HU226" s="816"/>
      <c r="HV226" s="816"/>
      <c r="HW226" s="816"/>
      <c r="HX226" s="816"/>
      <c r="HY226" s="816"/>
      <c r="HZ226" s="816"/>
      <c r="IA226" s="816"/>
      <c r="IB226" s="816"/>
      <c r="IC226" s="823"/>
      <c r="ID226" s="824"/>
      <c r="IE226" s="825"/>
      <c r="IF226" s="825"/>
      <c r="IG226" s="816"/>
      <c r="II226" s="834"/>
      <c r="IJ226" s="834"/>
      <c r="IK226" s="826"/>
      <c r="IL226" s="834"/>
    </row>
    <row r="227" spans="2:246" s="780" customFormat="1">
      <c r="B227" s="609"/>
      <c r="C227" s="609"/>
      <c r="D227" s="609"/>
      <c r="E227" s="609"/>
      <c r="F227" s="609"/>
      <c r="G227" s="609"/>
      <c r="H227" s="609"/>
      <c r="I227" s="609"/>
      <c r="J227" s="609"/>
      <c r="K227" s="609"/>
      <c r="L227" s="609"/>
      <c r="M227" s="609"/>
      <c r="N227" s="609"/>
      <c r="O227" s="609"/>
      <c r="P227" s="609"/>
      <c r="Q227" s="609"/>
      <c r="R227" s="609"/>
      <c r="S227" s="609"/>
      <c r="T227" s="609"/>
      <c r="U227" s="609"/>
      <c r="V227" s="609"/>
      <c r="W227" s="609"/>
      <c r="X227" s="609"/>
      <c r="Y227" s="609"/>
      <c r="Z227" s="816"/>
      <c r="AA227" s="816"/>
      <c r="AB227" s="816"/>
      <c r="AC227" s="816"/>
      <c r="AD227" s="816"/>
      <c r="AE227" s="816"/>
      <c r="AF227" s="609"/>
      <c r="AG227" s="609"/>
      <c r="AH227" s="816"/>
      <c r="AI227" s="816"/>
      <c r="AJ227" s="609"/>
      <c r="AK227" s="609"/>
      <c r="AL227" s="816"/>
      <c r="AM227" s="816"/>
      <c r="AN227" s="816"/>
      <c r="AO227" s="816"/>
      <c r="AP227" s="816"/>
      <c r="AQ227" s="816"/>
      <c r="AR227" s="609"/>
      <c r="AS227" s="609"/>
      <c r="AT227" s="816"/>
      <c r="AU227" s="816"/>
      <c r="AV227" s="817"/>
      <c r="AW227" s="609"/>
      <c r="AX227" s="609"/>
      <c r="AY227" s="816"/>
      <c r="AZ227" s="816"/>
      <c r="BA227" s="816"/>
      <c r="BB227" s="816"/>
      <c r="BC227" s="816"/>
      <c r="BD227" s="816"/>
      <c r="BE227" s="816"/>
      <c r="BF227" s="816"/>
      <c r="BG227" s="816"/>
      <c r="BH227" s="816"/>
      <c r="BI227" s="816"/>
      <c r="BJ227" s="816"/>
      <c r="BK227" s="816"/>
      <c r="BL227" s="816"/>
      <c r="BM227" s="816"/>
      <c r="BN227" s="816"/>
      <c r="BO227" s="816"/>
      <c r="BP227" s="816"/>
      <c r="BQ227" s="816"/>
      <c r="BR227" s="816"/>
      <c r="BS227" s="816"/>
      <c r="BT227" s="609"/>
      <c r="BU227" s="609"/>
      <c r="BV227" s="609"/>
      <c r="BW227" s="818"/>
      <c r="BX227" s="816"/>
      <c r="BY227" s="816"/>
      <c r="BZ227" s="816"/>
      <c r="CA227" s="816"/>
      <c r="CB227" s="816"/>
      <c r="CC227" s="816"/>
      <c r="CD227" s="816"/>
      <c r="CE227" s="816"/>
      <c r="CF227" s="820"/>
      <c r="CG227" s="820"/>
      <c r="CH227" s="820"/>
      <c r="CI227" s="820"/>
      <c r="CJ227" s="609"/>
      <c r="CK227" s="609"/>
      <c r="CL227" s="816"/>
      <c r="CM227" s="816"/>
      <c r="CN227" s="609"/>
      <c r="CO227" s="609"/>
      <c r="CP227" s="816"/>
      <c r="CQ227" s="816"/>
      <c r="CR227" s="609"/>
      <c r="CS227" s="609"/>
      <c r="CT227" s="816"/>
      <c r="CU227" s="816"/>
      <c r="CV227" s="609"/>
      <c r="CW227" s="609"/>
      <c r="CX227" s="816"/>
      <c r="CY227" s="816"/>
      <c r="CZ227" s="816"/>
      <c r="DA227" s="816"/>
      <c r="DB227" s="816"/>
      <c r="DC227" s="816"/>
      <c r="DD227" s="816"/>
      <c r="DE227" s="816"/>
      <c r="DF227" s="816"/>
      <c r="DG227" s="816"/>
      <c r="DH227" s="816"/>
      <c r="DI227" s="816"/>
      <c r="DJ227" s="816"/>
      <c r="DK227" s="816"/>
      <c r="DL227" s="609"/>
      <c r="DM227" s="609"/>
      <c r="DN227" s="816"/>
      <c r="DO227" s="816"/>
      <c r="DP227" s="816"/>
      <c r="DQ227" s="816"/>
      <c r="DR227" s="816"/>
      <c r="DS227" s="816"/>
      <c r="DT227" s="816"/>
      <c r="DU227" s="816"/>
      <c r="DV227" s="816"/>
      <c r="DW227" s="816"/>
      <c r="DX227" s="816"/>
      <c r="DY227" s="816"/>
      <c r="DZ227" s="816"/>
      <c r="EA227" s="816"/>
      <c r="EB227" s="609"/>
      <c r="EC227" s="609"/>
      <c r="ED227" s="816"/>
      <c r="EE227" s="816"/>
      <c r="EF227" s="816"/>
      <c r="EG227" s="816"/>
      <c r="EH227" s="816"/>
      <c r="EI227" s="816"/>
      <c r="EJ227" s="816"/>
      <c r="EK227" s="816"/>
      <c r="EL227" s="816"/>
      <c r="EM227" s="816"/>
      <c r="EN227" s="816"/>
      <c r="EO227" s="816"/>
      <c r="EP227" s="816"/>
      <c r="EQ227" s="816"/>
      <c r="ER227" s="816"/>
      <c r="ES227" s="816"/>
      <c r="ET227" s="816"/>
      <c r="EU227" s="816"/>
      <c r="EV227" s="816"/>
      <c r="EW227" s="816"/>
      <c r="EX227" s="816"/>
      <c r="EY227" s="816"/>
      <c r="EZ227" s="816"/>
      <c r="FA227" s="816"/>
      <c r="FB227" s="819"/>
      <c r="FC227" s="816"/>
      <c r="FD227" s="820"/>
      <c r="FE227" s="820"/>
      <c r="FF227" s="820"/>
      <c r="FG227" s="820"/>
      <c r="FH227" s="609"/>
      <c r="FI227" s="609"/>
      <c r="FJ227" s="816"/>
      <c r="FK227" s="816"/>
      <c r="FL227" s="816"/>
      <c r="FM227" s="816"/>
      <c r="FN227" s="816"/>
      <c r="FO227" s="816"/>
      <c r="FP227" s="816"/>
      <c r="FQ227" s="816"/>
      <c r="FR227" s="816"/>
      <c r="FS227" s="816"/>
      <c r="FT227" s="816"/>
      <c r="FU227" s="816"/>
      <c r="FV227" s="816"/>
      <c r="FW227" s="816"/>
      <c r="FX227" s="609"/>
      <c r="FY227" s="609"/>
      <c r="FZ227" s="816"/>
      <c r="GA227" s="816"/>
      <c r="GB227" s="609"/>
      <c r="GC227" s="609"/>
      <c r="GD227" s="609"/>
      <c r="GE227" s="816"/>
      <c r="GF227" s="816"/>
      <c r="GG227" s="609"/>
      <c r="GH227" s="609"/>
      <c r="GI227" s="816"/>
      <c r="GJ227" s="816"/>
      <c r="GK227" s="609"/>
      <c r="GL227" s="609"/>
      <c r="GM227" s="816"/>
      <c r="GN227" s="816"/>
      <c r="GO227" s="816"/>
      <c r="GP227" s="816"/>
      <c r="GQ227" s="816"/>
      <c r="GR227" s="816"/>
      <c r="GS227" s="609"/>
      <c r="GT227" s="609"/>
      <c r="GU227" s="816"/>
      <c r="GV227" s="816"/>
      <c r="GW227" s="609"/>
      <c r="GX227" s="609"/>
      <c r="GY227" s="816"/>
      <c r="GZ227" s="816"/>
      <c r="HA227" s="609"/>
      <c r="HB227" s="609"/>
      <c r="HC227" s="816"/>
      <c r="HD227" s="816"/>
      <c r="HE227" s="816"/>
      <c r="HF227" s="816"/>
      <c r="HG227" s="816"/>
      <c r="HH227" s="816"/>
      <c r="HI227" s="821"/>
      <c r="HJ227" s="609"/>
      <c r="HK227" s="816"/>
      <c r="HL227" s="816"/>
      <c r="HM227" s="822"/>
      <c r="HN227" s="609"/>
      <c r="HO227" s="816"/>
      <c r="HP227" s="816"/>
      <c r="HQ227" s="609"/>
      <c r="HR227" s="816"/>
      <c r="HS227" s="816"/>
      <c r="HT227" s="816"/>
      <c r="HU227" s="816"/>
      <c r="HV227" s="816"/>
      <c r="HW227" s="816"/>
      <c r="HX227" s="816"/>
      <c r="HY227" s="816"/>
      <c r="HZ227" s="816"/>
      <c r="IA227" s="816"/>
      <c r="IB227" s="816"/>
      <c r="IC227" s="823"/>
      <c r="ID227" s="824"/>
      <c r="IE227" s="825"/>
      <c r="IF227" s="825"/>
      <c r="IG227" s="816"/>
      <c r="II227" s="834"/>
      <c r="IJ227" s="834"/>
      <c r="IK227" s="826"/>
      <c r="IL227" s="834"/>
    </row>
    <row r="228" spans="2:246" s="780" customFormat="1">
      <c r="B228" s="609"/>
      <c r="C228" s="609"/>
      <c r="D228" s="609"/>
      <c r="E228" s="609"/>
      <c r="F228" s="609"/>
      <c r="G228" s="609"/>
      <c r="H228" s="609"/>
      <c r="I228" s="609"/>
      <c r="J228" s="609"/>
      <c r="K228" s="609"/>
      <c r="L228" s="609"/>
      <c r="M228" s="609"/>
      <c r="N228" s="609"/>
      <c r="O228" s="609"/>
      <c r="P228" s="609"/>
      <c r="Q228" s="609"/>
      <c r="R228" s="609"/>
      <c r="S228" s="609"/>
      <c r="T228" s="609"/>
      <c r="U228" s="609"/>
      <c r="V228" s="609"/>
      <c r="W228" s="609"/>
      <c r="X228" s="609"/>
      <c r="Y228" s="609"/>
      <c r="Z228" s="816"/>
      <c r="AA228" s="816"/>
      <c r="AB228" s="816"/>
      <c r="AC228" s="816"/>
      <c r="AD228" s="816"/>
      <c r="AE228" s="816"/>
      <c r="AF228" s="609"/>
      <c r="AG228" s="609"/>
      <c r="AH228" s="816"/>
      <c r="AI228" s="816"/>
      <c r="AJ228" s="609"/>
      <c r="AK228" s="609"/>
      <c r="AL228" s="816"/>
      <c r="AM228" s="816"/>
      <c r="AN228" s="816"/>
      <c r="AO228" s="816"/>
      <c r="AP228" s="816"/>
      <c r="AQ228" s="816"/>
      <c r="AR228" s="609"/>
      <c r="AS228" s="609"/>
      <c r="AT228" s="816"/>
      <c r="AU228" s="816"/>
      <c r="AV228" s="817"/>
      <c r="AW228" s="609"/>
      <c r="AX228" s="609"/>
      <c r="AY228" s="816"/>
      <c r="AZ228" s="816"/>
      <c r="BA228" s="816"/>
      <c r="BB228" s="816"/>
      <c r="BC228" s="816"/>
      <c r="BD228" s="816"/>
      <c r="BE228" s="816"/>
      <c r="BF228" s="816"/>
      <c r="BG228" s="816"/>
      <c r="BH228" s="816"/>
      <c r="BI228" s="816"/>
      <c r="BJ228" s="816"/>
      <c r="BK228" s="816"/>
      <c r="BL228" s="816"/>
      <c r="BM228" s="816"/>
      <c r="BN228" s="816"/>
      <c r="BO228" s="816"/>
      <c r="BP228" s="816"/>
      <c r="BQ228" s="816"/>
      <c r="BR228" s="816"/>
      <c r="BS228" s="816"/>
      <c r="BT228" s="609"/>
      <c r="BU228" s="609"/>
      <c r="BV228" s="609"/>
      <c r="BW228" s="818"/>
      <c r="BX228" s="816"/>
      <c r="BY228" s="816"/>
      <c r="BZ228" s="816"/>
      <c r="CA228" s="816"/>
      <c r="CB228" s="816"/>
      <c r="CC228" s="816"/>
      <c r="CD228" s="816"/>
      <c r="CE228" s="816"/>
      <c r="CF228" s="820"/>
      <c r="CG228" s="820"/>
      <c r="CH228" s="820"/>
      <c r="CI228" s="820"/>
      <c r="CJ228" s="609"/>
      <c r="CK228" s="609"/>
      <c r="CL228" s="816"/>
      <c r="CM228" s="816"/>
      <c r="CN228" s="609"/>
      <c r="CO228" s="609"/>
      <c r="CP228" s="816"/>
      <c r="CQ228" s="816"/>
      <c r="CR228" s="609"/>
      <c r="CS228" s="609"/>
      <c r="CT228" s="816"/>
      <c r="CU228" s="816"/>
      <c r="CV228" s="609"/>
      <c r="CW228" s="609"/>
      <c r="CX228" s="816"/>
      <c r="CY228" s="816"/>
      <c r="CZ228" s="816"/>
      <c r="DA228" s="816"/>
      <c r="DB228" s="816"/>
      <c r="DC228" s="816"/>
      <c r="DD228" s="816"/>
      <c r="DE228" s="816"/>
      <c r="DF228" s="816"/>
      <c r="DG228" s="816"/>
      <c r="DH228" s="816"/>
      <c r="DI228" s="816"/>
      <c r="DJ228" s="816"/>
      <c r="DK228" s="816"/>
      <c r="DL228" s="609"/>
      <c r="DM228" s="609"/>
      <c r="DN228" s="816"/>
      <c r="DO228" s="816"/>
      <c r="DP228" s="816"/>
      <c r="DQ228" s="816"/>
      <c r="DR228" s="816"/>
      <c r="DS228" s="816"/>
      <c r="DT228" s="816"/>
      <c r="DU228" s="816"/>
      <c r="DV228" s="816"/>
      <c r="DW228" s="816"/>
      <c r="DX228" s="816"/>
      <c r="DY228" s="816"/>
      <c r="DZ228" s="816"/>
      <c r="EA228" s="816"/>
      <c r="EB228" s="609"/>
      <c r="EC228" s="609"/>
      <c r="ED228" s="816"/>
      <c r="EE228" s="816"/>
      <c r="EF228" s="816"/>
      <c r="EG228" s="816"/>
      <c r="EH228" s="816"/>
      <c r="EI228" s="816"/>
      <c r="EJ228" s="816"/>
      <c r="EK228" s="816"/>
      <c r="EL228" s="816"/>
      <c r="EM228" s="816"/>
      <c r="EN228" s="816"/>
      <c r="EO228" s="816"/>
      <c r="EP228" s="816"/>
      <c r="EQ228" s="816"/>
      <c r="ER228" s="816"/>
      <c r="ES228" s="816"/>
      <c r="ET228" s="816"/>
      <c r="EU228" s="816"/>
      <c r="EV228" s="816"/>
      <c r="EW228" s="816"/>
      <c r="EX228" s="816"/>
      <c r="EY228" s="816"/>
      <c r="EZ228" s="816"/>
      <c r="FA228" s="816"/>
      <c r="FB228" s="819"/>
      <c r="FC228" s="816"/>
      <c r="FD228" s="820"/>
      <c r="FE228" s="820"/>
      <c r="FF228" s="820"/>
      <c r="FG228" s="820"/>
      <c r="FH228" s="609"/>
      <c r="FI228" s="609"/>
      <c r="FJ228" s="816"/>
      <c r="FK228" s="816"/>
      <c r="FL228" s="816"/>
      <c r="FM228" s="816"/>
      <c r="FN228" s="816"/>
      <c r="FO228" s="816"/>
      <c r="FP228" s="816"/>
      <c r="FQ228" s="816"/>
      <c r="FR228" s="816"/>
      <c r="FS228" s="816"/>
      <c r="FT228" s="816"/>
      <c r="FU228" s="816"/>
      <c r="FV228" s="816"/>
      <c r="FW228" s="816"/>
      <c r="FX228" s="609"/>
      <c r="FY228" s="609"/>
      <c r="FZ228" s="816"/>
      <c r="GA228" s="816"/>
      <c r="GB228" s="609"/>
      <c r="GC228" s="609"/>
      <c r="GD228" s="609"/>
      <c r="GE228" s="816"/>
      <c r="GF228" s="816"/>
      <c r="GG228" s="609"/>
      <c r="GH228" s="609"/>
      <c r="GI228" s="816"/>
      <c r="GJ228" s="816"/>
      <c r="GK228" s="609"/>
      <c r="GL228" s="609"/>
      <c r="GM228" s="816"/>
      <c r="GN228" s="816"/>
      <c r="GO228" s="816"/>
      <c r="GP228" s="816"/>
      <c r="GQ228" s="816"/>
      <c r="GR228" s="816"/>
      <c r="GS228" s="609"/>
      <c r="GT228" s="609"/>
      <c r="GU228" s="816"/>
      <c r="GV228" s="816"/>
      <c r="GW228" s="609"/>
      <c r="GX228" s="609"/>
      <c r="GY228" s="816"/>
      <c r="GZ228" s="816"/>
      <c r="HA228" s="609"/>
      <c r="HB228" s="609"/>
      <c r="HC228" s="816"/>
      <c r="HD228" s="816"/>
      <c r="HE228" s="816"/>
      <c r="HF228" s="816"/>
      <c r="HG228" s="816"/>
      <c r="HH228" s="816"/>
      <c r="HI228" s="821"/>
      <c r="HJ228" s="609"/>
      <c r="HK228" s="816"/>
      <c r="HL228" s="816"/>
      <c r="HM228" s="822"/>
      <c r="HN228" s="609"/>
      <c r="HO228" s="816"/>
      <c r="HP228" s="816"/>
      <c r="HQ228" s="609"/>
      <c r="HR228" s="816"/>
      <c r="HS228" s="816"/>
      <c r="HT228" s="816"/>
      <c r="HU228" s="816"/>
      <c r="HV228" s="816"/>
      <c r="HW228" s="816"/>
      <c r="HX228" s="816"/>
      <c r="HY228" s="816"/>
      <c r="HZ228" s="816"/>
      <c r="IA228" s="816"/>
      <c r="IB228" s="816"/>
      <c r="IC228" s="823"/>
      <c r="ID228" s="824"/>
      <c r="IE228" s="825"/>
      <c r="IF228" s="825"/>
      <c r="IG228" s="816"/>
      <c r="II228" s="834"/>
      <c r="IJ228" s="834"/>
      <c r="IK228" s="826"/>
      <c r="IL228" s="834"/>
    </row>
    <row r="229" spans="2:246" s="780" customFormat="1">
      <c r="B229" s="609"/>
      <c r="C229" s="609"/>
      <c r="D229" s="609"/>
      <c r="E229" s="609"/>
      <c r="F229" s="609"/>
      <c r="G229" s="609"/>
      <c r="H229" s="609"/>
      <c r="I229" s="609"/>
      <c r="J229" s="609"/>
      <c r="K229" s="609"/>
      <c r="L229" s="609"/>
      <c r="M229" s="609"/>
      <c r="N229" s="609"/>
      <c r="O229" s="609"/>
      <c r="P229" s="609"/>
      <c r="Q229" s="609"/>
      <c r="R229" s="609"/>
      <c r="S229" s="609"/>
      <c r="T229" s="609"/>
      <c r="U229" s="609"/>
      <c r="V229" s="609"/>
      <c r="W229" s="609"/>
      <c r="X229" s="609"/>
      <c r="Y229" s="609"/>
      <c r="Z229" s="816"/>
      <c r="AA229" s="816"/>
      <c r="AB229" s="816"/>
      <c r="AC229" s="816"/>
      <c r="AD229" s="816"/>
      <c r="AE229" s="816"/>
      <c r="AF229" s="609"/>
      <c r="AG229" s="609"/>
      <c r="AH229" s="816"/>
      <c r="AI229" s="816"/>
      <c r="AJ229" s="609"/>
      <c r="AK229" s="609"/>
      <c r="AL229" s="816"/>
      <c r="AM229" s="816"/>
      <c r="AN229" s="816"/>
      <c r="AO229" s="816"/>
      <c r="AP229" s="816"/>
      <c r="AQ229" s="816"/>
      <c r="AR229" s="609"/>
      <c r="AS229" s="609"/>
      <c r="AT229" s="816"/>
      <c r="AU229" s="816"/>
      <c r="AV229" s="817"/>
      <c r="AW229" s="609"/>
      <c r="AX229" s="609"/>
      <c r="AY229" s="816"/>
      <c r="AZ229" s="816"/>
      <c r="BA229" s="816"/>
      <c r="BB229" s="816"/>
      <c r="BC229" s="816"/>
      <c r="BD229" s="816"/>
      <c r="BE229" s="816"/>
      <c r="BF229" s="816"/>
      <c r="BG229" s="816"/>
      <c r="BH229" s="816"/>
      <c r="BI229" s="816"/>
      <c r="BJ229" s="816"/>
      <c r="BK229" s="816"/>
      <c r="BL229" s="816"/>
      <c r="BM229" s="816"/>
      <c r="BN229" s="816"/>
      <c r="BO229" s="816"/>
      <c r="BP229" s="816"/>
      <c r="BQ229" s="816"/>
      <c r="BR229" s="816"/>
      <c r="BS229" s="816"/>
      <c r="BT229" s="609"/>
      <c r="BU229" s="609"/>
      <c r="BV229" s="609"/>
      <c r="BW229" s="818"/>
      <c r="BX229" s="816"/>
      <c r="BY229" s="816"/>
      <c r="BZ229" s="816"/>
      <c r="CA229" s="816"/>
      <c r="CB229" s="816"/>
      <c r="CC229" s="816"/>
      <c r="CD229" s="816"/>
      <c r="CE229" s="816"/>
      <c r="CF229" s="820"/>
      <c r="CG229" s="820"/>
      <c r="CH229" s="820"/>
      <c r="CI229" s="820"/>
      <c r="CJ229" s="609"/>
      <c r="CK229" s="609"/>
      <c r="CL229" s="816"/>
      <c r="CM229" s="816"/>
      <c r="CN229" s="609"/>
      <c r="CO229" s="609"/>
      <c r="CP229" s="816"/>
      <c r="CQ229" s="816"/>
      <c r="CR229" s="609"/>
      <c r="CS229" s="609"/>
      <c r="CT229" s="816"/>
      <c r="CU229" s="816"/>
      <c r="CV229" s="609"/>
      <c r="CW229" s="609"/>
      <c r="CX229" s="816"/>
      <c r="CY229" s="816"/>
      <c r="CZ229" s="816"/>
      <c r="DA229" s="816"/>
      <c r="DB229" s="816"/>
      <c r="DC229" s="816"/>
      <c r="DD229" s="816"/>
      <c r="DE229" s="816"/>
      <c r="DF229" s="816"/>
      <c r="DG229" s="816"/>
      <c r="DH229" s="816"/>
      <c r="DI229" s="816"/>
      <c r="DJ229" s="816"/>
      <c r="DK229" s="816"/>
      <c r="DL229" s="609"/>
      <c r="DM229" s="609"/>
      <c r="DN229" s="816"/>
      <c r="DO229" s="816"/>
      <c r="DP229" s="816"/>
      <c r="DQ229" s="816"/>
      <c r="DR229" s="816"/>
      <c r="DS229" s="816"/>
      <c r="DT229" s="816"/>
      <c r="DU229" s="816"/>
      <c r="DV229" s="816"/>
      <c r="DW229" s="816"/>
      <c r="DX229" s="816"/>
      <c r="DY229" s="816"/>
      <c r="DZ229" s="816"/>
      <c r="EA229" s="816"/>
      <c r="EB229" s="609"/>
      <c r="EC229" s="609"/>
      <c r="ED229" s="816"/>
      <c r="EE229" s="816"/>
      <c r="EF229" s="816"/>
      <c r="EG229" s="816"/>
      <c r="EH229" s="816"/>
      <c r="EI229" s="816"/>
      <c r="EJ229" s="816"/>
      <c r="EK229" s="816"/>
      <c r="EL229" s="816"/>
      <c r="EM229" s="816"/>
      <c r="EN229" s="816"/>
      <c r="EO229" s="816"/>
      <c r="EP229" s="816"/>
      <c r="EQ229" s="816"/>
      <c r="ER229" s="816"/>
      <c r="ES229" s="816"/>
      <c r="ET229" s="816"/>
      <c r="EU229" s="816"/>
      <c r="EV229" s="816"/>
      <c r="EW229" s="816"/>
      <c r="EX229" s="816"/>
      <c r="EY229" s="816"/>
      <c r="EZ229" s="816"/>
      <c r="FA229" s="816"/>
      <c r="FB229" s="819"/>
      <c r="FC229" s="816"/>
      <c r="FD229" s="820"/>
      <c r="FE229" s="820"/>
      <c r="FF229" s="820"/>
      <c r="FG229" s="820"/>
      <c r="FH229" s="609"/>
      <c r="FI229" s="609"/>
      <c r="FJ229" s="816"/>
      <c r="FK229" s="816"/>
      <c r="FL229" s="816"/>
      <c r="FM229" s="816"/>
      <c r="FN229" s="816"/>
      <c r="FO229" s="816"/>
      <c r="FP229" s="816"/>
      <c r="FQ229" s="816"/>
      <c r="FR229" s="816"/>
      <c r="FS229" s="816"/>
      <c r="FT229" s="816"/>
      <c r="FU229" s="816"/>
      <c r="FV229" s="816"/>
      <c r="FW229" s="816"/>
      <c r="FX229" s="609"/>
      <c r="FY229" s="609"/>
      <c r="FZ229" s="816"/>
      <c r="GA229" s="816"/>
      <c r="GB229" s="609"/>
      <c r="GC229" s="609"/>
      <c r="GD229" s="609"/>
      <c r="GE229" s="816"/>
      <c r="GF229" s="816"/>
      <c r="GG229" s="609"/>
      <c r="GH229" s="609"/>
      <c r="GI229" s="816"/>
      <c r="GJ229" s="816"/>
      <c r="GK229" s="609"/>
      <c r="GL229" s="609"/>
      <c r="GM229" s="816"/>
      <c r="GN229" s="816"/>
      <c r="GO229" s="816"/>
      <c r="GP229" s="816"/>
      <c r="GQ229" s="816"/>
      <c r="GR229" s="816"/>
      <c r="GS229" s="609"/>
      <c r="GT229" s="609"/>
      <c r="GU229" s="816"/>
      <c r="GV229" s="816"/>
      <c r="GW229" s="609"/>
      <c r="GX229" s="609"/>
      <c r="GY229" s="816"/>
      <c r="GZ229" s="816"/>
      <c r="HA229" s="609"/>
      <c r="HB229" s="609"/>
      <c r="HC229" s="816"/>
      <c r="HD229" s="816"/>
      <c r="HE229" s="816"/>
      <c r="HF229" s="816"/>
      <c r="HG229" s="816"/>
      <c r="HH229" s="816"/>
      <c r="HI229" s="821"/>
      <c r="HJ229" s="609"/>
      <c r="HK229" s="816"/>
      <c r="HL229" s="816"/>
      <c r="HM229" s="822"/>
      <c r="HN229" s="609"/>
      <c r="HO229" s="816"/>
      <c r="HP229" s="816"/>
      <c r="HQ229" s="609"/>
      <c r="HR229" s="816"/>
      <c r="HS229" s="816"/>
      <c r="HT229" s="816"/>
      <c r="HU229" s="816"/>
      <c r="HV229" s="816"/>
      <c r="HW229" s="816"/>
      <c r="HX229" s="816"/>
      <c r="HY229" s="816"/>
      <c r="HZ229" s="816"/>
      <c r="IA229" s="816"/>
      <c r="IB229" s="816"/>
      <c r="IC229" s="823"/>
      <c r="ID229" s="824"/>
      <c r="IE229" s="825"/>
      <c r="IF229" s="825"/>
      <c r="IG229" s="816"/>
      <c r="II229" s="834"/>
      <c r="IJ229" s="834"/>
      <c r="IK229" s="826"/>
      <c r="IL229" s="834"/>
    </row>
    <row r="230" spans="2:246" s="780" customFormat="1">
      <c r="B230" s="609"/>
      <c r="C230" s="609"/>
      <c r="D230" s="609"/>
      <c r="E230" s="609"/>
      <c r="F230" s="609"/>
      <c r="G230" s="609"/>
      <c r="H230" s="609"/>
      <c r="I230" s="609"/>
      <c r="J230" s="609"/>
      <c r="K230" s="609"/>
      <c r="L230" s="609"/>
      <c r="M230" s="609"/>
      <c r="N230" s="609"/>
      <c r="O230" s="609"/>
      <c r="P230" s="609"/>
      <c r="Q230" s="609"/>
      <c r="R230" s="609"/>
      <c r="S230" s="609"/>
      <c r="T230" s="609"/>
      <c r="U230" s="609"/>
      <c r="V230" s="609"/>
      <c r="W230" s="609"/>
      <c r="X230" s="609"/>
      <c r="Y230" s="609"/>
      <c r="Z230" s="816"/>
      <c r="AA230" s="816"/>
      <c r="AB230" s="816"/>
      <c r="AC230" s="816"/>
      <c r="AD230" s="816"/>
      <c r="AE230" s="816"/>
      <c r="AF230" s="609"/>
      <c r="AG230" s="609"/>
      <c r="AH230" s="816"/>
      <c r="AI230" s="816"/>
      <c r="AJ230" s="609"/>
      <c r="AK230" s="609"/>
      <c r="AL230" s="816"/>
      <c r="AM230" s="816"/>
      <c r="AN230" s="816"/>
      <c r="AO230" s="816"/>
      <c r="AP230" s="816"/>
      <c r="AQ230" s="816"/>
      <c r="AR230" s="609"/>
      <c r="AS230" s="609"/>
      <c r="AT230" s="816"/>
      <c r="AU230" s="816"/>
      <c r="AV230" s="817"/>
      <c r="AW230" s="609"/>
      <c r="AX230" s="609"/>
      <c r="AY230" s="816"/>
      <c r="AZ230" s="816"/>
      <c r="BA230" s="816"/>
      <c r="BB230" s="816"/>
      <c r="BC230" s="816"/>
      <c r="BD230" s="816"/>
      <c r="BE230" s="816"/>
      <c r="BF230" s="816"/>
      <c r="BG230" s="816"/>
      <c r="BH230" s="816"/>
      <c r="BI230" s="816"/>
      <c r="BJ230" s="816"/>
      <c r="BK230" s="816"/>
      <c r="BL230" s="816"/>
      <c r="BM230" s="816"/>
      <c r="BN230" s="816"/>
      <c r="BO230" s="816"/>
      <c r="BP230" s="816"/>
      <c r="BQ230" s="816"/>
      <c r="BR230" s="816"/>
      <c r="BS230" s="816"/>
      <c r="BT230" s="609"/>
      <c r="BU230" s="609"/>
      <c r="BV230" s="609"/>
      <c r="BW230" s="818"/>
      <c r="BX230" s="816"/>
      <c r="BY230" s="816"/>
      <c r="BZ230" s="816"/>
      <c r="CA230" s="816"/>
      <c r="CB230" s="816"/>
      <c r="CC230" s="816"/>
      <c r="CD230" s="816"/>
      <c r="CE230" s="816"/>
      <c r="CF230" s="820"/>
      <c r="CG230" s="820"/>
      <c r="CH230" s="820"/>
      <c r="CI230" s="820"/>
      <c r="CJ230" s="609"/>
      <c r="CK230" s="609"/>
      <c r="CL230" s="816"/>
      <c r="CM230" s="816"/>
      <c r="CN230" s="609"/>
      <c r="CO230" s="609"/>
      <c r="CP230" s="816"/>
      <c r="CQ230" s="816"/>
      <c r="CR230" s="609"/>
      <c r="CS230" s="609"/>
      <c r="CT230" s="816"/>
      <c r="CU230" s="816"/>
      <c r="CV230" s="609"/>
      <c r="CW230" s="609"/>
      <c r="CX230" s="816"/>
      <c r="CY230" s="816"/>
      <c r="CZ230" s="816"/>
      <c r="DA230" s="816"/>
      <c r="DB230" s="816"/>
      <c r="DC230" s="816"/>
      <c r="DD230" s="816"/>
      <c r="DE230" s="816"/>
      <c r="DF230" s="816"/>
      <c r="DG230" s="816"/>
      <c r="DH230" s="816"/>
      <c r="DI230" s="816"/>
      <c r="DJ230" s="816"/>
      <c r="DK230" s="816"/>
      <c r="DL230" s="609"/>
      <c r="DM230" s="609"/>
      <c r="DN230" s="816"/>
      <c r="DO230" s="816"/>
      <c r="DP230" s="816"/>
      <c r="DQ230" s="816"/>
      <c r="DR230" s="816"/>
      <c r="DS230" s="816"/>
      <c r="DT230" s="816"/>
      <c r="DU230" s="816"/>
      <c r="DV230" s="816"/>
      <c r="DW230" s="816"/>
      <c r="DX230" s="816"/>
      <c r="DY230" s="816"/>
      <c r="DZ230" s="816"/>
      <c r="EA230" s="816"/>
      <c r="EB230" s="609"/>
      <c r="EC230" s="609"/>
      <c r="ED230" s="816"/>
      <c r="EE230" s="816"/>
      <c r="EF230" s="816"/>
      <c r="EG230" s="816"/>
      <c r="EH230" s="816"/>
      <c r="EI230" s="816"/>
      <c r="EJ230" s="816"/>
      <c r="EK230" s="816"/>
      <c r="EL230" s="816"/>
      <c r="EM230" s="816"/>
      <c r="EN230" s="816"/>
      <c r="EO230" s="816"/>
      <c r="EP230" s="816"/>
      <c r="EQ230" s="816"/>
      <c r="ER230" s="816"/>
      <c r="ES230" s="816"/>
      <c r="ET230" s="816"/>
      <c r="EU230" s="816"/>
      <c r="EV230" s="816"/>
      <c r="EW230" s="816"/>
      <c r="EX230" s="816"/>
      <c r="EY230" s="816"/>
      <c r="EZ230" s="816"/>
      <c r="FA230" s="816"/>
      <c r="FB230" s="819"/>
      <c r="FC230" s="816"/>
      <c r="FD230" s="820"/>
      <c r="FE230" s="820"/>
      <c r="FF230" s="820"/>
      <c r="FG230" s="820"/>
      <c r="FH230" s="609"/>
      <c r="FI230" s="609"/>
      <c r="FJ230" s="816"/>
      <c r="FK230" s="816"/>
      <c r="FL230" s="816"/>
      <c r="FM230" s="816"/>
      <c r="FN230" s="816"/>
      <c r="FO230" s="816"/>
      <c r="FP230" s="816"/>
      <c r="FQ230" s="816"/>
      <c r="FR230" s="816"/>
      <c r="FS230" s="816"/>
      <c r="FT230" s="816"/>
      <c r="FU230" s="816"/>
      <c r="FV230" s="816"/>
      <c r="FW230" s="816"/>
      <c r="FX230" s="609"/>
      <c r="FY230" s="609"/>
      <c r="FZ230" s="816"/>
      <c r="GA230" s="816"/>
      <c r="GB230" s="609"/>
      <c r="GC230" s="609"/>
      <c r="GD230" s="609"/>
      <c r="GE230" s="816"/>
      <c r="GF230" s="816"/>
      <c r="GG230" s="609"/>
      <c r="GH230" s="609"/>
      <c r="GI230" s="816"/>
      <c r="GJ230" s="816"/>
      <c r="GK230" s="609"/>
      <c r="GL230" s="609"/>
      <c r="GM230" s="816"/>
      <c r="GN230" s="816"/>
      <c r="GO230" s="816"/>
      <c r="GP230" s="816"/>
      <c r="GQ230" s="816"/>
      <c r="GR230" s="816"/>
      <c r="GS230" s="609"/>
      <c r="GT230" s="609"/>
      <c r="GU230" s="816"/>
      <c r="GV230" s="816"/>
      <c r="GW230" s="609"/>
      <c r="GX230" s="609"/>
      <c r="GY230" s="816"/>
      <c r="GZ230" s="816"/>
      <c r="HA230" s="609"/>
      <c r="HB230" s="609"/>
      <c r="HC230" s="816"/>
      <c r="HD230" s="816"/>
      <c r="HE230" s="816"/>
      <c r="HF230" s="816"/>
      <c r="HG230" s="816"/>
      <c r="HH230" s="816"/>
      <c r="HI230" s="821"/>
      <c r="HJ230" s="609"/>
      <c r="HK230" s="816"/>
      <c r="HL230" s="816"/>
      <c r="HM230" s="822"/>
      <c r="HN230" s="609"/>
      <c r="HO230" s="816"/>
      <c r="HP230" s="816"/>
      <c r="HQ230" s="609"/>
      <c r="HR230" s="816"/>
      <c r="HS230" s="816"/>
      <c r="HT230" s="816"/>
      <c r="HU230" s="816"/>
      <c r="HV230" s="816"/>
      <c r="HW230" s="816"/>
      <c r="HX230" s="816"/>
      <c r="HY230" s="816"/>
      <c r="HZ230" s="816"/>
      <c r="IA230" s="816"/>
      <c r="IB230" s="816"/>
      <c r="IC230" s="823"/>
      <c r="ID230" s="824"/>
      <c r="IE230" s="825"/>
      <c r="IF230" s="825"/>
      <c r="IG230" s="816"/>
      <c r="II230" s="834"/>
      <c r="IJ230" s="834"/>
      <c r="IK230" s="826"/>
      <c r="IL230" s="834"/>
    </row>
    <row r="231" spans="2:246" s="780" customFormat="1">
      <c r="B231" s="609"/>
      <c r="C231" s="609"/>
      <c r="D231" s="609"/>
      <c r="E231" s="609"/>
      <c r="F231" s="609"/>
      <c r="G231" s="609"/>
      <c r="H231" s="609"/>
      <c r="I231" s="609"/>
      <c r="J231" s="609"/>
      <c r="K231" s="609"/>
      <c r="L231" s="609"/>
      <c r="M231" s="609"/>
      <c r="N231" s="609"/>
      <c r="O231" s="609"/>
      <c r="P231" s="609"/>
      <c r="Q231" s="609"/>
      <c r="R231" s="609"/>
      <c r="S231" s="609"/>
      <c r="T231" s="609"/>
      <c r="U231" s="609"/>
      <c r="V231" s="609"/>
      <c r="W231" s="609"/>
      <c r="X231" s="609"/>
      <c r="Y231" s="609"/>
      <c r="Z231" s="816"/>
      <c r="AA231" s="816"/>
      <c r="AB231" s="816"/>
      <c r="AC231" s="816"/>
      <c r="AD231" s="816"/>
      <c r="AE231" s="816"/>
      <c r="AF231" s="609"/>
      <c r="AG231" s="609"/>
      <c r="AH231" s="816"/>
      <c r="AI231" s="816"/>
      <c r="AJ231" s="609"/>
      <c r="AK231" s="609"/>
      <c r="AL231" s="816"/>
      <c r="AM231" s="816"/>
      <c r="AN231" s="816"/>
      <c r="AO231" s="816"/>
      <c r="AP231" s="816"/>
      <c r="AQ231" s="816"/>
      <c r="AR231" s="609"/>
      <c r="AS231" s="609"/>
      <c r="AT231" s="816"/>
      <c r="AU231" s="816"/>
      <c r="AV231" s="817"/>
      <c r="AW231" s="609"/>
      <c r="AX231" s="609"/>
      <c r="AY231" s="816"/>
      <c r="AZ231" s="816"/>
      <c r="BA231" s="816"/>
      <c r="BB231" s="816"/>
      <c r="BC231" s="816"/>
      <c r="BD231" s="816"/>
      <c r="BE231" s="816"/>
      <c r="BF231" s="816"/>
      <c r="BG231" s="816"/>
      <c r="BH231" s="816"/>
      <c r="BI231" s="816"/>
      <c r="BJ231" s="816"/>
      <c r="BK231" s="816"/>
      <c r="BL231" s="816"/>
      <c r="BM231" s="816"/>
      <c r="BN231" s="816"/>
      <c r="BO231" s="816"/>
      <c r="BP231" s="816"/>
      <c r="BQ231" s="816"/>
      <c r="BR231" s="816"/>
      <c r="BS231" s="816"/>
      <c r="BT231" s="609"/>
      <c r="BU231" s="609"/>
      <c r="BV231" s="609"/>
      <c r="BW231" s="818"/>
      <c r="BX231" s="816"/>
      <c r="BY231" s="816"/>
      <c r="BZ231" s="816"/>
      <c r="CA231" s="816"/>
      <c r="CB231" s="816"/>
      <c r="CC231" s="816"/>
      <c r="CD231" s="816"/>
      <c r="CE231" s="816"/>
      <c r="CF231" s="820"/>
      <c r="CG231" s="820"/>
      <c r="CH231" s="820"/>
      <c r="CI231" s="820"/>
      <c r="CJ231" s="609"/>
      <c r="CK231" s="609"/>
      <c r="CL231" s="816"/>
      <c r="CM231" s="816"/>
      <c r="CN231" s="609"/>
      <c r="CO231" s="609"/>
      <c r="CP231" s="816"/>
      <c r="CQ231" s="816"/>
      <c r="CR231" s="609"/>
      <c r="CS231" s="609"/>
      <c r="CT231" s="816"/>
      <c r="CU231" s="816"/>
      <c r="CV231" s="609"/>
      <c r="CW231" s="609"/>
      <c r="CX231" s="816"/>
      <c r="CY231" s="816"/>
      <c r="CZ231" s="816"/>
      <c r="DA231" s="816"/>
      <c r="DB231" s="816"/>
      <c r="DC231" s="816"/>
      <c r="DD231" s="816"/>
      <c r="DE231" s="816"/>
      <c r="DF231" s="816"/>
      <c r="DG231" s="816"/>
      <c r="DH231" s="816"/>
      <c r="DI231" s="816"/>
      <c r="DJ231" s="816"/>
      <c r="DK231" s="816"/>
      <c r="DL231" s="609"/>
      <c r="DM231" s="609"/>
      <c r="DN231" s="816"/>
      <c r="DO231" s="816"/>
      <c r="DP231" s="816"/>
      <c r="DQ231" s="816"/>
      <c r="DR231" s="816"/>
      <c r="DS231" s="816"/>
      <c r="DT231" s="816"/>
      <c r="DU231" s="816"/>
      <c r="DV231" s="816"/>
      <c r="DW231" s="816"/>
      <c r="DX231" s="816"/>
      <c r="DY231" s="816"/>
      <c r="DZ231" s="816"/>
      <c r="EA231" s="816"/>
      <c r="EB231" s="609"/>
      <c r="EC231" s="609"/>
      <c r="ED231" s="816"/>
      <c r="EE231" s="816"/>
      <c r="EF231" s="816"/>
      <c r="EG231" s="816"/>
      <c r="EH231" s="816"/>
      <c r="EI231" s="816"/>
      <c r="EJ231" s="816"/>
      <c r="EK231" s="816"/>
      <c r="EL231" s="816"/>
      <c r="EM231" s="816"/>
      <c r="EN231" s="816"/>
      <c r="EO231" s="816"/>
      <c r="EP231" s="816"/>
      <c r="EQ231" s="816"/>
      <c r="ER231" s="816"/>
      <c r="ES231" s="816"/>
      <c r="ET231" s="816"/>
      <c r="EU231" s="816"/>
      <c r="EV231" s="816"/>
      <c r="EW231" s="816"/>
      <c r="EX231" s="816"/>
      <c r="EY231" s="816"/>
      <c r="EZ231" s="816"/>
      <c r="FA231" s="816"/>
      <c r="FB231" s="819"/>
      <c r="FC231" s="816"/>
      <c r="FD231" s="820"/>
      <c r="FE231" s="820"/>
      <c r="FF231" s="820"/>
      <c r="FG231" s="820"/>
      <c r="FH231" s="609"/>
      <c r="FI231" s="609"/>
      <c r="FJ231" s="816"/>
      <c r="FK231" s="816"/>
      <c r="FL231" s="816"/>
      <c r="FM231" s="816"/>
      <c r="FN231" s="816"/>
      <c r="FO231" s="816"/>
      <c r="FP231" s="816"/>
      <c r="FQ231" s="816"/>
      <c r="FR231" s="816"/>
      <c r="FS231" s="816"/>
      <c r="FT231" s="816"/>
      <c r="FU231" s="816"/>
      <c r="FV231" s="816"/>
      <c r="FW231" s="816"/>
      <c r="FX231" s="609"/>
      <c r="FY231" s="609"/>
      <c r="FZ231" s="816"/>
      <c r="GA231" s="816"/>
      <c r="GB231" s="609"/>
      <c r="GC231" s="609"/>
      <c r="GD231" s="609"/>
      <c r="GE231" s="816"/>
      <c r="GF231" s="816"/>
      <c r="GG231" s="609"/>
      <c r="GH231" s="609"/>
      <c r="GI231" s="816"/>
      <c r="GJ231" s="816"/>
      <c r="GK231" s="609"/>
      <c r="GL231" s="609"/>
      <c r="GM231" s="816"/>
      <c r="GN231" s="816"/>
      <c r="GO231" s="816"/>
      <c r="GP231" s="816"/>
      <c r="GQ231" s="816"/>
      <c r="GR231" s="816"/>
      <c r="GS231" s="609"/>
      <c r="GT231" s="609"/>
      <c r="GU231" s="816"/>
      <c r="GV231" s="816"/>
      <c r="GW231" s="609"/>
      <c r="GX231" s="609"/>
      <c r="GY231" s="816"/>
      <c r="GZ231" s="816"/>
      <c r="HA231" s="609"/>
      <c r="HB231" s="609"/>
      <c r="HC231" s="816"/>
      <c r="HD231" s="816"/>
      <c r="HE231" s="816"/>
      <c r="HF231" s="816"/>
      <c r="HG231" s="816"/>
      <c r="HH231" s="816"/>
      <c r="HI231" s="821"/>
      <c r="HJ231" s="609"/>
      <c r="HK231" s="816"/>
      <c r="HL231" s="816"/>
      <c r="HM231" s="822"/>
      <c r="HN231" s="609"/>
      <c r="HO231" s="816"/>
      <c r="HP231" s="816"/>
      <c r="HQ231" s="609"/>
      <c r="HR231" s="816"/>
      <c r="HS231" s="816"/>
      <c r="HT231" s="816"/>
      <c r="HU231" s="816"/>
      <c r="HV231" s="816"/>
      <c r="HW231" s="816"/>
      <c r="HX231" s="816"/>
      <c r="HY231" s="816"/>
      <c r="HZ231" s="816"/>
      <c r="IA231" s="816"/>
      <c r="IB231" s="816"/>
      <c r="IC231" s="823"/>
      <c r="ID231" s="824"/>
      <c r="IE231" s="825"/>
      <c r="IF231" s="825"/>
      <c r="IG231" s="816"/>
      <c r="II231" s="834"/>
      <c r="IJ231" s="834"/>
      <c r="IK231" s="826"/>
      <c r="IL231" s="834"/>
    </row>
    <row r="232" spans="2:246" s="780" customFormat="1">
      <c r="B232" s="609"/>
      <c r="C232" s="609"/>
      <c r="D232" s="609"/>
      <c r="E232" s="609"/>
      <c r="F232" s="609"/>
      <c r="G232" s="609"/>
      <c r="H232" s="609"/>
      <c r="I232" s="609"/>
      <c r="J232" s="609"/>
      <c r="K232" s="609"/>
      <c r="L232" s="609"/>
      <c r="M232" s="609"/>
      <c r="N232" s="609"/>
      <c r="O232" s="609"/>
      <c r="P232" s="609"/>
      <c r="Q232" s="609"/>
      <c r="R232" s="609"/>
      <c r="S232" s="609"/>
      <c r="T232" s="609"/>
      <c r="U232" s="609"/>
      <c r="V232" s="609"/>
      <c r="W232" s="609"/>
      <c r="X232" s="609"/>
      <c r="Y232" s="609"/>
      <c r="Z232" s="816"/>
      <c r="AA232" s="816"/>
      <c r="AB232" s="816"/>
      <c r="AC232" s="816"/>
      <c r="AD232" s="816"/>
      <c r="AE232" s="816"/>
      <c r="AF232" s="609"/>
      <c r="AG232" s="609"/>
      <c r="AH232" s="816"/>
      <c r="AI232" s="816"/>
      <c r="AJ232" s="609"/>
      <c r="AK232" s="609"/>
      <c r="AL232" s="816"/>
      <c r="AM232" s="816"/>
      <c r="AN232" s="816"/>
      <c r="AO232" s="816"/>
      <c r="AP232" s="816"/>
      <c r="AQ232" s="816"/>
      <c r="AR232" s="609"/>
      <c r="AS232" s="609"/>
      <c r="AT232" s="816"/>
      <c r="AU232" s="816"/>
      <c r="AV232" s="817"/>
      <c r="AW232" s="609"/>
      <c r="AX232" s="609"/>
      <c r="AY232" s="816"/>
      <c r="AZ232" s="816"/>
      <c r="BA232" s="816"/>
      <c r="BB232" s="816"/>
      <c r="BC232" s="816"/>
      <c r="BD232" s="816"/>
      <c r="BE232" s="816"/>
      <c r="BF232" s="816"/>
      <c r="BG232" s="816"/>
      <c r="BH232" s="816"/>
      <c r="BI232" s="816"/>
      <c r="BJ232" s="816"/>
      <c r="BK232" s="816"/>
      <c r="BL232" s="816"/>
      <c r="BM232" s="816"/>
      <c r="BN232" s="816"/>
      <c r="BO232" s="816"/>
      <c r="BP232" s="816"/>
      <c r="BQ232" s="816"/>
      <c r="BR232" s="816"/>
      <c r="BS232" s="816"/>
      <c r="BT232" s="609"/>
      <c r="BU232" s="609"/>
      <c r="BV232" s="609"/>
      <c r="BW232" s="818"/>
      <c r="BX232" s="816"/>
      <c r="BY232" s="816"/>
      <c r="BZ232" s="816"/>
      <c r="CA232" s="816"/>
      <c r="CB232" s="816"/>
      <c r="CC232" s="816"/>
      <c r="CD232" s="816"/>
      <c r="CE232" s="816"/>
      <c r="CF232" s="820"/>
      <c r="CG232" s="820"/>
      <c r="CH232" s="820"/>
      <c r="CI232" s="820"/>
      <c r="CJ232" s="609"/>
      <c r="CK232" s="609"/>
      <c r="CL232" s="816"/>
      <c r="CM232" s="816"/>
      <c r="CN232" s="609"/>
      <c r="CO232" s="609"/>
      <c r="CP232" s="816"/>
      <c r="CQ232" s="816"/>
      <c r="CR232" s="609"/>
      <c r="CS232" s="609"/>
      <c r="CT232" s="816"/>
      <c r="CU232" s="816"/>
      <c r="CV232" s="609"/>
      <c r="CW232" s="609"/>
      <c r="CX232" s="816"/>
      <c r="CY232" s="816"/>
      <c r="CZ232" s="816"/>
      <c r="DA232" s="816"/>
      <c r="DB232" s="816"/>
      <c r="DC232" s="816"/>
      <c r="DD232" s="816"/>
      <c r="DE232" s="816"/>
      <c r="DF232" s="816"/>
      <c r="DG232" s="816"/>
      <c r="DH232" s="816"/>
      <c r="DI232" s="816"/>
      <c r="DJ232" s="816"/>
      <c r="DK232" s="816"/>
      <c r="DL232" s="609"/>
      <c r="DM232" s="609"/>
      <c r="DN232" s="816"/>
      <c r="DO232" s="816"/>
      <c r="DP232" s="816"/>
      <c r="DQ232" s="816"/>
      <c r="DR232" s="816"/>
      <c r="DS232" s="816"/>
      <c r="DT232" s="816"/>
      <c r="DU232" s="816"/>
      <c r="DV232" s="816"/>
      <c r="DW232" s="816"/>
      <c r="DX232" s="816"/>
      <c r="DY232" s="816"/>
      <c r="DZ232" s="816"/>
      <c r="EA232" s="816"/>
      <c r="EB232" s="609"/>
      <c r="EC232" s="609"/>
      <c r="ED232" s="816"/>
      <c r="EE232" s="816"/>
      <c r="EF232" s="816"/>
      <c r="EG232" s="816"/>
      <c r="EH232" s="816"/>
      <c r="EI232" s="816"/>
      <c r="EJ232" s="816"/>
      <c r="EK232" s="816"/>
      <c r="EL232" s="816"/>
      <c r="EM232" s="816"/>
      <c r="EN232" s="816"/>
      <c r="EO232" s="816"/>
      <c r="EP232" s="816"/>
      <c r="EQ232" s="816"/>
      <c r="ER232" s="816"/>
      <c r="ES232" s="816"/>
      <c r="ET232" s="816"/>
      <c r="EU232" s="816"/>
      <c r="EV232" s="816"/>
      <c r="EW232" s="816"/>
      <c r="EX232" s="816"/>
      <c r="EY232" s="816"/>
      <c r="EZ232" s="816"/>
      <c r="FA232" s="816"/>
      <c r="FB232" s="819"/>
      <c r="FC232" s="816"/>
      <c r="FD232" s="820"/>
      <c r="FE232" s="820"/>
      <c r="FF232" s="820"/>
      <c r="FG232" s="820"/>
      <c r="FH232" s="609"/>
      <c r="FI232" s="609"/>
      <c r="FJ232" s="816"/>
      <c r="FK232" s="816"/>
      <c r="FL232" s="816"/>
      <c r="FM232" s="816"/>
      <c r="FN232" s="816"/>
      <c r="FO232" s="816"/>
      <c r="FP232" s="816"/>
      <c r="FQ232" s="816"/>
      <c r="FR232" s="816"/>
      <c r="FS232" s="816"/>
      <c r="FT232" s="816"/>
      <c r="FU232" s="816"/>
      <c r="FV232" s="816"/>
      <c r="FW232" s="816"/>
      <c r="FX232" s="609"/>
      <c r="FY232" s="609"/>
      <c r="FZ232" s="816"/>
      <c r="GA232" s="816"/>
      <c r="GB232" s="609"/>
      <c r="GC232" s="609"/>
      <c r="GD232" s="609"/>
      <c r="GE232" s="816"/>
      <c r="GF232" s="816"/>
      <c r="GG232" s="609"/>
      <c r="GH232" s="609"/>
      <c r="GI232" s="816"/>
      <c r="GJ232" s="816"/>
      <c r="GK232" s="609"/>
      <c r="GL232" s="609"/>
      <c r="GM232" s="816"/>
      <c r="GN232" s="816"/>
      <c r="GO232" s="816"/>
      <c r="GP232" s="816"/>
      <c r="GQ232" s="816"/>
      <c r="GR232" s="816"/>
      <c r="GS232" s="609"/>
      <c r="GT232" s="609"/>
      <c r="GU232" s="816"/>
      <c r="GV232" s="816"/>
      <c r="GW232" s="609"/>
      <c r="GX232" s="609"/>
      <c r="GY232" s="816"/>
      <c r="GZ232" s="816"/>
      <c r="HA232" s="609"/>
      <c r="HB232" s="609"/>
      <c r="HC232" s="816"/>
      <c r="HD232" s="816"/>
      <c r="HE232" s="816"/>
      <c r="HF232" s="816"/>
      <c r="HG232" s="816"/>
      <c r="HH232" s="816"/>
      <c r="HI232" s="821"/>
      <c r="HJ232" s="609"/>
      <c r="HK232" s="816"/>
      <c r="HL232" s="816"/>
      <c r="HM232" s="822"/>
      <c r="HN232" s="609"/>
      <c r="HO232" s="816"/>
      <c r="HP232" s="816"/>
      <c r="HQ232" s="609"/>
      <c r="HR232" s="816"/>
      <c r="HS232" s="816"/>
      <c r="HT232" s="816"/>
      <c r="HU232" s="816"/>
      <c r="HV232" s="816"/>
      <c r="HW232" s="816"/>
      <c r="HX232" s="816"/>
      <c r="HY232" s="816"/>
      <c r="HZ232" s="816"/>
      <c r="IA232" s="816"/>
      <c r="IB232" s="816"/>
      <c r="IC232" s="823"/>
      <c r="ID232" s="824"/>
      <c r="IE232" s="825"/>
      <c r="IF232" s="825"/>
      <c r="IG232" s="816"/>
      <c r="II232" s="834"/>
      <c r="IJ232" s="834"/>
      <c r="IK232" s="826"/>
      <c r="IL232" s="834"/>
    </row>
    <row r="233" spans="2:246" s="780" customFormat="1">
      <c r="B233" s="609"/>
      <c r="C233" s="609"/>
      <c r="D233" s="609"/>
      <c r="E233" s="609"/>
      <c r="F233" s="609"/>
      <c r="G233" s="609"/>
      <c r="H233" s="609"/>
      <c r="I233" s="609"/>
      <c r="J233" s="609"/>
      <c r="K233" s="609"/>
      <c r="L233" s="609"/>
      <c r="M233" s="609"/>
      <c r="N233" s="609"/>
      <c r="O233" s="609"/>
      <c r="P233" s="609"/>
      <c r="Q233" s="609"/>
      <c r="R233" s="609"/>
      <c r="S233" s="609"/>
      <c r="T233" s="609"/>
      <c r="U233" s="609"/>
      <c r="V233" s="609"/>
      <c r="W233" s="609"/>
      <c r="X233" s="609"/>
      <c r="Y233" s="609"/>
      <c r="Z233" s="816"/>
      <c r="AA233" s="816"/>
      <c r="AB233" s="816"/>
      <c r="AC233" s="816"/>
      <c r="AD233" s="816"/>
      <c r="AE233" s="816"/>
      <c r="AF233" s="609"/>
      <c r="AG233" s="609"/>
      <c r="AH233" s="816"/>
      <c r="AI233" s="816"/>
      <c r="AJ233" s="609"/>
      <c r="AK233" s="609"/>
      <c r="AL233" s="816"/>
      <c r="AM233" s="816"/>
      <c r="AN233" s="816"/>
      <c r="AO233" s="816"/>
      <c r="AP233" s="816"/>
      <c r="AQ233" s="816"/>
      <c r="AR233" s="609"/>
      <c r="AS233" s="609"/>
      <c r="AT233" s="816"/>
      <c r="AU233" s="816"/>
      <c r="AV233" s="817"/>
      <c r="AW233" s="609"/>
      <c r="AX233" s="609"/>
      <c r="AY233" s="816"/>
      <c r="AZ233" s="816"/>
      <c r="BA233" s="816"/>
      <c r="BB233" s="816"/>
      <c r="BC233" s="816"/>
      <c r="BD233" s="816"/>
      <c r="BE233" s="816"/>
      <c r="BF233" s="816"/>
      <c r="BG233" s="816"/>
      <c r="BH233" s="816"/>
      <c r="BI233" s="816"/>
      <c r="BJ233" s="816"/>
      <c r="BK233" s="816"/>
      <c r="BL233" s="816"/>
      <c r="BM233" s="816"/>
      <c r="BN233" s="816"/>
      <c r="BO233" s="816"/>
      <c r="BP233" s="816"/>
      <c r="BQ233" s="816"/>
      <c r="BR233" s="816"/>
      <c r="BS233" s="816"/>
      <c r="BT233" s="609"/>
      <c r="BU233" s="609"/>
      <c r="BV233" s="609"/>
      <c r="BW233" s="818"/>
      <c r="BX233" s="816"/>
      <c r="BY233" s="816"/>
      <c r="BZ233" s="816"/>
      <c r="CA233" s="816"/>
      <c r="CB233" s="816"/>
      <c r="CC233" s="816"/>
      <c r="CD233" s="816"/>
      <c r="CE233" s="816"/>
      <c r="CF233" s="820"/>
      <c r="CG233" s="820"/>
      <c r="CH233" s="820"/>
      <c r="CI233" s="820"/>
      <c r="CJ233" s="609"/>
      <c r="CK233" s="609"/>
      <c r="CL233" s="816"/>
      <c r="CM233" s="816"/>
      <c r="CN233" s="609"/>
      <c r="CO233" s="609"/>
      <c r="CP233" s="816"/>
      <c r="CQ233" s="816"/>
      <c r="CR233" s="609"/>
      <c r="CS233" s="609"/>
      <c r="CT233" s="816"/>
      <c r="CU233" s="816"/>
      <c r="CV233" s="609"/>
      <c r="CW233" s="609"/>
      <c r="CX233" s="816"/>
      <c r="CY233" s="816"/>
      <c r="CZ233" s="816"/>
      <c r="DA233" s="816"/>
      <c r="DB233" s="816"/>
      <c r="DC233" s="816"/>
      <c r="DD233" s="816"/>
      <c r="DE233" s="816"/>
      <c r="DF233" s="816"/>
      <c r="DG233" s="816"/>
      <c r="DH233" s="816"/>
      <c r="DI233" s="816"/>
      <c r="DJ233" s="816"/>
      <c r="DK233" s="816"/>
      <c r="DL233" s="609"/>
      <c r="DM233" s="609"/>
      <c r="DN233" s="816"/>
      <c r="DO233" s="816"/>
      <c r="DP233" s="816"/>
      <c r="DQ233" s="816"/>
      <c r="DR233" s="816"/>
      <c r="DS233" s="816"/>
      <c r="DT233" s="816"/>
      <c r="DU233" s="816"/>
      <c r="DV233" s="816"/>
      <c r="DW233" s="816"/>
      <c r="DX233" s="816"/>
      <c r="DY233" s="816"/>
      <c r="DZ233" s="816"/>
      <c r="EA233" s="816"/>
      <c r="EB233" s="609"/>
      <c r="EC233" s="609"/>
      <c r="ED233" s="816"/>
      <c r="EE233" s="816"/>
      <c r="EF233" s="816"/>
      <c r="EG233" s="816"/>
      <c r="EH233" s="816"/>
      <c r="EI233" s="816"/>
      <c r="EJ233" s="816"/>
      <c r="EK233" s="816"/>
      <c r="EL233" s="816"/>
      <c r="EM233" s="816"/>
      <c r="EN233" s="816"/>
      <c r="EO233" s="816"/>
      <c r="EP233" s="816"/>
      <c r="EQ233" s="816"/>
      <c r="ER233" s="816"/>
      <c r="ES233" s="816"/>
      <c r="ET233" s="816"/>
      <c r="EU233" s="816"/>
      <c r="EV233" s="816"/>
      <c r="EW233" s="816"/>
      <c r="EX233" s="816"/>
      <c r="EY233" s="816"/>
      <c r="EZ233" s="816"/>
      <c r="FA233" s="816"/>
      <c r="FB233" s="819"/>
      <c r="FC233" s="816"/>
      <c r="FD233" s="820"/>
      <c r="FE233" s="820"/>
      <c r="FF233" s="820"/>
      <c r="FG233" s="820"/>
      <c r="FH233" s="609"/>
      <c r="FI233" s="609"/>
      <c r="FJ233" s="816"/>
      <c r="FK233" s="816"/>
      <c r="FL233" s="816"/>
      <c r="FM233" s="816"/>
      <c r="FN233" s="816"/>
      <c r="FO233" s="816"/>
      <c r="FP233" s="816"/>
      <c r="FQ233" s="816"/>
      <c r="FR233" s="816"/>
      <c r="FS233" s="816"/>
      <c r="FT233" s="816"/>
      <c r="FU233" s="816"/>
      <c r="FV233" s="816"/>
      <c r="FW233" s="816"/>
      <c r="FX233" s="609"/>
      <c r="FY233" s="609"/>
      <c r="FZ233" s="816"/>
      <c r="GA233" s="816"/>
      <c r="GB233" s="609"/>
      <c r="GC233" s="609"/>
      <c r="GD233" s="609"/>
      <c r="GE233" s="816"/>
      <c r="GF233" s="816"/>
      <c r="GG233" s="609"/>
      <c r="GH233" s="609"/>
      <c r="GI233" s="816"/>
      <c r="GJ233" s="816"/>
      <c r="GK233" s="609"/>
      <c r="GL233" s="609"/>
      <c r="GM233" s="816"/>
      <c r="GN233" s="816"/>
      <c r="GO233" s="816"/>
      <c r="GP233" s="816"/>
      <c r="GQ233" s="816"/>
      <c r="GR233" s="816"/>
      <c r="GS233" s="609"/>
      <c r="GT233" s="609"/>
      <c r="GU233" s="816"/>
      <c r="GV233" s="816"/>
      <c r="GW233" s="609"/>
      <c r="GX233" s="609"/>
      <c r="GY233" s="816"/>
      <c r="GZ233" s="816"/>
      <c r="HA233" s="609"/>
      <c r="HB233" s="609"/>
      <c r="HC233" s="816"/>
      <c r="HD233" s="816"/>
      <c r="HE233" s="816"/>
      <c r="HF233" s="816"/>
      <c r="HG233" s="816"/>
      <c r="HH233" s="816"/>
      <c r="HI233" s="821"/>
      <c r="HJ233" s="609"/>
      <c r="HK233" s="816"/>
      <c r="HL233" s="816"/>
      <c r="HM233" s="822"/>
      <c r="HN233" s="609"/>
      <c r="HO233" s="816"/>
      <c r="HP233" s="816"/>
      <c r="HQ233" s="609"/>
      <c r="HR233" s="816"/>
      <c r="HS233" s="816"/>
      <c r="HT233" s="816"/>
      <c r="HU233" s="816"/>
      <c r="HV233" s="816"/>
      <c r="HW233" s="816"/>
      <c r="HX233" s="816"/>
      <c r="HY233" s="816"/>
      <c r="HZ233" s="816"/>
      <c r="IA233" s="816"/>
      <c r="IB233" s="816"/>
      <c r="IC233" s="823"/>
      <c r="ID233" s="824"/>
      <c r="IE233" s="825"/>
      <c r="IF233" s="825"/>
      <c r="IG233" s="816"/>
      <c r="II233" s="834"/>
      <c r="IJ233" s="834"/>
      <c r="IK233" s="826"/>
      <c r="IL233" s="834"/>
    </row>
    <row r="234" spans="2:246" s="780" customFormat="1">
      <c r="B234" s="609"/>
      <c r="C234" s="609"/>
      <c r="D234" s="609"/>
      <c r="E234" s="609"/>
      <c r="F234" s="609"/>
      <c r="G234" s="609"/>
      <c r="H234" s="609"/>
      <c r="I234" s="609"/>
      <c r="J234" s="609"/>
      <c r="K234" s="609"/>
      <c r="L234" s="609"/>
      <c r="M234" s="609"/>
      <c r="N234" s="609"/>
      <c r="O234" s="609"/>
      <c r="P234" s="609"/>
      <c r="Q234" s="609"/>
      <c r="R234" s="609"/>
      <c r="S234" s="609"/>
      <c r="T234" s="609"/>
      <c r="U234" s="609"/>
      <c r="V234" s="609"/>
      <c r="W234" s="609"/>
      <c r="X234" s="609"/>
      <c r="Y234" s="609"/>
      <c r="Z234" s="816"/>
      <c r="AA234" s="816"/>
      <c r="AB234" s="816"/>
      <c r="AC234" s="816"/>
      <c r="AD234" s="816"/>
      <c r="AE234" s="816"/>
      <c r="AF234" s="609"/>
      <c r="AG234" s="609"/>
      <c r="AH234" s="816"/>
      <c r="AI234" s="816"/>
      <c r="AJ234" s="609"/>
      <c r="AK234" s="609"/>
      <c r="AL234" s="816"/>
      <c r="AM234" s="816"/>
      <c r="AN234" s="816"/>
      <c r="AO234" s="816"/>
      <c r="AP234" s="816"/>
      <c r="AQ234" s="816"/>
      <c r="AR234" s="609"/>
      <c r="AS234" s="609"/>
      <c r="AT234" s="816"/>
      <c r="AU234" s="816"/>
      <c r="AV234" s="817"/>
      <c r="AW234" s="609"/>
      <c r="AX234" s="609"/>
      <c r="AY234" s="816"/>
      <c r="AZ234" s="816"/>
      <c r="BA234" s="816"/>
      <c r="BB234" s="816"/>
      <c r="BC234" s="816"/>
      <c r="BD234" s="816"/>
      <c r="BE234" s="816"/>
      <c r="BF234" s="816"/>
      <c r="BG234" s="816"/>
      <c r="BH234" s="816"/>
      <c r="BI234" s="816"/>
      <c r="BJ234" s="816"/>
      <c r="BK234" s="816"/>
      <c r="BL234" s="816"/>
      <c r="BM234" s="816"/>
      <c r="BN234" s="816"/>
      <c r="BO234" s="816"/>
      <c r="BP234" s="816"/>
      <c r="BQ234" s="816"/>
      <c r="BR234" s="816"/>
      <c r="BS234" s="816"/>
      <c r="BT234" s="609"/>
      <c r="BU234" s="609"/>
      <c r="BV234" s="609"/>
      <c r="BW234" s="818"/>
      <c r="BX234" s="816"/>
      <c r="BY234" s="816"/>
      <c r="BZ234" s="816"/>
      <c r="CA234" s="816"/>
      <c r="CB234" s="816"/>
      <c r="CC234" s="816"/>
      <c r="CD234" s="816"/>
      <c r="CE234" s="816"/>
      <c r="CF234" s="820"/>
      <c r="CG234" s="820"/>
      <c r="CH234" s="820"/>
      <c r="CI234" s="820"/>
      <c r="CJ234" s="609"/>
      <c r="CK234" s="609"/>
      <c r="CL234" s="816"/>
      <c r="CM234" s="816"/>
      <c r="CN234" s="609"/>
      <c r="CO234" s="609"/>
      <c r="CP234" s="816"/>
      <c r="CQ234" s="816"/>
      <c r="CR234" s="609"/>
      <c r="CS234" s="609"/>
      <c r="CT234" s="816"/>
      <c r="CU234" s="816"/>
      <c r="CV234" s="609"/>
      <c r="CW234" s="609"/>
      <c r="CX234" s="816"/>
      <c r="CY234" s="816"/>
      <c r="CZ234" s="816"/>
      <c r="DA234" s="816"/>
      <c r="DB234" s="816"/>
      <c r="DC234" s="816"/>
      <c r="DD234" s="816"/>
      <c r="DE234" s="816"/>
      <c r="DF234" s="816"/>
      <c r="DG234" s="816"/>
      <c r="DH234" s="816"/>
      <c r="DI234" s="816"/>
      <c r="DJ234" s="816"/>
      <c r="DK234" s="816"/>
      <c r="DL234" s="609"/>
      <c r="DM234" s="609"/>
      <c r="DN234" s="816"/>
      <c r="DO234" s="816"/>
      <c r="DP234" s="816"/>
      <c r="DQ234" s="816"/>
      <c r="DR234" s="816"/>
      <c r="DS234" s="816"/>
      <c r="DT234" s="816"/>
      <c r="DU234" s="816"/>
      <c r="DV234" s="816"/>
      <c r="DW234" s="816"/>
      <c r="DX234" s="816"/>
      <c r="DY234" s="816"/>
      <c r="DZ234" s="816"/>
      <c r="EA234" s="816"/>
      <c r="EB234" s="609"/>
      <c r="EC234" s="609"/>
      <c r="ED234" s="816"/>
      <c r="EE234" s="816"/>
      <c r="EF234" s="816"/>
      <c r="EG234" s="816"/>
      <c r="EH234" s="816"/>
      <c r="EI234" s="816"/>
      <c r="EJ234" s="816"/>
      <c r="EK234" s="816"/>
      <c r="EL234" s="816"/>
      <c r="EM234" s="816"/>
      <c r="EN234" s="816"/>
      <c r="EO234" s="816"/>
      <c r="EP234" s="816"/>
      <c r="EQ234" s="816"/>
      <c r="ER234" s="816"/>
      <c r="ES234" s="816"/>
      <c r="ET234" s="816"/>
      <c r="EU234" s="816"/>
      <c r="EV234" s="816"/>
      <c r="EW234" s="816"/>
      <c r="EX234" s="816"/>
      <c r="EY234" s="816"/>
      <c r="EZ234" s="816"/>
      <c r="FA234" s="816"/>
      <c r="FB234" s="819"/>
      <c r="FC234" s="816"/>
      <c r="FD234" s="820"/>
      <c r="FE234" s="820"/>
      <c r="FF234" s="820"/>
      <c r="FG234" s="820"/>
      <c r="FH234" s="609"/>
      <c r="FI234" s="609"/>
      <c r="FJ234" s="816"/>
      <c r="FK234" s="816"/>
      <c r="FL234" s="816"/>
      <c r="FM234" s="816"/>
      <c r="FN234" s="816"/>
      <c r="FO234" s="816"/>
      <c r="FP234" s="816"/>
      <c r="FQ234" s="816"/>
      <c r="FR234" s="816"/>
      <c r="FS234" s="816"/>
      <c r="FT234" s="816"/>
      <c r="FU234" s="816"/>
      <c r="FV234" s="816"/>
      <c r="FW234" s="816"/>
      <c r="FX234" s="609"/>
      <c r="FY234" s="609"/>
      <c r="FZ234" s="816"/>
      <c r="GA234" s="816"/>
      <c r="GB234" s="609"/>
      <c r="GC234" s="609"/>
      <c r="GD234" s="609"/>
      <c r="GE234" s="816"/>
      <c r="GF234" s="816"/>
      <c r="GG234" s="609"/>
      <c r="GH234" s="609"/>
      <c r="GI234" s="816"/>
      <c r="GJ234" s="816"/>
      <c r="GK234" s="609"/>
      <c r="GL234" s="609"/>
      <c r="GM234" s="816"/>
      <c r="GN234" s="816"/>
      <c r="GO234" s="816"/>
      <c r="GP234" s="816"/>
      <c r="GQ234" s="816"/>
      <c r="GR234" s="816"/>
      <c r="GS234" s="609"/>
      <c r="GT234" s="609"/>
      <c r="GU234" s="816"/>
      <c r="GV234" s="816"/>
      <c r="GW234" s="609"/>
      <c r="GX234" s="609"/>
      <c r="GY234" s="816"/>
      <c r="GZ234" s="816"/>
      <c r="HA234" s="609"/>
      <c r="HB234" s="609"/>
      <c r="HC234" s="816"/>
      <c r="HD234" s="816"/>
      <c r="HE234" s="816"/>
      <c r="HF234" s="816"/>
      <c r="HG234" s="816"/>
      <c r="HH234" s="816"/>
      <c r="HI234" s="821"/>
      <c r="HJ234" s="609"/>
      <c r="HK234" s="816"/>
      <c r="HL234" s="816"/>
      <c r="HM234" s="822"/>
      <c r="HN234" s="609"/>
      <c r="HO234" s="816"/>
      <c r="HP234" s="816"/>
      <c r="HQ234" s="609"/>
      <c r="HR234" s="816"/>
      <c r="HS234" s="816"/>
      <c r="HT234" s="816"/>
      <c r="HU234" s="816"/>
      <c r="HV234" s="816"/>
      <c r="HW234" s="816"/>
      <c r="HX234" s="816"/>
      <c r="HY234" s="816"/>
      <c r="HZ234" s="816"/>
      <c r="IA234" s="816"/>
      <c r="IB234" s="816"/>
      <c r="IC234" s="823"/>
      <c r="ID234" s="824"/>
      <c r="IE234" s="825"/>
      <c r="IF234" s="825"/>
      <c r="IG234" s="816"/>
      <c r="II234" s="834"/>
      <c r="IJ234" s="834"/>
      <c r="IK234" s="826"/>
      <c r="IL234" s="834"/>
    </row>
    <row r="235" spans="2:246" s="780" customFormat="1">
      <c r="B235" s="609"/>
      <c r="C235" s="609"/>
      <c r="D235" s="609"/>
      <c r="E235" s="609"/>
      <c r="F235" s="609"/>
      <c r="G235" s="609"/>
      <c r="H235" s="609"/>
      <c r="I235" s="609"/>
      <c r="J235" s="609"/>
      <c r="K235" s="609"/>
      <c r="L235" s="609"/>
      <c r="M235" s="609"/>
      <c r="N235" s="609"/>
      <c r="O235" s="609"/>
      <c r="P235" s="609"/>
      <c r="Q235" s="609"/>
      <c r="R235" s="609"/>
      <c r="S235" s="609"/>
      <c r="T235" s="609"/>
      <c r="U235" s="609"/>
      <c r="V235" s="609"/>
      <c r="W235" s="609"/>
      <c r="X235" s="609"/>
      <c r="Y235" s="609"/>
      <c r="Z235" s="816"/>
      <c r="AA235" s="816"/>
      <c r="AB235" s="816"/>
      <c r="AC235" s="816"/>
      <c r="AD235" s="816"/>
      <c r="AE235" s="816"/>
      <c r="AF235" s="609"/>
      <c r="AG235" s="609"/>
      <c r="AH235" s="816"/>
      <c r="AI235" s="816"/>
      <c r="AJ235" s="609"/>
      <c r="AK235" s="609"/>
      <c r="AL235" s="816"/>
      <c r="AM235" s="816"/>
      <c r="AN235" s="816"/>
      <c r="AO235" s="816"/>
      <c r="AP235" s="816"/>
      <c r="AQ235" s="816"/>
      <c r="AR235" s="609"/>
      <c r="AS235" s="609"/>
      <c r="AT235" s="816"/>
      <c r="AU235" s="816"/>
      <c r="AV235" s="817"/>
      <c r="AW235" s="609"/>
      <c r="AX235" s="609"/>
      <c r="AY235" s="816"/>
      <c r="AZ235" s="816"/>
      <c r="BA235" s="816"/>
      <c r="BB235" s="816"/>
      <c r="BC235" s="816"/>
      <c r="BD235" s="816"/>
      <c r="BE235" s="816"/>
      <c r="BF235" s="816"/>
      <c r="BG235" s="816"/>
      <c r="BH235" s="816"/>
      <c r="BI235" s="816"/>
      <c r="BJ235" s="816"/>
      <c r="BK235" s="816"/>
      <c r="BL235" s="816"/>
      <c r="BM235" s="816"/>
      <c r="BN235" s="816"/>
      <c r="BO235" s="816"/>
      <c r="BP235" s="816"/>
      <c r="BQ235" s="816"/>
      <c r="BR235" s="816"/>
      <c r="BS235" s="816"/>
      <c r="BT235" s="609"/>
      <c r="BU235" s="609"/>
      <c r="BV235" s="609"/>
      <c r="BW235" s="818"/>
      <c r="BX235" s="816"/>
      <c r="BY235" s="816"/>
      <c r="BZ235" s="816"/>
      <c r="CA235" s="816"/>
      <c r="CB235" s="816"/>
      <c r="CC235" s="816"/>
      <c r="CD235" s="816"/>
      <c r="CE235" s="816"/>
      <c r="CF235" s="820"/>
      <c r="CG235" s="820"/>
      <c r="CH235" s="820"/>
      <c r="CI235" s="820"/>
      <c r="CJ235" s="609"/>
      <c r="CK235" s="609"/>
      <c r="CL235" s="816"/>
      <c r="CM235" s="816"/>
      <c r="CN235" s="609"/>
      <c r="CO235" s="609"/>
      <c r="CP235" s="816"/>
      <c r="CQ235" s="816"/>
      <c r="CR235" s="609"/>
      <c r="CS235" s="609"/>
      <c r="CT235" s="816"/>
      <c r="CU235" s="816"/>
      <c r="CV235" s="609"/>
      <c r="CW235" s="609"/>
      <c r="CX235" s="816"/>
      <c r="CY235" s="816"/>
      <c r="CZ235" s="816"/>
      <c r="DA235" s="816"/>
      <c r="DB235" s="816"/>
      <c r="DC235" s="816"/>
      <c r="DD235" s="816"/>
      <c r="DE235" s="816"/>
      <c r="DF235" s="816"/>
      <c r="DG235" s="816"/>
      <c r="DH235" s="816"/>
      <c r="DI235" s="816"/>
      <c r="DJ235" s="816"/>
      <c r="DK235" s="816"/>
      <c r="DL235" s="609"/>
      <c r="DM235" s="609"/>
      <c r="DN235" s="816"/>
      <c r="DO235" s="816"/>
      <c r="DP235" s="816"/>
      <c r="DQ235" s="816"/>
      <c r="DR235" s="816"/>
      <c r="DS235" s="816"/>
      <c r="DT235" s="816"/>
      <c r="DU235" s="816"/>
      <c r="DV235" s="816"/>
      <c r="DW235" s="816"/>
      <c r="DX235" s="816"/>
      <c r="DY235" s="816"/>
      <c r="DZ235" s="816"/>
      <c r="EA235" s="816"/>
      <c r="EB235" s="609"/>
      <c r="EC235" s="609"/>
      <c r="ED235" s="816"/>
      <c r="EE235" s="816"/>
      <c r="EF235" s="816"/>
      <c r="EG235" s="816"/>
      <c r="EH235" s="816"/>
      <c r="EI235" s="816"/>
      <c r="EJ235" s="816"/>
      <c r="EK235" s="816"/>
      <c r="EL235" s="816"/>
      <c r="EM235" s="816"/>
      <c r="EN235" s="816"/>
      <c r="EO235" s="816"/>
      <c r="EP235" s="816"/>
      <c r="EQ235" s="816"/>
      <c r="ER235" s="816"/>
      <c r="ES235" s="816"/>
      <c r="ET235" s="816"/>
      <c r="EU235" s="816"/>
      <c r="EV235" s="816"/>
      <c r="EW235" s="816"/>
      <c r="EX235" s="816"/>
      <c r="EY235" s="816"/>
      <c r="EZ235" s="816"/>
      <c r="FA235" s="816"/>
      <c r="FB235" s="819"/>
      <c r="FC235" s="816"/>
      <c r="FD235" s="820"/>
      <c r="FE235" s="820"/>
      <c r="FF235" s="820"/>
      <c r="FG235" s="820"/>
      <c r="FH235" s="609"/>
      <c r="FI235" s="609"/>
      <c r="FJ235" s="816"/>
      <c r="FK235" s="816"/>
      <c r="FL235" s="816"/>
      <c r="FM235" s="816"/>
      <c r="FN235" s="816"/>
      <c r="FO235" s="816"/>
      <c r="FP235" s="816"/>
      <c r="FQ235" s="816"/>
      <c r="FR235" s="816"/>
      <c r="FS235" s="816"/>
      <c r="FT235" s="816"/>
      <c r="FU235" s="816"/>
      <c r="FV235" s="816"/>
      <c r="FW235" s="816"/>
      <c r="FX235" s="609"/>
      <c r="FY235" s="609"/>
      <c r="FZ235" s="816"/>
      <c r="GA235" s="816"/>
      <c r="GB235" s="609"/>
      <c r="GC235" s="609"/>
      <c r="GD235" s="609"/>
      <c r="GE235" s="816"/>
      <c r="GF235" s="816"/>
      <c r="GG235" s="609"/>
      <c r="GH235" s="609"/>
      <c r="GI235" s="816"/>
      <c r="GJ235" s="816"/>
      <c r="GK235" s="609"/>
      <c r="GL235" s="609"/>
      <c r="GM235" s="816"/>
      <c r="GN235" s="816"/>
      <c r="GO235" s="816"/>
      <c r="GP235" s="816"/>
      <c r="GQ235" s="816"/>
      <c r="GR235" s="816"/>
      <c r="GS235" s="609"/>
      <c r="GT235" s="609"/>
      <c r="GU235" s="816"/>
      <c r="GV235" s="816"/>
      <c r="GW235" s="609"/>
      <c r="GX235" s="609"/>
      <c r="GY235" s="816"/>
      <c r="GZ235" s="816"/>
      <c r="HA235" s="609"/>
      <c r="HB235" s="609"/>
      <c r="HC235" s="816"/>
      <c r="HD235" s="816"/>
      <c r="HE235" s="816"/>
      <c r="HF235" s="816"/>
      <c r="HG235" s="816"/>
      <c r="HH235" s="816"/>
      <c r="HI235" s="821"/>
      <c r="HJ235" s="609"/>
      <c r="HK235" s="816"/>
      <c r="HL235" s="816"/>
      <c r="HM235" s="822"/>
      <c r="HN235" s="609"/>
      <c r="HO235" s="816"/>
      <c r="HP235" s="816"/>
      <c r="HQ235" s="609"/>
      <c r="HR235" s="816"/>
      <c r="HS235" s="816"/>
      <c r="HT235" s="816"/>
      <c r="HU235" s="816"/>
      <c r="HV235" s="816"/>
      <c r="HW235" s="816"/>
      <c r="HX235" s="816"/>
      <c r="HY235" s="816"/>
      <c r="HZ235" s="816"/>
      <c r="IA235" s="816"/>
      <c r="IB235" s="816"/>
      <c r="IC235" s="823"/>
      <c r="ID235" s="824"/>
      <c r="IE235" s="825"/>
      <c r="IF235" s="825"/>
      <c r="IG235" s="816"/>
      <c r="II235" s="834"/>
      <c r="IJ235" s="834"/>
      <c r="IK235" s="826"/>
      <c r="IL235" s="834"/>
    </row>
    <row r="236" spans="2:246" s="780" customFormat="1">
      <c r="B236" s="609"/>
      <c r="C236" s="609"/>
      <c r="D236" s="609"/>
      <c r="E236" s="609"/>
      <c r="F236" s="609"/>
      <c r="G236" s="609"/>
      <c r="H236" s="609"/>
      <c r="I236" s="609"/>
      <c r="J236" s="609"/>
      <c r="K236" s="609"/>
      <c r="L236" s="609"/>
      <c r="M236" s="609"/>
      <c r="N236" s="609"/>
      <c r="O236" s="609"/>
      <c r="P236" s="609"/>
      <c r="Q236" s="609"/>
      <c r="R236" s="609"/>
      <c r="S236" s="609"/>
      <c r="T236" s="609"/>
      <c r="U236" s="609"/>
      <c r="V236" s="609"/>
      <c r="W236" s="609"/>
      <c r="X236" s="609"/>
      <c r="Y236" s="609"/>
      <c r="Z236" s="816"/>
      <c r="AA236" s="816"/>
      <c r="AB236" s="816"/>
      <c r="AC236" s="816"/>
      <c r="AD236" s="816"/>
      <c r="AE236" s="816"/>
      <c r="AF236" s="609"/>
      <c r="AG236" s="609"/>
      <c r="AH236" s="816"/>
      <c r="AI236" s="816"/>
      <c r="AJ236" s="609"/>
      <c r="AK236" s="609"/>
      <c r="AL236" s="816"/>
      <c r="AM236" s="816"/>
      <c r="AN236" s="816"/>
      <c r="AO236" s="816"/>
      <c r="AP236" s="816"/>
      <c r="AQ236" s="816"/>
      <c r="AR236" s="609"/>
      <c r="AS236" s="609"/>
      <c r="AT236" s="816"/>
      <c r="AU236" s="816"/>
      <c r="AV236" s="817"/>
      <c r="AW236" s="609"/>
      <c r="AX236" s="609"/>
      <c r="AY236" s="816"/>
      <c r="AZ236" s="816"/>
      <c r="BA236" s="816"/>
      <c r="BB236" s="816"/>
      <c r="BC236" s="816"/>
      <c r="BD236" s="816"/>
      <c r="BE236" s="816"/>
      <c r="BF236" s="816"/>
      <c r="BG236" s="816"/>
      <c r="BH236" s="816"/>
      <c r="BI236" s="816"/>
      <c r="BJ236" s="816"/>
      <c r="BK236" s="816"/>
      <c r="BL236" s="816"/>
      <c r="BM236" s="816"/>
      <c r="BN236" s="816"/>
      <c r="BO236" s="816"/>
      <c r="BP236" s="816"/>
      <c r="BQ236" s="816"/>
      <c r="BR236" s="816"/>
      <c r="BS236" s="816"/>
      <c r="BT236" s="609"/>
      <c r="BU236" s="609"/>
      <c r="BV236" s="609"/>
      <c r="BW236" s="818"/>
      <c r="BX236" s="816"/>
      <c r="BY236" s="816"/>
      <c r="BZ236" s="816"/>
      <c r="CA236" s="816"/>
      <c r="CB236" s="816"/>
      <c r="CC236" s="816"/>
      <c r="CD236" s="816"/>
      <c r="CE236" s="816"/>
      <c r="CF236" s="820"/>
      <c r="CG236" s="820"/>
      <c r="CH236" s="820"/>
      <c r="CI236" s="820"/>
      <c r="CJ236" s="609"/>
      <c r="CK236" s="609"/>
      <c r="CL236" s="816"/>
      <c r="CM236" s="816"/>
      <c r="CN236" s="609"/>
      <c r="CO236" s="609"/>
      <c r="CP236" s="816"/>
      <c r="CQ236" s="816"/>
      <c r="CR236" s="609"/>
      <c r="CS236" s="609"/>
      <c r="CT236" s="816"/>
      <c r="CU236" s="816"/>
      <c r="CV236" s="609"/>
      <c r="CW236" s="609"/>
      <c r="CX236" s="816"/>
      <c r="CY236" s="816"/>
      <c r="CZ236" s="816"/>
      <c r="DA236" s="816"/>
      <c r="DB236" s="816"/>
      <c r="DC236" s="816"/>
      <c r="DD236" s="816"/>
      <c r="DE236" s="816"/>
      <c r="DF236" s="816"/>
      <c r="DG236" s="816"/>
      <c r="DH236" s="816"/>
      <c r="DI236" s="816"/>
      <c r="DJ236" s="816"/>
      <c r="DK236" s="816"/>
      <c r="DL236" s="609"/>
      <c r="DM236" s="609"/>
      <c r="DN236" s="816"/>
      <c r="DO236" s="816"/>
      <c r="DP236" s="816"/>
      <c r="DQ236" s="816"/>
      <c r="DR236" s="816"/>
      <c r="DS236" s="816"/>
      <c r="DT236" s="816"/>
      <c r="DU236" s="816"/>
      <c r="DV236" s="816"/>
      <c r="DW236" s="816"/>
      <c r="DX236" s="816"/>
      <c r="DY236" s="816"/>
      <c r="DZ236" s="816"/>
      <c r="EA236" s="816"/>
      <c r="EB236" s="609"/>
      <c r="EC236" s="609"/>
      <c r="ED236" s="816"/>
      <c r="EE236" s="816"/>
      <c r="EF236" s="816"/>
      <c r="EG236" s="816"/>
      <c r="EH236" s="816"/>
      <c r="EI236" s="816"/>
      <c r="EJ236" s="816"/>
      <c r="EK236" s="816"/>
      <c r="EL236" s="816"/>
      <c r="EM236" s="816"/>
      <c r="EN236" s="816"/>
      <c r="EO236" s="816"/>
      <c r="EP236" s="816"/>
      <c r="EQ236" s="816"/>
      <c r="ER236" s="816"/>
      <c r="ES236" s="816"/>
      <c r="ET236" s="816"/>
      <c r="EU236" s="816"/>
      <c r="EV236" s="816"/>
      <c r="EW236" s="816"/>
      <c r="EX236" s="816"/>
      <c r="EY236" s="816"/>
      <c r="EZ236" s="816"/>
      <c r="FA236" s="816"/>
      <c r="FB236" s="819"/>
      <c r="FC236" s="816"/>
      <c r="FD236" s="820"/>
      <c r="FE236" s="820"/>
      <c r="FF236" s="820"/>
      <c r="FG236" s="820"/>
      <c r="FH236" s="609"/>
      <c r="FI236" s="609"/>
      <c r="FJ236" s="816"/>
      <c r="FK236" s="816"/>
      <c r="FL236" s="816"/>
      <c r="FM236" s="816"/>
      <c r="FN236" s="816"/>
      <c r="FO236" s="816"/>
      <c r="FP236" s="816"/>
      <c r="FQ236" s="816"/>
      <c r="FR236" s="816"/>
      <c r="FS236" s="816"/>
      <c r="FT236" s="816"/>
      <c r="FU236" s="816"/>
      <c r="FV236" s="816"/>
      <c r="FW236" s="816"/>
      <c r="FX236" s="609"/>
      <c r="FY236" s="609"/>
      <c r="FZ236" s="816"/>
      <c r="GA236" s="816"/>
      <c r="GB236" s="609"/>
      <c r="GC236" s="609"/>
      <c r="GD236" s="609"/>
      <c r="GE236" s="816"/>
      <c r="GF236" s="816"/>
      <c r="GG236" s="609"/>
      <c r="GH236" s="609"/>
      <c r="GI236" s="816"/>
      <c r="GJ236" s="816"/>
      <c r="GK236" s="609"/>
      <c r="GL236" s="609"/>
      <c r="GM236" s="816"/>
      <c r="GN236" s="816"/>
      <c r="GO236" s="816"/>
      <c r="GP236" s="816"/>
      <c r="GQ236" s="816"/>
      <c r="GR236" s="816"/>
      <c r="GS236" s="609"/>
      <c r="GT236" s="609"/>
      <c r="GU236" s="816"/>
      <c r="GV236" s="816"/>
      <c r="GW236" s="609"/>
      <c r="GX236" s="609"/>
      <c r="GY236" s="816"/>
      <c r="GZ236" s="816"/>
      <c r="HA236" s="609"/>
      <c r="HB236" s="609"/>
      <c r="HC236" s="816"/>
      <c r="HD236" s="816"/>
      <c r="HE236" s="816"/>
      <c r="HF236" s="816"/>
      <c r="HG236" s="816"/>
      <c r="HH236" s="816"/>
      <c r="HI236" s="821"/>
      <c r="HJ236" s="609"/>
      <c r="HK236" s="816"/>
      <c r="HL236" s="816"/>
      <c r="HM236" s="822"/>
      <c r="HN236" s="609"/>
      <c r="HO236" s="816"/>
      <c r="HP236" s="816"/>
      <c r="HQ236" s="609"/>
      <c r="HR236" s="816"/>
      <c r="HS236" s="816"/>
      <c r="HT236" s="816"/>
      <c r="HU236" s="816"/>
      <c r="HV236" s="816"/>
      <c r="HW236" s="816"/>
      <c r="HX236" s="816"/>
      <c r="HY236" s="816"/>
      <c r="HZ236" s="816"/>
      <c r="IA236" s="816"/>
      <c r="IB236" s="816"/>
      <c r="IC236" s="823"/>
      <c r="ID236" s="824"/>
      <c r="IE236" s="825"/>
      <c r="IF236" s="825"/>
      <c r="IG236" s="816"/>
      <c r="II236" s="834"/>
      <c r="IJ236" s="834"/>
      <c r="IK236" s="826"/>
      <c r="IL236" s="834"/>
    </row>
    <row r="237" spans="2:246" s="780" customFormat="1">
      <c r="B237" s="609"/>
      <c r="C237" s="609"/>
      <c r="D237" s="609"/>
      <c r="E237" s="609"/>
      <c r="F237" s="609"/>
      <c r="G237" s="609"/>
      <c r="H237" s="609"/>
      <c r="I237" s="609"/>
      <c r="J237" s="609"/>
      <c r="K237" s="609"/>
      <c r="L237" s="609"/>
      <c r="M237" s="609"/>
      <c r="N237" s="609"/>
      <c r="O237" s="609"/>
      <c r="P237" s="609"/>
      <c r="Q237" s="609"/>
      <c r="R237" s="609"/>
      <c r="S237" s="609"/>
      <c r="T237" s="609"/>
      <c r="U237" s="609"/>
      <c r="V237" s="609"/>
      <c r="W237" s="609"/>
      <c r="X237" s="609"/>
      <c r="Y237" s="609"/>
      <c r="Z237" s="816"/>
      <c r="AA237" s="816"/>
      <c r="AB237" s="816"/>
      <c r="AC237" s="816"/>
      <c r="AD237" s="816"/>
      <c r="AE237" s="816"/>
      <c r="AF237" s="609"/>
      <c r="AG237" s="609"/>
      <c r="AH237" s="816"/>
      <c r="AI237" s="816"/>
      <c r="AJ237" s="609"/>
      <c r="AK237" s="609"/>
      <c r="AL237" s="816"/>
      <c r="AM237" s="816"/>
      <c r="AN237" s="816"/>
      <c r="AO237" s="816"/>
      <c r="AP237" s="816"/>
      <c r="AQ237" s="816"/>
      <c r="AR237" s="609"/>
      <c r="AS237" s="609"/>
      <c r="AT237" s="816"/>
      <c r="AU237" s="816"/>
      <c r="AV237" s="817"/>
      <c r="AW237" s="609"/>
      <c r="AX237" s="609"/>
      <c r="AY237" s="816"/>
      <c r="AZ237" s="816"/>
      <c r="BA237" s="816"/>
      <c r="BB237" s="816"/>
      <c r="BC237" s="816"/>
      <c r="BD237" s="816"/>
      <c r="BE237" s="816"/>
      <c r="BF237" s="816"/>
      <c r="BG237" s="816"/>
      <c r="BH237" s="816"/>
      <c r="BI237" s="816"/>
      <c r="BJ237" s="816"/>
      <c r="BK237" s="816"/>
      <c r="BL237" s="816"/>
      <c r="BM237" s="816"/>
      <c r="BN237" s="816"/>
      <c r="BO237" s="816"/>
      <c r="BP237" s="816"/>
      <c r="BQ237" s="816"/>
      <c r="BR237" s="816"/>
      <c r="BS237" s="816"/>
      <c r="BT237" s="609"/>
      <c r="BU237" s="609"/>
      <c r="BV237" s="609"/>
      <c r="BW237" s="818"/>
      <c r="BX237" s="816"/>
      <c r="BY237" s="816"/>
      <c r="BZ237" s="816"/>
      <c r="CA237" s="816"/>
      <c r="CB237" s="816"/>
      <c r="CC237" s="816"/>
      <c r="CD237" s="816"/>
      <c r="CE237" s="816"/>
      <c r="CF237" s="820"/>
      <c r="CG237" s="820"/>
      <c r="CH237" s="820"/>
      <c r="CI237" s="820"/>
      <c r="CJ237" s="609"/>
      <c r="CK237" s="609"/>
      <c r="CL237" s="816"/>
      <c r="CM237" s="816"/>
      <c r="CN237" s="609"/>
      <c r="CO237" s="609"/>
      <c r="CP237" s="816"/>
      <c r="CQ237" s="816"/>
      <c r="CR237" s="609"/>
      <c r="CS237" s="609"/>
      <c r="CT237" s="816"/>
      <c r="CU237" s="816"/>
      <c r="CV237" s="609"/>
      <c r="CW237" s="609"/>
      <c r="CX237" s="816"/>
      <c r="CY237" s="816"/>
      <c r="CZ237" s="816"/>
      <c r="DA237" s="816"/>
      <c r="DB237" s="816"/>
      <c r="DC237" s="816"/>
      <c r="DD237" s="816"/>
      <c r="DE237" s="816"/>
      <c r="DF237" s="816"/>
      <c r="DG237" s="816"/>
      <c r="DH237" s="816"/>
      <c r="DI237" s="816"/>
      <c r="DJ237" s="816"/>
      <c r="DK237" s="816"/>
      <c r="DL237" s="609"/>
      <c r="DM237" s="609"/>
      <c r="DN237" s="816"/>
      <c r="DO237" s="816"/>
      <c r="DP237" s="816"/>
      <c r="DQ237" s="816"/>
      <c r="DR237" s="816"/>
      <c r="DS237" s="816"/>
      <c r="DT237" s="816"/>
      <c r="DU237" s="816"/>
      <c r="DV237" s="816"/>
      <c r="DW237" s="816"/>
      <c r="DX237" s="816"/>
      <c r="DY237" s="816"/>
      <c r="DZ237" s="816"/>
      <c r="EA237" s="816"/>
      <c r="EB237" s="609"/>
      <c r="EC237" s="609"/>
      <c r="ED237" s="816"/>
      <c r="EE237" s="816"/>
      <c r="EF237" s="816"/>
      <c r="EG237" s="816"/>
      <c r="EH237" s="816"/>
      <c r="EI237" s="816"/>
      <c r="EJ237" s="816"/>
      <c r="EK237" s="816"/>
      <c r="EL237" s="816"/>
      <c r="EM237" s="816"/>
      <c r="EN237" s="816"/>
      <c r="EO237" s="816"/>
      <c r="EP237" s="816"/>
      <c r="EQ237" s="816"/>
      <c r="ER237" s="816"/>
      <c r="ES237" s="816"/>
      <c r="ET237" s="816"/>
      <c r="EU237" s="816"/>
      <c r="EV237" s="816"/>
      <c r="EW237" s="816"/>
      <c r="EX237" s="816"/>
      <c r="EY237" s="816"/>
      <c r="EZ237" s="816"/>
      <c r="FA237" s="816"/>
      <c r="FB237" s="819"/>
      <c r="FC237" s="816"/>
      <c r="FD237" s="820"/>
      <c r="FE237" s="820"/>
      <c r="FF237" s="820"/>
      <c r="FG237" s="820"/>
      <c r="FH237" s="609"/>
      <c r="FI237" s="609"/>
      <c r="FJ237" s="816"/>
      <c r="FK237" s="816"/>
      <c r="FL237" s="816"/>
      <c r="FM237" s="816"/>
      <c r="FN237" s="816"/>
      <c r="FO237" s="816"/>
      <c r="FP237" s="816"/>
      <c r="FQ237" s="816"/>
      <c r="FR237" s="816"/>
      <c r="FS237" s="816"/>
      <c r="FT237" s="816"/>
      <c r="FU237" s="816"/>
      <c r="FV237" s="816"/>
      <c r="FW237" s="816"/>
      <c r="FX237" s="609"/>
      <c r="FY237" s="609"/>
      <c r="FZ237" s="816"/>
      <c r="GA237" s="816"/>
      <c r="GB237" s="609"/>
      <c r="GC237" s="609"/>
      <c r="GD237" s="609"/>
      <c r="GE237" s="816"/>
      <c r="GF237" s="816"/>
      <c r="GG237" s="609"/>
      <c r="GH237" s="609"/>
      <c r="GI237" s="816"/>
      <c r="GJ237" s="816"/>
      <c r="GK237" s="609"/>
      <c r="GL237" s="609"/>
      <c r="GM237" s="816"/>
      <c r="GN237" s="816"/>
      <c r="GO237" s="816"/>
      <c r="GP237" s="816"/>
      <c r="GQ237" s="816"/>
      <c r="GR237" s="816"/>
      <c r="GS237" s="609"/>
      <c r="GT237" s="609"/>
      <c r="GU237" s="816"/>
      <c r="GV237" s="816"/>
      <c r="GW237" s="609"/>
      <c r="GX237" s="609"/>
      <c r="GY237" s="816"/>
      <c r="GZ237" s="816"/>
      <c r="HA237" s="609"/>
      <c r="HB237" s="609"/>
      <c r="HC237" s="816"/>
      <c r="HD237" s="816"/>
      <c r="HE237" s="816"/>
      <c r="HF237" s="816"/>
      <c r="HG237" s="816"/>
      <c r="HH237" s="816"/>
      <c r="HI237" s="821"/>
      <c r="HJ237" s="609"/>
      <c r="HK237" s="816"/>
      <c r="HL237" s="816"/>
      <c r="HM237" s="822"/>
      <c r="HN237" s="609"/>
      <c r="HO237" s="816"/>
      <c r="HP237" s="816"/>
      <c r="HQ237" s="609"/>
      <c r="HR237" s="816"/>
      <c r="HS237" s="816"/>
      <c r="HT237" s="816"/>
      <c r="HU237" s="816"/>
      <c r="HV237" s="816"/>
      <c r="HW237" s="816"/>
      <c r="HX237" s="816"/>
      <c r="HY237" s="816"/>
      <c r="HZ237" s="816"/>
      <c r="IA237" s="816"/>
      <c r="IB237" s="816"/>
      <c r="IC237" s="823"/>
      <c r="ID237" s="824"/>
      <c r="IE237" s="825"/>
      <c r="IF237" s="825"/>
      <c r="IG237" s="816"/>
      <c r="II237" s="834"/>
      <c r="IJ237" s="834"/>
      <c r="IK237" s="826"/>
      <c r="IL237" s="834"/>
    </row>
    <row r="238" spans="2:246" s="780" customFormat="1">
      <c r="B238" s="609"/>
      <c r="C238" s="609"/>
      <c r="D238" s="609"/>
      <c r="E238" s="609"/>
      <c r="F238" s="609"/>
      <c r="G238" s="609"/>
      <c r="H238" s="609"/>
      <c r="I238" s="609"/>
      <c r="J238" s="609"/>
      <c r="K238" s="609"/>
      <c r="L238" s="609"/>
      <c r="M238" s="609"/>
      <c r="N238" s="609"/>
      <c r="O238" s="609"/>
      <c r="P238" s="609"/>
      <c r="Q238" s="609"/>
      <c r="R238" s="609"/>
      <c r="S238" s="609"/>
      <c r="T238" s="609"/>
      <c r="U238" s="609"/>
      <c r="V238" s="609"/>
      <c r="W238" s="609"/>
      <c r="X238" s="609"/>
      <c r="Y238" s="609"/>
      <c r="Z238" s="816"/>
      <c r="AA238" s="816"/>
      <c r="AB238" s="816"/>
      <c r="AC238" s="816"/>
      <c r="AD238" s="816"/>
      <c r="AE238" s="816"/>
      <c r="AF238" s="609"/>
      <c r="AG238" s="609"/>
      <c r="AH238" s="816"/>
      <c r="AI238" s="816"/>
      <c r="AJ238" s="609"/>
      <c r="AK238" s="609"/>
      <c r="AL238" s="816"/>
      <c r="AM238" s="816"/>
      <c r="AN238" s="816"/>
      <c r="AO238" s="816"/>
      <c r="AP238" s="816"/>
      <c r="AQ238" s="816"/>
      <c r="AR238" s="609"/>
      <c r="AS238" s="609"/>
      <c r="AT238" s="816"/>
      <c r="AU238" s="816"/>
      <c r="AV238" s="817"/>
      <c r="AW238" s="609"/>
      <c r="AX238" s="609"/>
      <c r="AY238" s="816"/>
      <c r="AZ238" s="816"/>
      <c r="BA238" s="816"/>
      <c r="BB238" s="816"/>
      <c r="BC238" s="816"/>
      <c r="BD238" s="816"/>
      <c r="BE238" s="816"/>
      <c r="BF238" s="816"/>
      <c r="BG238" s="816"/>
      <c r="BH238" s="816"/>
      <c r="BI238" s="816"/>
      <c r="BJ238" s="816"/>
      <c r="BK238" s="816"/>
      <c r="BL238" s="816"/>
      <c r="BM238" s="816"/>
      <c r="BN238" s="816"/>
      <c r="BO238" s="816"/>
      <c r="BP238" s="816"/>
      <c r="BQ238" s="816"/>
      <c r="BR238" s="816"/>
      <c r="BS238" s="816"/>
      <c r="BT238" s="609"/>
      <c r="BU238" s="609"/>
      <c r="BV238" s="609"/>
      <c r="BW238" s="818"/>
      <c r="BX238" s="816"/>
      <c r="BY238" s="816"/>
      <c r="BZ238" s="816"/>
      <c r="CA238" s="816"/>
      <c r="CB238" s="816"/>
      <c r="CC238" s="816"/>
      <c r="CD238" s="816"/>
      <c r="CE238" s="816"/>
      <c r="CF238" s="820"/>
      <c r="CG238" s="820"/>
      <c r="CH238" s="820"/>
      <c r="CI238" s="820"/>
      <c r="CJ238" s="609"/>
      <c r="CK238" s="609"/>
      <c r="CL238" s="816"/>
      <c r="CM238" s="816"/>
      <c r="CN238" s="609"/>
      <c r="CO238" s="609"/>
      <c r="CP238" s="816"/>
      <c r="CQ238" s="816"/>
      <c r="CR238" s="609"/>
      <c r="CS238" s="609"/>
      <c r="CT238" s="816"/>
      <c r="CU238" s="816"/>
      <c r="CV238" s="609"/>
      <c r="CW238" s="609"/>
      <c r="CX238" s="816"/>
      <c r="CY238" s="816"/>
      <c r="CZ238" s="816"/>
      <c r="DA238" s="816"/>
      <c r="DB238" s="816"/>
      <c r="DC238" s="816"/>
      <c r="DD238" s="816"/>
      <c r="DE238" s="816"/>
      <c r="DF238" s="816"/>
      <c r="DG238" s="816"/>
      <c r="DH238" s="816"/>
      <c r="DI238" s="816"/>
      <c r="DJ238" s="816"/>
      <c r="DK238" s="816"/>
      <c r="DL238" s="609"/>
      <c r="DM238" s="609"/>
      <c r="DN238" s="816"/>
      <c r="DO238" s="816"/>
      <c r="DP238" s="816"/>
      <c r="DQ238" s="816"/>
      <c r="DR238" s="816"/>
      <c r="DS238" s="816"/>
      <c r="DT238" s="816"/>
      <c r="DU238" s="816"/>
      <c r="DV238" s="816"/>
      <c r="DW238" s="816"/>
      <c r="DX238" s="816"/>
      <c r="DY238" s="816"/>
      <c r="DZ238" s="816"/>
      <c r="EA238" s="816"/>
      <c r="EB238" s="609"/>
      <c r="EC238" s="609"/>
      <c r="ED238" s="816"/>
      <c r="EE238" s="816"/>
      <c r="EF238" s="816"/>
      <c r="EG238" s="816"/>
      <c r="EH238" s="816"/>
      <c r="EI238" s="816"/>
      <c r="EJ238" s="816"/>
      <c r="EK238" s="816"/>
      <c r="EL238" s="816"/>
      <c r="EM238" s="816"/>
      <c r="EN238" s="816"/>
      <c r="EO238" s="816"/>
      <c r="EP238" s="816"/>
      <c r="EQ238" s="816"/>
      <c r="ER238" s="816"/>
      <c r="ES238" s="816"/>
      <c r="ET238" s="816"/>
      <c r="EU238" s="816"/>
      <c r="EV238" s="816"/>
      <c r="EW238" s="816"/>
      <c r="EX238" s="816"/>
      <c r="EY238" s="816"/>
      <c r="EZ238" s="816"/>
      <c r="FA238" s="816"/>
      <c r="FB238" s="819"/>
      <c r="FC238" s="816"/>
      <c r="FD238" s="820"/>
      <c r="FE238" s="820"/>
      <c r="FF238" s="820"/>
      <c r="FG238" s="820"/>
      <c r="FH238" s="817"/>
      <c r="FI238" s="609"/>
      <c r="FJ238" s="816"/>
      <c r="FK238" s="816"/>
      <c r="FL238" s="816"/>
      <c r="FM238" s="816"/>
      <c r="FN238" s="816"/>
      <c r="FO238" s="816"/>
      <c r="FP238" s="816"/>
      <c r="FQ238" s="816"/>
      <c r="FR238" s="816"/>
      <c r="FS238" s="816"/>
      <c r="FT238" s="816"/>
      <c r="FU238" s="816"/>
      <c r="FV238" s="816"/>
      <c r="FW238" s="816"/>
      <c r="FX238" s="609"/>
      <c r="FY238" s="609"/>
      <c r="FZ238" s="816"/>
      <c r="GA238" s="816"/>
      <c r="GB238" s="609"/>
      <c r="GC238" s="609"/>
      <c r="GD238" s="609"/>
      <c r="GE238" s="816"/>
      <c r="GF238" s="816"/>
      <c r="GG238" s="609"/>
      <c r="GH238" s="609"/>
      <c r="GI238" s="816"/>
      <c r="GJ238" s="816"/>
      <c r="GK238" s="609"/>
      <c r="GL238" s="609"/>
      <c r="GM238" s="816"/>
      <c r="GN238" s="816"/>
      <c r="GO238" s="816"/>
      <c r="GP238" s="816"/>
      <c r="GQ238" s="816"/>
      <c r="GR238" s="816"/>
      <c r="GS238" s="609"/>
      <c r="GT238" s="609"/>
      <c r="GU238" s="816"/>
      <c r="GV238" s="816"/>
      <c r="GW238" s="609"/>
      <c r="GX238" s="609"/>
      <c r="GY238" s="816"/>
      <c r="GZ238" s="816"/>
      <c r="HA238" s="609"/>
      <c r="HB238" s="609"/>
      <c r="HC238" s="816"/>
      <c r="HD238" s="816"/>
      <c r="HE238" s="816"/>
      <c r="HF238" s="816"/>
      <c r="HG238" s="816"/>
      <c r="HH238" s="816"/>
      <c r="HI238" s="821"/>
      <c r="HJ238" s="609"/>
      <c r="HK238" s="816"/>
      <c r="HL238" s="816"/>
      <c r="HM238" s="822"/>
      <c r="HN238" s="609"/>
      <c r="HO238" s="816"/>
      <c r="HP238" s="816"/>
      <c r="HQ238" s="609"/>
      <c r="HR238" s="816"/>
      <c r="HS238" s="816"/>
      <c r="HT238" s="816"/>
      <c r="HU238" s="816"/>
      <c r="HV238" s="816"/>
      <c r="HW238" s="816"/>
      <c r="HX238" s="816"/>
      <c r="HY238" s="816"/>
      <c r="HZ238" s="816"/>
      <c r="IA238" s="816"/>
      <c r="IB238" s="816"/>
      <c r="IC238" s="823"/>
      <c r="ID238" s="824"/>
      <c r="IE238" s="825"/>
      <c r="IF238" s="825"/>
      <c r="IG238" s="816"/>
      <c r="II238" s="834"/>
      <c r="IJ238" s="834"/>
      <c r="IK238" s="826"/>
      <c r="IL238" s="834"/>
    </row>
    <row r="239" spans="2:246" s="780" customFormat="1">
      <c r="B239" s="609"/>
      <c r="C239" s="609"/>
      <c r="D239" s="609"/>
      <c r="E239" s="609"/>
      <c r="F239" s="609"/>
      <c r="G239" s="609"/>
      <c r="H239" s="609"/>
      <c r="I239" s="609"/>
      <c r="J239" s="609"/>
      <c r="K239" s="609"/>
      <c r="L239" s="609"/>
      <c r="M239" s="609"/>
      <c r="N239" s="609"/>
      <c r="O239" s="609"/>
      <c r="P239" s="609"/>
      <c r="Q239" s="609"/>
      <c r="R239" s="609"/>
      <c r="S239" s="609"/>
      <c r="T239" s="609"/>
      <c r="U239" s="609"/>
      <c r="V239" s="609"/>
      <c r="W239" s="609"/>
      <c r="X239" s="609"/>
      <c r="Y239" s="609"/>
      <c r="Z239" s="816"/>
      <c r="AA239" s="816"/>
      <c r="AB239" s="816"/>
      <c r="AC239" s="816"/>
      <c r="AD239" s="816"/>
      <c r="AE239" s="816"/>
      <c r="AF239" s="609"/>
      <c r="AG239" s="609"/>
      <c r="AH239" s="816"/>
      <c r="AI239" s="816"/>
      <c r="AJ239" s="609"/>
      <c r="AK239" s="609"/>
      <c r="AL239" s="816"/>
      <c r="AM239" s="816"/>
      <c r="AN239" s="816"/>
      <c r="AO239" s="816"/>
      <c r="AP239" s="816"/>
      <c r="AQ239" s="816"/>
      <c r="AR239" s="609"/>
      <c r="AS239" s="609"/>
      <c r="AT239" s="816"/>
      <c r="AU239" s="816"/>
      <c r="AV239" s="817"/>
      <c r="AW239" s="609"/>
      <c r="AX239" s="609"/>
      <c r="AY239" s="816"/>
      <c r="AZ239" s="816"/>
      <c r="BA239" s="816"/>
      <c r="BB239" s="816"/>
      <c r="BC239" s="816"/>
      <c r="BD239" s="816"/>
      <c r="BE239" s="816"/>
      <c r="BF239" s="816"/>
      <c r="BG239" s="816"/>
      <c r="BH239" s="816"/>
      <c r="BI239" s="816"/>
      <c r="BJ239" s="816"/>
      <c r="BK239" s="816"/>
      <c r="BL239" s="816"/>
      <c r="BM239" s="816"/>
      <c r="BN239" s="816"/>
      <c r="BO239" s="816"/>
      <c r="BP239" s="816"/>
      <c r="BQ239" s="816"/>
      <c r="BR239" s="816"/>
      <c r="BS239" s="816"/>
      <c r="BT239" s="609"/>
      <c r="BU239" s="609"/>
      <c r="BV239" s="609"/>
      <c r="BW239" s="818"/>
      <c r="BX239" s="816"/>
      <c r="BY239" s="816"/>
      <c r="BZ239" s="816"/>
      <c r="CA239" s="816"/>
      <c r="CB239" s="816"/>
      <c r="CC239" s="816"/>
      <c r="CD239" s="816"/>
      <c r="CE239" s="816"/>
      <c r="CF239" s="820"/>
      <c r="CG239" s="820"/>
      <c r="CH239" s="820"/>
      <c r="CI239" s="820"/>
      <c r="CJ239" s="609"/>
      <c r="CK239" s="609"/>
      <c r="CL239" s="816"/>
      <c r="CM239" s="816"/>
      <c r="CN239" s="609"/>
      <c r="CO239" s="609"/>
      <c r="CP239" s="816"/>
      <c r="CQ239" s="816"/>
      <c r="CR239" s="609"/>
      <c r="CS239" s="609"/>
      <c r="CT239" s="816"/>
      <c r="CU239" s="816"/>
      <c r="CV239" s="609"/>
      <c r="CW239" s="609"/>
      <c r="CX239" s="816"/>
      <c r="CY239" s="816"/>
      <c r="CZ239" s="816"/>
      <c r="DA239" s="816"/>
      <c r="DB239" s="816"/>
      <c r="DC239" s="816"/>
      <c r="DD239" s="816"/>
      <c r="DE239" s="816"/>
      <c r="DF239" s="816"/>
      <c r="DG239" s="816"/>
      <c r="DH239" s="816"/>
      <c r="DI239" s="816"/>
      <c r="DJ239" s="816"/>
      <c r="DK239" s="816"/>
      <c r="DL239" s="609"/>
      <c r="DM239" s="609"/>
      <c r="DN239" s="816"/>
      <c r="DO239" s="816"/>
      <c r="DP239" s="816"/>
      <c r="DQ239" s="816"/>
      <c r="DR239" s="816"/>
      <c r="DS239" s="816"/>
      <c r="DT239" s="816"/>
      <c r="DU239" s="816"/>
      <c r="DV239" s="816"/>
      <c r="DW239" s="816"/>
      <c r="DX239" s="816"/>
      <c r="DY239" s="816"/>
      <c r="DZ239" s="816"/>
      <c r="EA239" s="816"/>
      <c r="EB239" s="609"/>
      <c r="EC239" s="609"/>
      <c r="ED239" s="816"/>
      <c r="EE239" s="816"/>
      <c r="EF239" s="816"/>
      <c r="EG239" s="816"/>
      <c r="EH239" s="816"/>
      <c r="EI239" s="816"/>
      <c r="EJ239" s="816"/>
      <c r="EK239" s="816"/>
      <c r="EL239" s="816"/>
      <c r="EM239" s="816"/>
      <c r="EN239" s="816"/>
      <c r="EO239" s="816"/>
      <c r="EP239" s="816"/>
      <c r="EQ239" s="816"/>
      <c r="ER239" s="816"/>
      <c r="ES239" s="816"/>
      <c r="ET239" s="816"/>
      <c r="EU239" s="816"/>
      <c r="EV239" s="816"/>
      <c r="EW239" s="816"/>
      <c r="EX239" s="816"/>
      <c r="EY239" s="816"/>
      <c r="EZ239" s="816"/>
      <c r="FA239" s="816"/>
      <c r="FB239" s="819"/>
      <c r="FC239" s="816"/>
      <c r="FD239" s="820"/>
      <c r="FE239" s="820"/>
      <c r="FF239" s="820"/>
      <c r="FG239" s="820"/>
      <c r="FH239" s="817"/>
      <c r="FI239" s="609"/>
      <c r="FJ239" s="816"/>
      <c r="FK239" s="816"/>
      <c r="FL239" s="816"/>
      <c r="FM239" s="816"/>
      <c r="FN239" s="816"/>
      <c r="FO239" s="816"/>
      <c r="FP239" s="816"/>
      <c r="FQ239" s="816"/>
      <c r="FR239" s="816"/>
      <c r="FS239" s="816"/>
      <c r="FT239" s="816"/>
      <c r="FU239" s="816"/>
      <c r="FV239" s="816"/>
      <c r="FW239" s="816"/>
      <c r="FX239" s="609"/>
      <c r="FY239" s="609"/>
      <c r="FZ239" s="816"/>
      <c r="GA239" s="816"/>
      <c r="GB239" s="609"/>
      <c r="GC239" s="609"/>
      <c r="GD239" s="609"/>
      <c r="GE239" s="816"/>
      <c r="GF239" s="816"/>
      <c r="GG239" s="609"/>
      <c r="GH239" s="609"/>
      <c r="GI239" s="816"/>
      <c r="GJ239" s="816"/>
      <c r="GK239" s="609"/>
      <c r="GL239" s="609"/>
      <c r="GM239" s="816"/>
      <c r="GN239" s="816"/>
      <c r="GO239" s="816"/>
      <c r="GP239" s="816"/>
      <c r="GQ239" s="816"/>
      <c r="GR239" s="816"/>
      <c r="GS239" s="609"/>
      <c r="GT239" s="609"/>
      <c r="GU239" s="816"/>
      <c r="GV239" s="816"/>
      <c r="GW239" s="609"/>
      <c r="GX239" s="609"/>
      <c r="GY239" s="816"/>
      <c r="GZ239" s="816"/>
      <c r="HA239" s="609"/>
      <c r="HB239" s="609"/>
      <c r="HC239" s="816"/>
      <c r="HD239" s="816"/>
      <c r="HE239" s="816"/>
      <c r="HF239" s="816"/>
      <c r="HG239" s="816"/>
      <c r="HH239" s="816"/>
      <c r="HI239" s="821"/>
      <c r="HJ239" s="609"/>
      <c r="HK239" s="816"/>
      <c r="HL239" s="816"/>
      <c r="HM239" s="822"/>
      <c r="HN239" s="609"/>
      <c r="HO239" s="816"/>
      <c r="HP239" s="816"/>
      <c r="HQ239" s="609"/>
      <c r="HR239" s="816"/>
      <c r="HS239" s="816"/>
      <c r="HT239" s="816"/>
      <c r="HU239" s="816"/>
      <c r="HV239" s="816"/>
      <c r="HW239" s="816"/>
      <c r="HX239" s="816"/>
      <c r="HY239" s="816"/>
      <c r="HZ239" s="816"/>
      <c r="IA239" s="816"/>
      <c r="IB239" s="816"/>
      <c r="IC239" s="823"/>
      <c r="ID239" s="824"/>
      <c r="IE239" s="825"/>
      <c r="IF239" s="825"/>
      <c r="IG239" s="816"/>
      <c r="II239" s="834"/>
      <c r="IJ239" s="834"/>
      <c r="IK239" s="826"/>
      <c r="IL239" s="834"/>
    </row>
    <row r="240" spans="2:246" s="780" customFormat="1">
      <c r="B240" s="609"/>
      <c r="C240" s="609"/>
      <c r="D240" s="609"/>
      <c r="E240" s="609"/>
      <c r="F240" s="609"/>
      <c r="G240" s="609"/>
      <c r="H240" s="609"/>
      <c r="I240" s="609"/>
      <c r="J240" s="609"/>
      <c r="K240" s="609"/>
      <c r="L240" s="609"/>
      <c r="M240" s="609"/>
      <c r="N240" s="609"/>
      <c r="O240" s="609"/>
      <c r="P240" s="609"/>
      <c r="Q240" s="609"/>
      <c r="R240" s="609"/>
      <c r="S240" s="609"/>
      <c r="T240" s="609"/>
      <c r="U240" s="609"/>
      <c r="V240" s="609"/>
      <c r="W240" s="609"/>
      <c r="X240" s="609"/>
      <c r="Y240" s="609"/>
      <c r="Z240" s="816"/>
      <c r="AA240" s="816"/>
      <c r="AB240" s="816"/>
      <c r="AC240" s="816"/>
      <c r="AD240" s="816"/>
      <c r="AE240" s="816"/>
      <c r="AF240" s="609"/>
      <c r="AG240" s="609"/>
      <c r="AH240" s="816"/>
      <c r="AI240" s="816"/>
      <c r="AJ240" s="609"/>
      <c r="AK240" s="609"/>
      <c r="AL240" s="816"/>
      <c r="AM240" s="816"/>
      <c r="AN240" s="816"/>
      <c r="AO240" s="816"/>
      <c r="AP240" s="816"/>
      <c r="AQ240" s="816"/>
      <c r="AR240" s="609"/>
      <c r="AS240" s="609"/>
      <c r="AT240" s="816"/>
      <c r="AU240" s="816"/>
      <c r="AV240" s="817"/>
      <c r="AW240" s="609"/>
      <c r="AX240" s="609"/>
      <c r="AY240" s="816"/>
      <c r="AZ240" s="816"/>
      <c r="BA240" s="816"/>
      <c r="BB240" s="816"/>
      <c r="BC240" s="816"/>
      <c r="BD240" s="816"/>
      <c r="BE240" s="816"/>
      <c r="BF240" s="816"/>
      <c r="BG240" s="816"/>
      <c r="BH240" s="816"/>
      <c r="BI240" s="816"/>
      <c r="BJ240" s="816"/>
      <c r="BK240" s="816"/>
      <c r="BL240" s="816"/>
      <c r="BM240" s="816"/>
      <c r="BN240" s="816"/>
      <c r="BO240" s="816"/>
      <c r="BP240" s="816"/>
      <c r="BQ240" s="816"/>
      <c r="BR240" s="816"/>
      <c r="BS240" s="816"/>
      <c r="BT240" s="609"/>
      <c r="BU240" s="609"/>
      <c r="BV240" s="609"/>
      <c r="BW240" s="818"/>
      <c r="BX240" s="816"/>
      <c r="BY240" s="816"/>
      <c r="BZ240" s="816"/>
      <c r="CA240" s="816"/>
      <c r="CB240" s="816"/>
      <c r="CC240" s="816"/>
      <c r="CD240" s="816"/>
      <c r="CE240" s="816"/>
      <c r="CF240" s="820"/>
      <c r="CG240" s="820"/>
      <c r="CH240" s="820"/>
      <c r="CI240" s="820"/>
      <c r="CJ240" s="609"/>
      <c r="CK240" s="609"/>
      <c r="CL240" s="816"/>
      <c r="CM240" s="816"/>
      <c r="CN240" s="609"/>
      <c r="CO240" s="609"/>
      <c r="CP240" s="816"/>
      <c r="CQ240" s="816"/>
      <c r="CR240" s="609"/>
      <c r="CS240" s="609"/>
      <c r="CT240" s="816"/>
      <c r="CU240" s="816"/>
      <c r="CV240" s="609"/>
      <c r="CW240" s="609"/>
      <c r="CX240" s="816"/>
      <c r="CY240" s="816"/>
      <c r="CZ240" s="816"/>
      <c r="DA240" s="816"/>
      <c r="DB240" s="816"/>
      <c r="DC240" s="816"/>
      <c r="DD240" s="816"/>
      <c r="DE240" s="816"/>
      <c r="DF240" s="816"/>
      <c r="DG240" s="816"/>
      <c r="DH240" s="816"/>
      <c r="DI240" s="816"/>
      <c r="DJ240" s="816"/>
      <c r="DK240" s="816"/>
      <c r="DL240" s="609"/>
      <c r="DM240" s="609"/>
      <c r="DN240" s="816"/>
      <c r="DO240" s="816"/>
      <c r="DP240" s="816"/>
      <c r="DQ240" s="816"/>
      <c r="DR240" s="816"/>
      <c r="DS240" s="816"/>
      <c r="DT240" s="816"/>
      <c r="DU240" s="816"/>
      <c r="DV240" s="816"/>
      <c r="DW240" s="816"/>
      <c r="DX240" s="816"/>
      <c r="DY240" s="816"/>
      <c r="DZ240" s="816"/>
      <c r="EA240" s="816"/>
      <c r="EB240" s="609"/>
      <c r="EC240" s="609"/>
      <c r="ED240" s="816"/>
      <c r="EE240" s="816"/>
      <c r="EF240" s="816"/>
      <c r="EG240" s="816"/>
      <c r="EH240" s="816"/>
      <c r="EI240" s="816"/>
      <c r="EJ240" s="816"/>
      <c r="EK240" s="816"/>
      <c r="EL240" s="816"/>
      <c r="EM240" s="816"/>
      <c r="EN240" s="816"/>
      <c r="EO240" s="816"/>
      <c r="EP240" s="816"/>
      <c r="EQ240" s="816"/>
      <c r="ER240" s="816"/>
      <c r="ES240" s="816"/>
      <c r="ET240" s="816"/>
      <c r="EU240" s="816"/>
      <c r="EV240" s="816"/>
      <c r="EW240" s="816"/>
      <c r="EX240" s="816"/>
      <c r="EY240" s="816"/>
      <c r="EZ240" s="816"/>
      <c r="FA240" s="816"/>
      <c r="FB240" s="819"/>
      <c r="FC240" s="816"/>
      <c r="FD240" s="820"/>
      <c r="FE240" s="820"/>
      <c r="FF240" s="820"/>
      <c r="FG240" s="820"/>
      <c r="FH240" s="609"/>
      <c r="FI240" s="609"/>
      <c r="FJ240" s="816"/>
      <c r="FK240" s="816"/>
      <c r="FL240" s="816"/>
      <c r="FM240" s="816"/>
      <c r="FN240" s="816"/>
      <c r="FO240" s="816"/>
      <c r="FP240" s="816"/>
      <c r="FQ240" s="816"/>
      <c r="FR240" s="816"/>
      <c r="FS240" s="816"/>
      <c r="FT240" s="816"/>
      <c r="FU240" s="816"/>
      <c r="FV240" s="816"/>
      <c r="FW240" s="816"/>
      <c r="FX240" s="609"/>
      <c r="FY240" s="609"/>
      <c r="FZ240" s="816"/>
      <c r="GA240" s="816"/>
      <c r="GB240" s="609"/>
      <c r="GC240" s="609"/>
      <c r="GD240" s="609"/>
      <c r="GE240" s="816"/>
      <c r="GF240" s="816"/>
      <c r="GG240" s="609"/>
      <c r="GH240" s="609"/>
      <c r="GI240" s="816"/>
      <c r="GJ240" s="816"/>
      <c r="GK240" s="609"/>
      <c r="GL240" s="609"/>
      <c r="GM240" s="816"/>
      <c r="GN240" s="816"/>
      <c r="GO240" s="816"/>
      <c r="GP240" s="816"/>
      <c r="GQ240" s="816"/>
      <c r="GR240" s="816"/>
      <c r="GS240" s="609"/>
      <c r="GT240" s="609"/>
      <c r="GU240" s="816"/>
      <c r="GV240" s="816"/>
      <c r="GW240" s="609"/>
      <c r="GX240" s="609"/>
      <c r="GY240" s="816"/>
      <c r="GZ240" s="816"/>
      <c r="HA240" s="609"/>
      <c r="HB240" s="609"/>
      <c r="HC240" s="816"/>
      <c r="HD240" s="816"/>
      <c r="HE240" s="816"/>
      <c r="HF240" s="816"/>
      <c r="HG240" s="816"/>
      <c r="HH240" s="816"/>
      <c r="HI240" s="821"/>
      <c r="HJ240" s="609"/>
      <c r="HK240" s="816"/>
      <c r="HL240" s="816"/>
      <c r="HM240" s="822"/>
      <c r="HN240" s="609"/>
      <c r="HO240" s="816"/>
      <c r="HP240" s="816"/>
      <c r="HQ240" s="609"/>
      <c r="HR240" s="816"/>
      <c r="HS240" s="816"/>
      <c r="HT240" s="816"/>
      <c r="HU240" s="816"/>
      <c r="HV240" s="816"/>
      <c r="HW240" s="816"/>
      <c r="HX240" s="816"/>
      <c r="HY240" s="816"/>
      <c r="HZ240" s="816"/>
      <c r="IA240" s="816"/>
      <c r="IB240" s="816"/>
      <c r="IC240" s="823"/>
      <c r="ID240" s="824"/>
      <c r="IE240" s="825"/>
      <c r="IF240" s="825"/>
      <c r="IG240" s="816"/>
      <c r="II240" s="834"/>
      <c r="IJ240" s="834"/>
      <c r="IK240" s="826"/>
      <c r="IL240" s="834"/>
    </row>
    <row r="241" spans="2:246" s="780" customFormat="1">
      <c r="B241" s="609"/>
      <c r="C241" s="609"/>
      <c r="D241" s="609"/>
      <c r="E241" s="609"/>
      <c r="F241" s="609"/>
      <c r="G241" s="609"/>
      <c r="H241" s="609"/>
      <c r="I241" s="609"/>
      <c r="J241" s="609"/>
      <c r="K241" s="609"/>
      <c r="L241" s="609"/>
      <c r="M241" s="609"/>
      <c r="N241" s="609"/>
      <c r="O241" s="609"/>
      <c r="P241" s="609"/>
      <c r="Q241" s="609"/>
      <c r="R241" s="609"/>
      <c r="S241" s="609"/>
      <c r="T241" s="609"/>
      <c r="U241" s="609"/>
      <c r="V241" s="609"/>
      <c r="W241" s="609"/>
      <c r="X241" s="609"/>
      <c r="Y241" s="609"/>
      <c r="Z241" s="816"/>
      <c r="AA241" s="816"/>
      <c r="AB241" s="816"/>
      <c r="AC241" s="816"/>
      <c r="AD241" s="816"/>
      <c r="AE241" s="816"/>
      <c r="AF241" s="609"/>
      <c r="AG241" s="609"/>
      <c r="AH241" s="816"/>
      <c r="AI241" s="816"/>
      <c r="AJ241" s="609"/>
      <c r="AK241" s="609"/>
      <c r="AL241" s="816"/>
      <c r="AM241" s="816"/>
      <c r="AN241" s="816"/>
      <c r="AO241" s="816"/>
      <c r="AP241" s="816"/>
      <c r="AQ241" s="816"/>
      <c r="AR241" s="609"/>
      <c r="AS241" s="609"/>
      <c r="AT241" s="816"/>
      <c r="AU241" s="816"/>
      <c r="AV241" s="817"/>
      <c r="AW241" s="609"/>
      <c r="AX241" s="609"/>
      <c r="AY241" s="816"/>
      <c r="AZ241" s="816"/>
      <c r="BA241" s="816"/>
      <c r="BB241" s="816"/>
      <c r="BC241" s="816"/>
      <c r="BD241" s="816"/>
      <c r="BE241" s="816"/>
      <c r="BF241" s="816"/>
      <c r="BG241" s="816"/>
      <c r="BH241" s="816"/>
      <c r="BI241" s="816"/>
      <c r="BJ241" s="816"/>
      <c r="BK241" s="816"/>
      <c r="BL241" s="816"/>
      <c r="BM241" s="816"/>
      <c r="BN241" s="816"/>
      <c r="BO241" s="816"/>
      <c r="BP241" s="816"/>
      <c r="BQ241" s="816"/>
      <c r="BR241" s="816"/>
      <c r="BS241" s="816"/>
      <c r="BT241" s="609"/>
      <c r="BU241" s="609"/>
      <c r="BV241" s="609"/>
      <c r="BW241" s="818"/>
      <c r="BX241" s="816"/>
      <c r="BY241" s="816"/>
      <c r="BZ241" s="816"/>
      <c r="CA241" s="816"/>
      <c r="CB241" s="816"/>
      <c r="CC241" s="816"/>
      <c r="CD241" s="816"/>
      <c r="CE241" s="816"/>
      <c r="CF241" s="820"/>
      <c r="CG241" s="820"/>
      <c r="CH241" s="820"/>
      <c r="CI241" s="820"/>
      <c r="CJ241" s="609"/>
      <c r="CK241" s="609"/>
      <c r="CL241" s="816"/>
      <c r="CM241" s="816"/>
      <c r="CN241" s="609"/>
      <c r="CO241" s="609"/>
      <c r="CP241" s="816"/>
      <c r="CQ241" s="816"/>
      <c r="CR241" s="609"/>
      <c r="CS241" s="609"/>
      <c r="CT241" s="816"/>
      <c r="CU241" s="816"/>
      <c r="CV241" s="609"/>
      <c r="CW241" s="609"/>
      <c r="CX241" s="816"/>
      <c r="CY241" s="816"/>
      <c r="CZ241" s="816"/>
      <c r="DA241" s="816"/>
      <c r="DB241" s="816"/>
      <c r="DC241" s="816"/>
      <c r="DD241" s="816"/>
      <c r="DE241" s="816"/>
      <c r="DF241" s="816"/>
      <c r="DG241" s="816"/>
      <c r="DH241" s="816"/>
      <c r="DI241" s="816"/>
      <c r="DJ241" s="816"/>
      <c r="DK241" s="816"/>
      <c r="DL241" s="609"/>
      <c r="DM241" s="609"/>
      <c r="DN241" s="816"/>
      <c r="DO241" s="816"/>
      <c r="DP241" s="816"/>
      <c r="DQ241" s="816"/>
      <c r="DR241" s="816"/>
      <c r="DS241" s="816"/>
      <c r="DT241" s="816"/>
      <c r="DU241" s="816"/>
      <c r="DV241" s="816"/>
      <c r="DW241" s="816"/>
      <c r="DX241" s="816"/>
      <c r="DY241" s="816"/>
      <c r="DZ241" s="816"/>
      <c r="EA241" s="816"/>
      <c r="EB241" s="609"/>
      <c r="EC241" s="609"/>
      <c r="ED241" s="816"/>
      <c r="EE241" s="816"/>
      <c r="EF241" s="816"/>
      <c r="EG241" s="816"/>
      <c r="EH241" s="816"/>
      <c r="EI241" s="816"/>
      <c r="EJ241" s="816"/>
      <c r="EK241" s="816"/>
      <c r="EL241" s="816"/>
      <c r="EM241" s="816"/>
      <c r="EN241" s="816"/>
      <c r="EO241" s="816"/>
      <c r="EP241" s="816"/>
      <c r="EQ241" s="816"/>
      <c r="ER241" s="816"/>
      <c r="ES241" s="816"/>
      <c r="ET241" s="816"/>
      <c r="EU241" s="816"/>
      <c r="EV241" s="816"/>
      <c r="EW241" s="816"/>
      <c r="EX241" s="816"/>
      <c r="EY241" s="816"/>
      <c r="EZ241" s="816"/>
      <c r="FA241" s="816"/>
      <c r="FB241" s="819"/>
      <c r="FC241" s="816"/>
      <c r="FD241" s="820"/>
      <c r="FE241" s="820"/>
      <c r="FF241" s="820"/>
      <c r="FG241" s="820"/>
      <c r="FH241" s="609"/>
      <c r="FI241" s="609"/>
      <c r="FJ241" s="816"/>
      <c r="FK241" s="816"/>
      <c r="FL241" s="816"/>
      <c r="FM241" s="816"/>
      <c r="FN241" s="816"/>
      <c r="FO241" s="816"/>
      <c r="FP241" s="816"/>
      <c r="FQ241" s="816"/>
      <c r="FR241" s="816"/>
      <c r="FS241" s="816"/>
      <c r="FT241" s="816"/>
      <c r="FU241" s="816"/>
      <c r="FV241" s="816"/>
      <c r="FW241" s="816"/>
      <c r="FX241" s="609"/>
      <c r="FY241" s="609"/>
      <c r="FZ241" s="816"/>
      <c r="GA241" s="816"/>
      <c r="GB241" s="609"/>
      <c r="GC241" s="609"/>
      <c r="GD241" s="609"/>
      <c r="GE241" s="816"/>
      <c r="GF241" s="816"/>
      <c r="GG241" s="609"/>
      <c r="GH241" s="609"/>
      <c r="GI241" s="816"/>
      <c r="GJ241" s="816"/>
      <c r="GK241" s="609"/>
      <c r="GL241" s="609"/>
      <c r="GM241" s="816"/>
      <c r="GN241" s="816"/>
      <c r="GO241" s="816"/>
      <c r="GP241" s="816"/>
      <c r="GQ241" s="816"/>
      <c r="GR241" s="816"/>
      <c r="GS241" s="609"/>
      <c r="GT241" s="609"/>
      <c r="GU241" s="816"/>
      <c r="GV241" s="816"/>
      <c r="GW241" s="609"/>
      <c r="GX241" s="609"/>
      <c r="GY241" s="816"/>
      <c r="GZ241" s="816"/>
      <c r="HA241" s="609"/>
      <c r="HB241" s="609"/>
      <c r="HC241" s="816"/>
      <c r="HD241" s="816"/>
      <c r="HE241" s="816"/>
      <c r="HF241" s="816"/>
      <c r="HG241" s="816"/>
      <c r="HH241" s="816"/>
      <c r="HI241" s="821"/>
      <c r="HJ241" s="609"/>
      <c r="HK241" s="816"/>
      <c r="HL241" s="816"/>
      <c r="HM241" s="822"/>
      <c r="HN241" s="609"/>
      <c r="HO241" s="816"/>
      <c r="HP241" s="816"/>
      <c r="HQ241" s="609"/>
      <c r="HR241" s="816"/>
      <c r="HS241" s="816"/>
      <c r="HT241" s="816"/>
      <c r="HU241" s="816"/>
      <c r="HV241" s="816"/>
      <c r="HW241" s="816"/>
      <c r="HX241" s="816"/>
      <c r="HY241" s="816"/>
      <c r="HZ241" s="816"/>
      <c r="IA241" s="816"/>
      <c r="IB241" s="816"/>
      <c r="IC241" s="823"/>
      <c r="ID241" s="824"/>
      <c r="IE241" s="825"/>
      <c r="IF241" s="825"/>
      <c r="IG241" s="816"/>
      <c r="II241" s="834"/>
      <c r="IJ241" s="834"/>
      <c r="IK241" s="826"/>
      <c r="IL241" s="834"/>
    </row>
    <row r="242" spans="2:246" s="780" customFormat="1">
      <c r="B242" s="609"/>
      <c r="C242" s="609"/>
      <c r="D242" s="609"/>
      <c r="E242" s="609"/>
      <c r="F242" s="609"/>
      <c r="G242" s="609"/>
      <c r="H242" s="609"/>
      <c r="I242" s="609"/>
      <c r="J242" s="609"/>
      <c r="K242" s="609"/>
      <c r="L242" s="609"/>
      <c r="M242" s="609"/>
      <c r="N242" s="609"/>
      <c r="O242" s="609"/>
      <c r="P242" s="609"/>
      <c r="Q242" s="609"/>
      <c r="R242" s="609"/>
      <c r="S242" s="609"/>
      <c r="T242" s="609"/>
      <c r="U242" s="609"/>
      <c r="V242" s="609"/>
      <c r="W242" s="609"/>
      <c r="X242" s="609"/>
      <c r="Y242" s="609"/>
      <c r="Z242" s="816"/>
      <c r="AA242" s="816"/>
      <c r="AB242" s="816"/>
      <c r="AC242" s="816"/>
      <c r="AD242" s="816"/>
      <c r="AE242" s="816"/>
      <c r="AF242" s="609"/>
      <c r="AG242" s="609"/>
      <c r="AH242" s="816"/>
      <c r="AI242" s="816"/>
      <c r="AJ242" s="609"/>
      <c r="AK242" s="609"/>
      <c r="AL242" s="816"/>
      <c r="AM242" s="816"/>
      <c r="AN242" s="816"/>
      <c r="AO242" s="816"/>
      <c r="AP242" s="816"/>
      <c r="AQ242" s="816"/>
      <c r="AR242" s="609"/>
      <c r="AS242" s="609"/>
      <c r="AT242" s="816"/>
      <c r="AU242" s="816"/>
      <c r="AV242" s="817"/>
      <c r="AW242" s="609"/>
      <c r="AX242" s="609"/>
      <c r="AY242" s="816"/>
      <c r="AZ242" s="816"/>
      <c r="BA242" s="816"/>
      <c r="BB242" s="816"/>
      <c r="BC242" s="816"/>
      <c r="BD242" s="816"/>
      <c r="BE242" s="816"/>
      <c r="BF242" s="816"/>
      <c r="BG242" s="816"/>
      <c r="BH242" s="816"/>
      <c r="BI242" s="816"/>
      <c r="BJ242" s="816"/>
      <c r="BK242" s="816"/>
      <c r="BL242" s="816"/>
      <c r="BM242" s="816"/>
      <c r="BN242" s="816"/>
      <c r="BO242" s="816"/>
      <c r="BP242" s="816"/>
      <c r="BQ242" s="816"/>
      <c r="BR242" s="816"/>
      <c r="BS242" s="816"/>
      <c r="BT242" s="609"/>
      <c r="BU242" s="609"/>
      <c r="BV242" s="609"/>
      <c r="BW242" s="818"/>
      <c r="BX242" s="816"/>
      <c r="BY242" s="816"/>
      <c r="BZ242" s="816"/>
      <c r="CA242" s="816"/>
      <c r="CB242" s="816"/>
      <c r="CC242" s="816"/>
      <c r="CD242" s="816"/>
      <c r="CE242" s="816"/>
      <c r="CF242" s="820"/>
      <c r="CG242" s="820"/>
      <c r="CH242" s="820"/>
      <c r="CI242" s="820"/>
      <c r="CJ242" s="609"/>
      <c r="CK242" s="609"/>
      <c r="CL242" s="816"/>
      <c r="CM242" s="816"/>
      <c r="CN242" s="609"/>
      <c r="CO242" s="609"/>
      <c r="CP242" s="816"/>
      <c r="CQ242" s="816"/>
      <c r="CR242" s="609"/>
      <c r="CS242" s="609"/>
      <c r="CT242" s="816"/>
      <c r="CU242" s="816"/>
      <c r="CV242" s="609"/>
      <c r="CW242" s="609"/>
      <c r="CX242" s="816"/>
      <c r="CY242" s="816"/>
      <c r="CZ242" s="816"/>
      <c r="DA242" s="816"/>
      <c r="DB242" s="816"/>
      <c r="DC242" s="816"/>
      <c r="DD242" s="816"/>
      <c r="DE242" s="816"/>
      <c r="DF242" s="816"/>
      <c r="DG242" s="816"/>
      <c r="DH242" s="816"/>
      <c r="DI242" s="816"/>
      <c r="DJ242" s="816"/>
      <c r="DK242" s="816"/>
      <c r="DL242" s="609"/>
      <c r="DM242" s="609"/>
      <c r="DN242" s="816"/>
      <c r="DO242" s="816"/>
      <c r="DP242" s="816"/>
      <c r="DQ242" s="816"/>
      <c r="DR242" s="816"/>
      <c r="DS242" s="816"/>
      <c r="DT242" s="816"/>
      <c r="DU242" s="816"/>
      <c r="DV242" s="816"/>
      <c r="DW242" s="816"/>
      <c r="DX242" s="816"/>
      <c r="DY242" s="816"/>
      <c r="DZ242" s="816"/>
      <c r="EA242" s="816"/>
      <c r="EB242" s="609"/>
      <c r="EC242" s="609"/>
      <c r="ED242" s="816"/>
      <c r="EE242" s="816"/>
      <c r="EF242" s="816"/>
      <c r="EG242" s="816"/>
      <c r="EH242" s="816"/>
      <c r="EI242" s="816"/>
      <c r="EJ242" s="816"/>
      <c r="EK242" s="816"/>
      <c r="EL242" s="816"/>
      <c r="EM242" s="816"/>
      <c r="EN242" s="816"/>
      <c r="EO242" s="816"/>
      <c r="EP242" s="816"/>
      <c r="EQ242" s="816"/>
      <c r="ER242" s="816"/>
      <c r="ES242" s="816"/>
      <c r="ET242" s="816"/>
      <c r="EU242" s="816"/>
      <c r="EV242" s="816"/>
      <c r="EW242" s="816"/>
      <c r="EX242" s="816"/>
      <c r="EY242" s="816"/>
      <c r="EZ242" s="816"/>
      <c r="FA242" s="816"/>
      <c r="FB242" s="819"/>
      <c r="FC242" s="816"/>
      <c r="FD242" s="820"/>
      <c r="FE242" s="820"/>
      <c r="FF242" s="820"/>
      <c r="FG242" s="820"/>
      <c r="FH242" s="609"/>
      <c r="FI242" s="609"/>
      <c r="FJ242" s="816"/>
      <c r="FK242" s="816"/>
      <c r="FL242" s="816"/>
      <c r="FM242" s="816"/>
      <c r="FN242" s="816"/>
      <c r="FO242" s="816"/>
      <c r="FP242" s="816"/>
      <c r="FQ242" s="816"/>
      <c r="FR242" s="816"/>
      <c r="FS242" s="816"/>
      <c r="FT242" s="816"/>
      <c r="FU242" s="816"/>
      <c r="FV242" s="816"/>
      <c r="FW242" s="816"/>
      <c r="FX242" s="609"/>
      <c r="FY242" s="609"/>
      <c r="FZ242" s="816"/>
      <c r="GA242" s="816"/>
      <c r="GB242" s="609"/>
      <c r="GC242" s="609"/>
      <c r="GD242" s="609"/>
      <c r="GE242" s="816"/>
      <c r="GF242" s="816"/>
      <c r="GG242" s="609"/>
      <c r="GH242" s="609"/>
      <c r="GI242" s="816"/>
      <c r="GJ242" s="816"/>
      <c r="GK242" s="609"/>
      <c r="GL242" s="609"/>
      <c r="GM242" s="816"/>
      <c r="GN242" s="816"/>
      <c r="GO242" s="816"/>
      <c r="GP242" s="816"/>
      <c r="GQ242" s="816"/>
      <c r="GR242" s="816"/>
      <c r="GS242" s="609"/>
      <c r="GT242" s="609"/>
      <c r="GU242" s="816"/>
      <c r="GV242" s="816"/>
      <c r="GW242" s="609"/>
      <c r="GX242" s="609"/>
      <c r="GY242" s="816"/>
      <c r="GZ242" s="816"/>
      <c r="HA242" s="609"/>
      <c r="HB242" s="609"/>
      <c r="HC242" s="816"/>
      <c r="HD242" s="816"/>
      <c r="HE242" s="816"/>
      <c r="HF242" s="816"/>
      <c r="HG242" s="816"/>
      <c r="HH242" s="816"/>
      <c r="HI242" s="821"/>
      <c r="HJ242" s="609"/>
      <c r="HK242" s="816"/>
      <c r="HL242" s="816"/>
      <c r="HM242" s="822"/>
      <c r="HN242" s="609"/>
      <c r="HO242" s="816"/>
      <c r="HP242" s="816"/>
      <c r="HQ242" s="609"/>
      <c r="HR242" s="816"/>
      <c r="HS242" s="816"/>
      <c r="HT242" s="816"/>
      <c r="HU242" s="816"/>
      <c r="HV242" s="816"/>
      <c r="HW242" s="816"/>
      <c r="HX242" s="816"/>
      <c r="HY242" s="816"/>
      <c r="HZ242" s="816"/>
      <c r="IA242" s="816"/>
      <c r="IB242" s="816"/>
      <c r="IC242" s="823"/>
      <c r="ID242" s="824"/>
      <c r="IE242" s="825"/>
      <c r="IF242" s="825"/>
      <c r="IG242" s="816"/>
      <c r="II242" s="834"/>
      <c r="IJ242" s="834"/>
      <c r="IK242" s="826"/>
      <c r="IL242" s="834"/>
    </row>
    <row r="243" spans="2:246" s="780" customFormat="1">
      <c r="B243" s="609"/>
      <c r="C243" s="609"/>
      <c r="D243" s="609"/>
      <c r="E243" s="609"/>
      <c r="F243" s="609"/>
      <c r="G243" s="609"/>
      <c r="H243" s="609"/>
      <c r="I243" s="609"/>
      <c r="J243" s="609"/>
      <c r="K243" s="609"/>
      <c r="L243" s="609"/>
      <c r="M243" s="609"/>
      <c r="N243" s="609"/>
      <c r="O243" s="609"/>
      <c r="P243" s="609"/>
      <c r="Q243" s="609"/>
      <c r="R243" s="609"/>
      <c r="S243" s="609"/>
      <c r="T243" s="609"/>
      <c r="U243" s="609"/>
      <c r="V243" s="609"/>
      <c r="W243" s="609"/>
      <c r="X243" s="609"/>
      <c r="Y243" s="609"/>
      <c r="Z243" s="816"/>
      <c r="AA243" s="816"/>
      <c r="AB243" s="816"/>
      <c r="AC243" s="816"/>
      <c r="AD243" s="816"/>
      <c r="AE243" s="816"/>
      <c r="AF243" s="609"/>
      <c r="AG243" s="609"/>
      <c r="AH243" s="816"/>
      <c r="AI243" s="816"/>
      <c r="AJ243" s="609"/>
      <c r="AK243" s="609"/>
      <c r="AL243" s="816"/>
      <c r="AM243" s="816"/>
      <c r="AN243" s="816"/>
      <c r="AO243" s="816"/>
      <c r="AP243" s="816"/>
      <c r="AQ243" s="816"/>
      <c r="AR243" s="609"/>
      <c r="AS243" s="609"/>
      <c r="AT243" s="816"/>
      <c r="AU243" s="816"/>
      <c r="AV243" s="817"/>
      <c r="AW243" s="609"/>
      <c r="AX243" s="609"/>
      <c r="AY243" s="816"/>
      <c r="AZ243" s="816"/>
      <c r="BA243" s="816"/>
      <c r="BB243" s="816"/>
      <c r="BC243" s="816"/>
      <c r="BD243" s="816"/>
      <c r="BE243" s="816"/>
      <c r="BF243" s="816"/>
      <c r="BG243" s="816"/>
      <c r="BH243" s="816"/>
      <c r="BI243" s="816"/>
      <c r="BJ243" s="816"/>
      <c r="BK243" s="816"/>
      <c r="BL243" s="816"/>
      <c r="BM243" s="816"/>
      <c r="BN243" s="816"/>
      <c r="BO243" s="816"/>
      <c r="BP243" s="816"/>
      <c r="BQ243" s="816"/>
      <c r="BR243" s="816"/>
      <c r="BS243" s="816"/>
      <c r="BT243" s="609"/>
      <c r="BU243" s="609"/>
      <c r="BV243" s="609"/>
      <c r="BW243" s="818"/>
      <c r="BX243" s="816"/>
      <c r="BY243" s="816"/>
      <c r="BZ243" s="816"/>
      <c r="CA243" s="816"/>
      <c r="CB243" s="816"/>
      <c r="CC243" s="816"/>
      <c r="CD243" s="816"/>
      <c r="CE243" s="816"/>
      <c r="CF243" s="820"/>
      <c r="CG243" s="820"/>
      <c r="CH243" s="820"/>
      <c r="CI243" s="820"/>
      <c r="CJ243" s="609"/>
      <c r="CK243" s="609"/>
      <c r="CL243" s="816"/>
      <c r="CM243" s="816"/>
      <c r="CN243" s="609"/>
      <c r="CO243" s="609"/>
      <c r="CP243" s="816"/>
      <c r="CQ243" s="816"/>
      <c r="CR243" s="609"/>
      <c r="CS243" s="609"/>
      <c r="CT243" s="816"/>
      <c r="CU243" s="816"/>
      <c r="CV243" s="609"/>
      <c r="CW243" s="609"/>
      <c r="CX243" s="816"/>
      <c r="CY243" s="816"/>
      <c r="CZ243" s="816"/>
      <c r="DA243" s="816"/>
      <c r="DB243" s="816"/>
      <c r="DC243" s="816"/>
      <c r="DD243" s="816"/>
      <c r="DE243" s="816"/>
      <c r="DF243" s="816"/>
      <c r="DG243" s="816"/>
      <c r="DH243" s="816"/>
      <c r="DI243" s="816"/>
      <c r="DJ243" s="816"/>
      <c r="DK243" s="816"/>
      <c r="DL243" s="609"/>
      <c r="DM243" s="609"/>
      <c r="DN243" s="816"/>
      <c r="DO243" s="816"/>
      <c r="DP243" s="816"/>
      <c r="DQ243" s="816"/>
      <c r="DR243" s="816"/>
      <c r="DS243" s="816"/>
      <c r="DT243" s="816"/>
      <c r="DU243" s="816"/>
      <c r="DV243" s="816"/>
      <c r="DW243" s="816"/>
      <c r="DX243" s="816"/>
      <c r="DY243" s="816"/>
      <c r="DZ243" s="816"/>
      <c r="EA243" s="816"/>
      <c r="EB243" s="609"/>
      <c r="EC243" s="609"/>
      <c r="ED243" s="816"/>
      <c r="EE243" s="816"/>
      <c r="EF243" s="816"/>
      <c r="EG243" s="816"/>
      <c r="EH243" s="816"/>
      <c r="EI243" s="816"/>
      <c r="EJ243" s="816"/>
      <c r="EK243" s="816"/>
      <c r="EL243" s="816"/>
      <c r="EM243" s="816"/>
      <c r="EN243" s="816"/>
      <c r="EO243" s="816"/>
      <c r="EP243" s="816"/>
      <c r="EQ243" s="816"/>
      <c r="ER243" s="816"/>
      <c r="ES243" s="816"/>
      <c r="ET243" s="816"/>
      <c r="EU243" s="816"/>
      <c r="EV243" s="816"/>
      <c r="EW243" s="816"/>
      <c r="EX243" s="816"/>
      <c r="EY243" s="816"/>
      <c r="EZ243" s="816"/>
      <c r="FA243" s="816"/>
      <c r="FB243" s="819"/>
      <c r="FC243" s="816"/>
      <c r="FD243" s="820"/>
      <c r="FE243" s="820"/>
      <c r="FF243" s="820"/>
      <c r="FG243" s="820"/>
      <c r="FH243" s="609"/>
      <c r="FI243" s="609"/>
      <c r="FJ243" s="816"/>
      <c r="FK243" s="816"/>
      <c r="FL243" s="816"/>
      <c r="FM243" s="816"/>
      <c r="FN243" s="816"/>
      <c r="FO243" s="816"/>
      <c r="FP243" s="816"/>
      <c r="FQ243" s="816"/>
      <c r="FR243" s="816"/>
      <c r="FS243" s="816"/>
      <c r="FT243" s="816"/>
      <c r="FU243" s="816"/>
      <c r="FV243" s="816"/>
      <c r="FW243" s="816"/>
      <c r="FX243" s="609"/>
      <c r="FY243" s="609"/>
      <c r="FZ243" s="816"/>
      <c r="GA243" s="816"/>
      <c r="GB243" s="609"/>
      <c r="GC243" s="609"/>
      <c r="GD243" s="609"/>
      <c r="GE243" s="816"/>
      <c r="GF243" s="816"/>
      <c r="GG243" s="609"/>
      <c r="GH243" s="609"/>
      <c r="GI243" s="816"/>
      <c r="GJ243" s="816"/>
      <c r="GK243" s="609"/>
      <c r="GL243" s="609"/>
      <c r="GM243" s="816"/>
      <c r="GN243" s="816"/>
      <c r="GO243" s="816"/>
      <c r="GP243" s="816"/>
      <c r="GQ243" s="816"/>
      <c r="GR243" s="816"/>
      <c r="GS243" s="609"/>
      <c r="GT243" s="609"/>
      <c r="GU243" s="816"/>
      <c r="GV243" s="816"/>
      <c r="GW243" s="609"/>
      <c r="GX243" s="609"/>
      <c r="GY243" s="816"/>
      <c r="GZ243" s="816"/>
      <c r="HA243" s="609"/>
      <c r="HB243" s="609"/>
      <c r="HC243" s="816"/>
      <c r="HD243" s="816"/>
      <c r="HE243" s="816"/>
      <c r="HF243" s="816"/>
      <c r="HG243" s="816"/>
      <c r="HH243" s="816"/>
      <c r="HI243" s="821"/>
      <c r="HJ243" s="609"/>
      <c r="HK243" s="816"/>
      <c r="HL243" s="816"/>
      <c r="HM243" s="822"/>
      <c r="HN243" s="609"/>
      <c r="HO243" s="816"/>
      <c r="HP243" s="816"/>
      <c r="HQ243" s="609"/>
      <c r="HR243" s="816"/>
      <c r="HS243" s="816"/>
      <c r="HT243" s="816"/>
      <c r="HU243" s="816"/>
      <c r="HV243" s="816"/>
      <c r="HW243" s="816"/>
      <c r="HX243" s="816"/>
      <c r="HY243" s="816"/>
      <c r="HZ243" s="816"/>
      <c r="IA243" s="816"/>
      <c r="IB243" s="816"/>
      <c r="IC243" s="823"/>
      <c r="ID243" s="824"/>
      <c r="IE243" s="825"/>
      <c r="IF243" s="825"/>
      <c r="IG243" s="816"/>
      <c r="II243" s="834"/>
      <c r="IJ243" s="834"/>
      <c r="IK243" s="826"/>
      <c r="IL243" s="834"/>
    </row>
    <row r="244" spans="2:246" s="780" customFormat="1">
      <c r="B244" s="609"/>
      <c r="C244" s="609"/>
      <c r="D244" s="609"/>
      <c r="E244" s="609"/>
      <c r="F244" s="609"/>
      <c r="G244" s="609"/>
      <c r="H244" s="609"/>
      <c r="I244" s="609"/>
      <c r="J244" s="609"/>
      <c r="K244" s="609"/>
      <c r="L244" s="609"/>
      <c r="M244" s="609"/>
      <c r="N244" s="609"/>
      <c r="O244" s="609"/>
      <c r="P244" s="609"/>
      <c r="Q244" s="609"/>
      <c r="R244" s="609"/>
      <c r="S244" s="609"/>
      <c r="T244" s="609"/>
      <c r="U244" s="609"/>
      <c r="V244" s="609"/>
      <c r="W244" s="609"/>
      <c r="X244" s="609"/>
      <c r="Y244" s="609"/>
      <c r="Z244" s="816"/>
      <c r="AA244" s="816"/>
      <c r="AB244" s="816"/>
      <c r="AC244" s="816"/>
      <c r="AD244" s="816"/>
      <c r="AE244" s="816"/>
      <c r="AF244" s="609"/>
      <c r="AG244" s="609"/>
      <c r="AH244" s="816"/>
      <c r="AI244" s="816"/>
      <c r="AJ244" s="609"/>
      <c r="AK244" s="609"/>
      <c r="AL244" s="816"/>
      <c r="AM244" s="816"/>
      <c r="AN244" s="816"/>
      <c r="AO244" s="816"/>
      <c r="AP244" s="816"/>
      <c r="AQ244" s="816"/>
      <c r="AR244" s="609"/>
      <c r="AS244" s="609"/>
      <c r="AT244" s="816"/>
      <c r="AU244" s="816"/>
      <c r="AV244" s="817"/>
      <c r="AW244" s="609"/>
      <c r="AX244" s="609"/>
      <c r="AY244" s="816"/>
      <c r="AZ244" s="816"/>
      <c r="BA244" s="816"/>
      <c r="BB244" s="816"/>
      <c r="BC244" s="816"/>
      <c r="BD244" s="816"/>
      <c r="BE244" s="816"/>
      <c r="BF244" s="816"/>
      <c r="BG244" s="816"/>
      <c r="BH244" s="816"/>
      <c r="BI244" s="816"/>
      <c r="BJ244" s="816"/>
      <c r="BK244" s="816"/>
      <c r="BL244" s="816"/>
      <c r="BM244" s="816"/>
      <c r="BN244" s="816"/>
      <c r="BO244" s="816"/>
      <c r="BP244" s="816"/>
      <c r="BQ244" s="816"/>
      <c r="BR244" s="816"/>
      <c r="BS244" s="816"/>
      <c r="BT244" s="609"/>
      <c r="BU244" s="609"/>
      <c r="BV244" s="609"/>
      <c r="BW244" s="818"/>
      <c r="BX244" s="816"/>
      <c r="BY244" s="816"/>
      <c r="BZ244" s="816"/>
      <c r="CA244" s="816"/>
      <c r="CB244" s="816"/>
      <c r="CC244" s="816"/>
      <c r="CD244" s="816"/>
      <c r="CE244" s="816"/>
      <c r="CF244" s="820"/>
      <c r="CG244" s="820"/>
      <c r="CH244" s="820"/>
      <c r="CI244" s="820"/>
      <c r="CJ244" s="609"/>
      <c r="CK244" s="609"/>
      <c r="CL244" s="816"/>
      <c r="CM244" s="816"/>
      <c r="CN244" s="609"/>
      <c r="CO244" s="609"/>
      <c r="CP244" s="816"/>
      <c r="CQ244" s="816"/>
      <c r="CR244" s="609"/>
      <c r="CS244" s="609"/>
      <c r="CT244" s="816"/>
      <c r="CU244" s="816"/>
      <c r="CV244" s="609"/>
      <c r="CW244" s="609"/>
      <c r="CX244" s="816"/>
      <c r="CY244" s="816"/>
      <c r="CZ244" s="816"/>
      <c r="DA244" s="816"/>
      <c r="DB244" s="816"/>
      <c r="DC244" s="816"/>
      <c r="DD244" s="816"/>
      <c r="DE244" s="816"/>
      <c r="DF244" s="816"/>
      <c r="DG244" s="816"/>
      <c r="DH244" s="816"/>
      <c r="DI244" s="816"/>
      <c r="DJ244" s="816"/>
      <c r="DK244" s="816"/>
      <c r="DL244" s="609"/>
      <c r="DM244" s="609"/>
      <c r="DN244" s="816"/>
      <c r="DO244" s="816"/>
      <c r="DP244" s="816"/>
      <c r="DQ244" s="816"/>
      <c r="DR244" s="816"/>
      <c r="DS244" s="816"/>
      <c r="DT244" s="816"/>
      <c r="DU244" s="816"/>
      <c r="DV244" s="816"/>
      <c r="DW244" s="816"/>
      <c r="DX244" s="816"/>
      <c r="DY244" s="816"/>
      <c r="DZ244" s="816"/>
      <c r="EA244" s="816"/>
      <c r="EB244" s="609"/>
      <c r="EC244" s="609"/>
      <c r="ED244" s="816"/>
      <c r="EE244" s="816"/>
      <c r="EF244" s="816"/>
      <c r="EG244" s="816"/>
      <c r="EH244" s="816"/>
      <c r="EI244" s="816"/>
      <c r="EJ244" s="816"/>
      <c r="EK244" s="816"/>
      <c r="EL244" s="816"/>
      <c r="EM244" s="816"/>
      <c r="EN244" s="816"/>
      <c r="EO244" s="816"/>
      <c r="EP244" s="816"/>
      <c r="EQ244" s="816"/>
      <c r="ER244" s="816"/>
      <c r="ES244" s="816"/>
      <c r="ET244" s="816"/>
      <c r="EU244" s="816"/>
      <c r="EV244" s="816"/>
      <c r="EW244" s="816"/>
      <c r="EX244" s="816"/>
      <c r="EY244" s="816"/>
      <c r="EZ244" s="816"/>
      <c r="FA244" s="816"/>
      <c r="FB244" s="819"/>
      <c r="FC244" s="816"/>
      <c r="FD244" s="820"/>
      <c r="FE244" s="820"/>
      <c r="FF244" s="820"/>
      <c r="FG244" s="820"/>
      <c r="FH244" s="609"/>
      <c r="FI244" s="609"/>
      <c r="FJ244" s="816"/>
      <c r="FK244" s="816"/>
      <c r="FL244" s="816"/>
      <c r="FM244" s="816"/>
      <c r="FN244" s="816"/>
      <c r="FO244" s="816"/>
      <c r="FP244" s="816"/>
      <c r="FQ244" s="816"/>
      <c r="FR244" s="816"/>
      <c r="FS244" s="816"/>
      <c r="FT244" s="816"/>
      <c r="FU244" s="816"/>
      <c r="FV244" s="816"/>
      <c r="FW244" s="816"/>
      <c r="FX244" s="609"/>
      <c r="FY244" s="609"/>
      <c r="FZ244" s="816"/>
      <c r="GA244" s="816"/>
      <c r="GB244" s="609"/>
      <c r="GC244" s="609"/>
      <c r="GD244" s="609"/>
      <c r="GE244" s="816"/>
      <c r="GF244" s="816"/>
      <c r="GG244" s="609"/>
      <c r="GH244" s="609"/>
      <c r="GI244" s="816"/>
      <c r="GJ244" s="816"/>
      <c r="GK244" s="609"/>
      <c r="GL244" s="609"/>
      <c r="GM244" s="816"/>
      <c r="GN244" s="816"/>
      <c r="GO244" s="816"/>
      <c r="GP244" s="816"/>
      <c r="GQ244" s="816"/>
      <c r="GR244" s="816"/>
      <c r="GS244" s="609"/>
      <c r="GT244" s="609"/>
      <c r="GU244" s="816"/>
      <c r="GV244" s="816"/>
      <c r="GW244" s="609"/>
      <c r="GX244" s="609"/>
      <c r="GY244" s="816"/>
      <c r="GZ244" s="816"/>
      <c r="HA244" s="609"/>
      <c r="HB244" s="609"/>
      <c r="HC244" s="816"/>
      <c r="HD244" s="816"/>
      <c r="HE244" s="816"/>
      <c r="HF244" s="816"/>
      <c r="HG244" s="816"/>
      <c r="HH244" s="816"/>
      <c r="HI244" s="821"/>
      <c r="HJ244" s="609"/>
      <c r="HK244" s="816"/>
      <c r="HL244" s="816"/>
      <c r="HM244" s="822"/>
      <c r="HN244" s="609"/>
      <c r="HO244" s="816"/>
      <c r="HP244" s="816"/>
      <c r="HQ244" s="609"/>
      <c r="HR244" s="816"/>
      <c r="HS244" s="816"/>
      <c r="HT244" s="816"/>
      <c r="HU244" s="816"/>
      <c r="HV244" s="816"/>
      <c r="HW244" s="816"/>
      <c r="HX244" s="816"/>
      <c r="HY244" s="816"/>
      <c r="HZ244" s="816"/>
      <c r="IA244" s="816"/>
      <c r="IB244" s="816"/>
      <c r="IC244" s="823"/>
      <c r="ID244" s="824"/>
      <c r="IE244" s="825"/>
      <c r="IF244" s="825"/>
      <c r="IG244" s="816"/>
      <c r="II244" s="834"/>
      <c r="IJ244" s="834"/>
      <c r="IK244" s="826"/>
      <c r="IL244" s="834"/>
    </row>
    <row r="245" spans="2:246" s="780" customFormat="1">
      <c r="B245" s="609"/>
      <c r="C245" s="609"/>
      <c r="D245" s="609"/>
      <c r="E245" s="609"/>
      <c r="F245" s="609"/>
      <c r="G245" s="609"/>
      <c r="H245" s="609"/>
      <c r="I245" s="609"/>
      <c r="J245" s="609"/>
      <c r="K245" s="609"/>
      <c r="L245" s="609"/>
      <c r="M245" s="609"/>
      <c r="N245" s="609"/>
      <c r="O245" s="609"/>
      <c r="P245" s="609"/>
      <c r="Q245" s="609"/>
      <c r="R245" s="609"/>
      <c r="S245" s="609"/>
      <c r="T245" s="609"/>
      <c r="U245" s="609"/>
      <c r="V245" s="609"/>
      <c r="W245" s="609"/>
      <c r="X245" s="609"/>
      <c r="Y245" s="609"/>
      <c r="Z245" s="816"/>
      <c r="AA245" s="816"/>
      <c r="AB245" s="816"/>
      <c r="AC245" s="816"/>
      <c r="AD245" s="816"/>
      <c r="AE245" s="816"/>
      <c r="AF245" s="609"/>
      <c r="AG245" s="609"/>
      <c r="AH245" s="816"/>
      <c r="AI245" s="816"/>
      <c r="AJ245" s="609"/>
      <c r="AK245" s="609"/>
      <c r="AL245" s="816"/>
      <c r="AM245" s="816"/>
      <c r="AN245" s="816"/>
      <c r="AO245" s="816"/>
      <c r="AP245" s="816"/>
      <c r="AQ245" s="816"/>
      <c r="AR245" s="609"/>
      <c r="AS245" s="609"/>
      <c r="AT245" s="816"/>
      <c r="AU245" s="816"/>
      <c r="AV245" s="817"/>
      <c r="AW245" s="609"/>
      <c r="AX245" s="609"/>
      <c r="AY245" s="816"/>
      <c r="AZ245" s="816"/>
      <c r="BA245" s="816"/>
      <c r="BB245" s="816"/>
      <c r="BC245" s="816"/>
      <c r="BD245" s="816"/>
      <c r="BE245" s="816"/>
      <c r="BF245" s="816"/>
      <c r="BG245" s="816"/>
      <c r="BH245" s="816"/>
      <c r="BI245" s="816"/>
      <c r="BJ245" s="816"/>
      <c r="BK245" s="816"/>
      <c r="BL245" s="816"/>
      <c r="BM245" s="816"/>
      <c r="BN245" s="816"/>
      <c r="BO245" s="816"/>
      <c r="BP245" s="816"/>
      <c r="BQ245" s="816"/>
      <c r="BR245" s="816"/>
      <c r="BS245" s="816"/>
      <c r="BT245" s="609"/>
      <c r="BU245" s="609"/>
      <c r="BV245" s="609"/>
      <c r="BW245" s="818"/>
      <c r="BX245" s="816"/>
      <c r="BY245" s="816"/>
      <c r="BZ245" s="816"/>
      <c r="CA245" s="816"/>
      <c r="CB245" s="816"/>
      <c r="CC245" s="816"/>
      <c r="CD245" s="816"/>
      <c r="CE245" s="816"/>
      <c r="CF245" s="820"/>
      <c r="CG245" s="820"/>
      <c r="CH245" s="820"/>
      <c r="CI245" s="820"/>
      <c r="CJ245" s="609"/>
      <c r="CK245" s="609"/>
      <c r="CL245" s="816"/>
      <c r="CM245" s="816"/>
      <c r="CN245" s="609"/>
      <c r="CO245" s="609"/>
      <c r="CP245" s="816"/>
      <c r="CQ245" s="816"/>
      <c r="CR245" s="609"/>
      <c r="CS245" s="609"/>
      <c r="CT245" s="816"/>
      <c r="CU245" s="816"/>
      <c r="CV245" s="609"/>
      <c r="CW245" s="609"/>
      <c r="CX245" s="816"/>
      <c r="CY245" s="816"/>
      <c r="CZ245" s="816"/>
      <c r="DA245" s="816"/>
      <c r="DB245" s="816"/>
      <c r="DC245" s="816"/>
      <c r="DD245" s="816"/>
      <c r="DE245" s="816"/>
      <c r="DF245" s="816"/>
      <c r="DG245" s="816"/>
      <c r="DH245" s="816"/>
      <c r="DI245" s="816"/>
      <c r="DJ245" s="816"/>
      <c r="DK245" s="816"/>
      <c r="DL245" s="609"/>
      <c r="DM245" s="609"/>
      <c r="DN245" s="816"/>
      <c r="DO245" s="816"/>
      <c r="DP245" s="816"/>
      <c r="DQ245" s="816"/>
      <c r="DR245" s="816"/>
      <c r="DS245" s="816"/>
      <c r="DT245" s="816"/>
      <c r="DU245" s="816"/>
      <c r="DV245" s="816"/>
      <c r="DW245" s="816"/>
      <c r="DX245" s="816"/>
      <c r="DY245" s="816"/>
      <c r="DZ245" s="816"/>
      <c r="EA245" s="816"/>
      <c r="EB245" s="609"/>
      <c r="EC245" s="609"/>
      <c r="ED245" s="816"/>
      <c r="EE245" s="816"/>
      <c r="EF245" s="816"/>
      <c r="EG245" s="816"/>
      <c r="EH245" s="816"/>
      <c r="EI245" s="816"/>
      <c r="EJ245" s="816"/>
      <c r="EK245" s="816"/>
      <c r="EL245" s="816"/>
      <c r="EM245" s="816"/>
      <c r="EN245" s="816"/>
      <c r="EO245" s="816"/>
      <c r="EP245" s="816"/>
      <c r="EQ245" s="816"/>
      <c r="ER245" s="816"/>
      <c r="ES245" s="816"/>
      <c r="ET245" s="816"/>
      <c r="EU245" s="816"/>
      <c r="EV245" s="816"/>
      <c r="EW245" s="816"/>
      <c r="EX245" s="816"/>
      <c r="EY245" s="816"/>
      <c r="EZ245" s="816"/>
      <c r="FA245" s="816"/>
      <c r="FB245" s="819"/>
      <c r="FC245" s="816"/>
      <c r="FD245" s="820"/>
      <c r="FE245" s="820"/>
      <c r="FF245" s="820"/>
      <c r="FG245" s="820"/>
      <c r="FH245" s="609"/>
      <c r="FI245" s="609"/>
      <c r="FJ245" s="816"/>
      <c r="FK245" s="816"/>
      <c r="FL245" s="816"/>
      <c r="FM245" s="816"/>
      <c r="FN245" s="816"/>
      <c r="FO245" s="816"/>
      <c r="FP245" s="816"/>
      <c r="FQ245" s="816"/>
      <c r="FR245" s="816"/>
      <c r="FS245" s="816"/>
      <c r="FT245" s="816"/>
      <c r="FU245" s="816"/>
      <c r="FV245" s="816"/>
      <c r="FW245" s="816"/>
      <c r="FX245" s="609"/>
      <c r="FY245" s="609"/>
      <c r="FZ245" s="816"/>
      <c r="GA245" s="816"/>
      <c r="GB245" s="609"/>
      <c r="GC245" s="609"/>
      <c r="GD245" s="609"/>
      <c r="GE245" s="816"/>
      <c r="GF245" s="816"/>
      <c r="GG245" s="609"/>
      <c r="GH245" s="609"/>
      <c r="GI245" s="816"/>
      <c r="GJ245" s="816"/>
      <c r="GK245" s="609"/>
      <c r="GL245" s="609"/>
      <c r="GM245" s="816"/>
      <c r="GN245" s="816"/>
      <c r="GO245" s="816"/>
      <c r="GP245" s="816"/>
      <c r="GQ245" s="816"/>
      <c r="GR245" s="816"/>
      <c r="GS245" s="609"/>
      <c r="GT245" s="609"/>
      <c r="GU245" s="816"/>
      <c r="GV245" s="816"/>
      <c r="GW245" s="609"/>
      <c r="GX245" s="609"/>
      <c r="GY245" s="816"/>
      <c r="GZ245" s="816"/>
      <c r="HA245" s="609"/>
      <c r="HB245" s="609"/>
      <c r="HC245" s="816"/>
      <c r="HD245" s="816"/>
      <c r="HE245" s="816"/>
      <c r="HF245" s="816"/>
      <c r="HG245" s="816"/>
      <c r="HH245" s="816"/>
      <c r="HI245" s="821"/>
      <c r="HJ245" s="609"/>
      <c r="HK245" s="816"/>
      <c r="HL245" s="816"/>
      <c r="HM245" s="822"/>
      <c r="HN245" s="609"/>
      <c r="HO245" s="816"/>
      <c r="HP245" s="816"/>
      <c r="HQ245" s="609"/>
      <c r="HR245" s="816"/>
      <c r="HS245" s="816"/>
      <c r="HT245" s="816"/>
      <c r="HU245" s="816"/>
      <c r="HV245" s="816"/>
      <c r="HW245" s="816"/>
      <c r="HX245" s="816"/>
      <c r="HY245" s="816"/>
      <c r="HZ245" s="816"/>
      <c r="IA245" s="816"/>
      <c r="IB245" s="816"/>
      <c r="IC245" s="823"/>
      <c r="ID245" s="824"/>
      <c r="IE245" s="825"/>
      <c r="IF245" s="825"/>
      <c r="IG245" s="816"/>
      <c r="II245" s="834"/>
      <c r="IJ245" s="834"/>
      <c r="IK245" s="826"/>
      <c r="IL245" s="834"/>
    </row>
    <row r="246" spans="2:246" s="780" customFormat="1">
      <c r="B246" s="609"/>
      <c r="C246" s="609"/>
      <c r="D246" s="609"/>
      <c r="E246" s="609"/>
      <c r="F246" s="609"/>
      <c r="G246" s="609"/>
      <c r="H246" s="609"/>
      <c r="I246" s="609"/>
      <c r="J246" s="609"/>
      <c r="K246" s="609"/>
      <c r="L246" s="609"/>
      <c r="M246" s="609"/>
      <c r="N246" s="609"/>
      <c r="O246" s="609"/>
      <c r="P246" s="609"/>
      <c r="Q246" s="609"/>
      <c r="R246" s="609"/>
      <c r="S246" s="609"/>
      <c r="T246" s="609"/>
      <c r="U246" s="609"/>
      <c r="V246" s="609"/>
      <c r="W246" s="609"/>
      <c r="X246" s="609"/>
      <c r="Y246" s="609"/>
      <c r="Z246" s="816"/>
      <c r="AA246" s="816"/>
      <c r="AB246" s="816"/>
      <c r="AC246" s="816"/>
      <c r="AD246" s="816"/>
      <c r="AE246" s="816"/>
      <c r="AF246" s="609"/>
      <c r="AG246" s="609"/>
      <c r="AH246" s="816"/>
      <c r="AI246" s="816"/>
      <c r="AJ246" s="609"/>
      <c r="AK246" s="609"/>
      <c r="AL246" s="816"/>
      <c r="AM246" s="816"/>
      <c r="AN246" s="816"/>
      <c r="AO246" s="816"/>
      <c r="AP246" s="816"/>
      <c r="AQ246" s="816"/>
      <c r="AR246" s="609"/>
      <c r="AS246" s="609"/>
      <c r="AT246" s="816"/>
      <c r="AU246" s="816"/>
      <c r="AV246" s="817"/>
      <c r="AW246" s="609"/>
      <c r="AX246" s="609"/>
      <c r="AY246" s="816"/>
      <c r="AZ246" s="816"/>
      <c r="BA246" s="816"/>
      <c r="BB246" s="816"/>
      <c r="BC246" s="816"/>
      <c r="BD246" s="816"/>
      <c r="BE246" s="816"/>
      <c r="BF246" s="816"/>
      <c r="BG246" s="816"/>
      <c r="BH246" s="816"/>
      <c r="BI246" s="816"/>
      <c r="BJ246" s="816"/>
      <c r="BK246" s="816"/>
      <c r="BL246" s="816"/>
      <c r="BM246" s="816"/>
      <c r="BN246" s="816"/>
      <c r="BO246" s="816"/>
      <c r="BP246" s="816"/>
      <c r="BQ246" s="816"/>
      <c r="BR246" s="816"/>
      <c r="BS246" s="816"/>
      <c r="BT246" s="609"/>
      <c r="BU246" s="609"/>
      <c r="BV246" s="609"/>
      <c r="BW246" s="818"/>
      <c r="BX246" s="816"/>
      <c r="BY246" s="816"/>
      <c r="BZ246" s="816"/>
      <c r="CA246" s="816"/>
      <c r="CB246" s="816"/>
      <c r="CC246" s="816"/>
      <c r="CD246" s="816"/>
      <c r="CE246" s="816"/>
      <c r="CF246" s="820"/>
      <c r="CG246" s="820"/>
      <c r="CH246" s="820"/>
      <c r="CI246" s="820"/>
      <c r="CJ246" s="609"/>
      <c r="CK246" s="609"/>
      <c r="CL246" s="816"/>
      <c r="CM246" s="816"/>
      <c r="CN246" s="609"/>
      <c r="CO246" s="609"/>
      <c r="CP246" s="816"/>
      <c r="CQ246" s="816"/>
      <c r="CR246" s="609"/>
      <c r="CS246" s="609"/>
      <c r="CT246" s="816"/>
      <c r="CU246" s="816"/>
      <c r="CV246" s="609"/>
      <c r="CW246" s="609"/>
      <c r="CX246" s="816"/>
      <c r="CY246" s="816"/>
      <c r="CZ246" s="816"/>
      <c r="DA246" s="816"/>
      <c r="DB246" s="816"/>
      <c r="DC246" s="816"/>
      <c r="DD246" s="816"/>
      <c r="DE246" s="816"/>
      <c r="DF246" s="816"/>
      <c r="DG246" s="816"/>
      <c r="DH246" s="816"/>
      <c r="DI246" s="816"/>
      <c r="DJ246" s="816"/>
      <c r="DK246" s="816"/>
      <c r="DL246" s="609"/>
      <c r="DM246" s="609"/>
      <c r="DN246" s="816"/>
      <c r="DO246" s="816"/>
      <c r="DP246" s="816"/>
      <c r="DQ246" s="816"/>
      <c r="DR246" s="816"/>
      <c r="DS246" s="816"/>
      <c r="DT246" s="816"/>
      <c r="DU246" s="816"/>
      <c r="DV246" s="816"/>
      <c r="DW246" s="816"/>
      <c r="DX246" s="816"/>
      <c r="DY246" s="816"/>
      <c r="DZ246" s="816"/>
      <c r="EA246" s="816"/>
      <c r="EB246" s="609"/>
      <c r="EC246" s="609"/>
      <c r="ED246" s="816"/>
      <c r="EE246" s="816"/>
      <c r="EF246" s="816"/>
      <c r="EG246" s="816"/>
      <c r="EH246" s="816"/>
      <c r="EI246" s="816"/>
      <c r="EJ246" s="816"/>
      <c r="EK246" s="816"/>
      <c r="EL246" s="816"/>
      <c r="EM246" s="816"/>
      <c r="EN246" s="816"/>
      <c r="EO246" s="816"/>
      <c r="EP246" s="816"/>
      <c r="EQ246" s="816"/>
      <c r="ER246" s="816"/>
      <c r="ES246" s="816"/>
      <c r="ET246" s="816"/>
      <c r="EU246" s="816"/>
      <c r="EV246" s="816"/>
      <c r="EW246" s="816"/>
      <c r="EX246" s="816"/>
      <c r="EY246" s="816"/>
      <c r="EZ246" s="816"/>
      <c r="FA246" s="816"/>
      <c r="FB246" s="819"/>
      <c r="FC246" s="816"/>
      <c r="FD246" s="820"/>
      <c r="FE246" s="820"/>
      <c r="FF246" s="820"/>
      <c r="FG246" s="820"/>
      <c r="FH246" s="609"/>
      <c r="FI246" s="609"/>
      <c r="FJ246" s="816"/>
      <c r="FK246" s="816"/>
      <c r="FL246" s="816"/>
      <c r="FM246" s="816"/>
      <c r="FN246" s="816"/>
      <c r="FO246" s="816"/>
      <c r="FP246" s="816"/>
      <c r="FQ246" s="816"/>
      <c r="FR246" s="816"/>
      <c r="FS246" s="816"/>
      <c r="FT246" s="816"/>
      <c r="FU246" s="816"/>
      <c r="FV246" s="816"/>
      <c r="FW246" s="816"/>
      <c r="FX246" s="609"/>
      <c r="FY246" s="609"/>
      <c r="FZ246" s="816"/>
      <c r="GA246" s="816"/>
      <c r="GB246" s="609"/>
      <c r="GC246" s="609"/>
      <c r="GD246" s="609"/>
      <c r="GE246" s="816"/>
      <c r="GF246" s="816"/>
      <c r="GG246" s="609"/>
      <c r="GH246" s="609"/>
      <c r="GI246" s="816"/>
      <c r="GJ246" s="816"/>
      <c r="GK246" s="609"/>
      <c r="GL246" s="609"/>
      <c r="GM246" s="816"/>
      <c r="GN246" s="816"/>
      <c r="GO246" s="816"/>
      <c r="GP246" s="816"/>
      <c r="GQ246" s="816"/>
      <c r="GR246" s="816"/>
      <c r="GS246" s="609"/>
      <c r="GT246" s="609"/>
      <c r="GU246" s="816"/>
      <c r="GV246" s="816"/>
      <c r="GW246" s="609"/>
      <c r="GX246" s="609"/>
      <c r="GY246" s="816"/>
      <c r="GZ246" s="816"/>
      <c r="HA246" s="609"/>
      <c r="HB246" s="609"/>
      <c r="HC246" s="816"/>
      <c r="HD246" s="816"/>
      <c r="HE246" s="816"/>
      <c r="HF246" s="816"/>
      <c r="HG246" s="816"/>
      <c r="HH246" s="816"/>
      <c r="HI246" s="821"/>
      <c r="HJ246" s="609"/>
      <c r="HK246" s="816"/>
      <c r="HL246" s="816"/>
      <c r="HM246" s="822"/>
      <c r="HN246" s="609"/>
      <c r="HO246" s="816"/>
      <c r="HP246" s="816"/>
      <c r="HQ246" s="609"/>
      <c r="HR246" s="816"/>
      <c r="HS246" s="816"/>
      <c r="HT246" s="816"/>
      <c r="HU246" s="816"/>
      <c r="HV246" s="816"/>
      <c r="HW246" s="816"/>
      <c r="HX246" s="816"/>
      <c r="HY246" s="816"/>
      <c r="HZ246" s="816"/>
      <c r="IA246" s="816"/>
      <c r="IB246" s="816"/>
      <c r="IC246" s="823"/>
      <c r="ID246" s="824"/>
      <c r="IE246" s="825"/>
      <c r="IF246" s="825"/>
      <c r="IG246" s="816"/>
      <c r="II246" s="834"/>
      <c r="IJ246" s="834"/>
      <c r="IK246" s="826"/>
      <c r="IL246" s="834"/>
    </row>
    <row r="247" spans="2:246" s="780" customFormat="1">
      <c r="B247" s="609"/>
      <c r="C247" s="609"/>
      <c r="D247" s="609"/>
      <c r="E247" s="609"/>
      <c r="F247" s="609"/>
      <c r="G247" s="609"/>
      <c r="H247" s="609"/>
      <c r="I247" s="609"/>
      <c r="J247" s="609"/>
      <c r="K247" s="609"/>
      <c r="L247" s="609"/>
      <c r="M247" s="609"/>
      <c r="N247" s="609"/>
      <c r="O247" s="609"/>
      <c r="P247" s="609"/>
      <c r="Q247" s="609"/>
      <c r="R247" s="609"/>
      <c r="S247" s="609"/>
      <c r="T247" s="609"/>
      <c r="U247" s="609"/>
      <c r="V247" s="609"/>
      <c r="W247" s="609"/>
      <c r="X247" s="609"/>
      <c r="Y247" s="609"/>
      <c r="Z247" s="816"/>
      <c r="AA247" s="816"/>
      <c r="AB247" s="816"/>
      <c r="AC247" s="816"/>
      <c r="AD247" s="816"/>
      <c r="AE247" s="816"/>
      <c r="AF247" s="609"/>
      <c r="AG247" s="609"/>
      <c r="AH247" s="816"/>
      <c r="AI247" s="816"/>
      <c r="AJ247" s="609"/>
      <c r="AK247" s="609"/>
      <c r="AL247" s="816"/>
      <c r="AM247" s="816"/>
      <c r="AN247" s="816"/>
      <c r="AO247" s="816"/>
      <c r="AP247" s="816"/>
      <c r="AQ247" s="816"/>
      <c r="AR247" s="609"/>
      <c r="AS247" s="609"/>
      <c r="AT247" s="816"/>
      <c r="AU247" s="816"/>
      <c r="AV247" s="817"/>
      <c r="AW247" s="609"/>
      <c r="AX247" s="609"/>
      <c r="AY247" s="816"/>
      <c r="AZ247" s="816"/>
      <c r="BA247" s="816"/>
      <c r="BB247" s="816"/>
      <c r="BC247" s="816"/>
      <c r="BD247" s="816"/>
      <c r="BE247" s="816"/>
      <c r="BF247" s="816"/>
      <c r="BG247" s="816"/>
      <c r="BH247" s="816"/>
      <c r="BI247" s="816"/>
      <c r="BJ247" s="816"/>
      <c r="BK247" s="816"/>
      <c r="BL247" s="816"/>
      <c r="BM247" s="816"/>
      <c r="BN247" s="816"/>
      <c r="BO247" s="816"/>
      <c r="BP247" s="816"/>
      <c r="BQ247" s="816"/>
      <c r="BR247" s="816"/>
      <c r="BS247" s="816"/>
      <c r="BT247" s="609"/>
      <c r="BU247" s="609"/>
      <c r="BV247" s="609"/>
      <c r="BW247" s="818"/>
      <c r="BX247" s="816"/>
      <c r="BY247" s="816"/>
      <c r="BZ247" s="816"/>
      <c r="CA247" s="816"/>
      <c r="CB247" s="816"/>
      <c r="CC247" s="816"/>
      <c r="CD247" s="816"/>
      <c r="CE247" s="816"/>
      <c r="CF247" s="820"/>
      <c r="CG247" s="820"/>
      <c r="CH247" s="820"/>
      <c r="CI247" s="820"/>
      <c r="CJ247" s="609"/>
      <c r="CK247" s="609"/>
      <c r="CL247" s="816"/>
      <c r="CM247" s="816"/>
      <c r="CN247" s="609"/>
      <c r="CO247" s="609"/>
      <c r="CP247" s="816"/>
      <c r="CQ247" s="816"/>
      <c r="CR247" s="609"/>
      <c r="CS247" s="609"/>
      <c r="CT247" s="816"/>
      <c r="CU247" s="816"/>
      <c r="CV247" s="609"/>
      <c r="CW247" s="609"/>
      <c r="CX247" s="816"/>
      <c r="CY247" s="816"/>
      <c r="CZ247" s="816"/>
      <c r="DA247" s="816"/>
      <c r="DB247" s="816"/>
      <c r="DC247" s="816"/>
      <c r="DD247" s="816"/>
      <c r="DE247" s="816"/>
      <c r="DF247" s="816"/>
      <c r="DG247" s="816"/>
      <c r="DH247" s="816"/>
      <c r="DI247" s="816"/>
      <c r="DJ247" s="816"/>
      <c r="DK247" s="816"/>
      <c r="DL247" s="609"/>
      <c r="DM247" s="609"/>
      <c r="DN247" s="816"/>
      <c r="DO247" s="816"/>
      <c r="DP247" s="816"/>
      <c r="DQ247" s="816"/>
      <c r="DR247" s="816"/>
      <c r="DS247" s="816"/>
      <c r="DT247" s="816"/>
      <c r="DU247" s="816"/>
      <c r="DV247" s="816"/>
      <c r="DW247" s="816"/>
      <c r="DX247" s="816"/>
      <c r="DY247" s="816"/>
      <c r="DZ247" s="816"/>
      <c r="EA247" s="816"/>
      <c r="EB247" s="609"/>
      <c r="EC247" s="609"/>
      <c r="ED247" s="816"/>
      <c r="EE247" s="816"/>
      <c r="EF247" s="816"/>
      <c r="EG247" s="816"/>
      <c r="EH247" s="816"/>
      <c r="EI247" s="816"/>
      <c r="EJ247" s="816"/>
      <c r="EK247" s="816"/>
      <c r="EL247" s="816"/>
      <c r="EM247" s="816"/>
      <c r="EN247" s="816"/>
      <c r="EO247" s="816"/>
      <c r="EP247" s="816"/>
      <c r="EQ247" s="816"/>
      <c r="ER247" s="816"/>
      <c r="ES247" s="816"/>
      <c r="ET247" s="816"/>
      <c r="EU247" s="816"/>
      <c r="EV247" s="816"/>
      <c r="EW247" s="816"/>
      <c r="EX247" s="816"/>
      <c r="EY247" s="816"/>
      <c r="EZ247" s="816"/>
      <c r="FA247" s="816"/>
      <c r="FB247" s="819"/>
      <c r="FC247" s="816"/>
      <c r="FD247" s="820"/>
      <c r="FE247" s="820"/>
      <c r="FF247" s="820"/>
      <c r="FG247" s="820"/>
      <c r="FH247" s="609"/>
      <c r="FI247" s="609"/>
      <c r="FJ247" s="816"/>
      <c r="FK247" s="816"/>
      <c r="FL247" s="816"/>
      <c r="FM247" s="816"/>
      <c r="FN247" s="816"/>
      <c r="FO247" s="816"/>
      <c r="FP247" s="816"/>
      <c r="FQ247" s="816"/>
      <c r="FR247" s="816"/>
      <c r="FS247" s="816"/>
      <c r="FT247" s="816"/>
      <c r="FU247" s="816"/>
      <c r="FV247" s="816"/>
      <c r="FW247" s="816"/>
      <c r="FX247" s="609"/>
      <c r="FY247" s="609"/>
      <c r="FZ247" s="816"/>
      <c r="GA247" s="816"/>
      <c r="GB247" s="609"/>
      <c r="GC247" s="609"/>
      <c r="GD247" s="609"/>
      <c r="GE247" s="816"/>
      <c r="GF247" s="816"/>
      <c r="GG247" s="609"/>
      <c r="GH247" s="609"/>
      <c r="GI247" s="816"/>
      <c r="GJ247" s="816"/>
      <c r="GK247" s="609"/>
      <c r="GL247" s="609"/>
      <c r="GM247" s="816"/>
      <c r="GN247" s="816"/>
      <c r="GO247" s="816"/>
      <c r="GP247" s="816"/>
      <c r="GQ247" s="816"/>
      <c r="GR247" s="816"/>
      <c r="GS247" s="609"/>
      <c r="GT247" s="609"/>
      <c r="GU247" s="816"/>
      <c r="GV247" s="816"/>
      <c r="GW247" s="609"/>
      <c r="GX247" s="609"/>
      <c r="GY247" s="816"/>
      <c r="GZ247" s="816"/>
      <c r="HA247" s="609"/>
      <c r="HB247" s="609"/>
      <c r="HC247" s="816"/>
      <c r="HD247" s="816"/>
      <c r="HE247" s="816"/>
      <c r="HF247" s="816"/>
      <c r="HG247" s="816"/>
      <c r="HH247" s="816"/>
      <c r="HI247" s="821"/>
      <c r="HJ247" s="609"/>
      <c r="HK247" s="816"/>
      <c r="HL247" s="816"/>
      <c r="HM247" s="822"/>
      <c r="HN247" s="609"/>
      <c r="HO247" s="816"/>
      <c r="HP247" s="816"/>
      <c r="HQ247" s="609"/>
      <c r="HR247" s="816"/>
      <c r="HS247" s="816"/>
      <c r="HT247" s="816"/>
      <c r="HU247" s="816"/>
      <c r="HV247" s="816"/>
      <c r="HW247" s="816"/>
      <c r="HX247" s="816"/>
      <c r="HY247" s="816"/>
      <c r="HZ247" s="816"/>
      <c r="IA247" s="816"/>
      <c r="IB247" s="816"/>
      <c r="IC247" s="823"/>
      <c r="ID247" s="824"/>
      <c r="IE247" s="825"/>
      <c r="IF247" s="825"/>
      <c r="IG247" s="816"/>
      <c r="II247" s="834"/>
      <c r="IJ247" s="834"/>
      <c r="IK247" s="826"/>
      <c r="IL247" s="834"/>
    </row>
    <row r="248" spans="2:246" s="780" customFormat="1">
      <c r="B248" s="609"/>
      <c r="C248" s="609"/>
      <c r="D248" s="609"/>
      <c r="E248" s="609"/>
      <c r="F248" s="609"/>
      <c r="G248" s="609"/>
      <c r="H248" s="609"/>
      <c r="I248" s="609"/>
      <c r="J248" s="609"/>
      <c r="K248" s="609"/>
      <c r="L248" s="609"/>
      <c r="M248" s="609"/>
      <c r="N248" s="609"/>
      <c r="O248" s="609"/>
      <c r="P248" s="609"/>
      <c r="Q248" s="609"/>
      <c r="R248" s="609"/>
      <c r="S248" s="609"/>
      <c r="T248" s="609"/>
      <c r="U248" s="609"/>
      <c r="V248" s="609"/>
      <c r="W248" s="609"/>
      <c r="X248" s="609"/>
      <c r="Y248" s="609"/>
      <c r="Z248" s="816"/>
      <c r="AA248" s="816"/>
      <c r="AB248" s="816"/>
      <c r="AC248" s="816"/>
      <c r="AD248" s="816"/>
      <c r="AE248" s="816"/>
      <c r="AF248" s="609"/>
      <c r="AG248" s="609"/>
      <c r="AH248" s="816"/>
      <c r="AI248" s="816"/>
      <c r="AJ248" s="609"/>
      <c r="AK248" s="609"/>
      <c r="AL248" s="816"/>
      <c r="AM248" s="816"/>
      <c r="AN248" s="816"/>
      <c r="AO248" s="816"/>
      <c r="AP248" s="816"/>
      <c r="AQ248" s="816"/>
      <c r="AR248" s="609"/>
      <c r="AS248" s="609"/>
      <c r="AT248" s="816"/>
      <c r="AU248" s="816"/>
      <c r="AV248" s="817"/>
      <c r="AW248" s="609"/>
      <c r="AX248" s="609"/>
      <c r="AY248" s="816"/>
      <c r="AZ248" s="816"/>
      <c r="BA248" s="816"/>
      <c r="BB248" s="816"/>
      <c r="BC248" s="816"/>
      <c r="BD248" s="816"/>
      <c r="BE248" s="816"/>
      <c r="BF248" s="816"/>
      <c r="BG248" s="816"/>
      <c r="BH248" s="816"/>
      <c r="BI248" s="816"/>
      <c r="BJ248" s="816"/>
      <c r="BK248" s="816"/>
      <c r="BL248" s="816"/>
      <c r="BM248" s="816"/>
      <c r="BN248" s="816"/>
      <c r="BO248" s="816"/>
      <c r="BP248" s="816"/>
      <c r="BQ248" s="816"/>
      <c r="BR248" s="816"/>
      <c r="BS248" s="816"/>
      <c r="BT248" s="609"/>
      <c r="BU248" s="609"/>
      <c r="BV248" s="609"/>
      <c r="BW248" s="818"/>
      <c r="BX248" s="816"/>
      <c r="BY248" s="816"/>
      <c r="BZ248" s="816"/>
      <c r="CA248" s="816"/>
      <c r="CB248" s="816"/>
      <c r="CC248" s="816"/>
      <c r="CD248" s="816"/>
      <c r="CE248" s="816"/>
      <c r="CF248" s="820"/>
      <c r="CG248" s="820"/>
      <c r="CH248" s="820"/>
      <c r="CI248" s="820"/>
      <c r="CJ248" s="609"/>
      <c r="CK248" s="609"/>
      <c r="CL248" s="816"/>
      <c r="CM248" s="816"/>
      <c r="CN248" s="609"/>
      <c r="CO248" s="609"/>
      <c r="CP248" s="816"/>
      <c r="CQ248" s="816"/>
      <c r="CR248" s="609"/>
      <c r="CS248" s="609"/>
      <c r="CT248" s="816"/>
      <c r="CU248" s="816"/>
      <c r="CV248" s="609"/>
      <c r="CW248" s="609"/>
      <c r="CX248" s="816"/>
      <c r="CY248" s="816"/>
      <c r="CZ248" s="816"/>
      <c r="DA248" s="816"/>
      <c r="DB248" s="816"/>
      <c r="DC248" s="816"/>
      <c r="DD248" s="816"/>
      <c r="DE248" s="816"/>
      <c r="DF248" s="816"/>
      <c r="DG248" s="816"/>
      <c r="DH248" s="816"/>
      <c r="DI248" s="816"/>
      <c r="DJ248" s="816"/>
      <c r="DK248" s="816"/>
      <c r="DL248" s="609"/>
      <c r="DM248" s="609"/>
      <c r="DN248" s="816"/>
      <c r="DO248" s="816"/>
      <c r="DP248" s="816"/>
      <c r="DQ248" s="816"/>
      <c r="DR248" s="816"/>
      <c r="DS248" s="816"/>
      <c r="DT248" s="816"/>
      <c r="DU248" s="816"/>
      <c r="DV248" s="816"/>
      <c r="DW248" s="816"/>
      <c r="DX248" s="816"/>
      <c r="DY248" s="816"/>
      <c r="DZ248" s="816"/>
      <c r="EA248" s="816"/>
      <c r="EB248" s="609"/>
      <c r="EC248" s="609"/>
      <c r="ED248" s="816"/>
      <c r="EE248" s="816"/>
      <c r="EF248" s="816"/>
      <c r="EG248" s="816"/>
      <c r="EH248" s="816"/>
      <c r="EI248" s="816"/>
      <c r="EJ248" s="816"/>
      <c r="EK248" s="816"/>
      <c r="EL248" s="816"/>
      <c r="EM248" s="816"/>
      <c r="EN248" s="816"/>
      <c r="EO248" s="816"/>
      <c r="EP248" s="816"/>
      <c r="EQ248" s="816"/>
      <c r="ER248" s="816"/>
      <c r="ES248" s="816"/>
      <c r="ET248" s="816"/>
      <c r="EU248" s="816"/>
      <c r="EV248" s="816"/>
      <c r="EW248" s="816"/>
      <c r="EX248" s="816"/>
      <c r="EY248" s="816"/>
      <c r="EZ248" s="816"/>
      <c r="FA248" s="816"/>
      <c r="FB248" s="819"/>
      <c r="FC248" s="816"/>
      <c r="FD248" s="820"/>
      <c r="FE248" s="820"/>
      <c r="FF248" s="820"/>
      <c r="FG248" s="820"/>
      <c r="FH248" s="609"/>
      <c r="FI248" s="609"/>
      <c r="FJ248" s="816"/>
      <c r="FK248" s="816"/>
      <c r="FL248" s="816"/>
      <c r="FM248" s="816"/>
      <c r="FN248" s="816"/>
      <c r="FO248" s="816"/>
      <c r="FP248" s="816"/>
      <c r="FQ248" s="816"/>
      <c r="FR248" s="816"/>
      <c r="FS248" s="816"/>
      <c r="FT248" s="816"/>
      <c r="FU248" s="816"/>
      <c r="FV248" s="816"/>
      <c r="FW248" s="816"/>
      <c r="FX248" s="609"/>
      <c r="FY248" s="609"/>
      <c r="FZ248" s="816"/>
      <c r="GA248" s="816"/>
      <c r="GB248" s="609"/>
      <c r="GC248" s="609"/>
      <c r="GD248" s="609"/>
      <c r="GE248" s="816"/>
      <c r="GF248" s="816"/>
      <c r="GG248" s="609"/>
      <c r="GH248" s="609"/>
      <c r="GI248" s="816"/>
      <c r="GJ248" s="816"/>
      <c r="GK248" s="609"/>
      <c r="GL248" s="609"/>
      <c r="GM248" s="816"/>
      <c r="GN248" s="816"/>
      <c r="GO248" s="816"/>
      <c r="GP248" s="816"/>
      <c r="GQ248" s="816"/>
      <c r="GR248" s="816"/>
      <c r="GS248" s="609"/>
      <c r="GT248" s="609"/>
      <c r="GU248" s="816"/>
      <c r="GV248" s="816"/>
      <c r="GW248" s="609"/>
      <c r="GX248" s="609"/>
      <c r="GY248" s="816"/>
      <c r="GZ248" s="816"/>
      <c r="HA248" s="609"/>
      <c r="HB248" s="609"/>
      <c r="HC248" s="816"/>
      <c r="HD248" s="816"/>
      <c r="HE248" s="816"/>
      <c r="HF248" s="816"/>
      <c r="HG248" s="816"/>
      <c r="HH248" s="816"/>
      <c r="HI248" s="821"/>
      <c r="HJ248" s="609"/>
      <c r="HK248" s="816"/>
      <c r="HL248" s="816"/>
      <c r="HM248" s="822"/>
      <c r="HN248" s="609"/>
      <c r="HO248" s="816"/>
      <c r="HP248" s="816"/>
      <c r="HQ248" s="609"/>
      <c r="HR248" s="816"/>
      <c r="HS248" s="816"/>
      <c r="HT248" s="816"/>
      <c r="HU248" s="816"/>
      <c r="HV248" s="816"/>
      <c r="HW248" s="816"/>
      <c r="HX248" s="816"/>
      <c r="HY248" s="816"/>
      <c r="HZ248" s="816"/>
      <c r="IA248" s="816"/>
      <c r="IB248" s="816"/>
      <c r="IC248" s="823"/>
      <c r="ID248" s="824"/>
      <c r="IE248" s="825"/>
      <c r="IF248" s="825"/>
      <c r="IG248" s="816"/>
      <c r="II248" s="834"/>
      <c r="IJ248" s="834"/>
      <c r="IK248" s="826"/>
      <c r="IL248" s="834"/>
    </row>
    <row r="249" spans="2:246" s="780" customFormat="1">
      <c r="B249" s="609"/>
      <c r="C249" s="609"/>
      <c r="D249" s="609"/>
      <c r="E249" s="609"/>
      <c r="F249" s="609"/>
      <c r="G249" s="609"/>
      <c r="H249" s="609"/>
      <c r="I249" s="609"/>
      <c r="J249" s="609"/>
      <c r="K249" s="609"/>
      <c r="L249" s="609"/>
      <c r="M249" s="609"/>
      <c r="N249" s="609"/>
      <c r="O249" s="609"/>
      <c r="P249" s="609"/>
      <c r="Q249" s="609"/>
      <c r="R249" s="609"/>
      <c r="S249" s="609"/>
      <c r="T249" s="609"/>
      <c r="U249" s="609"/>
      <c r="V249" s="609"/>
      <c r="W249" s="609"/>
      <c r="X249" s="609"/>
      <c r="Y249" s="609"/>
      <c r="Z249" s="816"/>
      <c r="AA249" s="816"/>
      <c r="AB249" s="816"/>
      <c r="AC249" s="816"/>
      <c r="AD249" s="816"/>
      <c r="AE249" s="816"/>
      <c r="AF249" s="609"/>
      <c r="AG249" s="609"/>
      <c r="AH249" s="816"/>
      <c r="AI249" s="816"/>
      <c r="AJ249" s="609"/>
      <c r="AK249" s="609"/>
      <c r="AL249" s="816"/>
      <c r="AM249" s="816"/>
      <c r="AN249" s="816"/>
      <c r="AO249" s="816"/>
      <c r="AP249" s="816"/>
      <c r="AQ249" s="816"/>
      <c r="AR249" s="609"/>
      <c r="AS249" s="609"/>
      <c r="AT249" s="816"/>
      <c r="AU249" s="816"/>
      <c r="AV249" s="817"/>
      <c r="AW249" s="609"/>
      <c r="AX249" s="609"/>
      <c r="AY249" s="816"/>
      <c r="AZ249" s="816"/>
      <c r="BA249" s="816"/>
      <c r="BB249" s="816"/>
      <c r="BC249" s="816"/>
      <c r="BD249" s="816"/>
      <c r="BE249" s="816"/>
      <c r="BF249" s="816"/>
      <c r="BG249" s="816"/>
      <c r="BH249" s="816"/>
      <c r="BI249" s="816"/>
      <c r="BJ249" s="816"/>
      <c r="BK249" s="816"/>
      <c r="BL249" s="816"/>
      <c r="BM249" s="816"/>
      <c r="BN249" s="816"/>
      <c r="BO249" s="816"/>
      <c r="BP249" s="816"/>
      <c r="BQ249" s="816"/>
      <c r="BR249" s="816"/>
      <c r="BS249" s="816"/>
      <c r="BT249" s="609"/>
      <c r="BU249" s="609"/>
      <c r="BV249" s="609"/>
      <c r="BW249" s="818"/>
      <c r="BX249" s="816"/>
      <c r="BY249" s="816"/>
      <c r="BZ249" s="816"/>
      <c r="CA249" s="816"/>
      <c r="CB249" s="816"/>
      <c r="CC249" s="816"/>
      <c r="CD249" s="816"/>
      <c r="CE249" s="816"/>
      <c r="CF249" s="820"/>
      <c r="CG249" s="820"/>
      <c r="CH249" s="820"/>
      <c r="CI249" s="820"/>
      <c r="CJ249" s="609"/>
      <c r="CK249" s="609"/>
      <c r="CL249" s="816"/>
      <c r="CM249" s="816"/>
      <c r="CN249" s="609"/>
      <c r="CO249" s="609"/>
      <c r="CP249" s="816"/>
      <c r="CQ249" s="816"/>
      <c r="CR249" s="609"/>
      <c r="CS249" s="609"/>
      <c r="CT249" s="816"/>
      <c r="CU249" s="816"/>
      <c r="CV249" s="609"/>
      <c r="CW249" s="609"/>
      <c r="CX249" s="816"/>
      <c r="CY249" s="816"/>
      <c r="CZ249" s="816"/>
      <c r="DA249" s="816"/>
      <c r="DB249" s="816"/>
      <c r="DC249" s="816"/>
      <c r="DD249" s="816"/>
      <c r="DE249" s="816"/>
      <c r="DF249" s="816"/>
      <c r="DG249" s="816"/>
      <c r="DH249" s="816"/>
      <c r="DI249" s="816"/>
      <c r="DJ249" s="816"/>
      <c r="DK249" s="816"/>
      <c r="DL249" s="609"/>
      <c r="DM249" s="609"/>
      <c r="DN249" s="816"/>
      <c r="DO249" s="816"/>
      <c r="DP249" s="816"/>
      <c r="DQ249" s="816"/>
      <c r="DR249" s="816"/>
      <c r="DS249" s="816"/>
      <c r="DT249" s="816"/>
      <c r="DU249" s="816"/>
      <c r="DV249" s="816"/>
      <c r="DW249" s="816"/>
      <c r="DX249" s="816"/>
      <c r="DY249" s="816"/>
      <c r="DZ249" s="816"/>
      <c r="EA249" s="816"/>
      <c r="EB249" s="609"/>
      <c r="EC249" s="609"/>
      <c r="ED249" s="816"/>
      <c r="EE249" s="816"/>
      <c r="EF249" s="816"/>
      <c r="EG249" s="816"/>
      <c r="EH249" s="816"/>
      <c r="EI249" s="816"/>
      <c r="EJ249" s="816"/>
      <c r="EK249" s="816"/>
      <c r="EL249" s="816"/>
      <c r="EM249" s="816"/>
      <c r="EN249" s="816"/>
      <c r="EO249" s="816"/>
      <c r="EP249" s="816"/>
      <c r="EQ249" s="816"/>
      <c r="ER249" s="816"/>
      <c r="ES249" s="816"/>
      <c r="ET249" s="816"/>
      <c r="EU249" s="816"/>
      <c r="EV249" s="816"/>
      <c r="EW249" s="816"/>
      <c r="EX249" s="816"/>
      <c r="EY249" s="816"/>
      <c r="EZ249" s="816"/>
      <c r="FA249" s="816"/>
      <c r="FB249" s="819"/>
      <c r="FC249" s="816"/>
      <c r="FD249" s="820"/>
      <c r="FE249" s="820"/>
      <c r="FF249" s="820"/>
      <c r="FG249" s="820"/>
      <c r="FH249" s="609"/>
      <c r="FI249" s="609"/>
      <c r="FJ249" s="816"/>
      <c r="FK249" s="816"/>
      <c r="FL249" s="816"/>
      <c r="FM249" s="816"/>
      <c r="FN249" s="816"/>
      <c r="FO249" s="816"/>
      <c r="FP249" s="816"/>
      <c r="FQ249" s="816"/>
      <c r="FR249" s="816"/>
      <c r="FS249" s="816"/>
      <c r="FT249" s="816"/>
      <c r="FU249" s="816"/>
      <c r="FV249" s="816"/>
      <c r="FW249" s="816"/>
      <c r="FX249" s="609"/>
      <c r="FY249" s="609"/>
      <c r="FZ249" s="816"/>
      <c r="GA249" s="816"/>
      <c r="GB249" s="609"/>
      <c r="GC249" s="609"/>
      <c r="GD249" s="609"/>
      <c r="GE249" s="816"/>
      <c r="GF249" s="816"/>
      <c r="GG249" s="609"/>
      <c r="GH249" s="609"/>
      <c r="GI249" s="816"/>
      <c r="GJ249" s="816"/>
      <c r="GK249" s="609"/>
      <c r="GL249" s="609"/>
      <c r="GM249" s="816"/>
      <c r="GN249" s="816"/>
      <c r="GO249" s="816"/>
      <c r="GP249" s="816"/>
      <c r="GQ249" s="816"/>
      <c r="GR249" s="816"/>
      <c r="GS249" s="609"/>
      <c r="GT249" s="609"/>
      <c r="GU249" s="816"/>
      <c r="GV249" s="816"/>
      <c r="GW249" s="609"/>
      <c r="GX249" s="609"/>
      <c r="GY249" s="816"/>
      <c r="GZ249" s="816"/>
      <c r="HA249" s="609"/>
      <c r="HB249" s="609"/>
      <c r="HC249" s="816"/>
      <c r="HD249" s="816"/>
      <c r="HE249" s="816"/>
      <c r="HF249" s="816"/>
      <c r="HG249" s="816"/>
      <c r="HH249" s="816"/>
      <c r="HI249" s="821"/>
      <c r="HJ249" s="609"/>
      <c r="HK249" s="816"/>
      <c r="HL249" s="816"/>
      <c r="HM249" s="822"/>
      <c r="HN249" s="609"/>
      <c r="HO249" s="816"/>
      <c r="HP249" s="816"/>
      <c r="HQ249" s="609"/>
      <c r="HR249" s="816"/>
      <c r="HS249" s="816"/>
      <c r="HT249" s="816"/>
      <c r="HU249" s="816"/>
      <c r="HV249" s="816"/>
      <c r="HW249" s="816"/>
      <c r="HX249" s="816"/>
      <c r="HY249" s="816"/>
      <c r="HZ249" s="816"/>
      <c r="IA249" s="816"/>
      <c r="IB249" s="816"/>
      <c r="IC249" s="823"/>
      <c r="ID249" s="824"/>
      <c r="IE249" s="825"/>
      <c r="IF249" s="825"/>
      <c r="IG249" s="816"/>
      <c r="II249" s="834"/>
      <c r="IJ249" s="834"/>
      <c r="IK249" s="826"/>
      <c r="IL249" s="834"/>
    </row>
    <row r="250" spans="2:246" s="780" customFormat="1">
      <c r="B250" s="609"/>
      <c r="C250" s="609"/>
      <c r="D250" s="609"/>
      <c r="E250" s="609"/>
      <c r="F250" s="609"/>
      <c r="G250" s="609"/>
      <c r="H250" s="609"/>
      <c r="I250" s="609"/>
      <c r="J250" s="609"/>
      <c r="K250" s="609"/>
      <c r="L250" s="609"/>
      <c r="M250" s="609"/>
      <c r="N250" s="609"/>
      <c r="O250" s="609"/>
      <c r="P250" s="609"/>
      <c r="Q250" s="609"/>
      <c r="R250" s="609"/>
      <c r="S250" s="609"/>
      <c r="T250" s="609"/>
      <c r="U250" s="609"/>
      <c r="V250" s="609"/>
      <c r="W250" s="609"/>
      <c r="X250" s="609"/>
      <c r="Y250" s="609"/>
      <c r="Z250" s="816"/>
      <c r="AA250" s="816"/>
      <c r="AB250" s="816"/>
      <c r="AC250" s="816"/>
      <c r="AD250" s="816"/>
      <c r="AE250" s="816"/>
      <c r="AF250" s="609"/>
      <c r="AG250" s="609"/>
      <c r="AH250" s="816"/>
      <c r="AI250" s="816"/>
      <c r="AJ250" s="609"/>
      <c r="AK250" s="609"/>
      <c r="AL250" s="816"/>
      <c r="AM250" s="816"/>
      <c r="AN250" s="816"/>
      <c r="AO250" s="816"/>
      <c r="AP250" s="816"/>
      <c r="AQ250" s="816"/>
      <c r="AR250" s="609"/>
      <c r="AS250" s="609"/>
      <c r="AT250" s="816"/>
      <c r="AU250" s="816"/>
      <c r="AV250" s="817"/>
      <c r="AW250" s="609"/>
      <c r="AX250" s="609"/>
      <c r="AY250" s="816"/>
      <c r="AZ250" s="816"/>
      <c r="BA250" s="816"/>
      <c r="BB250" s="816"/>
      <c r="BC250" s="816"/>
      <c r="BD250" s="816"/>
      <c r="BE250" s="816"/>
      <c r="BF250" s="816"/>
      <c r="BG250" s="816"/>
      <c r="BH250" s="816"/>
      <c r="BI250" s="816"/>
      <c r="BJ250" s="816"/>
      <c r="BK250" s="816"/>
      <c r="BL250" s="816"/>
      <c r="BM250" s="816"/>
      <c r="BN250" s="816"/>
      <c r="BO250" s="816"/>
      <c r="BP250" s="816"/>
      <c r="BQ250" s="816"/>
      <c r="BR250" s="816"/>
      <c r="BS250" s="816"/>
      <c r="BT250" s="609"/>
      <c r="BU250" s="609"/>
      <c r="BV250" s="609"/>
      <c r="BW250" s="818"/>
      <c r="BX250" s="816"/>
      <c r="BY250" s="816"/>
      <c r="BZ250" s="816"/>
      <c r="CA250" s="816"/>
      <c r="CB250" s="816"/>
      <c r="CC250" s="816"/>
      <c r="CD250" s="816"/>
      <c r="CE250" s="816"/>
      <c r="CF250" s="820"/>
      <c r="CG250" s="820"/>
      <c r="CH250" s="820"/>
      <c r="CI250" s="820"/>
      <c r="CJ250" s="609"/>
      <c r="CK250" s="609"/>
      <c r="CL250" s="816"/>
      <c r="CM250" s="816"/>
      <c r="CN250" s="609"/>
      <c r="CO250" s="609"/>
      <c r="CP250" s="816"/>
      <c r="CQ250" s="816"/>
      <c r="CR250" s="609"/>
      <c r="CS250" s="609"/>
      <c r="CT250" s="816"/>
      <c r="CU250" s="816"/>
      <c r="CV250" s="609"/>
      <c r="CW250" s="609"/>
      <c r="CX250" s="816"/>
      <c r="CY250" s="816"/>
      <c r="CZ250" s="816"/>
      <c r="DA250" s="816"/>
      <c r="DB250" s="816"/>
      <c r="DC250" s="816"/>
      <c r="DD250" s="816"/>
      <c r="DE250" s="816"/>
      <c r="DF250" s="816"/>
      <c r="DG250" s="816"/>
      <c r="DH250" s="816"/>
      <c r="DI250" s="816"/>
      <c r="DJ250" s="816"/>
      <c r="DK250" s="816"/>
      <c r="DL250" s="609"/>
      <c r="DM250" s="609"/>
      <c r="DN250" s="816"/>
      <c r="DO250" s="816"/>
      <c r="DP250" s="816"/>
      <c r="DQ250" s="816"/>
      <c r="DR250" s="816"/>
      <c r="DS250" s="816"/>
      <c r="DT250" s="816"/>
      <c r="DU250" s="816"/>
      <c r="DV250" s="816"/>
      <c r="DW250" s="816"/>
      <c r="DX250" s="816"/>
      <c r="DY250" s="816"/>
      <c r="DZ250" s="816"/>
      <c r="EA250" s="816"/>
      <c r="EB250" s="609"/>
      <c r="EC250" s="609"/>
      <c r="ED250" s="816"/>
      <c r="EE250" s="816"/>
      <c r="EF250" s="816"/>
      <c r="EG250" s="816"/>
      <c r="EH250" s="816"/>
      <c r="EI250" s="816"/>
      <c r="EJ250" s="816"/>
      <c r="EK250" s="816"/>
      <c r="EL250" s="816"/>
      <c r="EM250" s="816"/>
      <c r="EN250" s="816"/>
      <c r="EO250" s="816"/>
      <c r="EP250" s="816"/>
      <c r="EQ250" s="816"/>
      <c r="ER250" s="816"/>
      <c r="ES250" s="816"/>
      <c r="ET250" s="816"/>
      <c r="EU250" s="816"/>
      <c r="EV250" s="816"/>
      <c r="EW250" s="816"/>
      <c r="EX250" s="816"/>
      <c r="EY250" s="816"/>
      <c r="EZ250" s="816"/>
      <c r="FA250" s="816"/>
      <c r="FB250" s="819"/>
      <c r="FC250" s="816"/>
      <c r="FD250" s="820"/>
      <c r="FE250" s="820"/>
      <c r="FF250" s="820"/>
      <c r="FG250" s="820"/>
      <c r="FH250" s="609"/>
      <c r="FI250" s="609"/>
      <c r="FJ250" s="816"/>
      <c r="FK250" s="816"/>
      <c r="FL250" s="816"/>
      <c r="FM250" s="816"/>
      <c r="FN250" s="816"/>
      <c r="FO250" s="816"/>
      <c r="FP250" s="816"/>
      <c r="FQ250" s="816"/>
      <c r="FR250" s="816"/>
      <c r="FS250" s="816"/>
      <c r="FT250" s="816"/>
      <c r="FU250" s="816"/>
      <c r="FV250" s="816"/>
      <c r="FW250" s="816"/>
      <c r="FX250" s="609"/>
      <c r="FY250" s="609"/>
      <c r="FZ250" s="816"/>
      <c r="GA250" s="816"/>
      <c r="GB250" s="609"/>
      <c r="GC250" s="609"/>
      <c r="GD250" s="609"/>
      <c r="GE250" s="816"/>
      <c r="GF250" s="816"/>
      <c r="GG250" s="609"/>
      <c r="GH250" s="609"/>
      <c r="GI250" s="816"/>
      <c r="GJ250" s="816"/>
      <c r="GK250" s="609"/>
      <c r="GL250" s="609"/>
      <c r="GM250" s="816"/>
      <c r="GN250" s="816"/>
      <c r="GO250" s="816"/>
      <c r="GP250" s="816"/>
      <c r="GQ250" s="816"/>
      <c r="GR250" s="816"/>
      <c r="GS250" s="609"/>
      <c r="GT250" s="609"/>
      <c r="GU250" s="816"/>
      <c r="GV250" s="816"/>
      <c r="GW250" s="609"/>
      <c r="GX250" s="609"/>
      <c r="GY250" s="816"/>
      <c r="GZ250" s="816"/>
      <c r="HA250" s="609"/>
      <c r="HB250" s="609"/>
      <c r="HC250" s="816"/>
      <c r="HD250" s="816"/>
      <c r="HE250" s="816"/>
      <c r="HF250" s="816"/>
      <c r="HG250" s="816"/>
      <c r="HH250" s="816"/>
      <c r="HI250" s="821"/>
      <c r="HJ250" s="609"/>
      <c r="HK250" s="816"/>
      <c r="HL250" s="816"/>
      <c r="HM250" s="822"/>
      <c r="HN250" s="609"/>
      <c r="HO250" s="816"/>
      <c r="HP250" s="816"/>
      <c r="HQ250" s="609"/>
      <c r="HR250" s="816"/>
      <c r="HS250" s="816"/>
      <c r="HT250" s="816"/>
      <c r="HU250" s="816"/>
      <c r="HV250" s="816"/>
      <c r="HW250" s="816"/>
      <c r="HX250" s="816"/>
      <c r="HY250" s="816"/>
      <c r="HZ250" s="816"/>
      <c r="IA250" s="816"/>
      <c r="IB250" s="816"/>
      <c r="IC250" s="823"/>
      <c r="ID250" s="824"/>
      <c r="IE250" s="825"/>
      <c r="IF250" s="825"/>
      <c r="IG250" s="816"/>
      <c r="II250" s="834"/>
      <c r="IJ250" s="834"/>
      <c r="IK250" s="826"/>
      <c r="IL250" s="834"/>
    </row>
    <row r="251" spans="2:246" s="780" customFormat="1">
      <c r="B251" s="609"/>
      <c r="C251" s="609"/>
      <c r="D251" s="609"/>
      <c r="E251" s="609"/>
      <c r="F251" s="609"/>
      <c r="G251" s="609"/>
      <c r="H251" s="609"/>
      <c r="I251" s="609"/>
      <c r="J251" s="609"/>
      <c r="K251" s="609"/>
      <c r="L251" s="609"/>
      <c r="M251" s="609"/>
      <c r="N251" s="609"/>
      <c r="O251" s="609"/>
      <c r="P251" s="609"/>
      <c r="Q251" s="609"/>
      <c r="R251" s="609"/>
      <c r="S251" s="609"/>
      <c r="T251" s="609"/>
      <c r="U251" s="609"/>
      <c r="V251" s="609"/>
      <c r="W251" s="609"/>
      <c r="X251" s="609"/>
      <c r="Y251" s="609"/>
      <c r="Z251" s="816"/>
      <c r="AA251" s="816"/>
      <c r="AB251" s="816"/>
      <c r="AC251" s="816"/>
      <c r="AD251" s="816"/>
      <c r="AE251" s="816"/>
      <c r="AF251" s="609"/>
      <c r="AG251" s="609"/>
      <c r="AH251" s="816"/>
      <c r="AI251" s="816"/>
      <c r="AJ251" s="609"/>
      <c r="AK251" s="609"/>
      <c r="AL251" s="816"/>
      <c r="AM251" s="816"/>
      <c r="AN251" s="816"/>
      <c r="AO251" s="816"/>
      <c r="AP251" s="816"/>
      <c r="AQ251" s="816"/>
      <c r="AR251" s="609"/>
      <c r="AS251" s="609"/>
      <c r="AT251" s="816"/>
      <c r="AU251" s="816"/>
      <c r="AV251" s="817"/>
      <c r="AW251" s="609"/>
      <c r="AX251" s="609"/>
      <c r="AY251" s="816"/>
      <c r="AZ251" s="816"/>
      <c r="BA251" s="816"/>
      <c r="BB251" s="816"/>
      <c r="BC251" s="816"/>
      <c r="BD251" s="816"/>
      <c r="BE251" s="816"/>
      <c r="BF251" s="816"/>
      <c r="BG251" s="816"/>
      <c r="BH251" s="816"/>
      <c r="BI251" s="816"/>
      <c r="BJ251" s="816"/>
      <c r="BK251" s="816"/>
      <c r="BL251" s="816"/>
      <c r="BM251" s="816"/>
      <c r="BN251" s="816"/>
      <c r="BO251" s="816"/>
      <c r="BP251" s="816"/>
      <c r="BQ251" s="816"/>
      <c r="BR251" s="816"/>
      <c r="BS251" s="816"/>
      <c r="BT251" s="609"/>
      <c r="BU251" s="609"/>
      <c r="BV251" s="609"/>
      <c r="BW251" s="818"/>
      <c r="BX251" s="816"/>
      <c r="BY251" s="816"/>
      <c r="BZ251" s="816"/>
      <c r="CA251" s="816"/>
      <c r="CB251" s="816"/>
      <c r="CC251" s="816"/>
      <c r="CD251" s="816"/>
      <c r="CE251" s="816"/>
      <c r="CF251" s="820"/>
      <c r="CG251" s="820"/>
      <c r="CH251" s="820"/>
      <c r="CI251" s="820"/>
      <c r="CJ251" s="609"/>
      <c r="CK251" s="609"/>
      <c r="CL251" s="816"/>
      <c r="CM251" s="816"/>
      <c r="CN251" s="609"/>
      <c r="CO251" s="609"/>
      <c r="CP251" s="816"/>
      <c r="CQ251" s="816"/>
      <c r="CR251" s="609"/>
      <c r="CS251" s="609"/>
      <c r="CT251" s="816"/>
      <c r="CU251" s="816"/>
      <c r="CV251" s="609"/>
      <c r="CW251" s="609"/>
      <c r="CX251" s="816"/>
      <c r="CY251" s="816"/>
      <c r="CZ251" s="816"/>
      <c r="DA251" s="816"/>
      <c r="DB251" s="816"/>
      <c r="DC251" s="816"/>
      <c r="DD251" s="816"/>
      <c r="DE251" s="816"/>
      <c r="DF251" s="816"/>
      <c r="DG251" s="816"/>
      <c r="DH251" s="816"/>
      <c r="DI251" s="816"/>
      <c r="DJ251" s="816"/>
      <c r="DK251" s="816"/>
      <c r="DL251" s="609"/>
      <c r="DM251" s="609"/>
      <c r="DN251" s="816"/>
      <c r="DO251" s="816"/>
      <c r="DP251" s="816"/>
      <c r="DQ251" s="816"/>
      <c r="DR251" s="816"/>
      <c r="DS251" s="816"/>
      <c r="DT251" s="816"/>
      <c r="DU251" s="816"/>
      <c r="DV251" s="816"/>
      <c r="DW251" s="816"/>
      <c r="DX251" s="816"/>
      <c r="DY251" s="816"/>
      <c r="DZ251" s="816"/>
      <c r="EA251" s="816"/>
      <c r="EB251" s="609"/>
      <c r="EC251" s="609"/>
      <c r="ED251" s="816"/>
      <c r="EE251" s="816"/>
      <c r="EF251" s="816"/>
      <c r="EG251" s="816"/>
      <c r="EH251" s="816"/>
      <c r="EI251" s="816"/>
      <c r="EJ251" s="816"/>
      <c r="EK251" s="816"/>
      <c r="EL251" s="816"/>
      <c r="EM251" s="816"/>
      <c r="EN251" s="816"/>
      <c r="EO251" s="816"/>
      <c r="EP251" s="816"/>
      <c r="EQ251" s="816"/>
      <c r="ER251" s="816"/>
      <c r="ES251" s="816"/>
      <c r="ET251" s="816"/>
      <c r="EU251" s="816"/>
      <c r="EV251" s="816"/>
      <c r="EW251" s="816"/>
      <c r="EX251" s="816"/>
      <c r="EY251" s="816"/>
      <c r="EZ251" s="816"/>
      <c r="FA251" s="816"/>
      <c r="FB251" s="819"/>
      <c r="FC251" s="816"/>
      <c r="FD251" s="820"/>
      <c r="FE251" s="820"/>
      <c r="FF251" s="820"/>
      <c r="FG251" s="820"/>
      <c r="FH251" s="609"/>
      <c r="FI251" s="609"/>
      <c r="FJ251" s="816"/>
      <c r="FK251" s="816"/>
      <c r="FL251" s="816"/>
      <c r="FM251" s="816"/>
      <c r="FN251" s="816"/>
      <c r="FO251" s="816"/>
      <c r="FP251" s="816"/>
      <c r="FQ251" s="816"/>
      <c r="FR251" s="816"/>
      <c r="FS251" s="816"/>
      <c r="FT251" s="816"/>
      <c r="FU251" s="816"/>
      <c r="FV251" s="816"/>
      <c r="FW251" s="816"/>
      <c r="FX251" s="609"/>
      <c r="FY251" s="609"/>
      <c r="FZ251" s="816"/>
      <c r="GA251" s="816"/>
      <c r="GB251" s="609"/>
      <c r="GC251" s="609"/>
      <c r="GD251" s="609"/>
      <c r="GE251" s="816"/>
      <c r="GF251" s="816"/>
      <c r="GG251" s="609"/>
      <c r="GH251" s="609"/>
      <c r="GI251" s="816"/>
      <c r="GJ251" s="816"/>
      <c r="GK251" s="609"/>
      <c r="GL251" s="609"/>
      <c r="GM251" s="816"/>
      <c r="GN251" s="816"/>
      <c r="GO251" s="816"/>
      <c r="GP251" s="816"/>
      <c r="GQ251" s="816"/>
      <c r="GR251" s="816"/>
      <c r="GS251" s="609"/>
      <c r="GT251" s="609"/>
      <c r="GU251" s="816"/>
      <c r="GV251" s="816"/>
      <c r="GW251" s="609"/>
      <c r="GX251" s="609"/>
      <c r="GY251" s="816"/>
      <c r="GZ251" s="816"/>
      <c r="HA251" s="609"/>
      <c r="HB251" s="609"/>
      <c r="HC251" s="816"/>
      <c r="HD251" s="816"/>
      <c r="HE251" s="816"/>
      <c r="HF251" s="816"/>
      <c r="HG251" s="816"/>
      <c r="HH251" s="816"/>
      <c r="HI251" s="821"/>
      <c r="HJ251" s="609"/>
      <c r="HK251" s="816"/>
      <c r="HL251" s="816"/>
      <c r="HM251" s="822"/>
      <c r="HN251" s="609"/>
      <c r="HO251" s="816"/>
      <c r="HP251" s="816"/>
      <c r="HQ251" s="609"/>
      <c r="HR251" s="816"/>
      <c r="HS251" s="816"/>
      <c r="HT251" s="816"/>
      <c r="HU251" s="816"/>
      <c r="HV251" s="816"/>
      <c r="HW251" s="816"/>
      <c r="HX251" s="816"/>
      <c r="HY251" s="816"/>
      <c r="HZ251" s="816"/>
      <c r="IA251" s="816"/>
      <c r="IB251" s="816"/>
      <c r="IC251" s="823"/>
      <c r="ID251" s="824"/>
      <c r="IE251" s="825"/>
      <c r="IF251" s="825"/>
      <c r="IG251" s="816"/>
      <c r="II251" s="834"/>
      <c r="IJ251" s="834"/>
      <c r="IK251" s="826"/>
      <c r="IL251" s="834"/>
    </row>
    <row r="252" spans="2:246" s="780" customFormat="1">
      <c r="B252" s="609"/>
      <c r="C252" s="609"/>
      <c r="D252" s="609"/>
      <c r="E252" s="609"/>
      <c r="F252" s="609"/>
      <c r="G252" s="609"/>
      <c r="H252" s="609"/>
      <c r="I252" s="609"/>
      <c r="J252" s="609"/>
      <c r="K252" s="609"/>
      <c r="L252" s="609"/>
      <c r="M252" s="609"/>
      <c r="N252" s="609"/>
      <c r="O252" s="609"/>
      <c r="P252" s="609"/>
      <c r="Q252" s="609"/>
      <c r="R252" s="609"/>
      <c r="S252" s="609"/>
      <c r="T252" s="609"/>
      <c r="U252" s="609"/>
      <c r="V252" s="609"/>
      <c r="W252" s="609"/>
      <c r="X252" s="609"/>
      <c r="Y252" s="609"/>
      <c r="Z252" s="816"/>
      <c r="AA252" s="816"/>
      <c r="AB252" s="816"/>
      <c r="AC252" s="816"/>
      <c r="AD252" s="816"/>
      <c r="AE252" s="816"/>
      <c r="AF252" s="609"/>
      <c r="AG252" s="609"/>
      <c r="AH252" s="816"/>
      <c r="AI252" s="816"/>
      <c r="AJ252" s="609"/>
      <c r="AK252" s="609"/>
      <c r="AL252" s="816"/>
      <c r="AM252" s="816"/>
      <c r="AN252" s="816"/>
      <c r="AO252" s="816"/>
      <c r="AP252" s="816"/>
      <c r="AQ252" s="816"/>
      <c r="AR252" s="609"/>
      <c r="AS252" s="609"/>
      <c r="AT252" s="816"/>
      <c r="AU252" s="816"/>
      <c r="AV252" s="817"/>
      <c r="AW252" s="609"/>
      <c r="AX252" s="609"/>
      <c r="AY252" s="816"/>
      <c r="AZ252" s="816"/>
      <c r="BA252" s="816"/>
      <c r="BB252" s="816"/>
      <c r="BC252" s="816"/>
      <c r="BD252" s="816"/>
      <c r="BE252" s="816"/>
      <c r="BF252" s="816"/>
      <c r="BG252" s="816"/>
      <c r="BH252" s="816"/>
      <c r="BI252" s="816"/>
      <c r="BJ252" s="816"/>
      <c r="BK252" s="816"/>
      <c r="BL252" s="816"/>
      <c r="BM252" s="816"/>
      <c r="BN252" s="816"/>
      <c r="BO252" s="816"/>
      <c r="BP252" s="816"/>
      <c r="BQ252" s="816"/>
      <c r="BR252" s="816"/>
      <c r="BS252" s="816"/>
      <c r="BT252" s="609"/>
      <c r="BU252" s="609"/>
      <c r="BV252" s="609"/>
      <c r="BW252" s="818"/>
      <c r="BX252" s="816"/>
      <c r="BY252" s="816"/>
      <c r="BZ252" s="816"/>
      <c r="CA252" s="816"/>
      <c r="CB252" s="816"/>
      <c r="CC252" s="816"/>
      <c r="CD252" s="816"/>
      <c r="CE252" s="816"/>
      <c r="CF252" s="820"/>
      <c r="CG252" s="820"/>
      <c r="CH252" s="820"/>
      <c r="CI252" s="820"/>
      <c r="CJ252" s="609"/>
      <c r="CK252" s="609"/>
      <c r="CL252" s="816"/>
      <c r="CM252" s="816"/>
      <c r="CN252" s="609"/>
      <c r="CO252" s="609"/>
      <c r="CP252" s="816"/>
      <c r="CQ252" s="816"/>
      <c r="CR252" s="609"/>
      <c r="CS252" s="609"/>
      <c r="CT252" s="816"/>
      <c r="CU252" s="816"/>
      <c r="CV252" s="609"/>
      <c r="CW252" s="609"/>
      <c r="CX252" s="816"/>
      <c r="CY252" s="816"/>
      <c r="CZ252" s="816"/>
      <c r="DA252" s="816"/>
      <c r="DB252" s="816"/>
      <c r="DC252" s="816"/>
      <c r="DD252" s="816"/>
      <c r="DE252" s="816"/>
      <c r="DF252" s="816"/>
      <c r="DG252" s="816"/>
      <c r="DH252" s="816"/>
      <c r="DI252" s="816"/>
      <c r="DJ252" s="816"/>
      <c r="DK252" s="816"/>
      <c r="DL252" s="609"/>
      <c r="DM252" s="609"/>
      <c r="DN252" s="816"/>
      <c r="DO252" s="816"/>
      <c r="DP252" s="816"/>
      <c r="DQ252" s="816"/>
      <c r="DR252" s="816"/>
      <c r="DS252" s="816"/>
      <c r="DT252" s="816"/>
      <c r="DU252" s="816"/>
      <c r="DV252" s="816"/>
      <c r="DW252" s="816"/>
      <c r="DX252" s="816"/>
      <c r="DY252" s="816"/>
      <c r="DZ252" s="816"/>
      <c r="EA252" s="816"/>
      <c r="EB252" s="609"/>
      <c r="EC252" s="609"/>
      <c r="ED252" s="816"/>
      <c r="EE252" s="816"/>
      <c r="EF252" s="816"/>
      <c r="EG252" s="816"/>
      <c r="EH252" s="816"/>
      <c r="EI252" s="816"/>
      <c r="EJ252" s="816"/>
      <c r="EK252" s="816"/>
      <c r="EL252" s="816"/>
      <c r="EM252" s="816"/>
      <c r="EN252" s="816"/>
      <c r="EO252" s="816"/>
      <c r="EP252" s="816"/>
      <c r="EQ252" s="816"/>
      <c r="ER252" s="816"/>
      <c r="ES252" s="816"/>
      <c r="ET252" s="816"/>
      <c r="EU252" s="816"/>
      <c r="EV252" s="816"/>
      <c r="EW252" s="816"/>
      <c r="EX252" s="816"/>
      <c r="EY252" s="816"/>
      <c r="EZ252" s="816"/>
      <c r="FA252" s="816"/>
      <c r="FB252" s="819"/>
      <c r="FC252" s="816"/>
      <c r="FD252" s="820"/>
      <c r="FE252" s="820"/>
      <c r="FF252" s="820"/>
      <c r="FG252" s="820"/>
      <c r="FH252" s="609"/>
      <c r="FI252" s="609"/>
      <c r="FJ252" s="816"/>
      <c r="FK252" s="816"/>
      <c r="FL252" s="816"/>
      <c r="FM252" s="816"/>
      <c r="FN252" s="816"/>
      <c r="FO252" s="816"/>
      <c r="FP252" s="816"/>
      <c r="FQ252" s="816"/>
      <c r="FR252" s="816"/>
      <c r="FS252" s="816"/>
      <c r="FT252" s="816"/>
      <c r="FU252" s="816"/>
      <c r="FV252" s="816"/>
      <c r="FW252" s="816"/>
      <c r="FX252" s="609"/>
      <c r="FY252" s="609"/>
      <c r="FZ252" s="816"/>
      <c r="GA252" s="816"/>
      <c r="GB252" s="609"/>
      <c r="GC252" s="609"/>
      <c r="GD252" s="609"/>
      <c r="GE252" s="816"/>
      <c r="GF252" s="816"/>
      <c r="GG252" s="609"/>
      <c r="GH252" s="609"/>
      <c r="GI252" s="816"/>
      <c r="GJ252" s="816"/>
      <c r="GK252" s="609"/>
      <c r="GL252" s="609"/>
      <c r="GM252" s="816"/>
      <c r="GN252" s="816"/>
      <c r="GO252" s="816"/>
      <c r="GP252" s="816"/>
      <c r="GQ252" s="816"/>
      <c r="GR252" s="816"/>
      <c r="GS252" s="609"/>
      <c r="GT252" s="609"/>
      <c r="GU252" s="816"/>
      <c r="GV252" s="816"/>
      <c r="GW252" s="609"/>
      <c r="GX252" s="609"/>
      <c r="GY252" s="816"/>
      <c r="GZ252" s="816"/>
      <c r="HA252" s="609"/>
      <c r="HB252" s="609"/>
      <c r="HC252" s="816"/>
      <c r="HD252" s="816"/>
      <c r="HE252" s="816"/>
      <c r="HF252" s="816"/>
      <c r="HG252" s="816"/>
      <c r="HH252" s="816"/>
      <c r="HI252" s="821"/>
      <c r="HJ252" s="609"/>
      <c r="HK252" s="816"/>
      <c r="HL252" s="816"/>
      <c r="HM252" s="822"/>
      <c r="HN252" s="609"/>
      <c r="HO252" s="816"/>
      <c r="HP252" s="816"/>
      <c r="HQ252" s="609"/>
      <c r="HR252" s="816"/>
      <c r="HS252" s="816"/>
      <c r="HT252" s="816"/>
      <c r="HU252" s="816"/>
      <c r="HV252" s="816"/>
      <c r="HW252" s="816"/>
      <c r="HX252" s="816"/>
      <c r="HY252" s="816"/>
      <c r="HZ252" s="816"/>
      <c r="IA252" s="816"/>
      <c r="IB252" s="816"/>
      <c r="IC252" s="823"/>
      <c r="ID252" s="824"/>
      <c r="IE252" s="825"/>
      <c r="IF252" s="825"/>
      <c r="IG252" s="816"/>
      <c r="II252" s="834"/>
      <c r="IJ252" s="834"/>
      <c r="IK252" s="826"/>
      <c r="IL252" s="834"/>
    </row>
    <row r="253" spans="2:246" s="780" customFormat="1">
      <c r="B253" s="609"/>
      <c r="C253" s="609"/>
      <c r="D253" s="609"/>
      <c r="E253" s="609"/>
      <c r="F253" s="609"/>
      <c r="G253" s="609"/>
      <c r="H253" s="609"/>
      <c r="I253" s="609"/>
      <c r="J253" s="609"/>
      <c r="K253" s="609"/>
      <c r="L253" s="609"/>
      <c r="M253" s="609"/>
      <c r="N253" s="609"/>
      <c r="O253" s="609"/>
      <c r="P253" s="609"/>
      <c r="Q253" s="609"/>
      <c r="R253" s="609"/>
      <c r="S253" s="609"/>
      <c r="T253" s="609"/>
      <c r="U253" s="609"/>
      <c r="V253" s="609"/>
      <c r="W253" s="609"/>
      <c r="X253" s="609"/>
      <c r="Y253" s="609"/>
      <c r="Z253" s="816"/>
      <c r="AA253" s="816"/>
      <c r="AB253" s="816"/>
      <c r="AC253" s="816"/>
      <c r="AD253" s="816"/>
      <c r="AE253" s="816"/>
      <c r="AF253" s="609"/>
      <c r="AG253" s="609"/>
      <c r="AH253" s="816"/>
      <c r="AI253" s="816"/>
      <c r="AJ253" s="609"/>
      <c r="AK253" s="609"/>
      <c r="AL253" s="816"/>
      <c r="AM253" s="816"/>
      <c r="AN253" s="816"/>
      <c r="AO253" s="816"/>
      <c r="AP253" s="816"/>
      <c r="AQ253" s="816"/>
      <c r="AR253" s="609"/>
      <c r="AS253" s="609"/>
      <c r="AT253" s="816"/>
      <c r="AU253" s="816"/>
      <c r="AV253" s="817"/>
      <c r="AW253" s="609"/>
      <c r="AX253" s="609"/>
      <c r="AY253" s="816"/>
      <c r="AZ253" s="816"/>
      <c r="BA253" s="816"/>
      <c r="BB253" s="816"/>
      <c r="BC253" s="816"/>
      <c r="BD253" s="816"/>
      <c r="BE253" s="816"/>
      <c r="BF253" s="816"/>
      <c r="BG253" s="816"/>
      <c r="BH253" s="816"/>
      <c r="BI253" s="816"/>
      <c r="BJ253" s="816"/>
      <c r="BK253" s="816"/>
      <c r="BL253" s="816"/>
      <c r="BM253" s="816"/>
      <c r="BN253" s="816"/>
      <c r="BO253" s="816"/>
      <c r="BP253" s="816"/>
      <c r="BQ253" s="816"/>
      <c r="BR253" s="816"/>
      <c r="BS253" s="816"/>
      <c r="BT253" s="609"/>
      <c r="BU253" s="609"/>
      <c r="BV253" s="609"/>
      <c r="BW253" s="818"/>
      <c r="BX253" s="816"/>
      <c r="BY253" s="816"/>
      <c r="BZ253" s="816"/>
      <c r="CA253" s="816"/>
      <c r="CB253" s="816"/>
      <c r="CC253" s="816"/>
      <c r="CD253" s="816"/>
      <c r="CE253" s="816"/>
      <c r="CF253" s="820"/>
      <c r="CG253" s="820"/>
      <c r="CH253" s="820"/>
      <c r="CI253" s="820"/>
      <c r="CJ253" s="609"/>
      <c r="CK253" s="609"/>
      <c r="CL253" s="816"/>
      <c r="CM253" s="816"/>
      <c r="CN253" s="609"/>
      <c r="CO253" s="609"/>
      <c r="CP253" s="816"/>
      <c r="CQ253" s="816"/>
      <c r="CR253" s="609"/>
      <c r="CS253" s="609"/>
      <c r="CT253" s="816"/>
      <c r="CU253" s="816"/>
      <c r="CV253" s="609"/>
      <c r="CW253" s="609"/>
      <c r="CX253" s="816"/>
      <c r="CY253" s="816"/>
      <c r="CZ253" s="816"/>
      <c r="DA253" s="816"/>
      <c r="DB253" s="816"/>
      <c r="DC253" s="816"/>
      <c r="DD253" s="816"/>
      <c r="DE253" s="816"/>
      <c r="DF253" s="816"/>
      <c r="DG253" s="816"/>
      <c r="DH253" s="816"/>
      <c r="DI253" s="816"/>
      <c r="DJ253" s="816"/>
      <c r="DK253" s="816"/>
      <c r="DL253" s="609"/>
      <c r="DM253" s="609"/>
      <c r="DN253" s="816"/>
      <c r="DO253" s="816"/>
      <c r="DP253" s="816"/>
      <c r="DQ253" s="816"/>
      <c r="DR253" s="816"/>
      <c r="DS253" s="816"/>
      <c r="DT253" s="816"/>
      <c r="DU253" s="816"/>
      <c r="DV253" s="816"/>
      <c r="DW253" s="816"/>
      <c r="DX253" s="816"/>
      <c r="DY253" s="816"/>
      <c r="DZ253" s="816"/>
      <c r="EA253" s="816"/>
      <c r="EB253" s="609"/>
      <c r="EC253" s="609"/>
      <c r="ED253" s="816"/>
      <c r="EE253" s="816"/>
      <c r="EF253" s="816"/>
      <c r="EG253" s="816"/>
      <c r="EH253" s="816"/>
      <c r="EI253" s="816"/>
      <c r="EJ253" s="816"/>
      <c r="EK253" s="816"/>
      <c r="EL253" s="816"/>
      <c r="EM253" s="816"/>
      <c r="EN253" s="816"/>
      <c r="EO253" s="816"/>
      <c r="EP253" s="816"/>
      <c r="EQ253" s="816"/>
      <c r="ER253" s="816"/>
      <c r="ES253" s="816"/>
      <c r="ET253" s="816"/>
      <c r="EU253" s="816"/>
      <c r="EV253" s="816"/>
      <c r="EW253" s="816"/>
      <c r="EX253" s="816"/>
      <c r="EY253" s="816"/>
      <c r="EZ253" s="816"/>
      <c r="FA253" s="816"/>
      <c r="FB253" s="819"/>
      <c r="FC253" s="816"/>
      <c r="FD253" s="820"/>
      <c r="FE253" s="820"/>
      <c r="FF253" s="820"/>
      <c r="FG253" s="820"/>
      <c r="FH253" s="609"/>
      <c r="FI253" s="609"/>
      <c r="FJ253" s="816"/>
      <c r="FK253" s="816"/>
      <c r="FL253" s="816"/>
      <c r="FM253" s="816"/>
      <c r="FN253" s="816"/>
      <c r="FO253" s="816"/>
      <c r="FP253" s="816"/>
      <c r="FQ253" s="816"/>
      <c r="FR253" s="816"/>
      <c r="FS253" s="816"/>
      <c r="FT253" s="816"/>
      <c r="FU253" s="816"/>
      <c r="FV253" s="816"/>
      <c r="FW253" s="816"/>
      <c r="FX253" s="609"/>
      <c r="FY253" s="609"/>
      <c r="FZ253" s="816"/>
      <c r="GA253" s="816"/>
      <c r="GB253" s="609"/>
      <c r="GC253" s="609"/>
      <c r="GD253" s="609"/>
      <c r="GE253" s="816"/>
      <c r="GF253" s="816"/>
      <c r="GG253" s="609"/>
      <c r="GH253" s="609"/>
      <c r="GI253" s="816"/>
      <c r="GJ253" s="816"/>
      <c r="GK253" s="609"/>
      <c r="GL253" s="609"/>
      <c r="GM253" s="816"/>
      <c r="GN253" s="816"/>
      <c r="GO253" s="816"/>
      <c r="GP253" s="816"/>
      <c r="GQ253" s="816"/>
      <c r="GR253" s="816"/>
      <c r="GS253" s="609"/>
      <c r="GT253" s="609"/>
      <c r="GU253" s="816"/>
      <c r="GV253" s="816"/>
      <c r="GW253" s="609"/>
      <c r="GX253" s="609"/>
      <c r="GY253" s="816"/>
      <c r="GZ253" s="816"/>
      <c r="HA253" s="609"/>
      <c r="HB253" s="609"/>
      <c r="HC253" s="816"/>
      <c r="HD253" s="816"/>
      <c r="HE253" s="816"/>
      <c r="HF253" s="816"/>
      <c r="HG253" s="816"/>
      <c r="HH253" s="816"/>
      <c r="HI253" s="821"/>
      <c r="HJ253" s="609"/>
      <c r="HK253" s="816"/>
      <c r="HL253" s="816"/>
      <c r="HM253" s="822"/>
      <c r="HN253" s="609"/>
      <c r="HO253" s="816"/>
      <c r="HP253" s="816"/>
      <c r="HQ253" s="609"/>
      <c r="HR253" s="816"/>
      <c r="HS253" s="816"/>
      <c r="HT253" s="816"/>
      <c r="HU253" s="816"/>
      <c r="HV253" s="816"/>
      <c r="HW253" s="816"/>
      <c r="HX253" s="816"/>
      <c r="HY253" s="816"/>
      <c r="HZ253" s="816"/>
      <c r="IA253" s="816"/>
      <c r="IB253" s="816"/>
      <c r="IC253" s="823"/>
      <c r="ID253" s="824"/>
      <c r="IE253" s="825"/>
      <c r="IF253" s="825"/>
      <c r="IG253" s="816"/>
      <c r="II253" s="834"/>
      <c r="IJ253" s="834"/>
      <c r="IK253" s="826"/>
      <c r="IL253" s="834"/>
    </row>
    <row r="254" spans="2:246" s="780" customFormat="1">
      <c r="B254" s="609"/>
      <c r="C254" s="609"/>
      <c r="D254" s="609"/>
      <c r="E254" s="609"/>
      <c r="F254" s="609"/>
      <c r="G254" s="609"/>
      <c r="H254" s="609"/>
      <c r="I254" s="609"/>
      <c r="J254" s="609"/>
      <c r="K254" s="609"/>
      <c r="L254" s="609"/>
      <c r="M254" s="609"/>
      <c r="N254" s="609"/>
      <c r="O254" s="609"/>
      <c r="P254" s="609"/>
      <c r="Q254" s="609"/>
      <c r="R254" s="609"/>
      <c r="S254" s="609"/>
      <c r="T254" s="609"/>
      <c r="U254" s="609"/>
      <c r="V254" s="609"/>
      <c r="W254" s="609"/>
      <c r="X254" s="609"/>
      <c r="Y254" s="609"/>
      <c r="Z254" s="816"/>
      <c r="AA254" s="816"/>
      <c r="AB254" s="816"/>
      <c r="AC254" s="816"/>
      <c r="AD254" s="816"/>
      <c r="AE254" s="816"/>
      <c r="AF254" s="609"/>
      <c r="AG254" s="609"/>
      <c r="AH254" s="816"/>
      <c r="AI254" s="816"/>
      <c r="AJ254" s="609"/>
      <c r="AK254" s="609"/>
      <c r="AL254" s="816"/>
      <c r="AM254" s="816"/>
      <c r="AN254" s="816"/>
      <c r="AO254" s="816"/>
      <c r="AP254" s="816"/>
      <c r="AQ254" s="816"/>
      <c r="AR254" s="609"/>
      <c r="AS254" s="609"/>
      <c r="AT254" s="816"/>
      <c r="AU254" s="816"/>
      <c r="AV254" s="817"/>
      <c r="AW254" s="609"/>
      <c r="AX254" s="609"/>
      <c r="AY254" s="816"/>
      <c r="AZ254" s="816"/>
      <c r="BA254" s="816"/>
      <c r="BB254" s="816"/>
      <c r="BC254" s="816"/>
      <c r="BD254" s="816"/>
      <c r="BE254" s="816"/>
      <c r="BF254" s="816"/>
      <c r="BG254" s="816"/>
      <c r="BH254" s="816"/>
      <c r="BI254" s="816"/>
      <c r="BJ254" s="816"/>
      <c r="BK254" s="816"/>
      <c r="BL254" s="816"/>
      <c r="BM254" s="816"/>
      <c r="BN254" s="816"/>
      <c r="BO254" s="816"/>
      <c r="BP254" s="816"/>
      <c r="BQ254" s="816"/>
      <c r="BR254" s="816"/>
      <c r="BS254" s="816"/>
      <c r="BT254" s="609"/>
      <c r="BU254" s="609"/>
      <c r="BV254" s="609"/>
      <c r="BW254" s="818"/>
      <c r="BX254" s="816"/>
      <c r="BY254" s="816"/>
      <c r="BZ254" s="816"/>
      <c r="CA254" s="816"/>
      <c r="CB254" s="816"/>
      <c r="CC254" s="816"/>
      <c r="CD254" s="816"/>
      <c r="CE254" s="816"/>
      <c r="CF254" s="820"/>
      <c r="CG254" s="820"/>
      <c r="CH254" s="820"/>
      <c r="CI254" s="820"/>
      <c r="CJ254" s="609"/>
      <c r="CK254" s="609"/>
      <c r="CL254" s="816"/>
      <c r="CM254" s="816"/>
      <c r="CN254" s="609"/>
      <c r="CO254" s="609"/>
      <c r="CP254" s="816"/>
      <c r="CQ254" s="816"/>
      <c r="CR254" s="609"/>
      <c r="CS254" s="609"/>
      <c r="CT254" s="816"/>
      <c r="CU254" s="816"/>
      <c r="CV254" s="609"/>
      <c r="CW254" s="609"/>
      <c r="CX254" s="816"/>
      <c r="CY254" s="816"/>
      <c r="CZ254" s="816"/>
      <c r="DA254" s="816"/>
      <c r="DB254" s="816"/>
      <c r="DC254" s="816"/>
      <c r="DD254" s="816"/>
      <c r="DE254" s="816"/>
      <c r="DF254" s="816"/>
      <c r="DG254" s="816"/>
      <c r="DH254" s="816"/>
      <c r="DI254" s="816"/>
      <c r="DJ254" s="816"/>
      <c r="DK254" s="816"/>
      <c r="DL254" s="609"/>
      <c r="DM254" s="609"/>
      <c r="DN254" s="816"/>
      <c r="DO254" s="816"/>
      <c r="DP254" s="816"/>
      <c r="DQ254" s="816"/>
      <c r="DR254" s="816"/>
      <c r="DS254" s="816"/>
      <c r="DT254" s="816"/>
      <c r="DU254" s="816"/>
      <c r="DV254" s="816"/>
      <c r="DW254" s="816"/>
      <c r="DX254" s="816"/>
      <c r="DY254" s="816"/>
      <c r="DZ254" s="816"/>
      <c r="EA254" s="816"/>
      <c r="EB254" s="609"/>
      <c r="EC254" s="609"/>
      <c r="ED254" s="816"/>
      <c r="EE254" s="816"/>
      <c r="EF254" s="816"/>
      <c r="EG254" s="816"/>
      <c r="EH254" s="816"/>
      <c r="EI254" s="816"/>
      <c r="EJ254" s="816"/>
      <c r="EK254" s="816"/>
      <c r="EL254" s="816"/>
      <c r="EM254" s="816"/>
      <c r="EN254" s="816"/>
      <c r="EO254" s="816"/>
      <c r="EP254" s="816"/>
      <c r="EQ254" s="816"/>
      <c r="ER254" s="816"/>
      <c r="ES254" s="816"/>
      <c r="ET254" s="816"/>
      <c r="EU254" s="816"/>
      <c r="EV254" s="816"/>
      <c r="EW254" s="816"/>
      <c r="EX254" s="816"/>
      <c r="EY254" s="816"/>
      <c r="EZ254" s="816"/>
      <c r="FA254" s="816"/>
      <c r="FB254" s="819"/>
      <c r="FC254" s="816"/>
      <c r="FD254" s="820"/>
      <c r="FE254" s="820"/>
      <c r="FF254" s="820"/>
      <c r="FG254" s="820"/>
      <c r="FH254" s="609"/>
      <c r="FI254" s="609"/>
      <c r="FJ254" s="816"/>
      <c r="FK254" s="816"/>
      <c r="FL254" s="816"/>
      <c r="FM254" s="816"/>
      <c r="FN254" s="816"/>
      <c r="FO254" s="816"/>
      <c r="FP254" s="816"/>
      <c r="FQ254" s="816"/>
      <c r="FR254" s="816"/>
      <c r="FS254" s="816"/>
      <c r="FT254" s="816"/>
      <c r="FU254" s="816"/>
      <c r="FV254" s="816"/>
      <c r="FW254" s="816"/>
      <c r="FX254" s="609"/>
      <c r="FY254" s="609"/>
      <c r="FZ254" s="816"/>
      <c r="GA254" s="816"/>
      <c r="GB254" s="609"/>
      <c r="GC254" s="609"/>
      <c r="GD254" s="609"/>
      <c r="GE254" s="816"/>
      <c r="GF254" s="816"/>
      <c r="GG254" s="609"/>
      <c r="GH254" s="609"/>
      <c r="GI254" s="816"/>
      <c r="GJ254" s="816"/>
      <c r="GK254" s="609"/>
      <c r="GL254" s="609"/>
      <c r="GM254" s="816"/>
      <c r="GN254" s="816"/>
      <c r="GO254" s="816"/>
      <c r="GP254" s="816"/>
      <c r="GQ254" s="816"/>
      <c r="GR254" s="816"/>
      <c r="GS254" s="609"/>
      <c r="GT254" s="609"/>
      <c r="GU254" s="816"/>
      <c r="GV254" s="816"/>
      <c r="GW254" s="609"/>
      <c r="GX254" s="609"/>
      <c r="GY254" s="816"/>
      <c r="GZ254" s="816"/>
      <c r="HA254" s="609"/>
      <c r="HB254" s="609"/>
      <c r="HC254" s="816"/>
      <c r="HD254" s="816"/>
      <c r="HE254" s="816"/>
      <c r="HF254" s="816"/>
      <c r="HG254" s="816"/>
      <c r="HH254" s="816"/>
      <c r="HI254" s="821"/>
      <c r="HJ254" s="609"/>
      <c r="HK254" s="816"/>
      <c r="HL254" s="816"/>
      <c r="HM254" s="822"/>
      <c r="HN254" s="609"/>
      <c r="HO254" s="816"/>
      <c r="HP254" s="816"/>
      <c r="HQ254" s="609"/>
      <c r="HR254" s="816"/>
      <c r="HS254" s="816"/>
      <c r="HT254" s="816"/>
      <c r="HU254" s="816"/>
      <c r="HV254" s="816"/>
      <c r="HW254" s="816"/>
      <c r="HX254" s="816"/>
      <c r="HY254" s="816"/>
      <c r="HZ254" s="816"/>
      <c r="IA254" s="816"/>
      <c r="IB254" s="816"/>
      <c r="IC254" s="823"/>
      <c r="ID254" s="824"/>
      <c r="IE254" s="825"/>
      <c r="IF254" s="825"/>
      <c r="IG254" s="816"/>
      <c r="II254" s="834"/>
      <c r="IJ254" s="834"/>
      <c r="IK254" s="826"/>
      <c r="IL254" s="834"/>
    </row>
    <row r="255" spans="2:246" s="780" customFormat="1">
      <c r="B255" s="609"/>
      <c r="C255" s="609"/>
      <c r="D255" s="609"/>
      <c r="E255" s="609"/>
      <c r="F255" s="609"/>
      <c r="G255" s="609"/>
      <c r="H255" s="609"/>
      <c r="I255" s="609"/>
      <c r="J255" s="609"/>
      <c r="K255" s="609"/>
      <c r="L255" s="609"/>
      <c r="M255" s="609"/>
      <c r="N255" s="609"/>
      <c r="O255" s="609"/>
      <c r="P255" s="609"/>
      <c r="Q255" s="609"/>
      <c r="R255" s="609"/>
      <c r="S255" s="609"/>
      <c r="T255" s="609"/>
      <c r="U255" s="609"/>
      <c r="V255" s="609"/>
      <c r="W255" s="609"/>
      <c r="X255" s="609"/>
      <c r="Y255" s="609"/>
      <c r="Z255" s="816"/>
      <c r="AA255" s="816"/>
      <c r="AB255" s="816"/>
      <c r="AC255" s="816"/>
      <c r="AD255" s="816"/>
      <c r="AE255" s="816"/>
      <c r="AF255" s="609"/>
      <c r="AG255" s="609"/>
      <c r="AH255" s="816"/>
      <c r="AI255" s="816"/>
      <c r="AJ255" s="609"/>
      <c r="AK255" s="609"/>
      <c r="AL255" s="816"/>
      <c r="AM255" s="816"/>
      <c r="AN255" s="816"/>
      <c r="AO255" s="816"/>
      <c r="AP255" s="816"/>
      <c r="AQ255" s="816"/>
      <c r="AR255" s="609"/>
      <c r="AS255" s="609"/>
      <c r="AT255" s="816"/>
      <c r="AU255" s="816"/>
      <c r="AV255" s="817"/>
      <c r="AW255" s="609"/>
      <c r="AX255" s="609"/>
      <c r="AY255" s="816"/>
      <c r="AZ255" s="816"/>
      <c r="BA255" s="816"/>
      <c r="BB255" s="816"/>
      <c r="BC255" s="816"/>
      <c r="BD255" s="816"/>
      <c r="BE255" s="816"/>
      <c r="BF255" s="816"/>
      <c r="BG255" s="816"/>
      <c r="BH255" s="816"/>
      <c r="BI255" s="816"/>
      <c r="BJ255" s="816"/>
      <c r="BK255" s="816"/>
      <c r="BL255" s="816"/>
      <c r="BM255" s="816"/>
      <c r="BN255" s="816"/>
      <c r="BO255" s="816"/>
      <c r="BP255" s="816"/>
      <c r="BQ255" s="816"/>
      <c r="BR255" s="816"/>
      <c r="BS255" s="816"/>
      <c r="BT255" s="609"/>
      <c r="BU255" s="609"/>
      <c r="BV255" s="609"/>
      <c r="BW255" s="818"/>
      <c r="BX255" s="816"/>
      <c r="BY255" s="816"/>
      <c r="BZ255" s="816"/>
      <c r="CA255" s="816"/>
      <c r="CB255" s="816"/>
      <c r="CC255" s="816"/>
      <c r="CD255" s="816"/>
      <c r="CE255" s="816"/>
      <c r="CF255" s="820"/>
      <c r="CG255" s="820"/>
      <c r="CH255" s="820"/>
      <c r="CI255" s="820"/>
      <c r="CJ255" s="609"/>
      <c r="CK255" s="609"/>
      <c r="CL255" s="816"/>
      <c r="CM255" s="816"/>
      <c r="CN255" s="609"/>
      <c r="CO255" s="609"/>
      <c r="CP255" s="816"/>
      <c r="CQ255" s="816"/>
      <c r="CR255" s="609"/>
      <c r="CS255" s="609"/>
      <c r="CT255" s="816"/>
      <c r="CU255" s="816"/>
      <c r="CV255" s="609"/>
      <c r="CW255" s="609"/>
      <c r="CX255" s="816"/>
      <c r="CY255" s="816"/>
      <c r="CZ255" s="816"/>
      <c r="DA255" s="816"/>
      <c r="DB255" s="816"/>
      <c r="DC255" s="816"/>
      <c r="DD255" s="816"/>
      <c r="DE255" s="816"/>
      <c r="DF255" s="816"/>
      <c r="DG255" s="816"/>
      <c r="DH255" s="816"/>
      <c r="DI255" s="816"/>
      <c r="DJ255" s="816"/>
      <c r="DK255" s="816"/>
      <c r="DL255" s="609"/>
      <c r="DM255" s="609"/>
      <c r="DN255" s="816"/>
      <c r="DO255" s="816"/>
      <c r="DP255" s="816"/>
      <c r="DQ255" s="816"/>
      <c r="DR255" s="816"/>
      <c r="DS255" s="816"/>
      <c r="DT255" s="816"/>
      <c r="DU255" s="816"/>
      <c r="DV255" s="816"/>
      <c r="DW255" s="816"/>
      <c r="DX255" s="816"/>
      <c r="DY255" s="816"/>
      <c r="DZ255" s="816"/>
      <c r="EA255" s="816"/>
      <c r="EB255" s="609"/>
      <c r="EC255" s="609"/>
      <c r="ED255" s="816"/>
      <c r="EE255" s="816"/>
      <c r="EF255" s="816"/>
      <c r="EG255" s="816"/>
      <c r="EH255" s="816"/>
      <c r="EI255" s="816"/>
      <c r="EJ255" s="816"/>
      <c r="EK255" s="816"/>
      <c r="EL255" s="816"/>
      <c r="EM255" s="816"/>
      <c r="EN255" s="816"/>
      <c r="EO255" s="816"/>
      <c r="EP255" s="816"/>
      <c r="EQ255" s="816"/>
      <c r="ER255" s="816"/>
      <c r="ES255" s="816"/>
      <c r="ET255" s="816"/>
      <c r="EU255" s="816"/>
      <c r="EV255" s="816"/>
      <c r="EW255" s="816"/>
      <c r="EX255" s="816"/>
      <c r="EY255" s="816"/>
      <c r="EZ255" s="816"/>
      <c r="FA255" s="816"/>
      <c r="FB255" s="819"/>
      <c r="FC255" s="816"/>
      <c r="FD255" s="820"/>
      <c r="FE255" s="820"/>
      <c r="FF255" s="820"/>
      <c r="FG255" s="820"/>
      <c r="FH255" s="609"/>
      <c r="FI255" s="609"/>
      <c r="FJ255" s="816"/>
      <c r="FK255" s="816"/>
      <c r="FL255" s="816"/>
      <c r="FM255" s="816"/>
      <c r="FN255" s="816"/>
      <c r="FO255" s="816"/>
      <c r="FP255" s="816"/>
      <c r="FQ255" s="816"/>
      <c r="FR255" s="816"/>
      <c r="FS255" s="816"/>
      <c r="FT255" s="816"/>
      <c r="FU255" s="816"/>
      <c r="FV255" s="816"/>
      <c r="FW255" s="816"/>
      <c r="FX255" s="609"/>
      <c r="FY255" s="609"/>
      <c r="FZ255" s="816"/>
      <c r="GA255" s="816"/>
      <c r="GB255" s="609"/>
      <c r="GC255" s="609"/>
      <c r="GD255" s="609"/>
      <c r="GE255" s="816"/>
      <c r="GF255" s="816"/>
      <c r="GG255" s="609"/>
      <c r="GH255" s="609"/>
      <c r="GI255" s="816"/>
      <c r="GJ255" s="816"/>
      <c r="GK255" s="609"/>
      <c r="GL255" s="609"/>
      <c r="GM255" s="816"/>
      <c r="GN255" s="816"/>
      <c r="GO255" s="816"/>
      <c r="GP255" s="816"/>
      <c r="GQ255" s="816"/>
      <c r="GR255" s="816"/>
      <c r="GS255" s="609"/>
      <c r="GT255" s="609"/>
      <c r="GU255" s="816"/>
      <c r="GV255" s="816"/>
      <c r="GW255" s="609"/>
      <c r="GX255" s="609"/>
      <c r="GY255" s="816"/>
      <c r="GZ255" s="816"/>
      <c r="HA255" s="609"/>
      <c r="HB255" s="609"/>
      <c r="HC255" s="816"/>
      <c r="HD255" s="816"/>
      <c r="HE255" s="816"/>
      <c r="HF255" s="816"/>
      <c r="HG255" s="816"/>
      <c r="HH255" s="816"/>
      <c r="HI255" s="821"/>
      <c r="HJ255" s="609"/>
      <c r="HK255" s="816"/>
      <c r="HL255" s="816"/>
      <c r="HM255" s="822"/>
      <c r="HN255" s="609"/>
      <c r="HO255" s="816"/>
      <c r="HP255" s="816"/>
      <c r="HQ255" s="609"/>
      <c r="HR255" s="816"/>
      <c r="HS255" s="816"/>
      <c r="HT255" s="816"/>
      <c r="HU255" s="816"/>
      <c r="HV255" s="816"/>
      <c r="HW255" s="816"/>
      <c r="HX255" s="816"/>
      <c r="HY255" s="816"/>
      <c r="HZ255" s="816"/>
      <c r="IA255" s="816"/>
      <c r="IB255" s="816"/>
      <c r="IC255" s="823"/>
      <c r="ID255" s="824"/>
      <c r="IE255" s="825"/>
      <c r="IF255" s="825"/>
      <c r="IG255" s="816"/>
      <c r="II255" s="834"/>
      <c r="IJ255" s="834"/>
      <c r="IK255" s="826"/>
      <c r="IL255" s="834"/>
    </row>
    <row r="256" spans="2:246" s="780" customFormat="1">
      <c r="B256" s="609"/>
      <c r="C256" s="609"/>
      <c r="D256" s="609"/>
      <c r="E256" s="609"/>
      <c r="F256" s="609"/>
      <c r="G256" s="609"/>
      <c r="H256" s="609"/>
      <c r="I256" s="609"/>
      <c r="J256" s="609"/>
      <c r="K256" s="609"/>
      <c r="L256" s="609"/>
      <c r="M256" s="609"/>
      <c r="N256" s="609"/>
      <c r="O256" s="609"/>
      <c r="P256" s="609"/>
      <c r="Q256" s="609"/>
      <c r="R256" s="609"/>
      <c r="S256" s="609"/>
      <c r="T256" s="609"/>
      <c r="U256" s="609"/>
      <c r="V256" s="609"/>
      <c r="W256" s="609"/>
      <c r="X256" s="609"/>
      <c r="Y256" s="609"/>
      <c r="Z256" s="816"/>
      <c r="AA256" s="816"/>
      <c r="AB256" s="816"/>
      <c r="AC256" s="816"/>
      <c r="AD256" s="816"/>
      <c r="AE256" s="816"/>
      <c r="AF256" s="609"/>
      <c r="AG256" s="609"/>
      <c r="AH256" s="816"/>
      <c r="AI256" s="816"/>
      <c r="AJ256" s="609"/>
      <c r="AK256" s="609"/>
      <c r="AL256" s="816"/>
      <c r="AM256" s="816"/>
      <c r="AN256" s="816"/>
      <c r="AO256" s="816"/>
      <c r="AP256" s="816"/>
      <c r="AQ256" s="816"/>
      <c r="AR256" s="609"/>
      <c r="AS256" s="609"/>
      <c r="AT256" s="816"/>
      <c r="AU256" s="816"/>
      <c r="AV256" s="817"/>
      <c r="AW256" s="609"/>
      <c r="AX256" s="609"/>
      <c r="AY256" s="816"/>
      <c r="AZ256" s="816"/>
      <c r="BA256" s="816"/>
      <c r="BB256" s="816"/>
      <c r="BC256" s="816"/>
      <c r="BD256" s="816"/>
      <c r="BE256" s="816"/>
      <c r="BF256" s="816"/>
      <c r="BG256" s="816"/>
      <c r="BH256" s="816"/>
      <c r="BI256" s="816"/>
      <c r="BJ256" s="816"/>
      <c r="BK256" s="816"/>
      <c r="BL256" s="816"/>
      <c r="BM256" s="816"/>
      <c r="BN256" s="816"/>
      <c r="BO256" s="816"/>
      <c r="BP256" s="816"/>
      <c r="BQ256" s="816"/>
      <c r="BR256" s="816"/>
      <c r="BS256" s="816"/>
      <c r="BT256" s="609"/>
      <c r="BU256" s="609"/>
      <c r="BV256" s="609"/>
      <c r="BW256" s="818"/>
      <c r="BX256" s="816"/>
      <c r="BY256" s="816"/>
      <c r="BZ256" s="816"/>
      <c r="CA256" s="816"/>
      <c r="CB256" s="816"/>
      <c r="CC256" s="816"/>
      <c r="CD256" s="816"/>
      <c r="CE256" s="816"/>
      <c r="CF256" s="820"/>
      <c r="CG256" s="820"/>
      <c r="CH256" s="820"/>
      <c r="CI256" s="820"/>
      <c r="CJ256" s="609"/>
      <c r="CK256" s="609"/>
      <c r="CL256" s="816"/>
      <c r="CM256" s="816"/>
      <c r="CN256" s="609"/>
      <c r="CO256" s="609"/>
      <c r="CP256" s="816"/>
      <c r="CQ256" s="816"/>
      <c r="CR256" s="609"/>
      <c r="CS256" s="609"/>
      <c r="CT256" s="816"/>
      <c r="CU256" s="816"/>
      <c r="CV256" s="609"/>
      <c r="CW256" s="609"/>
      <c r="CX256" s="816"/>
      <c r="CY256" s="816"/>
      <c r="CZ256" s="816"/>
      <c r="DA256" s="816"/>
      <c r="DB256" s="816"/>
      <c r="DC256" s="816"/>
      <c r="DD256" s="816"/>
      <c r="DE256" s="816"/>
      <c r="DF256" s="816"/>
      <c r="DG256" s="816"/>
      <c r="DH256" s="816"/>
      <c r="DI256" s="816"/>
      <c r="DJ256" s="816"/>
      <c r="DK256" s="816"/>
      <c r="DL256" s="609"/>
      <c r="DM256" s="609"/>
      <c r="DN256" s="816"/>
      <c r="DO256" s="816"/>
      <c r="DP256" s="816"/>
      <c r="DQ256" s="816"/>
      <c r="DR256" s="816"/>
      <c r="DS256" s="816"/>
      <c r="DT256" s="816"/>
      <c r="DU256" s="816"/>
      <c r="DV256" s="816"/>
      <c r="DW256" s="816"/>
      <c r="DX256" s="816"/>
      <c r="DY256" s="816"/>
      <c r="DZ256" s="816"/>
      <c r="EA256" s="816"/>
      <c r="EB256" s="609"/>
      <c r="EC256" s="609"/>
      <c r="ED256" s="816"/>
      <c r="EE256" s="816"/>
      <c r="EF256" s="816"/>
      <c r="EG256" s="816"/>
      <c r="EH256" s="816"/>
      <c r="EI256" s="816"/>
      <c r="EJ256" s="816"/>
      <c r="EK256" s="816"/>
      <c r="EL256" s="816"/>
      <c r="EM256" s="816"/>
      <c r="EN256" s="816"/>
      <c r="EO256" s="816"/>
      <c r="EP256" s="816"/>
      <c r="EQ256" s="816"/>
      <c r="ER256" s="816"/>
      <c r="ES256" s="816"/>
      <c r="ET256" s="816"/>
      <c r="EU256" s="816"/>
      <c r="EV256" s="816"/>
      <c r="EW256" s="816"/>
      <c r="EX256" s="816"/>
      <c r="EY256" s="816"/>
      <c r="EZ256" s="816"/>
      <c r="FA256" s="816"/>
      <c r="FB256" s="819"/>
      <c r="FC256" s="816"/>
      <c r="FD256" s="820"/>
      <c r="FE256" s="820"/>
      <c r="FF256" s="820"/>
      <c r="FG256" s="820"/>
      <c r="FH256" s="609"/>
      <c r="FI256" s="609"/>
      <c r="FJ256" s="816"/>
      <c r="FK256" s="816"/>
      <c r="FL256" s="816"/>
      <c r="FM256" s="816"/>
      <c r="FN256" s="816"/>
      <c r="FO256" s="816"/>
      <c r="FP256" s="816"/>
      <c r="FQ256" s="816"/>
      <c r="FR256" s="816"/>
      <c r="FS256" s="816"/>
      <c r="FT256" s="816"/>
      <c r="FU256" s="816"/>
      <c r="FV256" s="816"/>
      <c r="FW256" s="816"/>
      <c r="FX256" s="609"/>
      <c r="FY256" s="609"/>
      <c r="FZ256" s="816"/>
      <c r="GA256" s="816"/>
      <c r="GB256" s="609"/>
      <c r="GC256" s="609"/>
      <c r="GD256" s="609"/>
      <c r="GE256" s="816"/>
      <c r="GF256" s="816"/>
      <c r="GG256" s="609"/>
      <c r="GH256" s="609"/>
      <c r="GI256" s="816"/>
      <c r="GJ256" s="816"/>
      <c r="GK256" s="609"/>
      <c r="GL256" s="609"/>
      <c r="GM256" s="816"/>
      <c r="GN256" s="816"/>
      <c r="GO256" s="816"/>
      <c r="GP256" s="816"/>
      <c r="GQ256" s="816"/>
      <c r="GR256" s="816"/>
      <c r="GS256" s="609"/>
      <c r="GT256" s="609"/>
      <c r="GU256" s="816"/>
      <c r="GV256" s="816"/>
      <c r="GW256" s="609"/>
      <c r="GX256" s="609"/>
      <c r="GY256" s="816"/>
      <c r="GZ256" s="816"/>
      <c r="HA256" s="609"/>
      <c r="HB256" s="609"/>
      <c r="HC256" s="816"/>
      <c r="HD256" s="816"/>
      <c r="HE256" s="816"/>
      <c r="HF256" s="816"/>
      <c r="HG256" s="816"/>
      <c r="HH256" s="816"/>
      <c r="HI256" s="821"/>
      <c r="HJ256" s="609"/>
      <c r="HK256" s="816"/>
      <c r="HL256" s="816"/>
      <c r="HM256" s="822"/>
      <c r="HN256" s="609"/>
      <c r="HO256" s="816"/>
      <c r="HP256" s="816"/>
      <c r="HQ256" s="609"/>
      <c r="HR256" s="816"/>
      <c r="HS256" s="816"/>
      <c r="HT256" s="816"/>
      <c r="HU256" s="816"/>
      <c r="HV256" s="816"/>
      <c r="HW256" s="816"/>
      <c r="HX256" s="816"/>
      <c r="HY256" s="816"/>
      <c r="HZ256" s="816"/>
      <c r="IA256" s="816"/>
      <c r="IB256" s="816"/>
      <c r="IC256" s="823"/>
      <c r="ID256" s="824"/>
      <c r="IE256" s="825"/>
      <c r="IF256" s="825"/>
      <c r="IG256" s="816"/>
      <c r="II256" s="834"/>
      <c r="IJ256" s="834"/>
      <c r="IK256" s="826"/>
      <c r="IL256" s="834"/>
    </row>
    <row r="257" spans="2:246" s="780" customFormat="1">
      <c r="B257" s="609"/>
      <c r="C257" s="609"/>
      <c r="D257" s="609"/>
      <c r="E257" s="609"/>
      <c r="F257" s="609"/>
      <c r="G257" s="609"/>
      <c r="H257" s="609"/>
      <c r="I257" s="609"/>
      <c r="J257" s="609"/>
      <c r="K257" s="609"/>
      <c r="L257" s="609"/>
      <c r="M257" s="609"/>
      <c r="N257" s="609"/>
      <c r="O257" s="609"/>
      <c r="P257" s="609"/>
      <c r="Q257" s="609"/>
      <c r="R257" s="609"/>
      <c r="S257" s="609"/>
      <c r="T257" s="609"/>
      <c r="U257" s="609"/>
      <c r="V257" s="609"/>
      <c r="W257" s="609"/>
      <c r="X257" s="609"/>
      <c r="Y257" s="609"/>
      <c r="Z257" s="816"/>
      <c r="AA257" s="816"/>
      <c r="AB257" s="816"/>
      <c r="AC257" s="816"/>
      <c r="AD257" s="816"/>
      <c r="AE257" s="816"/>
      <c r="AF257" s="609"/>
      <c r="AG257" s="609"/>
      <c r="AH257" s="816"/>
      <c r="AI257" s="816"/>
      <c r="AJ257" s="609"/>
      <c r="AK257" s="609"/>
      <c r="AL257" s="816"/>
      <c r="AM257" s="816"/>
      <c r="AN257" s="816"/>
      <c r="AO257" s="816"/>
      <c r="AP257" s="816"/>
      <c r="AQ257" s="816"/>
      <c r="AR257" s="609"/>
      <c r="AS257" s="609"/>
      <c r="AT257" s="816"/>
      <c r="AU257" s="816"/>
      <c r="AV257" s="817"/>
      <c r="AW257" s="609"/>
      <c r="AX257" s="609"/>
      <c r="AY257" s="816"/>
      <c r="AZ257" s="816"/>
      <c r="BA257" s="816"/>
      <c r="BB257" s="816"/>
      <c r="BC257" s="816"/>
      <c r="BD257" s="816"/>
      <c r="BE257" s="816"/>
      <c r="BF257" s="816"/>
      <c r="BG257" s="816"/>
      <c r="BH257" s="816"/>
      <c r="BI257" s="816"/>
      <c r="BJ257" s="816"/>
      <c r="BK257" s="816"/>
      <c r="BL257" s="816"/>
      <c r="BM257" s="816"/>
      <c r="BN257" s="816"/>
      <c r="BO257" s="816"/>
      <c r="BP257" s="816"/>
      <c r="BQ257" s="816"/>
      <c r="BR257" s="816"/>
      <c r="BS257" s="816"/>
      <c r="BT257" s="609"/>
      <c r="BU257" s="609"/>
      <c r="BV257" s="609"/>
      <c r="BW257" s="818"/>
      <c r="BX257" s="816"/>
      <c r="BY257" s="816"/>
      <c r="BZ257" s="816"/>
      <c r="CA257" s="816"/>
      <c r="CB257" s="816"/>
      <c r="CC257" s="816"/>
      <c r="CD257" s="816"/>
      <c r="CE257" s="816"/>
      <c r="CF257" s="820"/>
      <c r="CG257" s="820"/>
      <c r="CH257" s="820"/>
      <c r="CI257" s="820"/>
      <c r="CJ257" s="609"/>
      <c r="CK257" s="609"/>
      <c r="CL257" s="816"/>
      <c r="CM257" s="816"/>
      <c r="CN257" s="609"/>
      <c r="CO257" s="609"/>
      <c r="CP257" s="816"/>
      <c r="CQ257" s="816"/>
      <c r="CR257" s="609"/>
      <c r="CS257" s="609"/>
      <c r="CT257" s="816"/>
      <c r="CU257" s="816"/>
      <c r="CV257" s="609"/>
      <c r="CW257" s="609"/>
      <c r="CX257" s="816"/>
      <c r="CY257" s="816"/>
      <c r="CZ257" s="816"/>
      <c r="DA257" s="816"/>
      <c r="DB257" s="816"/>
      <c r="DC257" s="816"/>
      <c r="DD257" s="816"/>
      <c r="DE257" s="816"/>
      <c r="DF257" s="816"/>
      <c r="DG257" s="816"/>
      <c r="DH257" s="816"/>
      <c r="DI257" s="816"/>
      <c r="DJ257" s="816"/>
      <c r="DK257" s="816"/>
      <c r="DL257" s="609"/>
      <c r="DM257" s="609"/>
      <c r="DN257" s="816"/>
      <c r="DO257" s="816"/>
      <c r="DP257" s="816"/>
      <c r="DQ257" s="816"/>
      <c r="DR257" s="816"/>
      <c r="DS257" s="816"/>
      <c r="DT257" s="816"/>
      <c r="DU257" s="816"/>
      <c r="DV257" s="816"/>
      <c r="DW257" s="816"/>
      <c r="DX257" s="816"/>
      <c r="DY257" s="816"/>
      <c r="DZ257" s="816"/>
      <c r="EA257" s="816"/>
      <c r="EB257" s="609"/>
      <c r="EC257" s="609"/>
      <c r="ED257" s="816"/>
      <c r="EE257" s="816"/>
      <c r="EF257" s="816"/>
      <c r="EG257" s="816"/>
      <c r="EH257" s="816"/>
      <c r="EI257" s="816"/>
      <c r="EJ257" s="816"/>
      <c r="EK257" s="816"/>
      <c r="EL257" s="816"/>
      <c r="EM257" s="816"/>
      <c r="EN257" s="816"/>
      <c r="EO257" s="816"/>
      <c r="EP257" s="816"/>
      <c r="EQ257" s="816"/>
      <c r="ER257" s="816"/>
      <c r="ES257" s="816"/>
      <c r="ET257" s="816"/>
      <c r="EU257" s="816"/>
      <c r="EV257" s="816"/>
      <c r="EW257" s="816"/>
      <c r="EX257" s="816"/>
      <c r="EY257" s="816"/>
      <c r="EZ257" s="816"/>
      <c r="FA257" s="816"/>
      <c r="FB257" s="819"/>
      <c r="FC257" s="816"/>
      <c r="FD257" s="820"/>
      <c r="FE257" s="820"/>
      <c r="FF257" s="820"/>
      <c r="FG257" s="820"/>
      <c r="FH257" s="609"/>
      <c r="FI257" s="609"/>
      <c r="FJ257" s="816"/>
      <c r="FK257" s="816"/>
      <c r="FL257" s="816"/>
      <c r="FM257" s="816"/>
      <c r="FN257" s="816"/>
      <c r="FO257" s="816"/>
      <c r="FP257" s="816"/>
      <c r="FQ257" s="816"/>
      <c r="FR257" s="816"/>
      <c r="FS257" s="816"/>
      <c r="FT257" s="816"/>
      <c r="FU257" s="816"/>
      <c r="FV257" s="816"/>
      <c r="FW257" s="816"/>
      <c r="FX257" s="609"/>
      <c r="FY257" s="609"/>
      <c r="FZ257" s="816"/>
      <c r="GA257" s="816"/>
      <c r="GB257" s="609"/>
      <c r="GC257" s="609"/>
      <c r="GD257" s="609"/>
      <c r="GE257" s="816"/>
      <c r="GF257" s="816"/>
      <c r="GG257" s="609"/>
      <c r="GH257" s="609"/>
      <c r="GI257" s="816"/>
      <c r="GJ257" s="816"/>
      <c r="GK257" s="609"/>
      <c r="GL257" s="609"/>
      <c r="GM257" s="816"/>
      <c r="GN257" s="816"/>
      <c r="GO257" s="816"/>
      <c r="GP257" s="816"/>
      <c r="GQ257" s="816"/>
      <c r="GR257" s="816"/>
      <c r="GS257" s="609"/>
      <c r="GT257" s="609"/>
      <c r="GU257" s="816"/>
      <c r="GV257" s="816"/>
      <c r="GW257" s="609"/>
      <c r="GX257" s="609"/>
      <c r="GY257" s="816"/>
      <c r="GZ257" s="816"/>
      <c r="HA257" s="609"/>
      <c r="HB257" s="609"/>
      <c r="HC257" s="816"/>
      <c r="HD257" s="816"/>
      <c r="HE257" s="816"/>
      <c r="HF257" s="816"/>
      <c r="HG257" s="816"/>
      <c r="HH257" s="816"/>
      <c r="HI257" s="821"/>
      <c r="HJ257" s="609"/>
      <c r="HK257" s="816"/>
      <c r="HL257" s="816"/>
      <c r="HM257" s="822"/>
      <c r="HN257" s="609"/>
      <c r="HO257" s="816"/>
      <c r="HP257" s="816"/>
      <c r="HQ257" s="609"/>
      <c r="HR257" s="816"/>
      <c r="HS257" s="816"/>
      <c r="HT257" s="816"/>
      <c r="HU257" s="816"/>
      <c r="HV257" s="816"/>
      <c r="HW257" s="816"/>
      <c r="HX257" s="816"/>
      <c r="HY257" s="816"/>
      <c r="HZ257" s="816"/>
      <c r="IA257" s="816"/>
      <c r="IB257" s="816"/>
      <c r="IC257" s="823"/>
      <c r="ID257" s="824"/>
      <c r="IE257" s="825"/>
      <c r="IF257" s="825"/>
      <c r="IG257" s="816"/>
      <c r="II257" s="834"/>
      <c r="IJ257" s="834"/>
      <c r="IK257" s="826"/>
      <c r="IL257" s="834"/>
    </row>
    <row r="258" spans="2:246" s="780" customFormat="1">
      <c r="B258" s="609"/>
      <c r="C258" s="609"/>
      <c r="D258" s="609"/>
      <c r="E258" s="609"/>
      <c r="F258" s="609"/>
      <c r="G258" s="609"/>
      <c r="H258" s="609"/>
      <c r="I258" s="609"/>
      <c r="J258" s="609"/>
      <c r="K258" s="609"/>
      <c r="L258" s="609"/>
      <c r="M258" s="609"/>
      <c r="N258" s="609"/>
      <c r="O258" s="609"/>
      <c r="P258" s="609"/>
      <c r="Q258" s="609"/>
      <c r="R258" s="609"/>
      <c r="S258" s="609"/>
      <c r="T258" s="609"/>
      <c r="U258" s="609"/>
      <c r="V258" s="609"/>
      <c r="W258" s="609"/>
      <c r="X258" s="609"/>
      <c r="Y258" s="609"/>
      <c r="Z258" s="816"/>
      <c r="AA258" s="816"/>
      <c r="AB258" s="816"/>
      <c r="AC258" s="816"/>
      <c r="AD258" s="816"/>
      <c r="AE258" s="816"/>
      <c r="AF258" s="609"/>
      <c r="AG258" s="609"/>
      <c r="AH258" s="816"/>
      <c r="AI258" s="816"/>
      <c r="AJ258" s="609"/>
      <c r="AK258" s="609"/>
      <c r="AL258" s="816"/>
      <c r="AM258" s="816"/>
      <c r="AN258" s="816"/>
      <c r="AO258" s="816"/>
      <c r="AP258" s="816"/>
      <c r="AQ258" s="816"/>
      <c r="AR258" s="609"/>
      <c r="AS258" s="609"/>
      <c r="AT258" s="816"/>
      <c r="AU258" s="816"/>
      <c r="AV258" s="817"/>
      <c r="AW258" s="609"/>
      <c r="AX258" s="609"/>
      <c r="AY258" s="816"/>
      <c r="AZ258" s="816"/>
      <c r="BA258" s="816"/>
      <c r="BB258" s="816"/>
      <c r="BC258" s="816"/>
      <c r="BD258" s="816"/>
      <c r="BE258" s="816"/>
      <c r="BF258" s="816"/>
      <c r="BG258" s="816"/>
      <c r="BH258" s="816"/>
      <c r="BI258" s="816"/>
      <c r="BJ258" s="816"/>
      <c r="BK258" s="816"/>
      <c r="BL258" s="816"/>
      <c r="BM258" s="816"/>
      <c r="BN258" s="816"/>
      <c r="BO258" s="816"/>
      <c r="BP258" s="816"/>
      <c r="BQ258" s="816"/>
      <c r="BR258" s="816"/>
      <c r="BS258" s="816"/>
      <c r="BT258" s="609"/>
      <c r="BU258" s="609"/>
      <c r="BV258" s="609"/>
      <c r="BW258" s="818"/>
      <c r="BX258" s="816"/>
      <c r="BY258" s="816"/>
      <c r="BZ258" s="816"/>
      <c r="CA258" s="816"/>
      <c r="CB258" s="816"/>
      <c r="CC258" s="816"/>
      <c r="CD258" s="816"/>
      <c r="CE258" s="816"/>
      <c r="CF258" s="820"/>
      <c r="CG258" s="820"/>
      <c r="CH258" s="820"/>
      <c r="CI258" s="820"/>
      <c r="CJ258" s="609"/>
      <c r="CK258" s="609"/>
      <c r="CL258" s="816"/>
      <c r="CM258" s="816"/>
      <c r="CN258" s="609"/>
      <c r="CO258" s="609"/>
      <c r="CP258" s="816"/>
      <c r="CQ258" s="816"/>
      <c r="CR258" s="609"/>
      <c r="CS258" s="609"/>
      <c r="CT258" s="816"/>
      <c r="CU258" s="816"/>
      <c r="CV258" s="609"/>
      <c r="CW258" s="609"/>
      <c r="CX258" s="816"/>
      <c r="CY258" s="816"/>
      <c r="CZ258" s="816"/>
      <c r="DA258" s="816"/>
      <c r="DB258" s="816"/>
      <c r="DC258" s="816"/>
      <c r="DD258" s="816"/>
      <c r="DE258" s="816"/>
      <c r="DF258" s="816"/>
      <c r="DG258" s="816"/>
      <c r="DH258" s="816"/>
      <c r="DI258" s="816"/>
      <c r="DJ258" s="816"/>
      <c r="DK258" s="816"/>
      <c r="DL258" s="609"/>
      <c r="DM258" s="609"/>
      <c r="DN258" s="816"/>
      <c r="DO258" s="816"/>
      <c r="DP258" s="816"/>
      <c r="DQ258" s="816"/>
      <c r="DR258" s="816"/>
      <c r="DS258" s="816"/>
      <c r="DT258" s="816"/>
      <c r="DU258" s="816"/>
      <c r="DV258" s="816"/>
      <c r="DW258" s="816"/>
      <c r="DX258" s="816"/>
      <c r="DY258" s="816"/>
      <c r="DZ258" s="816"/>
      <c r="EA258" s="816"/>
      <c r="EB258" s="609"/>
      <c r="EC258" s="609"/>
      <c r="ED258" s="816"/>
      <c r="EE258" s="816"/>
      <c r="EF258" s="816"/>
      <c r="EG258" s="816"/>
      <c r="EH258" s="816"/>
      <c r="EI258" s="816"/>
      <c r="EJ258" s="816"/>
      <c r="EK258" s="816"/>
      <c r="EL258" s="816"/>
      <c r="EM258" s="816"/>
      <c r="EN258" s="816"/>
      <c r="EO258" s="816"/>
      <c r="EP258" s="816"/>
      <c r="EQ258" s="816"/>
      <c r="ER258" s="816"/>
      <c r="ES258" s="816"/>
      <c r="ET258" s="816"/>
      <c r="EU258" s="816"/>
      <c r="EV258" s="816"/>
      <c r="EW258" s="816"/>
      <c r="EX258" s="816"/>
      <c r="EY258" s="816"/>
      <c r="EZ258" s="816"/>
      <c r="FA258" s="816"/>
      <c r="FB258" s="819"/>
      <c r="FC258" s="816"/>
      <c r="FD258" s="820"/>
      <c r="FE258" s="820"/>
      <c r="FF258" s="820"/>
      <c r="FG258" s="820"/>
      <c r="FH258" s="609"/>
      <c r="FI258" s="609"/>
      <c r="FJ258" s="816"/>
      <c r="FK258" s="816"/>
      <c r="FL258" s="816"/>
      <c r="FM258" s="816"/>
      <c r="FN258" s="816"/>
      <c r="FO258" s="816"/>
      <c r="FP258" s="816"/>
      <c r="FQ258" s="816"/>
      <c r="FR258" s="816"/>
      <c r="FS258" s="816"/>
      <c r="FT258" s="816"/>
      <c r="FU258" s="816"/>
      <c r="FV258" s="816"/>
      <c r="FW258" s="816"/>
      <c r="FX258" s="609"/>
      <c r="FY258" s="609"/>
      <c r="FZ258" s="816"/>
      <c r="GA258" s="816"/>
      <c r="GB258" s="609"/>
      <c r="GC258" s="609"/>
      <c r="GD258" s="609"/>
      <c r="GE258" s="816"/>
      <c r="GF258" s="816"/>
      <c r="GG258" s="609"/>
      <c r="GH258" s="609"/>
      <c r="GI258" s="816"/>
      <c r="GJ258" s="816"/>
      <c r="GK258" s="609"/>
      <c r="GL258" s="609"/>
      <c r="GM258" s="816"/>
      <c r="GN258" s="816"/>
      <c r="GO258" s="816"/>
      <c r="GP258" s="816"/>
      <c r="GQ258" s="816"/>
      <c r="GR258" s="816"/>
      <c r="GS258" s="609"/>
      <c r="GT258" s="609"/>
      <c r="GU258" s="816"/>
      <c r="GV258" s="816"/>
      <c r="GW258" s="609"/>
      <c r="GX258" s="609"/>
      <c r="GY258" s="816"/>
      <c r="GZ258" s="816"/>
      <c r="HA258" s="609"/>
      <c r="HB258" s="609"/>
      <c r="HC258" s="816"/>
      <c r="HD258" s="816"/>
      <c r="HE258" s="816"/>
      <c r="HF258" s="816"/>
      <c r="HG258" s="816"/>
      <c r="HH258" s="816"/>
      <c r="HI258" s="821"/>
      <c r="HJ258" s="609"/>
      <c r="HK258" s="816"/>
      <c r="HL258" s="816"/>
      <c r="HM258" s="822"/>
      <c r="HN258" s="609"/>
      <c r="HO258" s="816"/>
      <c r="HP258" s="816"/>
      <c r="HQ258" s="609"/>
      <c r="HR258" s="816"/>
      <c r="HS258" s="816"/>
      <c r="HT258" s="816"/>
      <c r="HU258" s="816"/>
      <c r="HV258" s="816"/>
      <c r="HW258" s="816"/>
      <c r="HX258" s="816"/>
      <c r="HY258" s="816"/>
      <c r="HZ258" s="816"/>
      <c r="IA258" s="816"/>
      <c r="IB258" s="816"/>
      <c r="IC258" s="823"/>
      <c r="ID258" s="824"/>
      <c r="IE258" s="825"/>
      <c r="IF258" s="825"/>
      <c r="IG258" s="816"/>
      <c r="II258" s="834"/>
      <c r="IJ258" s="834"/>
      <c r="IK258" s="826"/>
      <c r="IL258" s="834"/>
    </row>
    <row r="259" spans="2:246" s="780" customFormat="1">
      <c r="B259" s="609"/>
      <c r="C259" s="609"/>
      <c r="D259" s="609"/>
      <c r="E259" s="609"/>
      <c r="F259" s="609"/>
      <c r="G259" s="609"/>
      <c r="H259" s="609"/>
      <c r="I259" s="609"/>
      <c r="J259" s="609"/>
      <c r="K259" s="609"/>
      <c r="L259" s="609"/>
      <c r="M259" s="609"/>
      <c r="N259" s="609"/>
      <c r="O259" s="609"/>
      <c r="P259" s="609"/>
      <c r="Q259" s="609"/>
      <c r="R259" s="609"/>
      <c r="S259" s="609"/>
      <c r="T259" s="609"/>
      <c r="U259" s="609"/>
      <c r="V259" s="609"/>
      <c r="W259" s="609"/>
      <c r="X259" s="609"/>
      <c r="Y259" s="609"/>
      <c r="Z259" s="816"/>
      <c r="AA259" s="816"/>
      <c r="AB259" s="816"/>
      <c r="AC259" s="816"/>
      <c r="AD259" s="816"/>
      <c r="AE259" s="816"/>
      <c r="AF259" s="609"/>
      <c r="AG259" s="609"/>
      <c r="AH259" s="816"/>
      <c r="AI259" s="816"/>
      <c r="AJ259" s="609"/>
      <c r="AK259" s="609"/>
      <c r="AL259" s="816"/>
      <c r="AM259" s="816"/>
      <c r="AN259" s="816"/>
      <c r="AO259" s="816"/>
      <c r="AP259" s="816"/>
      <c r="AQ259" s="816"/>
      <c r="AR259" s="609"/>
      <c r="AS259" s="609"/>
      <c r="AT259" s="816"/>
      <c r="AU259" s="816"/>
      <c r="AV259" s="817"/>
      <c r="AW259" s="609"/>
      <c r="AX259" s="609"/>
      <c r="AY259" s="816"/>
      <c r="AZ259" s="816"/>
      <c r="BA259" s="816"/>
      <c r="BB259" s="816"/>
      <c r="BC259" s="816"/>
      <c r="BD259" s="816"/>
      <c r="BE259" s="816"/>
      <c r="BF259" s="816"/>
      <c r="BG259" s="816"/>
      <c r="BH259" s="816"/>
      <c r="BI259" s="816"/>
      <c r="BJ259" s="816"/>
      <c r="BK259" s="816"/>
      <c r="BL259" s="816"/>
      <c r="BM259" s="816"/>
      <c r="BN259" s="816"/>
      <c r="BO259" s="816"/>
      <c r="BP259" s="816"/>
      <c r="BQ259" s="816"/>
      <c r="BR259" s="816"/>
      <c r="BS259" s="816"/>
      <c r="BT259" s="609"/>
      <c r="BU259" s="609"/>
      <c r="BV259" s="609"/>
      <c r="BW259" s="818"/>
      <c r="BX259" s="816"/>
      <c r="BY259" s="816"/>
      <c r="BZ259" s="816"/>
      <c r="CA259" s="816"/>
      <c r="CB259" s="816"/>
      <c r="CC259" s="816"/>
      <c r="CD259" s="816"/>
      <c r="CE259" s="816"/>
      <c r="CF259" s="820"/>
      <c r="CG259" s="820"/>
      <c r="CH259" s="820"/>
      <c r="CI259" s="820"/>
      <c r="CJ259" s="609"/>
      <c r="CK259" s="609"/>
      <c r="CL259" s="816"/>
      <c r="CM259" s="816"/>
      <c r="CN259" s="609"/>
      <c r="CO259" s="609"/>
      <c r="CP259" s="816"/>
      <c r="CQ259" s="816"/>
      <c r="CR259" s="609"/>
      <c r="CS259" s="609"/>
      <c r="CT259" s="816"/>
      <c r="CU259" s="816"/>
      <c r="CV259" s="609"/>
      <c r="CW259" s="609"/>
      <c r="CX259" s="816"/>
      <c r="CY259" s="816"/>
      <c r="CZ259" s="816"/>
      <c r="DA259" s="816"/>
      <c r="DB259" s="816"/>
      <c r="DC259" s="816"/>
      <c r="DD259" s="816"/>
      <c r="DE259" s="816"/>
      <c r="DF259" s="816"/>
      <c r="DG259" s="816"/>
      <c r="DH259" s="816"/>
      <c r="DI259" s="816"/>
      <c r="DJ259" s="816"/>
      <c r="DK259" s="816"/>
      <c r="DL259" s="609"/>
      <c r="DM259" s="609"/>
      <c r="DN259" s="816"/>
      <c r="DO259" s="816"/>
      <c r="DP259" s="816"/>
      <c r="DQ259" s="816"/>
      <c r="DR259" s="816"/>
      <c r="DS259" s="816"/>
      <c r="DT259" s="816"/>
      <c r="DU259" s="816"/>
      <c r="DV259" s="816"/>
      <c r="DW259" s="816"/>
      <c r="DX259" s="816"/>
      <c r="DY259" s="816"/>
      <c r="DZ259" s="816"/>
      <c r="EA259" s="816"/>
      <c r="EB259" s="609"/>
      <c r="EC259" s="609"/>
      <c r="ED259" s="816"/>
      <c r="EE259" s="816"/>
      <c r="EF259" s="816"/>
      <c r="EG259" s="816"/>
      <c r="EH259" s="816"/>
      <c r="EI259" s="816"/>
      <c r="EJ259" s="816"/>
      <c r="EK259" s="816"/>
      <c r="EL259" s="816"/>
      <c r="EM259" s="816"/>
      <c r="EN259" s="816"/>
      <c r="EO259" s="816"/>
      <c r="EP259" s="816"/>
      <c r="EQ259" s="816"/>
      <c r="ER259" s="816"/>
      <c r="ES259" s="816"/>
      <c r="ET259" s="816"/>
      <c r="EU259" s="816"/>
      <c r="EV259" s="816"/>
      <c r="EW259" s="816"/>
      <c r="EX259" s="816"/>
      <c r="EY259" s="816"/>
      <c r="EZ259" s="816"/>
      <c r="FA259" s="816"/>
      <c r="FB259" s="819"/>
      <c r="FC259" s="816"/>
      <c r="FD259" s="820"/>
      <c r="FE259" s="820"/>
      <c r="FF259" s="820"/>
      <c r="FG259" s="820"/>
      <c r="FH259" s="609"/>
      <c r="FI259" s="609"/>
      <c r="FJ259" s="816"/>
      <c r="FK259" s="816"/>
      <c r="FL259" s="816"/>
      <c r="FM259" s="816"/>
      <c r="FN259" s="816"/>
      <c r="FO259" s="816"/>
      <c r="FP259" s="816"/>
      <c r="FQ259" s="816"/>
      <c r="FR259" s="816"/>
      <c r="FS259" s="816"/>
      <c r="FT259" s="816"/>
      <c r="FU259" s="816"/>
      <c r="FV259" s="816"/>
      <c r="FW259" s="816"/>
      <c r="FX259" s="609"/>
      <c r="FY259" s="609"/>
      <c r="FZ259" s="816"/>
      <c r="GA259" s="816"/>
      <c r="GB259" s="609"/>
      <c r="GC259" s="609"/>
      <c r="GD259" s="609"/>
      <c r="GE259" s="816"/>
      <c r="GF259" s="816"/>
      <c r="GG259" s="609"/>
      <c r="GH259" s="609"/>
      <c r="GI259" s="816"/>
      <c r="GJ259" s="816"/>
      <c r="GK259" s="609"/>
      <c r="GL259" s="609"/>
      <c r="GM259" s="816"/>
      <c r="GN259" s="816"/>
      <c r="GO259" s="816"/>
      <c r="GP259" s="816"/>
      <c r="GQ259" s="816"/>
      <c r="GR259" s="816"/>
      <c r="GS259" s="609"/>
      <c r="GT259" s="609"/>
      <c r="GU259" s="816"/>
      <c r="GV259" s="816"/>
      <c r="GW259" s="609"/>
      <c r="GX259" s="609"/>
      <c r="GY259" s="816"/>
      <c r="GZ259" s="816"/>
      <c r="HA259" s="609"/>
      <c r="HB259" s="609"/>
      <c r="HC259" s="816"/>
      <c r="HD259" s="816"/>
      <c r="HE259" s="816"/>
      <c r="HF259" s="816"/>
      <c r="HG259" s="816"/>
      <c r="HH259" s="816"/>
      <c r="HI259" s="821"/>
      <c r="HJ259" s="609"/>
      <c r="HK259" s="816"/>
      <c r="HL259" s="816"/>
      <c r="HM259" s="822"/>
      <c r="HN259" s="609"/>
      <c r="HO259" s="816"/>
      <c r="HP259" s="816"/>
      <c r="HQ259" s="609"/>
      <c r="HR259" s="816"/>
      <c r="HS259" s="816"/>
      <c r="HT259" s="816"/>
      <c r="HU259" s="816"/>
      <c r="HV259" s="816"/>
      <c r="HW259" s="816"/>
      <c r="HX259" s="816"/>
      <c r="HY259" s="816"/>
      <c r="HZ259" s="816"/>
      <c r="IA259" s="816"/>
      <c r="IB259" s="816"/>
      <c r="IC259" s="823"/>
      <c r="ID259" s="824"/>
      <c r="IE259" s="825"/>
      <c r="IF259" s="825"/>
      <c r="IG259" s="816"/>
      <c r="II259" s="834"/>
      <c r="IJ259" s="834"/>
      <c r="IK259" s="826"/>
      <c r="IL259" s="834"/>
    </row>
    <row r="260" spans="2:246" s="780" customFormat="1">
      <c r="B260" s="609"/>
      <c r="C260" s="609"/>
      <c r="D260" s="609"/>
      <c r="E260" s="609"/>
      <c r="F260" s="609"/>
      <c r="G260" s="609"/>
      <c r="H260" s="609"/>
      <c r="I260" s="609"/>
      <c r="J260" s="609"/>
      <c r="K260" s="609"/>
      <c r="L260" s="609"/>
      <c r="M260" s="609"/>
      <c r="N260" s="609"/>
      <c r="O260" s="609"/>
      <c r="P260" s="609"/>
      <c r="Q260" s="609"/>
      <c r="R260" s="609"/>
      <c r="S260" s="609"/>
      <c r="T260" s="609"/>
      <c r="U260" s="609"/>
      <c r="V260" s="609"/>
      <c r="W260" s="609"/>
      <c r="X260" s="609"/>
      <c r="Y260" s="609"/>
      <c r="Z260" s="816"/>
      <c r="AA260" s="816"/>
      <c r="AB260" s="816"/>
      <c r="AC260" s="816"/>
      <c r="AD260" s="816"/>
      <c r="AE260" s="816"/>
      <c r="AF260" s="609"/>
      <c r="AG260" s="609"/>
      <c r="AH260" s="816"/>
      <c r="AI260" s="816"/>
      <c r="AJ260" s="609"/>
      <c r="AK260" s="609"/>
      <c r="AL260" s="816"/>
      <c r="AM260" s="816"/>
      <c r="AN260" s="816"/>
      <c r="AO260" s="816"/>
      <c r="AP260" s="816"/>
      <c r="AQ260" s="816"/>
      <c r="AR260" s="609"/>
      <c r="AS260" s="609"/>
      <c r="AT260" s="816"/>
      <c r="AU260" s="816"/>
      <c r="AV260" s="817"/>
      <c r="AW260" s="609"/>
      <c r="AX260" s="609"/>
      <c r="AY260" s="816"/>
      <c r="AZ260" s="816"/>
      <c r="BA260" s="816"/>
      <c r="BB260" s="816"/>
      <c r="BC260" s="816"/>
      <c r="BD260" s="816"/>
      <c r="BE260" s="816"/>
      <c r="BF260" s="816"/>
      <c r="BG260" s="816"/>
      <c r="BH260" s="816"/>
      <c r="BI260" s="816"/>
      <c r="BJ260" s="816"/>
      <c r="BK260" s="816"/>
      <c r="BL260" s="816"/>
      <c r="BM260" s="816"/>
      <c r="BN260" s="816"/>
      <c r="BO260" s="816"/>
      <c r="BP260" s="816"/>
      <c r="BQ260" s="816"/>
      <c r="BR260" s="816"/>
      <c r="BS260" s="816"/>
      <c r="BT260" s="609"/>
      <c r="BU260" s="609"/>
      <c r="BV260" s="609"/>
      <c r="BW260" s="818"/>
      <c r="BX260" s="816"/>
      <c r="BY260" s="816"/>
      <c r="BZ260" s="816"/>
      <c r="CA260" s="816"/>
      <c r="CB260" s="816"/>
      <c r="CC260" s="816"/>
      <c r="CD260" s="816"/>
      <c r="CE260" s="816"/>
      <c r="CF260" s="820"/>
      <c r="CG260" s="820"/>
      <c r="CH260" s="820"/>
      <c r="CI260" s="820"/>
      <c r="CJ260" s="609"/>
      <c r="CK260" s="609"/>
      <c r="CL260" s="816"/>
      <c r="CM260" s="816"/>
      <c r="CN260" s="609"/>
      <c r="CO260" s="609"/>
      <c r="CP260" s="816"/>
      <c r="CQ260" s="816"/>
      <c r="CR260" s="609"/>
      <c r="CS260" s="609"/>
      <c r="CT260" s="816"/>
      <c r="CU260" s="816"/>
      <c r="CV260" s="609"/>
      <c r="CW260" s="609"/>
      <c r="CX260" s="816"/>
      <c r="CY260" s="816"/>
      <c r="CZ260" s="816"/>
      <c r="DA260" s="816"/>
      <c r="DB260" s="816"/>
      <c r="DC260" s="816"/>
      <c r="DD260" s="816"/>
      <c r="DE260" s="816"/>
      <c r="DF260" s="816"/>
      <c r="DG260" s="816"/>
      <c r="DH260" s="816"/>
      <c r="DI260" s="816"/>
      <c r="DJ260" s="816"/>
      <c r="DK260" s="816"/>
      <c r="DL260" s="609"/>
      <c r="DM260" s="609"/>
      <c r="DN260" s="816"/>
      <c r="DO260" s="816"/>
      <c r="DP260" s="816"/>
      <c r="DQ260" s="816"/>
      <c r="DR260" s="816"/>
      <c r="DS260" s="816"/>
      <c r="DT260" s="816"/>
      <c r="DU260" s="816"/>
      <c r="DV260" s="816"/>
      <c r="DW260" s="816"/>
      <c r="DX260" s="816"/>
      <c r="DY260" s="816"/>
      <c r="DZ260" s="816"/>
      <c r="EA260" s="816"/>
      <c r="EB260" s="609"/>
      <c r="EC260" s="609"/>
      <c r="ED260" s="816"/>
      <c r="EE260" s="816"/>
      <c r="EF260" s="816"/>
      <c r="EG260" s="816"/>
      <c r="EH260" s="816"/>
      <c r="EI260" s="816"/>
      <c r="EJ260" s="816"/>
      <c r="EK260" s="816"/>
      <c r="EL260" s="816"/>
      <c r="EM260" s="816"/>
      <c r="EN260" s="816"/>
      <c r="EO260" s="816"/>
      <c r="EP260" s="816"/>
      <c r="EQ260" s="816"/>
      <c r="ER260" s="816"/>
      <c r="ES260" s="816"/>
      <c r="ET260" s="816"/>
      <c r="EU260" s="816"/>
      <c r="EV260" s="816"/>
      <c r="EW260" s="816"/>
      <c r="EX260" s="816"/>
      <c r="EY260" s="816"/>
      <c r="EZ260" s="816"/>
      <c r="FA260" s="816"/>
      <c r="FB260" s="819"/>
      <c r="FC260" s="816"/>
      <c r="FD260" s="820"/>
      <c r="FE260" s="820"/>
      <c r="FF260" s="820"/>
      <c r="FG260" s="820"/>
      <c r="FH260" s="609"/>
      <c r="FI260" s="609"/>
      <c r="FJ260" s="816"/>
      <c r="FK260" s="816"/>
      <c r="FL260" s="816"/>
      <c r="FM260" s="816"/>
      <c r="FN260" s="816"/>
      <c r="FO260" s="816"/>
      <c r="FP260" s="816"/>
      <c r="FQ260" s="816"/>
      <c r="FR260" s="816"/>
      <c r="FS260" s="816"/>
      <c r="FT260" s="816"/>
      <c r="FU260" s="816"/>
      <c r="FV260" s="816"/>
      <c r="FW260" s="816"/>
      <c r="FX260" s="609"/>
      <c r="FY260" s="609"/>
      <c r="FZ260" s="816"/>
      <c r="GA260" s="816"/>
      <c r="GB260" s="609"/>
      <c r="GC260" s="609"/>
      <c r="GD260" s="609"/>
      <c r="GE260" s="816"/>
      <c r="GF260" s="816"/>
      <c r="GG260" s="609"/>
      <c r="GH260" s="609"/>
      <c r="GI260" s="816"/>
      <c r="GJ260" s="816"/>
      <c r="GK260" s="609"/>
      <c r="GL260" s="609"/>
      <c r="GM260" s="816"/>
      <c r="GN260" s="816"/>
      <c r="GO260" s="816"/>
      <c r="GP260" s="816"/>
      <c r="GQ260" s="816"/>
      <c r="GR260" s="816"/>
      <c r="GS260" s="609"/>
      <c r="GT260" s="609"/>
      <c r="GU260" s="816"/>
      <c r="GV260" s="816"/>
      <c r="GW260" s="609"/>
      <c r="GX260" s="609"/>
      <c r="GY260" s="816"/>
      <c r="GZ260" s="816"/>
      <c r="HA260" s="609"/>
      <c r="HB260" s="609"/>
      <c r="HC260" s="816"/>
      <c r="HD260" s="816"/>
      <c r="HE260" s="816"/>
      <c r="HF260" s="816"/>
      <c r="HG260" s="816"/>
      <c r="HH260" s="816"/>
      <c r="HI260" s="821"/>
      <c r="HJ260" s="609"/>
      <c r="HK260" s="816"/>
      <c r="HL260" s="816"/>
      <c r="HM260" s="822"/>
      <c r="HN260" s="609"/>
      <c r="HO260" s="816"/>
      <c r="HP260" s="816"/>
      <c r="HQ260" s="609"/>
      <c r="HR260" s="816"/>
      <c r="HS260" s="816"/>
      <c r="HT260" s="816"/>
      <c r="HU260" s="816"/>
      <c r="HV260" s="816"/>
      <c r="HW260" s="816"/>
      <c r="HX260" s="816"/>
      <c r="HY260" s="816"/>
      <c r="HZ260" s="816"/>
      <c r="IA260" s="816"/>
      <c r="IB260" s="816"/>
      <c r="IC260" s="823"/>
      <c r="ID260" s="824"/>
      <c r="IE260" s="825"/>
      <c r="IF260" s="825"/>
      <c r="IG260" s="816"/>
      <c r="II260" s="834"/>
      <c r="IJ260" s="834"/>
      <c r="IK260" s="826"/>
      <c r="IL260" s="834"/>
    </row>
    <row r="261" spans="2:246" s="780" customFormat="1">
      <c r="B261" s="609"/>
      <c r="C261" s="609"/>
      <c r="D261" s="609"/>
      <c r="E261" s="609"/>
      <c r="F261" s="609"/>
      <c r="G261" s="609"/>
      <c r="H261" s="609"/>
      <c r="I261" s="609"/>
      <c r="J261" s="609"/>
      <c r="K261" s="609"/>
      <c r="L261" s="609"/>
      <c r="M261" s="609"/>
      <c r="N261" s="609"/>
      <c r="O261" s="609"/>
      <c r="P261" s="609"/>
      <c r="Q261" s="609"/>
      <c r="R261" s="609"/>
      <c r="S261" s="609"/>
      <c r="T261" s="609"/>
      <c r="U261" s="609"/>
      <c r="V261" s="609"/>
      <c r="W261" s="609"/>
      <c r="X261" s="609"/>
      <c r="Y261" s="609"/>
      <c r="Z261" s="816"/>
      <c r="AA261" s="816"/>
      <c r="AB261" s="816"/>
      <c r="AC261" s="816"/>
      <c r="AD261" s="816"/>
      <c r="AE261" s="816"/>
      <c r="AF261" s="609"/>
      <c r="AG261" s="609"/>
      <c r="AH261" s="816"/>
      <c r="AI261" s="816"/>
      <c r="AJ261" s="609"/>
      <c r="AK261" s="609"/>
      <c r="AL261" s="816"/>
      <c r="AM261" s="816"/>
      <c r="AN261" s="816"/>
      <c r="AO261" s="816"/>
      <c r="AP261" s="816"/>
      <c r="AQ261" s="816"/>
      <c r="AR261" s="609"/>
      <c r="AS261" s="609"/>
      <c r="AT261" s="816"/>
      <c r="AU261" s="816"/>
      <c r="AV261" s="817"/>
      <c r="AW261" s="609"/>
      <c r="AX261" s="609"/>
      <c r="AY261" s="816"/>
      <c r="AZ261" s="816"/>
      <c r="BA261" s="816"/>
      <c r="BB261" s="816"/>
      <c r="BC261" s="816"/>
      <c r="BD261" s="816"/>
      <c r="BE261" s="816"/>
      <c r="BF261" s="816"/>
      <c r="BG261" s="816"/>
      <c r="BH261" s="816"/>
      <c r="BI261" s="816"/>
      <c r="BJ261" s="816"/>
      <c r="BK261" s="816"/>
      <c r="BL261" s="816"/>
      <c r="BM261" s="816"/>
      <c r="BN261" s="816"/>
      <c r="BO261" s="816"/>
      <c r="BP261" s="816"/>
      <c r="BQ261" s="816"/>
      <c r="BR261" s="816"/>
      <c r="BS261" s="816"/>
      <c r="BT261" s="609"/>
      <c r="BU261" s="609"/>
      <c r="BV261" s="609"/>
      <c r="BW261" s="818"/>
      <c r="BX261" s="816"/>
      <c r="BY261" s="816"/>
      <c r="BZ261" s="816"/>
      <c r="CA261" s="816"/>
      <c r="CB261" s="816"/>
      <c r="CC261" s="816"/>
      <c r="CD261" s="816"/>
      <c r="CE261" s="816"/>
      <c r="CF261" s="820"/>
      <c r="CG261" s="820"/>
      <c r="CH261" s="820"/>
      <c r="CI261" s="820"/>
      <c r="CJ261" s="609"/>
      <c r="CK261" s="609"/>
      <c r="CL261" s="816"/>
      <c r="CM261" s="816"/>
      <c r="CN261" s="609"/>
      <c r="CO261" s="609"/>
      <c r="CP261" s="816"/>
      <c r="CQ261" s="816"/>
      <c r="CR261" s="609"/>
      <c r="CS261" s="609"/>
      <c r="CT261" s="816"/>
      <c r="CU261" s="816"/>
      <c r="CV261" s="609"/>
      <c r="CW261" s="609"/>
      <c r="CX261" s="816"/>
      <c r="CY261" s="816"/>
      <c r="CZ261" s="816"/>
      <c r="DA261" s="816"/>
      <c r="DB261" s="816"/>
      <c r="DC261" s="816"/>
      <c r="DD261" s="816"/>
      <c r="DE261" s="816"/>
      <c r="DF261" s="816"/>
      <c r="DG261" s="816"/>
      <c r="DH261" s="816"/>
      <c r="DI261" s="816"/>
      <c r="DJ261" s="816"/>
      <c r="DK261" s="816"/>
      <c r="DL261" s="609"/>
      <c r="DM261" s="609"/>
      <c r="DN261" s="816"/>
      <c r="DO261" s="816"/>
      <c r="DP261" s="816"/>
      <c r="DQ261" s="816"/>
      <c r="DR261" s="816"/>
      <c r="DS261" s="816"/>
      <c r="DT261" s="816"/>
      <c r="DU261" s="816"/>
      <c r="DV261" s="816"/>
      <c r="DW261" s="816"/>
      <c r="DX261" s="816"/>
      <c r="DY261" s="816"/>
      <c r="DZ261" s="816"/>
      <c r="EA261" s="816"/>
      <c r="EB261" s="609"/>
      <c r="EC261" s="609"/>
      <c r="ED261" s="816"/>
      <c r="EE261" s="816"/>
      <c r="EF261" s="816"/>
      <c r="EG261" s="816"/>
      <c r="EH261" s="816"/>
      <c r="EI261" s="816"/>
      <c r="EJ261" s="816"/>
      <c r="EK261" s="816"/>
      <c r="EL261" s="816"/>
      <c r="EM261" s="816"/>
      <c r="EN261" s="816"/>
      <c r="EO261" s="816"/>
      <c r="EP261" s="816"/>
      <c r="EQ261" s="816"/>
      <c r="ER261" s="816"/>
      <c r="ES261" s="816"/>
      <c r="ET261" s="816"/>
      <c r="EU261" s="816"/>
      <c r="EV261" s="816"/>
      <c r="EW261" s="816"/>
      <c r="EX261" s="816"/>
      <c r="EY261" s="816"/>
      <c r="EZ261" s="816"/>
      <c r="FA261" s="816"/>
      <c r="FB261" s="819"/>
      <c r="FC261" s="816"/>
      <c r="FD261" s="820"/>
      <c r="FE261" s="820"/>
      <c r="FF261" s="820"/>
      <c r="FG261" s="820"/>
      <c r="FH261" s="609"/>
      <c r="FI261" s="609"/>
      <c r="FJ261" s="816"/>
      <c r="FK261" s="816"/>
      <c r="FL261" s="816"/>
      <c r="FM261" s="816"/>
      <c r="FN261" s="816"/>
      <c r="FO261" s="816"/>
      <c r="FP261" s="816"/>
      <c r="FQ261" s="816"/>
      <c r="FR261" s="816"/>
      <c r="FS261" s="816"/>
      <c r="FT261" s="816"/>
      <c r="FU261" s="816"/>
      <c r="FV261" s="816"/>
      <c r="FW261" s="816"/>
      <c r="FX261" s="609"/>
      <c r="FY261" s="609"/>
      <c r="FZ261" s="816"/>
      <c r="GA261" s="816"/>
      <c r="GB261" s="609"/>
      <c r="GC261" s="609"/>
      <c r="GD261" s="609"/>
      <c r="GE261" s="816"/>
      <c r="GF261" s="816"/>
      <c r="GG261" s="609"/>
      <c r="GH261" s="609"/>
      <c r="GI261" s="816"/>
      <c r="GJ261" s="816"/>
      <c r="GK261" s="609"/>
      <c r="GL261" s="609"/>
      <c r="GM261" s="816"/>
      <c r="GN261" s="816"/>
      <c r="GO261" s="816"/>
      <c r="GP261" s="816"/>
      <c r="GQ261" s="816"/>
      <c r="GR261" s="816"/>
      <c r="GS261" s="609"/>
      <c r="GT261" s="609"/>
      <c r="GU261" s="816"/>
      <c r="GV261" s="816"/>
      <c r="GW261" s="609"/>
      <c r="GX261" s="609"/>
      <c r="GY261" s="816"/>
      <c r="GZ261" s="816"/>
      <c r="HA261" s="609"/>
      <c r="HB261" s="609"/>
      <c r="HC261" s="816"/>
      <c r="HD261" s="816"/>
      <c r="HE261" s="816"/>
      <c r="HF261" s="816"/>
      <c r="HG261" s="816"/>
      <c r="HH261" s="816"/>
      <c r="HI261" s="821"/>
      <c r="HJ261" s="609"/>
      <c r="HK261" s="816"/>
      <c r="HL261" s="816"/>
      <c r="HM261" s="822"/>
      <c r="HN261" s="609"/>
      <c r="HO261" s="816"/>
      <c r="HP261" s="816"/>
      <c r="HQ261" s="609"/>
      <c r="HR261" s="816"/>
      <c r="HS261" s="816"/>
      <c r="HT261" s="816"/>
      <c r="HU261" s="816"/>
      <c r="HV261" s="816"/>
      <c r="HW261" s="816"/>
      <c r="HX261" s="816"/>
      <c r="HY261" s="816"/>
      <c r="HZ261" s="816"/>
      <c r="IA261" s="816"/>
      <c r="IB261" s="816"/>
      <c r="IC261" s="823"/>
      <c r="ID261" s="824"/>
      <c r="IE261" s="825"/>
      <c r="IF261" s="825"/>
      <c r="IG261" s="816"/>
      <c r="II261" s="834"/>
      <c r="IJ261" s="834"/>
      <c r="IK261" s="826"/>
      <c r="IL261" s="834"/>
    </row>
    <row r="262" spans="2:246" s="780" customFormat="1">
      <c r="B262" s="609"/>
      <c r="C262" s="609"/>
      <c r="D262" s="609"/>
      <c r="E262" s="609"/>
      <c r="F262" s="609"/>
      <c r="G262" s="609"/>
      <c r="H262" s="609"/>
      <c r="I262" s="609"/>
      <c r="J262" s="609"/>
      <c r="K262" s="609"/>
      <c r="L262" s="609"/>
      <c r="M262" s="609"/>
      <c r="N262" s="609"/>
      <c r="O262" s="609"/>
      <c r="P262" s="609"/>
      <c r="Q262" s="609"/>
      <c r="R262" s="609"/>
      <c r="S262" s="609"/>
      <c r="T262" s="609"/>
      <c r="U262" s="609"/>
      <c r="V262" s="609"/>
      <c r="W262" s="609"/>
      <c r="X262" s="609"/>
      <c r="Y262" s="609"/>
      <c r="Z262" s="816"/>
      <c r="AA262" s="816"/>
      <c r="AB262" s="816"/>
      <c r="AC262" s="816"/>
      <c r="AD262" s="816"/>
      <c r="AE262" s="816"/>
      <c r="AF262" s="609"/>
      <c r="AG262" s="609"/>
      <c r="AH262" s="816"/>
      <c r="AI262" s="816"/>
      <c r="AJ262" s="609"/>
      <c r="AK262" s="609"/>
      <c r="AL262" s="816"/>
      <c r="AM262" s="816"/>
      <c r="AN262" s="816"/>
      <c r="AO262" s="816"/>
      <c r="AP262" s="816"/>
      <c r="AQ262" s="816"/>
      <c r="AR262" s="609"/>
      <c r="AS262" s="609"/>
      <c r="AT262" s="816"/>
      <c r="AU262" s="816"/>
      <c r="AV262" s="817"/>
      <c r="AW262" s="609"/>
      <c r="AX262" s="609"/>
      <c r="AY262" s="816"/>
      <c r="AZ262" s="816"/>
      <c r="BA262" s="816"/>
      <c r="BB262" s="816"/>
      <c r="BC262" s="816"/>
      <c r="BD262" s="816"/>
      <c r="BE262" s="816"/>
      <c r="BF262" s="816"/>
      <c r="BG262" s="816"/>
      <c r="BH262" s="816"/>
      <c r="BI262" s="816"/>
      <c r="BJ262" s="816"/>
      <c r="BK262" s="816"/>
      <c r="BL262" s="816"/>
      <c r="BM262" s="816"/>
      <c r="BN262" s="816"/>
      <c r="BO262" s="816"/>
      <c r="BP262" s="816"/>
      <c r="BQ262" s="816"/>
      <c r="BR262" s="816"/>
      <c r="BS262" s="816"/>
      <c r="BT262" s="609"/>
      <c r="BU262" s="609"/>
      <c r="BV262" s="609"/>
      <c r="BW262" s="818"/>
      <c r="BX262" s="816"/>
      <c r="BY262" s="816"/>
      <c r="BZ262" s="816"/>
      <c r="CA262" s="816"/>
      <c r="CB262" s="816"/>
      <c r="CC262" s="816"/>
      <c r="CD262" s="816"/>
      <c r="CE262" s="816"/>
      <c r="CF262" s="820"/>
      <c r="CG262" s="820"/>
      <c r="CH262" s="820"/>
      <c r="CI262" s="820"/>
      <c r="CJ262" s="609"/>
      <c r="CK262" s="609"/>
      <c r="CL262" s="816"/>
      <c r="CM262" s="816"/>
      <c r="CN262" s="609"/>
      <c r="CO262" s="609"/>
      <c r="CP262" s="816"/>
      <c r="CQ262" s="816"/>
      <c r="CR262" s="609"/>
      <c r="CS262" s="609"/>
      <c r="CT262" s="816"/>
      <c r="CU262" s="816"/>
      <c r="CV262" s="609"/>
      <c r="CW262" s="609"/>
      <c r="CX262" s="816"/>
      <c r="CY262" s="816"/>
      <c r="CZ262" s="816"/>
      <c r="DA262" s="816"/>
      <c r="DB262" s="816"/>
      <c r="DC262" s="816"/>
      <c r="DD262" s="816"/>
      <c r="DE262" s="816"/>
      <c r="DF262" s="816"/>
      <c r="DG262" s="816"/>
      <c r="DH262" s="816"/>
      <c r="DI262" s="816"/>
      <c r="DJ262" s="816"/>
      <c r="DK262" s="816"/>
      <c r="DL262" s="609"/>
      <c r="DM262" s="609"/>
      <c r="DN262" s="816"/>
      <c r="DO262" s="816"/>
      <c r="DP262" s="816"/>
      <c r="DQ262" s="816"/>
      <c r="DR262" s="816"/>
      <c r="DS262" s="816"/>
      <c r="DT262" s="816"/>
      <c r="DU262" s="816"/>
      <c r="DV262" s="816"/>
      <c r="DW262" s="816"/>
      <c r="DX262" s="816"/>
      <c r="DY262" s="816"/>
      <c r="DZ262" s="816"/>
      <c r="EA262" s="816"/>
      <c r="EB262" s="609"/>
      <c r="EC262" s="609"/>
      <c r="ED262" s="816"/>
      <c r="EE262" s="816"/>
      <c r="EF262" s="816"/>
      <c r="EG262" s="816"/>
      <c r="EH262" s="816"/>
      <c r="EI262" s="816"/>
      <c r="EJ262" s="816"/>
      <c r="EK262" s="816"/>
      <c r="EL262" s="816"/>
      <c r="EM262" s="816"/>
      <c r="EN262" s="816"/>
      <c r="EO262" s="816"/>
      <c r="EP262" s="816"/>
      <c r="EQ262" s="816"/>
      <c r="ER262" s="816"/>
      <c r="ES262" s="816"/>
      <c r="ET262" s="816"/>
      <c r="EU262" s="816"/>
      <c r="EV262" s="816"/>
      <c r="EW262" s="816"/>
      <c r="EX262" s="816"/>
      <c r="EY262" s="816"/>
      <c r="EZ262" s="816"/>
      <c r="FA262" s="816"/>
      <c r="FB262" s="819"/>
      <c r="FC262" s="816"/>
      <c r="FD262" s="820"/>
      <c r="FE262" s="820"/>
      <c r="FF262" s="820"/>
      <c r="FG262" s="820"/>
      <c r="FH262" s="609"/>
      <c r="FI262" s="609"/>
      <c r="FJ262" s="816"/>
      <c r="FK262" s="816"/>
      <c r="FL262" s="816"/>
      <c r="FM262" s="816"/>
      <c r="FN262" s="816"/>
      <c r="FO262" s="816"/>
      <c r="FP262" s="816"/>
      <c r="FQ262" s="816"/>
      <c r="FR262" s="816"/>
      <c r="FS262" s="816"/>
      <c r="FT262" s="816"/>
      <c r="FU262" s="816"/>
      <c r="FV262" s="816"/>
      <c r="FW262" s="816"/>
      <c r="FX262" s="609"/>
      <c r="FY262" s="609"/>
      <c r="FZ262" s="816"/>
      <c r="GA262" s="816"/>
      <c r="GB262" s="609"/>
      <c r="GC262" s="609"/>
      <c r="GD262" s="609"/>
      <c r="GE262" s="816"/>
      <c r="GF262" s="816"/>
      <c r="GG262" s="609"/>
      <c r="GH262" s="609"/>
      <c r="GI262" s="816"/>
      <c r="GJ262" s="816"/>
      <c r="GK262" s="609"/>
      <c r="GL262" s="609"/>
      <c r="GM262" s="816"/>
      <c r="GN262" s="816"/>
      <c r="GO262" s="816"/>
      <c r="GP262" s="816"/>
      <c r="GQ262" s="816"/>
      <c r="GR262" s="816"/>
      <c r="GS262" s="609"/>
      <c r="GT262" s="609"/>
      <c r="GU262" s="816"/>
      <c r="GV262" s="816"/>
      <c r="GW262" s="609"/>
      <c r="GX262" s="609"/>
      <c r="GY262" s="816"/>
      <c r="GZ262" s="816"/>
      <c r="HA262" s="609"/>
      <c r="HB262" s="609"/>
      <c r="HC262" s="816"/>
      <c r="HD262" s="816"/>
      <c r="HE262" s="816"/>
      <c r="HF262" s="816"/>
      <c r="HG262" s="816"/>
      <c r="HH262" s="816"/>
      <c r="HI262" s="821"/>
      <c r="HJ262" s="609"/>
      <c r="HK262" s="816"/>
      <c r="HL262" s="816"/>
      <c r="HM262" s="822"/>
      <c r="HN262" s="609"/>
      <c r="HO262" s="816"/>
      <c r="HP262" s="816"/>
      <c r="HQ262" s="609"/>
      <c r="HR262" s="816"/>
      <c r="HS262" s="816"/>
      <c r="HT262" s="816"/>
      <c r="HU262" s="816"/>
      <c r="HV262" s="816"/>
      <c r="HW262" s="816"/>
      <c r="HX262" s="816"/>
      <c r="HY262" s="816"/>
      <c r="HZ262" s="816"/>
      <c r="IA262" s="816"/>
      <c r="IB262" s="816"/>
      <c r="IC262" s="823"/>
      <c r="ID262" s="824"/>
      <c r="IE262" s="825"/>
      <c r="IF262" s="825"/>
      <c r="IG262" s="816"/>
      <c r="II262" s="834"/>
      <c r="IJ262" s="834"/>
      <c r="IK262" s="826"/>
      <c r="IL262" s="834"/>
    </row>
    <row r="263" spans="2:246" s="780" customFormat="1">
      <c r="B263" s="609"/>
      <c r="C263" s="609"/>
      <c r="D263" s="609"/>
      <c r="E263" s="609"/>
      <c r="F263" s="609"/>
      <c r="G263" s="609"/>
      <c r="H263" s="609"/>
      <c r="I263" s="609"/>
      <c r="J263" s="609"/>
      <c r="K263" s="609"/>
      <c r="L263" s="609"/>
      <c r="M263" s="609"/>
      <c r="N263" s="609"/>
      <c r="O263" s="609"/>
      <c r="P263" s="609"/>
      <c r="Q263" s="609"/>
      <c r="R263" s="609"/>
      <c r="S263" s="609"/>
      <c r="T263" s="609"/>
      <c r="U263" s="609"/>
      <c r="V263" s="609"/>
      <c r="W263" s="609"/>
      <c r="X263" s="609"/>
      <c r="Y263" s="609"/>
      <c r="Z263" s="816"/>
      <c r="AA263" s="816"/>
      <c r="AB263" s="816"/>
      <c r="AC263" s="816"/>
      <c r="AD263" s="816"/>
      <c r="AE263" s="816"/>
      <c r="AF263" s="609"/>
      <c r="AG263" s="609"/>
      <c r="AH263" s="816"/>
      <c r="AI263" s="816"/>
      <c r="AJ263" s="609"/>
      <c r="AK263" s="609"/>
      <c r="AL263" s="816"/>
      <c r="AM263" s="816"/>
      <c r="AN263" s="816"/>
      <c r="AO263" s="816"/>
      <c r="AP263" s="816"/>
      <c r="AQ263" s="816"/>
      <c r="AR263" s="609"/>
      <c r="AS263" s="609"/>
      <c r="AT263" s="816"/>
      <c r="AU263" s="816"/>
      <c r="AV263" s="817"/>
      <c r="AW263" s="609"/>
      <c r="AX263" s="609"/>
      <c r="AY263" s="816"/>
      <c r="AZ263" s="816"/>
      <c r="BA263" s="816"/>
      <c r="BB263" s="816"/>
      <c r="BC263" s="816"/>
      <c r="BD263" s="816"/>
      <c r="BE263" s="816"/>
      <c r="BF263" s="816"/>
      <c r="BG263" s="816"/>
      <c r="BH263" s="816"/>
      <c r="BI263" s="816"/>
      <c r="BJ263" s="816"/>
      <c r="BK263" s="816"/>
      <c r="BL263" s="816"/>
      <c r="BM263" s="816"/>
      <c r="BN263" s="816"/>
      <c r="BO263" s="816"/>
      <c r="BP263" s="816"/>
      <c r="BQ263" s="816"/>
      <c r="BR263" s="816"/>
      <c r="BS263" s="816"/>
      <c r="BT263" s="609"/>
      <c r="BU263" s="609"/>
      <c r="BV263" s="609"/>
      <c r="BW263" s="818"/>
      <c r="BX263" s="816"/>
      <c r="BY263" s="816"/>
      <c r="BZ263" s="816"/>
      <c r="CA263" s="816"/>
      <c r="CB263" s="816"/>
      <c r="CC263" s="816"/>
      <c r="CD263" s="816"/>
      <c r="CE263" s="816"/>
      <c r="CF263" s="820"/>
      <c r="CG263" s="820"/>
      <c r="CH263" s="820"/>
      <c r="CI263" s="820"/>
      <c r="CJ263" s="609"/>
      <c r="CK263" s="609"/>
      <c r="CL263" s="816"/>
      <c r="CM263" s="816"/>
      <c r="CN263" s="609"/>
      <c r="CO263" s="609"/>
      <c r="CP263" s="816"/>
      <c r="CQ263" s="816"/>
      <c r="CR263" s="609"/>
      <c r="CS263" s="609"/>
      <c r="CT263" s="816"/>
      <c r="CU263" s="816"/>
      <c r="CV263" s="609"/>
      <c r="CW263" s="609"/>
      <c r="CX263" s="816"/>
      <c r="CY263" s="816"/>
      <c r="CZ263" s="816"/>
      <c r="DA263" s="816"/>
      <c r="DB263" s="816"/>
      <c r="DC263" s="816"/>
      <c r="DD263" s="816"/>
      <c r="DE263" s="816"/>
      <c r="DF263" s="816"/>
      <c r="DG263" s="816"/>
      <c r="DH263" s="816"/>
      <c r="DI263" s="816"/>
      <c r="DJ263" s="816"/>
      <c r="DK263" s="816"/>
      <c r="DL263" s="609"/>
      <c r="DM263" s="609"/>
      <c r="DN263" s="816"/>
      <c r="DO263" s="816"/>
      <c r="DP263" s="816"/>
      <c r="DQ263" s="816"/>
      <c r="DR263" s="816"/>
      <c r="DS263" s="816"/>
      <c r="DT263" s="816"/>
      <c r="DU263" s="816"/>
      <c r="DV263" s="816"/>
      <c r="DW263" s="816"/>
      <c r="DX263" s="816"/>
      <c r="DY263" s="816"/>
      <c r="DZ263" s="816"/>
      <c r="EA263" s="816"/>
      <c r="EB263" s="609"/>
      <c r="EC263" s="609"/>
      <c r="ED263" s="816"/>
      <c r="EE263" s="816"/>
      <c r="EF263" s="816"/>
      <c r="EG263" s="816"/>
      <c r="EH263" s="816"/>
      <c r="EI263" s="816"/>
      <c r="EJ263" s="816"/>
      <c r="EK263" s="816"/>
      <c r="EL263" s="816"/>
      <c r="EM263" s="816"/>
      <c r="EN263" s="816"/>
      <c r="EO263" s="816"/>
      <c r="EP263" s="816"/>
      <c r="EQ263" s="816"/>
      <c r="ER263" s="816"/>
      <c r="ES263" s="816"/>
      <c r="ET263" s="816"/>
      <c r="EU263" s="816"/>
      <c r="EV263" s="816"/>
      <c r="EW263" s="816"/>
      <c r="EX263" s="816"/>
      <c r="EY263" s="816"/>
      <c r="EZ263" s="816"/>
      <c r="FA263" s="816"/>
      <c r="FB263" s="819"/>
      <c r="FC263" s="816"/>
      <c r="FD263" s="820"/>
      <c r="FE263" s="820"/>
      <c r="FF263" s="820"/>
      <c r="FG263" s="820"/>
      <c r="FH263" s="609"/>
      <c r="FI263" s="609"/>
      <c r="FJ263" s="816"/>
      <c r="FK263" s="816"/>
      <c r="FL263" s="816"/>
      <c r="FM263" s="816"/>
      <c r="FN263" s="816"/>
      <c r="FO263" s="816"/>
      <c r="FP263" s="816"/>
      <c r="FQ263" s="816"/>
      <c r="FR263" s="816"/>
      <c r="FS263" s="816"/>
      <c r="FT263" s="816"/>
      <c r="FU263" s="816"/>
      <c r="FV263" s="816"/>
      <c r="FW263" s="816"/>
      <c r="FX263" s="609"/>
      <c r="FY263" s="609"/>
      <c r="FZ263" s="816"/>
      <c r="GA263" s="816"/>
      <c r="GB263" s="609"/>
      <c r="GC263" s="609"/>
      <c r="GD263" s="609"/>
      <c r="GE263" s="816"/>
      <c r="GF263" s="816"/>
      <c r="GG263" s="609"/>
      <c r="GH263" s="609"/>
      <c r="GI263" s="816"/>
      <c r="GJ263" s="816"/>
      <c r="GK263" s="609"/>
      <c r="GL263" s="609"/>
      <c r="GM263" s="816"/>
      <c r="GN263" s="816"/>
      <c r="GO263" s="816"/>
      <c r="GP263" s="816"/>
      <c r="GQ263" s="816"/>
      <c r="GR263" s="816"/>
      <c r="GS263" s="609"/>
      <c r="GT263" s="609"/>
      <c r="GU263" s="816"/>
      <c r="GV263" s="816"/>
      <c r="GW263" s="609"/>
      <c r="GX263" s="609"/>
      <c r="GY263" s="816"/>
      <c r="GZ263" s="816"/>
      <c r="HA263" s="609"/>
      <c r="HB263" s="609"/>
      <c r="HC263" s="816"/>
      <c r="HD263" s="816"/>
      <c r="HE263" s="816"/>
      <c r="HF263" s="816"/>
      <c r="HG263" s="816"/>
      <c r="HH263" s="816"/>
      <c r="HI263" s="821"/>
      <c r="HJ263" s="609"/>
      <c r="HK263" s="816"/>
      <c r="HL263" s="816"/>
      <c r="HM263" s="822"/>
      <c r="HN263" s="609"/>
      <c r="HO263" s="816"/>
      <c r="HP263" s="816"/>
      <c r="HQ263" s="609"/>
      <c r="HR263" s="816"/>
      <c r="HS263" s="816"/>
      <c r="HT263" s="816"/>
      <c r="HU263" s="816"/>
      <c r="HV263" s="816"/>
      <c r="HW263" s="816"/>
      <c r="HX263" s="816"/>
      <c r="HY263" s="816"/>
      <c r="HZ263" s="816"/>
      <c r="IA263" s="816"/>
      <c r="IB263" s="816"/>
      <c r="IC263" s="823"/>
      <c r="ID263" s="824"/>
      <c r="IE263" s="825"/>
      <c r="IF263" s="825"/>
      <c r="IG263" s="816"/>
      <c r="II263" s="834"/>
      <c r="IJ263" s="834"/>
      <c r="IK263" s="826"/>
      <c r="IL263" s="834"/>
    </row>
    <row r="264" spans="2:246" s="780" customFormat="1">
      <c r="B264" s="609"/>
      <c r="C264" s="609"/>
      <c r="D264" s="609"/>
      <c r="E264" s="609"/>
      <c r="F264" s="609"/>
      <c r="G264" s="609"/>
      <c r="H264" s="609"/>
      <c r="I264" s="609"/>
      <c r="J264" s="609"/>
      <c r="K264" s="609"/>
      <c r="L264" s="609"/>
      <c r="M264" s="609"/>
      <c r="N264" s="609"/>
      <c r="O264" s="609"/>
      <c r="P264" s="609"/>
      <c r="Q264" s="609"/>
      <c r="R264" s="609"/>
      <c r="S264" s="609"/>
      <c r="T264" s="609"/>
      <c r="U264" s="609"/>
      <c r="V264" s="609"/>
      <c r="W264" s="609"/>
      <c r="X264" s="609"/>
      <c r="Y264" s="609"/>
      <c r="Z264" s="816"/>
      <c r="AA264" s="816"/>
      <c r="AB264" s="816"/>
      <c r="AC264" s="816"/>
      <c r="AD264" s="816"/>
      <c r="AE264" s="816"/>
      <c r="AF264" s="609"/>
      <c r="AG264" s="609"/>
      <c r="AH264" s="816"/>
      <c r="AI264" s="816"/>
      <c r="AJ264" s="609"/>
      <c r="AK264" s="609"/>
      <c r="AL264" s="816"/>
      <c r="AM264" s="816"/>
      <c r="AN264" s="816"/>
      <c r="AO264" s="816"/>
      <c r="AP264" s="816"/>
      <c r="AQ264" s="816"/>
      <c r="AR264" s="609"/>
      <c r="AS264" s="609"/>
      <c r="AT264" s="816"/>
      <c r="AU264" s="816"/>
      <c r="AV264" s="817"/>
      <c r="AW264" s="609"/>
      <c r="AX264" s="609"/>
      <c r="AY264" s="816"/>
      <c r="AZ264" s="816"/>
      <c r="BA264" s="816"/>
      <c r="BB264" s="816"/>
      <c r="BC264" s="816"/>
      <c r="BD264" s="816"/>
      <c r="BE264" s="816"/>
      <c r="BF264" s="816"/>
      <c r="BG264" s="816"/>
      <c r="BH264" s="816"/>
      <c r="BI264" s="816"/>
      <c r="BJ264" s="816"/>
      <c r="BK264" s="816"/>
      <c r="BL264" s="816"/>
      <c r="BM264" s="816"/>
      <c r="BN264" s="816"/>
      <c r="BO264" s="816"/>
      <c r="BP264" s="816"/>
      <c r="BQ264" s="816"/>
      <c r="BR264" s="816"/>
      <c r="BS264" s="816"/>
      <c r="BT264" s="609"/>
      <c r="BU264" s="609"/>
      <c r="BV264" s="609"/>
      <c r="BW264" s="818"/>
      <c r="BX264" s="816"/>
      <c r="BY264" s="816"/>
      <c r="BZ264" s="816"/>
      <c r="CA264" s="816"/>
      <c r="CB264" s="816"/>
      <c r="CC264" s="816"/>
      <c r="CD264" s="816"/>
      <c r="CE264" s="816"/>
      <c r="CF264" s="820"/>
      <c r="CG264" s="820"/>
      <c r="CH264" s="820"/>
      <c r="CI264" s="820"/>
      <c r="CJ264" s="609"/>
      <c r="CK264" s="609"/>
      <c r="CL264" s="816"/>
      <c r="CM264" s="816"/>
      <c r="CN264" s="609"/>
      <c r="CO264" s="609"/>
      <c r="CP264" s="816"/>
      <c r="CQ264" s="816"/>
      <c r="CR264" s="609"/>
      <c r="CS264" s="609"/>
      <c r="CT264" s="816"/>
      <c r="CU264" s="816"/>
      <c r="CV264" s="609"/>
      <c r="CW264" s="609"/>
      <c r="CX264" s="816"/>
      <c r="CY264" s="816"/>
      <c r="CZ264" s="816"/>
      <c r="DA264" s="816"/>
      <c r="DB264" s="816"/>
      <c r="DC264" s="816"/>
      <c r="DD264" s="816"/>
      <c r="DE264" s="816"/>
      <c r="DF264" s="816"/>
      <c r="DG264" s="816"/>
      <c r="DH264" s="816"/>
      <c r="DI264" s="816"/>
      <c r="DJ264" s="816"/>
      <c r="DK264" s="816"/>
      <c r="DL264" s="609"/>
      <c r="DM264" s="609"/>
      <c r="DN264" s="816"/>
      <c r="DO264" s="816"/>
      <c r="DP264" s="816"/>
      <c r="DQ264" s="816"/>
      <c r="DR264" s="816"/>
      <c r="DS264" s="816"/>
      <c r="DT264" s="816"/>
      <c r="DU264" s="816"/>
      <c r="DV264" s="816"/>
      <c r="DW264" s="816"/>
      <c r="DX264" s="816"/>
      <c r="DY264" s="816"/>
      <c r="DZ264" s="816"/>
      <c r="EA264" s="816"/>
      <c r="EB264" s="609"/>
      <c r="EC264" s="609"/>
      <c r="ED264" s="816"/>
      <c r="EE264" s="816"/>
      <c r="EF264" s="816"/>
      <c r="EG264" s="816"/>
      <c r="EH264" s="816"/>
      <c r="EI264" s="816"/>
      <c r="EJ264" s="816"/>
      <c r="EK264" s="816"/>
      <c r="EL264" s="816"/>
      <c r="EM264" s="816"/>
      <c r="EN264" s="816"/>
      <c r="EO264" s="816"/>
      <c r="EP264" s="816"/>
      <c r="EQ264" s="816"/>
      <c r="ER264" s="816"/>
      <c r="ES264" s="816"/>
      <c r="ET264" s="816"/>
      <c r="EU264" s="816"/>
      <c r="EV264" s="816"/>
      <c r="EW264" s="816"/>
      <c r="EX264" s="816"/>
      <c r="EY264" s="816"/>
      <c r="EZ264" s="816"/>
      <c r="FA264" s="816"/>
      <c r="FB264" s="819"/>
      <c r="FC264" s="816"/>
      <c r="FD264" s="820"/>
      <c r="FE264" s="820"/>
      <c r="FF264" s="820"/>
      <c r="FG264" s="820"/>
      <c r="FH264" s="609"/>
      <c r="FI264" s="609"/>
      <c r="FJ264" s="816"/>
      <c r="FK264" s="816"/>
      <c r="FL264" s="816"/>
      <c r="FM264" s="816"/>
      <c r="FN264" s="816"/>
      <c r="FO264" s="816"/>
      <c r="FP264" s="816"/>
      <c r="FQ264" s="816"/>
      <c r="FR264" s="816"/>
      <c r="FS264" s="816"/>
      <c r="FT264" s="816"/>
      <c r="FU264" s="816"/>
      <c r="FV264" s="816"/>
      <c r="FW264" s="816"/>
      <c r="FX264" s="609"/>
      <c r="FY264" s="609"/>
      <c r="FZ264" s="816"/>
      <c r="GA264" s="816"/>
      <c r="GB264" s="609"/>
      <c r="GC264" s="609"/>
      <c r="GD264" s="609"/>
      <c r="GE264" s="816"/>
      <c r="GF264" s="816"/>
      <c r="GG264" s="609"/>
      <c r="GH264" s="609"/>
      <c r="GI264" s="816"/>
      <c r="GJ264" s="816"/>
      <c r="GK264" s="609"/>
      <c r="GL264" s="609"/>
      <c r="GM264" s="816"/>
      <c r="GN264" s="816"/>
      <c r="GO264" s="816"/>
      <c r="GP264" s="816"/>
      <c r="GQ264" s="816"/>
      <c r="GR264" s="816"/>
      <c r="GS264" s="609"/>
      <c r="GT264" s="609"/>
      <c r="GU264" s="816"/>
      <c r="GV264" s="816"/>
      <c r="GW264" s="609"/>
      <c r="GX264" s="609"/>
      <c r="GY264" s="816"/>
      <c r="GZ264" s="816"/>
      <c r="HA264" s="609"/>
      <c r="HB264" s="609"/>
      <c r="HC264" s="816"/>
      <c r="HD264" s="816"/>
      <c r="HE264" s="816"/>
      <c r="HF264" s="816"/>
      <c r="HG264" s="816"/>
      <c r="HH264" s="816"/>
      <c r="HI264" s="821"/>
      <c r="HJ264" s="609"/>
      <c r="HK264" s="816"/>
      <c r="HL264" s="816"/>
      <c r="HM264" s="822"/>
      <c r="HN264" s="609"/>
      <c r="HO264" s="816"/>
      <c r="HP264" s="816"/>
      <c r="HQ264" s="609"/>
      <c r="HR264" s="816"/>
      <c r="HS264" s="816"/>
      <c r="HT264" s="816"/>
      <c r="HU264" s="816"/>
      <c r="HV264" s="816"/>
      <c r="HW264" s="816"/>
      <c r="HX264" s="816"/>
      <c r="HY264" s="816"/>
      <c r="HZ264" s="816"/>
      <c r="IA264" s="816"/>
      <c r="IB264" s="816"/>
      <c r="IC264" s="823"/>
      <c r="ID264" s="824"/>
      <c r="IE264" s="825"/>
      <c r="IF264" s="825"/>
      <c r="IG264" s="816"/>
      <c r="II264" s="834"/>
      <c r="IJ264" s="834"/>
      <c r="IK264" s="826"/>
      <c r="IL264" s="834"/>
    </row>
    <row r="265" spans="2:246" s="780" customFormat="1">
      <c r="B265" s="609"/>
      <c r="C265" s="609"/>
      <c r="D265" s="609"/>
      <c r="E265" s="609"/>
      <c r="F265" s="609"/>
      <c r="G265" s="609"/>
      <c r="H265" s="609"/>
      <c r="I265" s="609"/>
      <c r="J265" s="609"/>
      <c r="K265" s="609"/>
      <c r="L265" s="609"/>
      <c r="M265" s="609"/>
      <c r="N265" s="609"/>
      <c r="O265" s="609"/>
      <c r="P265" s="609"/>
      <c r="Q265" s="609"/>
      <c r="R265" s="609"/>
      <c r="S265" s="609"/>
      <c r="T265" s="609"/>
      <c r="U265" s="609"/>
      <c r="V265" s="609"/>
      <c r="W265" s="609"/>
      <c r="X265" s="609"/>
      <c r="Y265" s="609"/>
      <c r="Z265" s="816"/>
      <c r="AA265" s="816"/>
      <c r="AB265" s="816"/>
      <c r="AC265" s="816"/>
      <c r="AD265" s="816"/>
      <c r="AE265" s="816"/>
      <c r="AF265" s="609"/>
      <c r="AG265" s="609"/>
      <c r="AH265" s="816"/>
      <c r="AI265" s="816"/>
      <c r="AJ265" s="609"/>
      <c r="AK265" s="609"/>
      <c r="AL265" s="816"/>
      <c r="AM265" s="816"/>
      <c r="AN265" s="816"/>
      <c r="AO265" s="816"/>
      <c r="AP265" s="816"/>
      <c r="AQ265" s="816"/>
      <c r="AR265" s="609"/>
      <c r="AS265" s="609"/>
      <c r="AT265" s="816"/>
      <c r="AU265" s="816"/>
      <c r="AV265" s="817"/>
      <c r="AW265" s="609"/>
      <c r="AX265" s="609"/>
      <c r="AY265" s="816"/>
      <c r="AZ265" s="816"/>
      <c r="BA265" s="816"/>
      <c r="BB265" s="816"/>
      <c r="BC265" s="816"/>
      <c r="BD265" s="816"/>
      <c r="BE265" s="816"/>
      <c r="BF265" s="816"/>
      <c r="BG265" s="816"/>
      <c r="BH265" s="816"/>
      <c r="BI265" s="816"/>
      <c r="BJ265" s="816"/>
      <c r="BK265" s="816"/>
      <c r="BL265" s="816"/>
      <c r="BM265" s="816"/>
      <c r="BN265" s="816"/>
      <c r="BO265" s="816"/>
      <c r="BP265" s="816"/>
      <c r="BQ265" s="816"/>
      <c r="BR265" s="816"/>
      <c r="BS265" s="816"/>
      <c r="BT265" s="609"/>
      <c r="BU265" s="609"/>
      <c r="BV265" s="609"/>
      <c r="BW265" s="818"/>
      <c r="BX265" s="816"/>
      <c r="BY265" s="816"/>
      <c r="BZ265" s="816"/>
      <c r="CA265" s="816"/>
      <c r="CB265" s="816"/>
      <c r="CC265" s="816"/>
      <c r="CD265" s="816"/>
      <c r="CE265" s="816"/>
      <c r="CF265" s="820"/>
      <c r="CG265" s="820"/>
      <c r="CH265" s="820"/>
      <c r="CI265" s="820"/>
      <c r="CJ265" s="609"/>
      <c r="CK265" s="609"/>
      <c r="CL265" s="816"/>
      <c r="CM265" s="816"/>
      <c r="CN265" s="609"/>
      <c r="CO265" s="609"/>
      <c r="CP265" s="816"/>
      <c r="CQ265" s="816"/>
      <c r="CR265" s="609"/>
      <c r="CS265" s="609"/>
      <c r="CT265" s="816"/>
      <c r="CU265" s="816"/>
      <c r="CV265" s="609"/>
      <c r="CW265" s="609"/>
      <c r="CX265" s="816"/>
      <c r="CY265" s="816"/>
      <c r="CZ265" s="816"/>
      <c r="DA265" s="816"/>
      <c r="DB265" s="816"/>
      <c r="DC265" s="816"/>
      <c r="DD265" s="816"/>
      <c r="DE265" s="816"/>
      <c r="DF265" s="816"/>
      <c r="DG265" s="816"/>
      <c r="DH265" s="816"/>
      <c r="DI265" s="816"/>
      <c r="DJ265" s="816"/>
      <c r="DK265" s="816"/>
      <c r="DL265" s="609"/>
      <c r="DM265" s="609"/>
      <c r="DN265" s="816"/>
      <c r="DO265" s="816"/>
      <c r="DP265" s="816"/>
      <c r="DQ265" s="816"/>
      <c r="DR265" s="816"/>
      <c r="DS265" s="816"/>
      <c r="DT265" s="816"/>
      <c r="DU265" s="816"/>
      <c r="DV265" s="816"/>
      <c r="DW265" s="816"/>
      <c r="DX265" s="816"/>
      <c r="DY265" s="816"/>
      <c r="DZ265" s="816"/>
      <c r="EA265" s="816"/>
      <c r="EB265" s="609"/>
      <c r="EC265" s="609"/>
      <c r="ED265" s="816"/>
      <c r="EE265" s="816"/>
      <c r="EF265" s="816"/>
      <c r="EG265" s="816"/>
      <c r="EH265" s="816"/>
      <c r="EI265" s="816"/>
      <c r="EJ265" s="816"/>
      <c r="EK265" s="816"/>
      <c r="EL265" s="816"/>
      <c r="EM265" s="816"/>
      <c r="EN265" s="816"/>
      <c r="EO265" s="816"/>
      <c r="EP265" s="816"/>
      <c r="EQ265" s="816"/>
      <c r="ER265" s="816"/>
      <c r="ES265" s="816"/>
      <c r="ET265" s="816"/>
      <c r="EU265" s="816"/>
      <c r="EV265" s="816"/>
      <c r="EW265" s="816"/>
      <c r="EX265" s="816"/>
      <c r="EY265" s="816"/>
      <c r="EZ265" s="816"/>
      <c r="FA265" s="816"/>
      <c r="FB265" s="819"/>
      <c r="FC265" s="816"/>
      <c r="FD265" s="820"/>
      <c r="FE265" s="820"/>
      <c r="FF265" s="820"/>
      <c r="FG265" s="820"/>
      <c r="FH265" s="609"/>
      <c r="FI265" s="609"/>
      <c r="FJ265" s="816"/>
      <c r="FK265" s="816"/>
      <c r="FL265" s="816"/>
      <c r="FM265" s="816"/>
      <c r="FN265" s="816"/>
      <c r="FO265" s="816"/>
      <c r="FP265" s="816"/>
      <c r="FQ265" s="816"/>
      <c r="FR265" s="816"/>
      <c r="FS265" s="816"/>
      <c r="FT265" s="816"/>
      <c r="FU265" s="816"/>
      <c r="FV265" s="816"/>
      <c r="FW265" s="816"/>
      <c r="FX265" s="609"/>
      <c r="FY265" s="609"/>
      <c r="FZ265" s="816"/>
      <c r="GA265" s="816"/>
      <c r="GB265" s="609"/>
      <c r="GC265" s="609"/>
      <c r="GD265" s="609"/>
      <c r="GE265" s="816"/>
      <c r="GF265" s="816"/>
      <c r="GG265" s="609"/>
      <c r="GH265" s="609"/>
      <c r="GI265" s="816"/>
      <c r="GJ265" s="816"/>
      <c r="GK265" s="609"/>
      <c r="GL265" s="609"/>
      <c r="GM265" s="816"/>
      <c r="GN265" s="816"/>
      <c r="GO265" s="816"/>
      <c r="GP265" s="816"/>
      <c r="GQ265" s="816"/>
      <c r="GR265" s="816"/>
      <c r="GS265" s="609"/>
      <c r="GT265" s="609"/>
      <c r="GU265" s="816"/>
      <c r="GV265" s="816"/>
      <c r="GW265" s="609"/>
      <c r="GX265" s="609"/>
      <c r="GY265" s="816"/>
      <c r="GZ265" s="816"/>
      <c r="HA265" s="609"/>
      <c r="HB265" s="609"/>
      <c r="HC265" s="816"/>
      <c r="HD265" s="816"/>
      <c r="HE265" s="816"/>
      <c r="HF265" s="816"/>
      <c r="HG265" s="816"/>
      <c r="HH265" s="816"/>
      <c r="HI265" s="821"/>
      <c r="HJ265" s="609"/>
      <c r="HK265" s="816"/>
      <c r="HL265" s="816"/>
      <c r="HM265" s="822"/>
      <c r="HN265" s="609"/>
      <c r="HO265" s="816"/>
      <c r="HP265" s="816"/>
      <c r="HQ265" s="609"/>
      <c r="HR265" s="816"/>
      <c r="HS265" s="816"/>
      <c r="HT265" s="816"/>
      <c r="HU265" s="816"/>
      <c r="HV265" s="816"/>
      <c r="HW265" s="816"/>
      <c r="HX265" s="816"/>
      <c r="HY265" s="816"/>
      <c r="HZ265" s="816"/>
      <c r="IA265" s="816"/>
      <c r="IB265" s="816"/>
      <c r="IC265" s="823"/>
      <c r="ID265" s="824"/>
      <c r="IE265" s="825"/>
      <c r="IF265" s="825"/>
      <c r="IG265" s="816"/>
      <c r="II265" s="834"/>
      <c r="IJ265" s="834"/>
      <c r="IK265" s="826"/>
      <c r="IL265" s="834"/>
    </row>
    <row r="266" spans="2:246" s="780" customFormat="1">
      <c r="B266" s="609"/>
      <c r="C266" s="609"/>
      <c r="D266" s="609"/>
      <c r="E266" s="609"/>
      <c r="F266" s="609"/>
      <c r="G266" s="609"/>
      <c r="H266" s="609"/>
      <c r="I266" s="609"/>
      <c r="J266" s="609"/>
      <c r="K266" s="609"/>
      <c r="L266" s="609"/>
      <c r="M266" s="609"/>
      <c r="N266" s="609"/>
      <c r="O266" s="609"/>
      <c r="P266" s="609"/>
      <c r="Q266" s="609"/>
      <c r="R266" s="609"/>
      <c r="S266" s="609"/>
      <c r="T266" s="609"/>
      <c r="U266" s="609"/>
      <c r="V266" s="609"/>
      <c r="W266" s="609"/>
      <c r="X266" s="609"/>
      <c r="Y266" s="609"/>
      <c r="Z266" s="816"/>
      <c r="AA266" s="816"/>
      <c r="AB266" s="816"/>
      <c r="AC266" s="816"/>
      <c r="AD266" s="816"/>
      <c r="AE266" s="816"/>
      <c r="AF266" s="609"/>
      <c r="AG266" s="609"/>
      <c r="AH266" s="816"/>
      <c r="AI266" s="816"/>
      <c r="AJ266" s="609"/>
      <c r="AK266" s="609"/>
      <c r="AL266" s="816"/>
      <c r="AM266" s="816"/>
      <c r="AN266" s="816"/>
      <c r="AO266" s="816"/>
      <c r="AP266" s="816"/>
      <c r="AQ266" s="816"/>
      <c r="AR266" s="609"/>
      <c r="AS266" s="609"/>
      <c r="AT266" s="816"/>
      <c r="AU266" s="816"/>
      <c r="AV266" s="817"/>
      <c r="AW266" s="609"/>
      <c r="AX266" s="609"/>
      <c r="AY266" s="816"/>
      <c r="AZ266" s="816"/>
      <c r="BA266" s="816"/>
      <c r="BB266" s="816"/>
      <c r="BC266" s="816"/>
      <c r="BD266" s="816"/>
      <c r="BE266" s="816"/>
      <c r="BF266" s="816"/>
      <c r="BG266" s="816"/>
      <c r="BH266" s="816"/>
      <c r="BI266" s="816"/>
      <c r="BJ266" s="816"/>
      <c r="BK266" s="816"/>
      <c r="BL266" s="816"/>
      <c r="BM266" s="816"/>
      <c r="BN266" s="816"/>
      <c r="BO266" s="816"/>
      <c r="BP266" s="816"/>
      <c r="BQ266" s="816"/>
      <c r="BR266" s="816"/>
      <c r="BS266" s="816"/>
      <c r="BT266" s="609"/>
      <c r="BU266" s="609"/>
      <c r="BV266" s="609"/>
      <c r="BW266" s="818"/>
      <c r="BX266" s="816"/>
      <c r="BY266" s="816"/>
      <c r="BZ266" s="816"/>
      <c r="CA266" s="816"/>
      <c r="CB266" s="816"/>
      <c r="CC266" s="816"/>
      <c r="CD266" s="816"/>
      <c r="CE266" s="816"/>
      <c r="CF266" s="820"/>
      <c r="CG266" s="820"/>
      <c r="CH266" s="820"/>
      <c r="CI266" s="820"/>
      <c r="CJ266" s="609"/>
      <c r="CK266" s="609"/>
      <c r="CL266" s="816"/>
      <c r="CM266" s="816"/>
      <c r="CN266" s="609"/>
      <c r="CO266" s="609"/>
      <c r="CP266" s="816"/>
      <c r="CQ266" s="816"/>
      <c r="CR266" s="609"/>
      <c r="CS266" s="609"/>
      <c r="CT266" s="816"/>
      <c r="CU266" s="816"/>
      <c r="CV266" s="609"/>
      <c r="CW266" s="609"/>
      <c r="CX266" s="816"/>
      <c r="CY266" s="816"/>
      <c r="CZ266" s="816"/>
      <c r="DA266" s="816"/>
      <c r="DB266" s="816"/>
      <c r="DC266" s="816"/>
      <c r="DD266" s="816"/>
      <c r="DE266" s="816"/>
      <c r="DF266" s="816"/>
      <c r="DG266" s="816"/>
      <c r="DH266" s="816"/>
      <c r="DI266" s="816"/>
      <c r="DJ266" s="816"/>
      <c r="DK266" s="816"/>
      <c r="DL266" s="609"/>
      <c r="DM266" s="609"/>
      <c r="DN266" s="816"/>
      <c r="DO266" s="816"/>
      <c r="DP266" s="816"/>
      <c r="DQ266" s="816"/>
      <c r="DR266" s="816"/>
      <c r="DS266" s="816"/>
      <c r="DT266" s="816"/>
      <c r="DU266" s="816"/>
      <c r="DV266" s="816"/>
      <c r="DW266" s="816"/>
      <c r="DX266" s="816"/>
      <c r="DY266" s="816"/>
      <c r="DZ266" s="816"/>
      <c r="EA266" s="816"/>
      <c r="EB266" s="609"/>
      <c r="EC266" s="609"/>
      <c r="ED266" s="816"/>
      <c r="EE266" s="816"/>
      <c r="EF266" s="816"/>
      <c r="EG266" s="816"/>
      <c r="EH266" s="816"/>
      <c r="EI266" s="816"/>
      <c r="EJ266" s="816"/>
      <c r="EK266" s="816"/>
      <c r="EL266" s="816"/>
      <c r="EM266" s="816"/>
      <c r="EN266" s="816"/>
      <c r="EO266" s="816"/>
      <c r="EP266" s="816"/>
      <c r="EQ266" s="816"/>
      <c r="ER266" s="816"/>
      <c r="ES266" s="816"/>
      <c r="ET266" s="816"/>
      <c r="EU266" s="816"/>
      <c r="EV266" s="816"/>
      <c r="EW266" s="816"/>
      <c r="EX266" s="816"/>
      <c r="EY266" s="816"/>
      <c r="EZ266" s="816"/>
      <c r="FA266" s="816"/>
      <c r="FB266" s="819"/>
      <c r="FC266" s="816"/>
      <c r="FD266" s="820"/>
      <c r="FE266" s="820"/>
      <c r="FF266" s="820"/>
      <c r="FG266" s="820"/>
      <c r="FH266" s="609"/>
      <c r="FI266" s="609"/>
      <c r="FJ266" s="816"/>
      <c r="FK266" s="816"/>
      <c r="FL266" s="816"/>
      <c r="FM266" s="816"/>
      <c r="FN266" s="816"/>
      <c r="FO266" s="816"/>
      <c r="FP266" s="816"/>
      <c r="FQ266" s="816"/>
      <c r="FR266" s="816"/>
      <c r="FS266" s="816"/>
      <c r="FT266" s="816"/>
      <c r="FU266" s="816"/>
      <c r="FV266" s="816"/>
      <c r="FW266" s="816"/>
      <c r="FX266" s="609"/>
      <c r="FY266" s="609"/>
      <c r="FZ266" s="816"/>
      <c r="GA266" s="816"/>
      <c r="GB266" s="609"/>
      <c r="GC266" s="609"/>
      <c r="GD266" s="609"/>
      <c r="GE266" s="816"/>
      <c r="GF266" s="816"/>
      <c r="GG266" s="609"/>
      <c r="GH266" s="609"/>
      <c r="GI266" s="816"/>
      <c r="GJ266" s="816"/>
      <c r="GK266" s="609"/>
      <c r="GL266" s="609"/>
      <c r="GM266" s="816"/>
      <c r="GN266" s="816"/>
      <c r="GO266" s="816"/>
      <c r="GP266" s="816"/>
      <c r="GQ266" s="816"/>
      <c r="GR266" s="816"/>
      <c r="GS266" s="609"/>
      <c r="GT266" s="609"/>
      <c r="GU266" s="816"/>
      <c r="GV266" s="816"/>
      <c r="GW266" s="609"/>
      <c r="GX266" s="609"/>
      <c r="GY266" s="816"/>
      <c r="GZ266" s="816"/>
      <c r="HA266" s="609"/>
      <c r="HB266" s="609"/>
      <c r="HC266" s="816"/>
      <c r="HD266" s="816"/>
      <c r="HE266" s="816"/>
      <c r="HF266" s="816"/>
      <c r="HG266" s="816"/>
      <c r="HH266" s="816"/>
      <c r="HI266" s="821"/>
      <c r="HJ266" s="609"/>
      <c r="HK266" s="816"/>
      <c r="HL266" s="816"/>
      <c r="HM266" s="822"/>
      <c r="HN266" s="609"/>
      <c r="HO266" s="816"/>
      <c r="HP266" s="816"/>
      <c r="HQ266" s="609"/>
      <c r="HR266" s="816"/>
      <c r="HS266" s="816"/>
      <c r="HT266" s="816"/>
      <c r="HU266" s="816"/>
      <c r="HV266" s="816"/>
      <c r="HW266" s="816"/>
      <c r="HX266" s="816"/>
      <c r="HY266" s="816"/>
      <c r="HZ266" s="816"/>
      <c r="IA266" s="816"/>
      <c r="IB266" s="816"/>
      <c r="IC266" s="823"/>
      <c r="ID266" s="824"/>
      <c r="IE266" s="825"/>
      <c r="IF266" s="825"/>
      <c r="IG266" s="816"/>
      <c r="II266" s="834"/>
      <c r="IJ266" s="834"/>
      <c r="IK266" s="826"/>
      <c r="IL266" s="834"/>
    </row>
    <row r="267" spans="2:246" s="780" customFormat="1">
      <c r="B267" s="609"/>
      <c r="C267" s="609"/>
      <c r="D267" s="609"/>
      <c r="E267" s="609"/>
      <c r="F267" s="609"/>
      <c r="G267" s="609"/>
      <c r="H267" s="609"/>
      <c r="I267" s="609"/>
      <c r="J267" s="609"/>
      <c r="K267" s="609"/>
      <c r="L267" s="609"/>
      <c r="M267" s="609"/>
      <c r="N267" s="609"/>
      <c r="O267" s="609"/>
      <c r="P267" s="609"/>
      <c r="Q267" s="609"/>
      <c r="R267" s="609"/>
      <c r="S267" s="609"/>
      <c r="T267" s="609"/>
      <c r="U267" s="609"/>
      <c r="V267" s="609"/>
      <c r="W267" s="609"/>
      <c r="X267" s="609"/>
      <c r="Y267" s="609"/>
      <c r="Z267" s="816"/>
      <c r="AA267" s="816"/>
      <c r="AB267" s="816"/>
      <c r="AC267" s="816"/>
      <c r="AD267" s="816"/>
      <c r="AE267" s="816"/>
      <c r="AF267" s="609"/>
      <c r="AG267" s="609"/>
      <c r="AH267" s="816"/>
      <c r="AI267" s="816"/>
      <c r="AJ267" s="609"/>
      <c r="AK267" s="609"/>
      <c r="AL267" s="816"/>
      <c r="AM267" s="816"/>
      <c r="AN267" s="816"/>
      <c r="AO267" s="816"/>
      <c r="AP267" s="816"/>
      <c r="AQ267" s="816"/>
      <c r="AR267" s="609"/>
      <c r="AS267" s="609"/>
      <c r="AT267" s="816"/>
      <c r="AU267" s="816"/>
      <c r="AV267" s="817"/>
      <c r="AW267" s="609"/>
      <c r="AX267" s="609"/>
      <c r="AY267" s="816"/>
      <c r="AZ267" s="816"/>
      <c r="BA267" s="816"/>
      <c r="BB267" s="816"/>
      <c r="BC267" s="816"/>
      <c r="BD267" s="816"/>
      <c r="BE267" s="816"/>
      <c r="BF267" s="816"/>
      <c r="BG267" s="816"/>
      <c r="BH267" s="816"/>
      <c r="BI267" s="816"/>
      <c r="BJ267" s="816"/>
      <c r="BK267" s="816"/>
      <c r="BL267" s="816"/>
      <c r="BM267" s="816"/>
      <c r="BN267" s="816"/>
      <c r="BO267" s="816"/>
      <c r="BP267" s="816"/>
      <c r="BQ267" s="816"/>
      <c r="BR267" s="816"/>
      <c r="BS267" s="816"/>
      <c r="BT267" s="609"/>
      <c r="BU267" s="609"/>
      <c r="BV267" s="609"/>
      <c r="BW267" s="818"/>
      <c r="BX267" s="816"/>
      <c r="BY267" s="816"/>
      <c r="BZ267" s="816"/>
      <c r="CA267" s="816"/>
      <c r="CB267" s="816"/>
      <c r="CC267" s="816"/>
      <c r="CD267" s="816"/>
      <c r="CE267" s="816"/>
      <c r="CF267" s="820"/>
      <c r="CG267" s="820"/>
      <c r="CH267" s="820"/>
      <c r="CI267" s="820"/>
      <c r="CJ267" s="609"/>
      <c r="CK267" s="609"/>
      <c r="CL267" s="816"/>
      <c r="CM267" s="816"/>
      <c r="CN267" s="609"/>
      <c r="CO267" s="609"/>
      <c r="CP267" s="816"/>
      <c r="CQ267" s="816"/>
      <c r="CR267" s="609"/>
      <c r="CS267" s="609"/>
      <c r="CT267" s="816"/>
      <c r="CU267" s="816"/>
      <c r="CV267" s="609"/>
      <c r="CW267" s="609"/>
      <c r="CX267" s="816"/>
      <c r="CY267" s="816"/>
      <c r="CZ267" s="816"/>
      <c r="DA267" s="816"/>
      <c r="DB267" s="816"/>
      <c r="DC267" s="816"/>
      <c r="DD267" s="816"/>
      <c r="DE267" s="816"/>
      <c r="DF267" s="816"/>
      <c r="DG267" s="816"/>
      <c r="DH267" s="816"/>
      <c r="DI267" s="816"/>
      <c r="DJ267" s="816"/>
      <c r="DK267" s="816"/>
      <c r="DL267" s="609"/>
      <c r="DM267" s="609"/>
      <c r="DN267" s="816"/>
      <c r="DO267" s="816"/>
      <c r="DP267" s="816"/>
      <c r="DQ267" s="816"/>
      <c r="DR267" s="816"/>
      <c r="DS267" s="816"/>
      <c r="DT267" s="816"/>
      <c r="DU267" s="816"/>
      <c r="DV267" s="816"/>
      <c r="DW267" s="816"/>
      <c r="DX267" s="816"/>
      <c r="DY267" s="816"/>
      <c r="DZ267" s="816"/>
      <c r="EA267" s="816"/>
      <c r="EB267" s="609"/>
      <c r="EC267" s="609"/>
      <c r="ED267" s="816"/>
      <c r="EE267" s="816"/>
      <c r="EF267" s="816"/>
      <c r="EG267" s="816"/>
      <c r="EH267" s="816"/>
      <c r="EI267" s="816"/>
      <c r="EJ267" s="816"/>
      <c r="EK267" s="816"/>
      <c r="EL267" s="816"/>
      <c r="EM267" s="816"/>
      <c r="EN267" s="816"/>
      <c r="EO267" s="816"/>
      <c r="EP267" s="816"/>
      <c r="EQ267" s="816"/>
      <c r="ER267" s="816"/>
      <c r="ES267" s="816"/>
      <c r="ET267" s="816"/>
      <c r="EU267" s="816"/>
      <c r="EV267" s="816"/>
      <c r="EW267" s="816"/>
      <c r="EX267" s="816"/>
      <c r="EY267" s="816"/>
      <c r="EZ267" s="816"/>
      <c r="FA267" s="816"/>
      <c r="FB267" s="819"/>
      <c r="FC267" s="816"/>
      <c r="FD267" s="820"/>
      <c r="FE267" s="820"/>
      <c r="FF267" s="820"/>
      <c r="FG267" s="820"/>
      <c r="FH267" s="609"/>
      <c r="FI267" s="609"/>
      <c r="FJ267" s="816"/>
      <c r="FK267" s="816"/>
      <c r="FL267" s="816"/>
      <c r="FM267" s="816"/>
      <c r="FN267" s="816"/>
      <c r="FO267" s="816"/>
      <c r="FP267" s="816"/>
      <c r="FQ267" s="816"/>
      <c r="FR267" s="816"/>
      <c r="FS267" s="816"/>
      <c r="FT267" s="816"/>
      <c r="FU267" s="816"/>
      <c r="FV267" s="816"/>
      <c r="FW267" s="816"/>
      <c r="FX267" s="609"/>
      <c r="FY267" s="609"/>
      <c r="FZ267" s="816"/>
      <c r="GA267" s="816"/>
      <c r="GB267" s="609"/>
      <c r="GC267" s="609"/>
      <c r="GD267" s="609"/>
      <c r="GE267" s="816"/>
      <c r="GF267" s="816"/>
      <c r="GG267" s="609"/>
      <c r="GH267" s="609"/>
      <c r="GI267" s="816"/>
      <c r="GJ267" s="816"/>
      <c r="GK267" s="609"/>
      <c r="GL267" s="609"/>
      <c r="GM267" s="816"/>
      <c r="GN267" s="816"/>
      <c r="GO267" s="816"/>
      <c r="GP267" s="816"/>
      <c r="GQ267" s="816"/>
      <c r="GR267" s="816"/>
      <c r="GS267" s="609"/>
      <c r="GT267" s="609"/>
      <c r="GU267" s="816"/>
      <c r="GV267" s="816"/>
      <c r="GW267" s="609"/>
      <c r="GX267" s="609"/>
      <c r="GY267" s="816"/>
      <c r="GZ267" s="816"/>
      <c r="HA267" s="609"/>
      <c r="HB267" s="609"/>
      <c r="HC267" s="816"/>
      <c r="HD267" s="816"/>
      <c r="HE267" s="816"/>
      <c r="HF267" s="816"/>
      <c r="HG267" s="816"/>
      <c r="HH267" s="816"/>
      <c r="HI267" s="821"/>
      <c r="HJ267" s="609"/>
      <c r="HK267" s="816"/>
      <c r="HL267" s="816"/>
      <c r="HM267" s="822"/>
      <c r="HN267" s="609"/>
      <c r="HO267" s="816"/>
      <c r="HP267" s="816"/>
      <c r="HQ267" s="609"/>
      <c r="HR267" s="816"/>
      <c r="HS267" s="816"/>
      <c r="HT267" s="816"/>
      <c r="HU267" s="816"/>
      <c r="HV267" s="816"/>
      <c r="HW267" s="816"/>
      <c r="HX267" s="816"/>
      <c r="HY267" s="816"/>
      <c r="HZ267" s="816"/>
      <c r="IA267" s="816"/>
      <c r="IB267" s="816"/>
      <c r="IC267" s="823"/>
      <c r="ID267" s="824"/>
      <c r="IE267" s="825"/>
      <c r="IF267" s="825"/>
      <c r="IG267" s="816"/>
      <c r="II267" s="834"/>
      <c r="IJ267" s="834"/>
      <c r="IK267" s="826"/>
      <c r="IL267" s="834"/>
    </row>
    <row r="268" spans="2:246" s="780" customFormat="1">
      <c r="B268" s="609"/>
      <c r="C268" s="609"/>
      <c r="D268" s="609"/>
      <c r="E268" s="609"/>
      <c r="F268" s="609"/>
      <c r="G268" s="609"/>
      <c r="H268" s="609"/>
      <c r="I268" s="609"/>
      <c r="J268" s="609"/>
      <c r="K268" s="609"/>
      <c r="L268" s="609"/>
      <c r="M268" s="609"/>
      <c r="N268" s="609"/>
      <c r="O268" s="609"/>
      <c r="P268" s="609"/>
      <c r="Q268" s="609"/>
      <c r="R268" s="609"/>
      <c r="S268" s="609"/>
      <c r="T268" s="609"/>
      <c r="U268" s="609"/>
      <c r="V268" s="609"/>
      <c r="W268" s="609"/>
      <c r="X268" s="609"/>
      <c r="Y268" s="609"/>
      <c r="Z268" s="816"/>
      <c r="AA268" s="816"/>
      <c r="AB268" s="816"/>
      <c r="AC268" s="816"/>
      <c r="AD268" s="816"/>
      <c r="AE268" s="816"/>
      <c r="AF268" s="609"/>
      <c r="AG268" s="609"/>
      <c r="AH268" s="816"/>
      <c r="AI268" s="816"/>
      <c r="AJ268" s="609"/>
      <c r="AK268" s="609"/>
      <c r="AL268" s="816"/>
      <c r="AM268" s="816"/>
      <c r="AN268" s="816"/>
      <c r="AO268" s="816"/>
      <c r="AP268" s="816"/>
      <c r="AQ268" s="816"/>
      <c r="AR268" s="609"/>
      <c r="AS268" s="609"/>
      <c r="AT268" s="816"/>
      <c r="AU268" s="816"/>
      <c r="AV268" s="817"/>
      <c r="AW268" s="609"/>
      <c r="AX268" s="609"/>
      <c r="AY268" s="816"/>
      <c r="AZ268" s="816"/>
      <c r="BA268" s="816"/>
      <c r="BB268" s="816"/>
      <c r="BC268" s="816"/>
      <c r="BD268" s="816"/>
      <c r="BE268" s="816"/>
      <c r="BF268" s="816"/>
      <c r="BG268" s="816"/>
      <c r="BH268" s="816"/>
      <c r="BI268" s="816"/>
      <c r="BJ268" s="816"/>
      <c r="BK268" s="816"/>
      <c r="BL268" s="816"/>
      <c r="BM268" s="816"/>
      <c r="BN268" s="816"/>
      <c r="BO268" s="816"/>
      <c r="BP268" s="816"/>
      <c r="BQ268" s="816"/>
      <c r="BR268" s="816"/>
      <c r="BS268" s="816"/>
      <c r="BT268" s="609"/>
      <c r="BU268" s="609"/>
      <c r="BV268" s="609"/>
      <c r="BW268" s="818"/>
      <c r="BX268" s="816"/>
      <c r="BY268" s="816"/>
      <c r="BZ268" s="816"/>
      <c r="CA268" s="816"/>
      <c r="CB268" s="816"/>
      <c r="CC268" s="816"/>
      <c r="CD268" s="816"/>
      <c r="CE268" s="816"/>
      <c r="CF268" s="820"/>
      <c r="CG268" s="820"/>
      <c r="CH268" s="820"/>
      <c r="CI268" s="820"/>
      <c r="CJ268" s="609"/>
      <c r="CK268" s="609"/>
      <c r="CL268" s="816"/>
      <c r="CM268" s="816"/>
      <c r="CN268" s="609"/>
      <c r="CO268" s="609"/>
      <c r="CP268" s="816"/>
      <c r="CQ268" s="816"/>
      <c r="CR268" s="609"/>
      <c r="CS268" s="609"/>
      <c r="CT268" s="816"/>
      <c r="CU268" s="816"/>
      <c r="CV268" s="609"/>
      <c r="CW268" s="609"/>
      <c r="CX268" s="816"/>
      <c r="CY268" s="816"/>
      <c r="CZ268" s="816"/>
      <c r="DA268" s="816"/>
      <c r="DB268" s="816"/>
      <c r="DC268" s="816"/>
      <c r="DD268" s="816"/>
      <c r="DE268" s="816"/>
      <c r="DF268" s="816"/>
      <c r="DG268" s="816"/>
      <c r="DH268" s="816"/>
      <c r="DI268" s="816"/>
      <c r="DJ268" s="816"/>
      <c r="DK268" s="816"/>
      <c r="DL268" s="609"/>
      <c r="DM268" s="609"/>
      <c r="DN268" s="816"/>
      <c r="DO268" s="816"/>
      <c r="DP268" s="816"/>
      <c r="DQ268" s="816"/>
      <c r="DR268" s="816"/>
      <c r="DS268" s="816"/>
      <c r="DT268" s="816"/>
      <c r="DU268" s="816"/>
      <c r="DV268" s="816"/>
      <c r="DW268" s="816"/>
      <c r="DX268" s="816"/>
      <c r="DY268" s="816"/>
      <c r="DZ268" s="816"/>
      <c r="EA268" s="816"/>
      <c r="EB268" s="609"/>
      <c r="EC268" s="609"/>
      <c r="ED268" s="816"/>
      <c r="EE268" s="816"/>
      <c r="EF268" s="816"/>
      <c r="EG268" s="816"/>
      <c r="EH268" s="816"/>
      <c r="EI268" s="816"/>
      <c r="EJ268" s="816"/>
      <c r="EK268" s="816"/>
      <c r="EL268" s="816"/>
      <c r="EM268" s="816"/>
      <c r="EN268" s="816"/>
      <c r="EO268" s="816"/>
      <c r="EP268" s="816"/>
      <c r="EQ268" s="816"/>
      <c r="ER268" s="816"/>
      <c r="ES268" s="816"/>
      <c r="ET268" s="816"/>
      <c r="EU268" s="816"/>
      <c r="EV268" s="816"/>
      <c r="EW268" s="816"/>
      <c r="EX268" s="816"/>
      <c r="EY268" s="816"/>
      <c r="EZ268" s="816"/>
      <c r="FA268" s="816"/>
      <c r="FB268" s="819"/>
      <c r="FC268" s="816"/>
      <c r="FD268" s="820"/>
      <c r="FE268" s="820"/>
      <c r="FF268" s="820"/>
      <c r="FG268" s="820"/>
      <c r="FH268" s="609"/>
      <c r="FI268" s="609"/>
      <c r="FJ268" s="816"/>
      <c r="FK268" s="816"/>
      <c r="FL268" s="816"/>
      <c r="FM268" s="816"/>
      <c r="FN268" s="816"/>
      <c r="FO268" s="816"/>
      <c r="FP268" s="816"/>
      <c r="FQ268" s="816"/>
      <c r="FR268" s="816"/>
      <c r="FS268" s="816"/>
      <c r="FT268" s="816"/>
      <c r="FU268" s="816"/>
      <c r="FV268" s="816"/>
      <c r="FW268" s="816"/>
      <c r="FX268" s="609"/>
      <c r="FY268" s="609"/>
      <c r="FZ268" s="816"/>
      <c r="GA268" s="816"/>
      <c r="GB268" s="609"/>
      <c r="GC268" s="609"/>
      <c r="GD268" s="609"/>
      <c r="GE268" s="816"/>
      <c r="GF268" s="816"/>
      <c r="GG268" s="609"/>
      <c r="GH268" s="609"/>
      <c r="GI268" s="816"/>
      <c r="GJ268" s="816"/>
      <c r="GK268" s="609"/>
      <c r="GL268" s="609"/>
      <c r="GM268" s="816"/>
      <c r="GN268" s="816"/>
      <c r="GO268" s="816"/>
      <c r="GP268" s="816"/>
      <c r="GQ268" s="816"/>
      <c r="GR268" s="816"/>
      <c r="GS268" s="609"/>
      <c r="GT268" s="609"/>
      <c r="GU268" s="816"/>
      <c r="GV268" s="816"/>
      <c r="GW268" s="609"/>
      <c r="GX268" s="609"/>
      <c r="GY268" s="816"/>
      <c r="GZ268" s="816"/>
      <c r="HA268" s="609"/>
      <c r="HB268" s="609"/>
      <c r="HC268" s="816"/>
      <c r="HD268" s="816"/>
      <c r="HE268" s="816"/>
      <c r="HF268" s="816"/>
      <c r="HG268" s="816"/>
      <c r="HH268" s="816"/>
      <c r="HI268" s="821"/>
      <c r="HJ268" s="609"/>
      <c r="HK268" s="816"/>
      <c r="HL268" s="816"/>
      <c r="HM268" s="822"/>
      <c r="HN268" s="609"/>
      <c r="HO268" s="816"/>
      <c r="HP268" s="816"/>
      <c r="HQ268" s="609"/>
      <c r="HR268" s="816"/>
      <c r="HS268" s="816"/>
      <c r="HT268" s="816"/>
      <c r="HU268" s="816"/>
      <c r="HV268" s="816"/>
      <c r="HW268" s="816"/>
      <c r="HX268" s="816"/>
      <c r="HY268" s="816"/>
      <c r="HZ268" s="816"/>
      <c r="IA268" s="816"/>
      <c r="IB268" s="816"/>
      <c r="IC268" s="823"/>
      <c r="ID268" s="824"/>
      <c r="IE268" s="825"/>
      <c r="IF268" s="825"/>
      <c r="IG268" s="816"/>
      <c r="II268" s="834"/>
      <c r="IJ268" s="834"/>
      <c r="IK268" s="826"/>
      <c r="IL268" s="834"/>
    </row>
    <row r="269" spans="2:246" s="780" customFormat="1">
      <c r="B269" s="609"/>
      <c r="C269" s="609"/>
      <c r="D269" s="609"/>
      <c r="E269" s="609"/>
      <c r="F269" s="609"/>
      <c r="G269" s="609"/>
      <c r="H269" s="609"/>
      <c r="I269" s="609"/>
      <c r="J269" s="609"/>
      <c r="K269" s="609"/>
      <c r="L269" s="609"/>
      <c r="M269" s="609"/>
      <c r="N269" s="609"/>
      <c r="O269" s="609"/>
      <c r="P269" s="609"/>
      <c r="Q269" s="609"/>
      <c r="R269" s="609"/>
      <c r="S269" s="609"/>
      <c r="T269" s="609"/>
      <c r="U269" s="609"/>
      <c r="V269" s="609"/>
      <c r="W269" s="609"/>
      <c r="X269" s="609"/>
      <c r="Y269" s="609"/>
      <c r="Z269" s="816"/>
      <c r="AA269" s="816"/>
      <c r="AB269" s="816"/>
      <c r="AC269" s="816"/>
      <c r="AD269" s="816"/>
      <c r="AE269" s="816"/>
      <c r="AF269" s="609"/>
      <c r="AG269" s="609"/>
      <c r="AH269" s="816"/>
      <c r="AI269" s="816"/>
      <c r="AJ269" s="609"/>
      <c r="AK269" s="609"/>
      <c r="AL269" s="816"/>
      <c r="AM269" s="816"/>
      <c r="AN269" s="816"/>
      <c r="AO269" s="816"/>
      <c r="AP269" s="816"/>
      <c r="AQ269" s="816"/>
      <c r="AR269" s="609"/>
      <c r="AS269" s="609"/>
      <c r="AT269" s="816"/>
      <c r="AU269" s="816"/>
      <c r="AV269" s="817"/>
      <c r="AW269" s="609"/>
      <c r="AX269" s="609"/>
      <c r="AY269" s="816"/>
      <c r="AZ269" s="816"/>
      <c r="BA269" s="816"/>
      <c r="BB269" s="816"/>
      <c r="BC269" s="816"/>
      <c r="BD269" s="816"/>
      <c r="BE269" s="816"/>
      <c r="BF269" s="816"/>
      <c r="BG269" s="816"/>
      <c r="BH269" s="816"/>
      <c r="BI269" s="816"/>
      <c r="BJ269" s="816"/>
      <c r="BK269" s="816"/>
      <c r="BL269" s="816"/>
      <c r="BM269" s="816"/>
      <c r="BN269" s="816"/>
      <c r="BO269" s="816"/>
      <c r="BP269" s="816"/>
      <c r="BQ269" s="816"/>
      <c r="BR269" s="816"/>
      <c r="BS269" s="816"/>
      <c r="BT269" s="609"/>
      <c r="BU269" s="609"/>
      <c r="BV269" s="609"/>
      <c r="BW269" s="818"/>
      <c r="BX269" s="816"/>
      <c r="BY269" s="816"/>
      <c r="BZ269" s="816"/>
      <c r="CA269" s="816"/>
      <c r="CB269" s="816"/>
      <c r="CC269" s="816"/>
      <c r="CD269" s="816"/>
      <c r="CE269" s="816"/>
      <c r="CF269" s="820"/>
      <c r="CG269" s="820"/>
      <c r="CH269" s="820"/>
      <c r="CI269" s="820"/>
      <c r="CJ269" s="609"/>
      <c r="CK269" s="609"/>
      <c r="CL269" s="816"/>
      <c r="CM269" s="816"/>
      <c r="CN269" s="609"/>
      <c r="CO269" s="609"/>
      <c r="CP269" s="816"/>
      <c r="CQ269" s="816"/>
      <c r="CR269" s="609"/>
      <c r="CS269" s="609"/>
      <c r="CT269" s="816"/>
      <c r="CU269" s="816"/>
      <c r="CV269" s="609"/>
      <c r="CW269" s="609"/>
      <c r="CX269" s="816"/>
      <c r="CY269" s="816"/>
      <c r="CZ269" s="816"/>
      <c r="DA269" s="816"/>
      <c r="DB269" s="816"/>
      <c r="DC269" s="816"/>
      <c r="DD269" s="816"/>
      <c r="DE269" s="816"/>
      <c r="DF269" s="816"/>
      <c r="DG269" s="816"/>
      <c r="DH269" s="816"/>
      <c r="DI269" s="816"/>
      <c r="DJ269" s="816"/>
      <c r="DK269" s="816"/>
      <c r="DL269" s="609"/>
      <c r="DM269" s="609"/>
      <c r="DN269" s="816"/>
      <c r="DO269" s="816"/>
      <c r="DP269" s="816"/>
      <c r="DQ269" s="816"/>
      <c r="DR269" s="816"/>
      <c r="DS269" s="816"/>
      <c r="DT269" s="816"/>
      <c r="DU269" s="816"/>
      <c r="DV269" s="816"/>
      <c r="DW269" s="816"/>
      <c r="DX269" s="816"/>
      <c r="DY269" s="816"/>
      <c r="DZ269" s="816"/>
      <c r="EA269" s="816"/>
      <c r="EB269" s="609"/>
      <c r="EC269" s="609"/>
      <c r="ED269" s="816"/>
      <c r="EE269" s="816"/>
      <c r="EF269" s="816"/>
      <c r="EG269" s="816"/>
      <c r="EH269" s="816"/>
      <c r="EI269" s="816"/>
      <c r="EJ269" s="816"/>
      <c r="EK269" s="816"/>
      <c r="EL269" s="816"/>
      <c r="EM269" s="816"/>
      <c r="EN269" s="816"/>
      <c r="EO269" s="816"/>
      <c r="EP269" s="816"/>
      <c r="EQ269" s="816"/>
      <c r="ER269" s="816"/>
      <c r="ES269" s="816"/>
      <c r="ET269" s="816"/>
      <c r="EU269" s="816"/>
      <c r="EV269" s="816"/>
      <c r="EW269" s="816"/>
      <c r="EX269" s="816"/>
      <c r="EY269" s="816"/>
      <c r="EZ269" s="816"/>
      <c r="FA269" s="816"/>
      <c r="FB269" s="819"/>
      <c r="FC269" s="816"/>
      <c r="FD269" s="820"/>
      <c r="FE269" s="820"/>
      <c r="FF269" s="820"/>
      <c r="FG269" s="820"/>
      <c r="FH269" s="609"/>
      <c r="FI269" s="609"/>
      <c r="FJ269" s="816"/>
      <c r="FK269" s="816"/>
      <c r="FL269" s="816"/>
      <c r="FM269" s="816"/>
      <c r="FN269" s="816"/>
      <c r="FO269" s="816"/>
      <c r="FP269" s="816"/>
      <c r="FQ269" s="816"/>
      <c r="FR269" s="816"/>
      <c r="FS269" s="816"/>
      <c r="FT269" s="816"/>
      <c r="FU269" s="816"/>
      <c r="FV269" s="816"/>
      <c r="FW269" s="816"/>
      <c r="FX269" s="609"/>
      <c r="FY269" s="609"/>
      <c r="FZ269" s="816"/>
      <c r="GA269" s="816"/>
      <c r="GB269" s="609"/>
      <c r="GC269" s="609"/>
      <c r="GD269" s="609"/>
      <c r="GE269" s="816"/>
      <c r="GF269" s="816"/>
      <c r="GG269" s="609"/>
      <c r="GH269" s="609"/>
      <c r="GI269" s="816"/>
      <c r="GJ269" s="816"/>
      <c r="GK269" s="609"/>
      <c r="GL269" s="609"/>
      <c r="GM269" s="816"/>
      <c r="GN269" s="816"/>
      <c r="GO269" s="816"/>
      <c r="GP269" s="816"/>
      <c r="GQ269" s="816"/>
      <c r="GR269" s="816"/>
      <c r="GS269" s="609"/>
      <c r="GT269" s="609"/>
      <c r="GU269" s="816"/>
      <c r="GV269" s="816"/>
      <c r="GW269" s="609"/>
      <c r="GX269" s="609"/>
      <c r="GY269" s="816"/>
      <c r="GZ269" s="816"/>
      <c r="HA269" s="609"/>
      <c r="HB269" s="609"/>
      <c r="HC269" s="816"/>
      <c r="HD269" s="816"/>
      <c r="HE269" s="816"/>
      <c r="HF269" s="816"/>
      <c r="HG269" s="816"/>
      <c r="HH269" s="816"/>
      <c r="HI269" s="821"/>
      <c r="HJ269" s="609"/>
      <c r="HK269" s="816"/>
      <c r="HL269" s="816"/>
      <c r="HM269" s="822"/>
      <c r="HN269" s="609"/>
      <c r="HO269" s="816"/>
      <c r="HP269" s="816"/>
      <c r="HQ269" s="609"/>
      <c r="HR269" s="816"/>
      <c r="HS269" s="816"/>
      <c r="HT269" s="816"/>
      <c r="HU269" s="816"/>
      <c r="HV269" s="816"/>
      <c r="HW269" s="816"/>
      <c r="HX269" s="816"/>
      <c r="HY269" s="816"/>
      <c r="HZ269" s="816"/>
      <c r="IA269" s="816"/>
      <c r="IB269" s="816"/>
      <c r="IC269" s="823"/>
      <c r="ID269" s="824"/>
      <c r="IE269" s="825"/>
      <c r="IF269" s="825"/>
      <c r="IG269" s="816"/>
      <c r="II269" s="834"/>
      <c r="IJ269" s="834"/>
      <c r="IK269" s="826"/>
      <c r="IL269" s="834"/>
    </row>
    <row r="270" spans="2:246" s="780" customFormat="1">
      <c r="B270" s="609"/>
      <c r="C270" s="609"/>
      <c r="D270" s="609"/>
      <c r="E270" s="609"/>
      <c r="F270" s="609"/>
      <c r="G270" s="609"/>
      <c r="H270" s="609"/>
      <c r="I270" s="609"/>
      <c r="J270" s="609"/>
      <c r="K270" s="609"/>
      <c r="L270" s="609"/>
      <c r="M270" s="609"/>
      <c r="N270" s="609"/>
      <c r="O270" s="609"/>
      <c r="P270" s="609"/>
      <c r="Q270" s="609"/>
      <c r="R270" s="609"/>
      <c r="S270" s="609"/>
      <c r="T270" s="609"/>
      <c r="U270" s="609"/>
      <c r="V270" s="609"/>
      <c r="W270" s="609"/>
      <c r="X270" s="609"/>
      <c r="Y270" s="609"/>
      <c r="Z270" s="816"/>
      <c r="AA270" s="816"/>
      <c r="AB270" s="816"/>
      <c r="AC270" s="816"/>
      <c r="AD270" s="816"/>
      <c r="AE270" s="816"/>
      <c r="AF270" s="609"/>
      <c r="AG270" s="609"/>
      <c r="AH270" s="816"/>
      <c r="AI270" s="816"/>
      <c r="AJ270" s="609"/>
      <c r="AK270" s="609"/>
      <c r="AL270" s="816"/>
      <c r="AM270" s="816"/>
      <c r="AN270" s="816"/>
      <c r="AO270" s="816"/>
      <c r="AP270" s="816"/>
      <c r="AQ270" s="816"/>
      <c r="AR270" s="609"/>
      <c r="AS270" s="609"/>
      <c r="AT270" s="816"/>
      <c r="AU270" s="816"/>
      <c r="AV270" s="817"/>
      <c r="AW270" s="609"/>
      <c r="AX270" s="609"/>
      <c r="AY270" s="816"/>
      <c r="AZ270" s="816"/>
      <c r="BA270" s="816"/>
      <c r="BB270" s="816"/>
      <c r="BC270" s="816"/>
      <c r="BD270" s="816"/>
      <c r="BE270" s="816"/>
      <c r="BF270" s="816"/>
      <c r="BG270" s="816"/>
      <c r="BH270" s="816"/>
      <c r="BI270" s="816"/>
      <c r="BJ270" s="816"/>
      <c r="BK270" s="816"/>
      <c r="BL270" s="816"/>
      <c r="BM270" s="816"/>
      <c r="BN270" s="816"/>
      <c r="BO270" s="816"/>
      <c r="BP270" s="816"/>
      <c r="BQ270" s="816"/>
      <c r="BR270" s="816"/>
      <c r="BS270" s="816"/>
      <c r="BT270" s="609"/>
      <c r="BU270" s="609"/>
      <c r="BV270" s="609"/>
      <c r="BW270" s="818"/>
      <c r="BX270" s="816"/>
      <c r="BY270" s="816"/>
      <c r="BZ270" s="816"/>
      <c r="CA270" s="816"/>
      <c r="CB270" s="816"/>
      <c r="CC270" s="816"/>
      <c r="CD270" s="816"/>
      <c r="CE270" s="816"/>
      <c r="CF270" s="820"/>
      <c r="CG270" s="820"/>
      <c r="CH270" s="820"/>
      <c r="CI270" s="820"/>
      <c r="CJ270" s="609"/>
      <c r="CK270" s="609"/>
      <c r="CL270" s="816"/>
      <c r="CM270" s="816"/>
      <c r="CN270" s="609"/>
      <c r="CO270" s="609"/>
      <c r="CP270" s="816"/>
      <c r="CQ270" s="816"/>
      <c r="CR270" s="609"/>
      <c r="CS270" s="609"/>
      <c r="CT270" s="816"/>
      <c r="CU270" s="816"/>
      <c r="CV270" s="609"/>
      <c r="CW270" s="609"/>
      <c r="CX270" s="816"/>
      <c r="CY270" s="816"/>
      <c r="CZ270" s="816"/>
      <c r="DA270" s="816"/>
      <c r="DB270" s="816"/>
      <c r="DC270" s="816"/>
      <c r="DD270" s="816"/>
      <c r="DE270" s="816"/>
      <c r="DF270" s="816"/>
      <c r="DG270" s="816"/>
      <c r="DH270" s="816"/>
      <c r="DI270" s="816"/>
      <c r="DJ270" s="816"/>
      <c r="DK270" s="816"/>
      <c r="DL270" s="609"/>
      <c r="DM270" s="609"/>
      <c r="DN270" s="816"/>
      <c r="DO270" s="816"/>
      <c r="DP270" s="816"/>
      <c r="DQ270" s="816"/>
      <c r="DR270" s="816"/>
      <c r="DS270" s="816"/>
      <c r="DT270" s="816"/>
      <c r="DU270" s="816"/>
      <c r="DV270" s="816"/>
      <c r="DW270" s="816"/>
      <c r="DX270" s="816"/>
      <c r="DY270" s="816"/>
      <c r="DZ270" s="816"/>
      <c r="EA270" s="816"/>
      <c r="EB270" s="609"/>
      <c r="EC270" s="609"/>
      <c r="ED270" s="816"/>
      <c r="EE270" s="816"/>
      <c r="EF270" s="816"/>
      <c r="EG270" s="816"/>
      <c r="EH270" s="816"/>
      <c r="EI270" s="816"/>
      <c r="EJ270" s="816"/>
      <c r="EK270" s="816"/>
      <c r="EL270" s="816"/>
      <c r="EM270" s="816"/>
      <c r="EN270" s="816"/>
      <c r="EO270" s="816"/>
      <c r="EP270" s="816"/>
      <c r="EQ270" s="816"/>
      <c r="ER270" s="816"/>
      <c r="ES270" s="816"/>
      <c r="ET270" s="816"/>
      <c r="EU270" s="816"/>
      <c r="EV270" s="816"/>
      <c r="EW270" s="816"/>
      <c r="EX270" s="816"/>
      <c r="EY270" s="816"/>
      <c r="EZ270" s="816"/>
      <c r="FA270" s="816"/>
      <c r="FB270" s="819"/>
      <c r="FC270" s="816"/>
      <c r="FD270" s="820"/>
      <c r="FE270" s="820"/>
      <c r="FF270" s="820"/>
      <c r="FG270" s="820"/>
      <c r="FH270" s="609"/>
      <c r="FI270" s="609"/>
      <c r="FJ270" s="816"/>
      <c r="FK270" s="816"/>
      <c r="FL270" s="816"/>
      <c r="FM270" s="816"/>
      <c r="FN270" s="816"/>
      <c r="FO270" s="816"/>
      <c r="FP270" s="816"/>
      <c r="FQ270" s="816"/>
      <c r="FR270" s="816"/>
      <c r="FS270" s="816"/>
      <c r="FT270" s="816"/>
      <c r="FU270" s="816"/>
      <c r="FV270" s="816"/>
      <c r="FW270" s="816"/>
      <c r="FX270" s="609"/>
      <c r="FY270" s="609"/>
      <c r="FZ270" s="816"/>
      <c r="GA270" s="816"/>
      <c r="GB270" s="609"/>
      <c r="GC270" s="609"/>
      <c r="GD270" s="609"/>
      <c r="GE270" s="816"/>
      <c r="GF270" s="816"/>
      <c r="GG270" s="609"/>
      <c r="GH270" s="609"/>
      <c r="GI270" s="816"/>
      <c r="GJ270" s="816"/>
      <c r="GK270" s="609"/>
      <c r="GL270" s="609"/>
      <c r="GM270" s="816"/>
      <c r="GN270" s="816"/>
      <c r="GO270" s="816"/>
      <c r="GP270" s="816"/>
      <c r="GQ270" s="816"/>
      <c r="GR270" s="816"/>
      <c r="GS270" s="609"/>
      <c r="GT270" s="609"/>
      <c r="GU270" s="816"/>
      <c r="GV270" s="816"/>
      <c r="GW270" s="609"/>
      <c r="GX270" s="609"/>
      <c r="GY270" s="816"/>
      <c r="GZ270" s="816"/>
      <c r="HA270" s="609"/>
      <c r="HB270" s="609"/>
      <c r="HC270" s="816"/>
      <c r="HD270" s="816"/>
      <c r="HE270" s="816"/>
      <c r="HF270" s="816"/>
      <c r="HG270" s="816"/>
      <c r="HH270" s="816"/>
      <c r="HI270" s="821"/>
      <c r="HJ270" s="609"/>
      <c r="HK270" s="816"/>
      <c r="HL270" s="816"/>
      <c r="HM270" s="822"/>
      <c r="HN270" s="609"/>
      <c r="HO270" s="816"/>
      <c r="HP270" s="816"/>
      <c r="HQ270" s="609"/>
      <c r="HR270" s="816"/>
      <c r="HS270" s="816"/>
      <c r="HT270" s="816"/>
      <c r="HU270" s="816"/>
      <c r="HV270" s="816"/>
      <c r="HW270" s="816"/>
      <c r="HX270" s="816"/>
      <c r="HY270" s="816"/>
      <c r="HZ270" s="816"/>
      <c r="IA270" s="816"/>
      <c r="IB270" s="816"/>
      <c r="IC270" s="823"/>
      <c r="ID270" s="824"/>
      <c r="IE270" s="825"/>
      <c r="IF270" s="825"/>
      <c r="IG270" s="816"/>
      <c r="II270" s="834"/>
      <c r="IJ270" s="834"/>
      <c r="IK270" s="826"/>
      <c r="IL270" s="834"/>
    </row>
    <row r="271" spans="2:246" s="780" customFormat="1">
      <c r="B271" s="609"/>
      <c r="C271" s="609"/>
      <c r="D271" s="609"/>
      <c r="E271" s="609"/>
      <c r="F271" s="609"/>
      <c r="G271" s="609"/>
      <c r="H271" s="609"/>
      <c r="I271" s="609"/>
      <c r="J271" s="609"/>
      <c r="K271" s="609"/>
      <c r="L271" s="609"/>
      <c r="M271" s="609"/>
      <c r="N271" s="609"/>
      <c r="O271" s="609"/>
      <c r="P271" s="609"/>
      <c r="Q271" s="609"/>
      <c r="R271" s="609"/>
      <c r="S271" s="609"/>
      <c r="T271" s="609"/>
      <c r="U271" s="609"/>
      <c r="V271" s="609"/>
      <c r="W271" s="609"/>
      <c r="X271" s="609"/>
      <c r="Y271" s="609"/>
      <c r="Z271" s="816"/>
      <c r="AA271" s="816"/>
      <c r="AB271" s="816"/>
      <c r="AC271" s="816"/>
      <c r="AD271" s="816"/>
      <c r="AE271" s="816"/>
      <c r="AF271" s="609"/>
      <c r="AG271" s="609"/>
      <c r="AH271" s="816"/>
      <c r="AI271" s="816"/>
      <c r="AJ271" s="609"/>
      <c r="AK271" s="609"/>
      <c r="AL271" s="816"/>
      <c r="AM271" s="816"/>
      <c r="AN271" s="816"/>
      <c r="AO271" s="816"/>
      <c r="AP271" s="816"/>
      <c r="AQ271" s="816"/>
      <c r="AR271" s="609"/>
      <c r="AS271" s="609"/>
      <c r="AT271" s="816"/>
      <c r="AU271" s="816"/>
      <c r="AV271" s="817"/>
      <c r="AW271" s="609"/>
      <c r="AX271" s="609"/>
      <c r="AY271" s="816"/>
      <c r="AZ271" s="816"/>
      <c r="BA271" s="816"/>
      <c r="BB271" s="816"/>
      <c r="BC271" s="816"/>
      <c r="BD271" s="816"/>
      <c r="BE271" s="816"/>
      <c r="BF271" s="816"/>
      <c r="BG271" s="816"/>
      <c r="BH271" s="816"/>
      <c r="BI271" s="816"/>
      <c r="BJ271" s="816"/>
      <c r="BK271" s="816"/>
      <c r="BL271" s="816"/>
      <c r="BM271" s="816"/>
      <c r="BN271" s="816"/>
      <c r="BO271" s="816"/>
      <c r="BP271" s="816"/>
      <c r="BQ271" s="816"/>
      <c r="BR271" s="816"/>
      <c r="BS271" s="816"/>
      <c r="BT271" s="609"/>
      <c r="BU271" s="609"/>
      <c r="BV271" s="609"/>
      <c r="BW271" s="818"/>
      <c r="BX271" s="816"/>
      <c r="BY271" s="816"/>
      <c r="BZ271" s="816"/>
      <c r="CA271" s="816"/>
      <c r="CB271" s="816"/>
      <c r="CC271" s="816"/>
      <c r="CD271" s="816"/>
      <c r="CE271" s="816"/>
      <c r="CF271" s="820"/>
      <c r="CG271" s="820"/>
      <c r="CH271" s="820"/>
      <c r="CI271" s="820"/>
      <c r="CJ271" s="609"/>
      <c r="CK271" s="609"/>
      <c r="CL271" s="816"/>
      <c r="CM271" s="816"/>
      <c r="CN271" s="609"/>
      <c r="CO271" s="609"/>
      <c r="CP271" s="816"/>
      <c r="CQ271" s="816"/>
      <c r="CR271" s="609"/>
      <c r="CS271" s="609"/>
      <c r="CT271" s="816"/>
      <c r="CU271" s="816"/>
      <c r="CV271" s="609"/>
      <c r="CW271" s="609"/>
      <c r="CX271" s="816"/>
      <c r="CY271" s="816"/>
      <c r="CZ271" s="816"/>
      <c r="DA271" s="816"/>
      <c r="DB271" s="816"/>
      <c r="DC271" s="816"/>
      <c r="DD271" s="816"/>
      <c r="DE271" s="816"/>
      <c r="DF271" s="816"/>
      <c r="DG271" s="816"/>
      <c r="DH271" s="816"/>
      <c r="DI271" s="816"/>
      <c r="DJ271" s="816"/>
      <c r="DK271" s="816"/>
      <c r="DL271" s="609"/>
      <c r="DM271" s="609"/>
      <c r="DN271" s="816"/>
      <c r="DO271" s="816"/>
      <c r="DP271" s="816"/>
      <c r="DQ271" s="816"/>
      <c r="DR271" s="816"/>
      <c r="DS271" s="816"/>
      <c r="DT271" s="816"/>
      <c r="DU271" s="816"/>
      <c r="DV271" s="816"/>
      <c r="DW271" s="816"/>
      <c r="DX271" s="816"/>
      <c r="DY271" s="816"/>
      <c r="DZ271" s="816"/>
      <c r="EA271" s="816"/>
      <c r="EB271" s="609"/>
      <c r="EC271" s="609"/>
      <c r="ED271" s="816"/>
      <c r="EE271" s="816"/>
      <c r="EF271" s="816"/>
      <c r="EG271" s="816"/>
      <c r="EH271" s="816"/>
      <c r="EI271" s="816"/>
      <c r="EJ271" s="816"/>
      <c r="EK271" s="816"/>
      <c r="EL271" s="816"/>
      <c r="EM271" s="816"/>
      <c r="EN271" s="816"/>
      <c r="EO271" s="816"/>
      <c r="EP271" s="816"/>
      <c r="EQ271" s="816"/>
      <c r="ER271" s="816"/>
      <c r="ES271" s="816"/>
      <c r="ET271" s="816"/>
      <c r="EU271" s="816"/>
      <c r="EV271" s="816"/>
      <c r="EW271" s="816"/>
      <c r="EX271" s="816"/>
      <c r="EY271" s="816"/>
      <c r="EZ271" s="816"/>
      <c r="FA271" s="816"/>
      <c r="FB271" s="819"/>
      <c r="FC271" s="816"/>
      <c r="FD271" s="820"/>
      <c r="FE271" s="820"/>
      <c r="FF271" s="820"/>
      <c r="FG271" s="820"/>
      <c r="FH271" s="609"/>
      <c r="FI271" s="609"/>
      <c r="FJ271" s="816"/>
      <c r="FK271" s="816"/>
      <c r="FL271" s="816"/>
      <c r="FM271" s="816"/>
      <c r="FN271" s="816"/>
      <c r="FO271" s="816"/>
      <c r="FP271" s="816"/>
      <c r="FQ271" s="816"/>
      <c r="FR271" s="816"/>
      <c r="FS271" s="816"/>
      <c r="FT271" s="816"/>
      <c r="FU271" s="816"/>
      <c r="FV271" s="816"/>
      <c r="FW271" s="816"/>
      <c r="FX271" s="609"/>
      <c r="FY271" s="609"/>
      <c r="FZ271" s="816"/>
      <c r="GA271" s="816"/>
      <c r="GB271" s="609"/>
      <c r="GC271" s="609"/>
      <c r="GD271" s="609"/>
      <c r="GE271" s="816"/>
      <c r="GF271" s="816"/>
      <c r="GG271" s="609"/>
      <c r="GH271" s="609"/>
      <c r="GI271" s="816"/>
      <c r="GJ271" s="816"/>
      <c r="GK271" s="609"/>
      <c r="GL271" s="609"/>
      <c r="GM271" s="816"/>
      <c r="GN271" s="816"/>
      <c r="GO271" s="816"/>
      <c r="GP271" s="816"/>
      <c r="GQ271" s="816"/>
      <c r="GR271" s="816"/>
      <c r="GS271" s="609"/>
      <c r="GT271" s="609"/>
      <c r="GU271" s="816"/>
      <c r="GV271" s="816"/>
      <c r="GW271" s="609"/>
      <c r="GX271" s="609"/>
      <c r="GY271" s="816"/>
      <c r="GZ271" s="816"/>
      <c r="HA271" s="609"/>
      <c r="HB271" s="609"/>
      <c r="HC271" s="816"/>
      <c r="HD271" s="816"/>
      <c r="HE271" s="816"/>
      <c r="HF271" s="816"/>
      <c r="HG271" s="816"/>
      <c r="HH271" s="816"/>
      <c r="HI271" s="821"/>
      <c r="HJ271" s="609"/>
      <c r="HK271" s="816"/>
      <c r="HL271" s="816"/>
      <c r="HM271" s="822"/>
      <c r="HN271" s="609"/>
      <c r="HO271" s="816"/>
      <c r="HP271" s="816"/>
      <c r="HQ271" s="609"/>
      <c r="HR271" s="816"/>
      <c r="HS271" s="816"/>
      <c r="HT271" s="816"/>
      <c r="HU271" s="816"/>
      <c r="HV271" s="816"/>
      <c r="HW271" s="816"/>
      <c r="HX271" s="816"/>
      <c r="HY271" s="816"/>
      <c r="HZ271" s="816"/>
      <c r="IA271" s="816"/>
      <c r="IB271" s="816"/>
      <c r="IC271" s="823"/>
      <c r="ID271" s="824"/>
      <c r="IE271" s="825"/>
      <c r="IF271" s="825"/>
      <c r="IG271" s="816"/>
      <c r="II271" s="834"/>
      <c r="IJ271" s="834"/>
      <c r="IK271" s="826"/>
      <c r="IL271" s="834"/>
    </row>
    <row r="272" spans="2:246" s="780" customFormat="1">
      <c r="Z272" s="835"/>
      <c r="AA272" s="836"/>
      <c r="AB272" s="836"/>
      <c r="AC272" s="836"/>
      <c r="AD272" s="836"/>
      <c r="AE272" s="836"/>
      <c r="AF272" s="817"/>
      <c r="AG272" s="817"/>
      <c r="AH272" s="836"/>
      <c r="AI272" s="836"/>
      <c r="AJ272" s="817"/>
      <c r="AK272" s="817"/>
      <c r="AL272" s="836"/>
      <c r="AM272" s="836"/>
      <c r="AN272" s="836"/>
      <c r="AO272" s="836"/>
      <c r="AP272" s="836"/>
      <c r="AQ272" s="836"/>
      <c r="AR272" s="817"/>
      <c r="AS272" s="817"/>
      <c r="AT272" s="836"/>
      <c r="AU272" s="836"/>
      <c r="AV272" s="817"/>
      <c r="AW272" s="817"/>
      <c r="AX272" s="817"/>
      <c r="AY272" s="836"/>
      <c r="AZ272" s="836"/>
      <c r="BA272" s="836"/>
      <c r="BB272" s="836"/>
      <c r="BC272" s="836"/>
      <c r="BD272" s="836"/>
      <c r="BE272" s="836"/>
      <c r="BF272" s="836"/>
      <c r="BG272" s="836"/>
      <c r="BH272" s="836"/>
      <c r="BI272" s="836"/>
      <c r="BJ272" s="836"/>
      <c r="BK272" s="836"/>
      <c r="BL272" s="836"/>
      <c r="BM272" s="836"/>
      <c r="BN272" s="836"/>
      <c r="BO272" s="836"/>
      <c r="BP272" s="836"/>
      <c r="BQ272" s="836"/>
      <c r="BR272" s="836"/>
      <c r="BS272" s="836"/>
      <c r="BT272" s="817"/>
      <c r="BU272" s="817"/>
      <c r="BV272" s="817"/>
      <c r="BW272" s="817"/>
      <c r="BX272" s="836"/>
      <c r="BY272" s="836"/>
      <c r="BZ272" s="836"/>
      <c r="CA272" s="836"/>
      <c r="CB272" s="836"/>
      <c r="CC272" s="836"/>
      <c r="CD272" s="836"/>
      <c r="CE272" s="836"/>
      <c r="CF272" s="836"/>
      <c r="CG272" s="836"/>
      <c r="CH272" s="836"/>
      <c r="CI272" s="836"/>
      <c r="CJ272" s="817"/>
      <c r="CK272" s="817"/>
      <c r="CL272" s="836"/>
      <c r="CM272" s="836"/>
      <c r="CN272" s="817"/>
      <c r="CO272" s="817"/>
      <c r="CP272" s="836"/>
      <c r="CQ272" s="836"/>
      <c r="CR272" s="817"/>
      <c r="CS272" s="817"/>
      <c r="CT272" s="836"/>
      <c r="CU272" s="836"/>
      <c r="CV272" s="817"/>
      <c r="CW272" s="817"/>
      <c r="CX272" s="836"/>
      <c r="CY272" s="836"/>
      <c r="CZ272" s="836"/>
      <c r="DA272" s="836"/>
      <c r="DB272" s="836"/>
      <c r="DC272" s="836"/>
      <c r="DD272" s="836"/>
      <c r="DE272" s="836"/>
      <c r="DF272" s="836"/>
      <c r="DG272" s="836"/>
      <c r="DH272" s="836"/>
      <c r="DI272" s="836"/>
      <c r="DJ272" s="836"/>
      <c r="DK272" s="836"/>
      <c r="DL272" s="817"/>
      <c r="DM272" s="817"/>
      <c r="DN272" s="836"/>
      <c r="DO272" s="836"/>
      <c r="DP272" s="836"/>
      <c r="DQ272" s="836"/>
      <c r="DR272" s="836"/>
      <c r="DS272" s="836"/>
      <c r="DT272" s="836"/>
      <c r="DU272" s="836"/>
      <c r="DV272" s="836"/>
      <c r="DW272" s="836"/>
      <c r="DX272" s="836"/>
      <c r="DY272" s="836"/>
      <c r="DZ272" s="836"/>
      <c r="EA272" s="836"/>
      <c r="EB272" s="817"/>
      <c r="EC272" s="817"/>
      <c r="ED272" s="836"/>
      <c r="EE272" s="836"/>
      <c r="EF272" s="836"/>
      <c r="EG272" s="836"/>
      <c r="EH272" s="836"/>
      <c r="EI272" s="836"/>
      <c r="EJ272" s="836"/>
      <c r="EK272" s="836"/>
      <c r="EL272" s="836"/>
      <c r="EM272" s="836"/>
      <c r="EN272" s="836"/>
      <c r="EO272" s="836"/>
      <c r="EP272" s="836"/>
      <c r="EQ272" s="836"/>
      <c r="ER272" s="836"/>
      <c r="ES272" s="836"/>
      <c r="ET272" s="836"/>
      <c r="EU272" s="836"/>
      <c r="EV272" s="836"/>
      <c r="EW272" s="836"/>
      <c r="EX272" s="836"/>
      <c r="EY272" s="836"/>
      <c r="EZ272" s="836"/>
      <c r="FA272" s="836"/>
      <c r="FB272" s="817"/>
      <c r="FC272" s="836"/>
      <c r="FD272" s="836"/>
      <c r="FE272" s="836"/>
      <c r="FF272" s="836"/>
      <c r="FG272" s="836"/>
      <c r="FH272" s="817"/>
      <c r="FI272" s="817"/>
      <c r="FJ272" s="836"/>
      <c r="FK272" s="836"/>
      <c r="FL272" s="836"/>
      <c r="FM272" s="836"/>
      <c r="FN272" s="836"/>
      <c r="FO272" s="836"/>
      <c r="FP272" s="836"/>
      <c r="FQ272" s="836"/>
      <c r="FR272" s="836"/>
      <c r="FS272" s="836"/>
      <c r="FT272" s="836"/>
      <c r="FU272" s="836"/>
      <c r="FV272" s="836"/>
      <c r="FW272" s="836"/>
      <c r="FX272" s="817"/>
      <c r="FY272" s="817"/>
      <c r="FZ272" s="836"/>
      <c r="GA272" s="836"/>
      <c r="GB272" s="817"/>
      <c r="GC272" s="817"/>
      <c r="GD272" s="817"/>
      <c r="GE272" s="836"/>
      <c r="GF272" s="836"/>
      <c r="GG272" s="817"/>
      <c r="GH272" s="817"/>
      <c r="GI272" s="836"/>
      <c r="GJ272" s="836"/>
      <c r="GK272" s="817"/>
      <c r="GL272" s="817"/>
      <c r="GM272" s="836"/>
      <c r="GN272" s="836"/>
      <c r="GO272" s="836"/>
      <c r="GP272" s="836"/>
      <c r="GQ272" s="836"/>
      <c r="GR272" s="836"/>
      <c r="GS272" s="817"/>
      <c r="GT272" s="817"/>
      <c r="GU272" s="836"/>
      <c r="GV272" s="836"/>
      <c r="GW272" s="817"/>
      <c r="GX272" s="817"/>
      <c r="GY272" s="836"/>
      <c r="GZ272" s="836"/>
      <c r="HA272" s="817"/>
      <c r="HB272" s="817"/>
      <c r="HC272" s="836"/>
      <c r="HD272" s="836"/>
      <c r="HE272" s="836"/>
      <c r="HF272" s="836"/>
      <c r="HG272" s="836"/>
      <c r="HH272" s="836"/>
      <c r="HI272" s="817"/>
      <c r="HJ272" s="817"/>
      <c r="HK272" s="836"/>
      <c r="HL272" s="836"/>
      <c r="HM272" s="817"/>
      <c r="HN272" s="817"/>
      <c r="HO272" s="836"/>
      <c r="HP272" s="836"/>
      <c r="HQ272" s="817"/>
      <c r="HR272" s="836"/>
      <c r="HS272" s="836"/>
      <c r="HT272" s="836"/>
      <c r="HU272" s="836"/>
      <c r="HV272" s="836"/>
      <c r="HW272" s="836"/>
      <c r="HX272" s="836"/>
      <c r="HY272" s="836"/>
      <c r="HZ272" s="836"/>
      <c r="IA272" s="836"/>
      <c r="IB272" s="836"/>
      <c r="IC272" s="837"/>
      <c r="ID272" s="836"/>
      <c r="IE272" s="838"/>
      <c r="IF272" s="838"/>
      <c r="IG272" s="836"/>
      <c r="II272" s="834"/>
      <c r="IJ272" s="834"/>
      <c r="IK272" s="826"/>
      <c r="IL272" s="834"/>
    </row>
    <row r="273" spans="26:246" s="780" customFormat="1">
      <c r="Z273" s="835"/>
      <c r="AA273" s="836"/>
      <c r="AB273" s="836"/>
      <c r="AC273" s="836"/>
      <c r="AD273" s="836"/>
      <c r="AE273" s="836"/>
      <c r="AF273" s="817"/>
      <c r="AG273" s="817"/>
      <c r="AH273" s="836"/>
      <c r="AI273" s="836"/>
      <c r="AJ273" s="817"/>
      <c r="AK273" s="817"/>
      <c r="AL273" s="836"/>
      <c r="AM273" s="836"/>
      <c r="AN273" s="836"/>
      <c r="AO273" s="836"/>
      <c r="AP273" s="836"/>
      <c r="AQ273" s="836"/>
      <c r="AR273" s="817"/>
      <c r="AS273" s="817"/>
      <c r="AT273" s="836"/>
      <c r="AU273" s="836"/>
      <c r="AV273" s="817"/>
      <c r="AW273" s="817"/>
      <c r="AX273" s="817"/>
      <c r="AY273" s="836"/>
      <c r="AZ273" s="836"/>
      <c r="BA273" s="836"/>
      <c r="BB273" s="836"/>
      <c r="BC273" s="836"/>
      <c r="BD273" s="836"/>
      <c r="BE273" s="836"/>
      <c r="BF273" s="836"/>
      <c r="BG273" s="836"/>
      <c r="BH273" s="836"/>
      <c r="BI273" s="836"/>
      <c r="BJ273" s="836"/>
      <c r="BK273" s="836"/>
      <c r="BL273" s="836"/>
      <c r="BM273" s="836"/>
      <c r="BN273" s="836"/>
      <c r="BO273" s="836"/>
      <c r="BP273" s="836"/>
      <c r="BQ273" s="836"/>
      <c r="BR273" s="836"/>
      <c r="BS273" s="836"/>
      <c r="BT273" s="817"/>
      <c r="BU273" s="817"/>
      <c r="BV273" s="817"/>
      <c r="BW273" s="817"/>
      <c r="BX273" s="836"/>
      <c r="BY273" s="836"/>
      <c r="BZ273" s="836"/>
      <c r="CA273" s="836"/>
      <c r="CB273" s="836"/>
      <c r="CC273" s="836"/>
      <c r="CD273" s="836"/>
      <c r="CE273" s="836"/>
      <c r="CF273" s="820"/>
      <c r="CG273" s="820"/>
      <c r="CH273" s="820"/>
      <c r="CI273" s="820"/>
      <c r="CJ273" s="817"/>
      <c r="CK273" s="817"/>
      <c r="CL273" s="836"/>
      <c r="CM273" s="836"/>
      <c r="CN273" s="817"/>
      <c r="CO273" s="817"/>
      <c r="CP273" s="836"/>
      <c r="CQ273" s="836"/>
      <c r="CR273" s="817"/>
      <c r="CS273" s="817"/>
      <c r="CT273" s="836"/>
      <c r="CU273" s="836"/>
      <c r="CV273" s="817"/>
      <c r="CW273" s="817"/>
      <c r="CX273" s="836"/>
      <c r="CY273" s="836"/>
      <c r="CZ273" s="836"/>
      <c r="DA273" s="836"/>
      <c r="DB273" s="836"/>
      <c r="DC273" s="836"/>
      <c r="DD273" s="836"/>
      <c r="DE273" s="836"/>
      <c r="DF273" s="836"/>
      <c r="DG273" s="836"/>
      <c r="DH273" s="836"/>
      <c r="DI273" s="836"/>
      <c r="DJ273" s="836"/>
      <c r="DK273" s="836"/>
      <c r="DL273" s="817"/>
      <c r="DM273" s="817"/>
      <c r="DN273" s="836"/>
      <c r="DO273" s="836"/>
      <c r="DP273" s="836"/>
      <c r="DQ273" s="836"/>
      <c r="DR273" s="836"/>
      <c r="DS273" s="836"/>
      <c r="DT273" s="836"/>
      <c r="DU273" s="836"/>
      <c r="DV273" s="836"/>
      <c r="DW273" s="836"/>
      <c r="DX273" s="836"/>
      <c r="DY273" s="836"/>
      <c r="DZ273" s="836"/>
      <c r="EA273" s="836"/>
      <c r="EB273" s="817"/>
      <c r="EC273" s="817"/>
      <c r="ED273" s="836"/>
      <c r="EE273" s="836"/>
      <c r="EF273" s="836"/>
      <c r="EG273" s="836"/>
      <c r="EH273" s="836"/>
      <c r="EI273" s="836"/>
      <c r="EJ273" s="836"/>
      <c r="EK273" s="836"/>
      <c r="EL273" s="836"/>
      <c r="EM273" s="836"/>
      <c r="EN273" s="836"/>
      <c r="EO273" s="836"/>
      <c r="EP273" s="836"/>
      <c r="EQ273" s="836"/>
      <c r="ER273" s="836"/>
      <c r="ES273" s="836"/>
      <c r="ET273" s="836"/>
      <c r="EU273" s="836"/>
      <c r="EV273" s="836"/>
      <c r="EW273" s="836"/>
      <c r="EX273" s="836"/>
      <c r="EY273" s="836"/>
      <c r="EZ273" s="836"/>
      <c r="FA273" s="836"/>
      <c r="FB273" s="817"/>
      <c r="FC273" s="836"/>
      <c r="FD273" s="836"/>
      <c r="FE273" s="836"/>
      <c r="FF273" s="836"/>
      <c r="FG273" s="836"/>
      <c r="FH273" s="817"/>
      <c r="FI273" s="817"/>
      <c r="FJ273" s="836"/>
      <c r="FK273" s="836"/>
      <c r="FL273" s="836"/>
      <c r="FM273" s="836"/>
      <c r="FN273" s="836"/>
      <c r="FO273" s="836"/>
      <c r="FP273" s="836"/>
      <c r="FQ273" s="836"/>
      <c r="FR273" s="836"/>
      <c r="FS273" s="836"/>
      <c r="FT273" s="836"/>
      <c r="FU273" s="836"/>
      <c r="FV273" s="836"/>
      <c r="FW273" s="836"/>
      <c r="FX273" s="817"/>
      <c r="FY273" s="817"/>
      <c r="FZ273" s="836"/>
      <c r="GA273" s="836"/>
      <c r="GB273" s="817"/>
      <c r="GC273" s="817"/>
      <c r="GD273" s="817"/>
      <c r="GE273" s="836"/>
      <c r="GF273" s="836"/>
      <c r="GG273" s="817"/>
      <c r="GH273" s="817"/>
      <c r="GI273" s="836"/>
      <c r="GJ273" s="836"/>
      <c r="GK273" s="817"/>
      <c r="GL273" s="817"/>
      <c r="GM273" s="836"/>
      <c r="GN273" s="836"/>
      <c r="GO273" s="836"/>
      <c r="GP273" s="836"/>
      <c r="GQ273" s="836"/>
      <c r="GR273" s="836"/>
      <c r="GS273" s="817"/>
      <c r="GT273" s="817"/>
      <c r="GU273" s="836"/>
      <c r="GV273" s="836"/>
      <c r="GW273" s="817"/>
      <c r="GX273" s="817"/>
      <c r="GY273" s="836"/>
      <c r="GZ273" s="836"/>
      <c r="HA273" s="817"/>
      <c r="HB273" s="817"/>
      <c r="HC273" s="836"/>
      <c r="HD273" s="836"/>
      <c r="HE273" s="836"/>
      <c r="HF273" s="836"/>
      <c r="HG273" s="836"/>
      <c r="HH273" s="836"/>
      <c r="HI273" s="817"/>
      <c r="HJ273" s="817"/>
      <c r="HK273" s="836"/>
      <c r="HL273" s="836"/>
      <c r="HM273" s="817"/>
      <c r="HN273" s="817"/>
      <c r="HO273" s="836"/>
      <c r="HP273" s="836"/>
      <c r="HQ273" s="817"/>
      <c r="HR273" s="836"/>
      <c r="HS273" s="836"/>
      <c r="HT273" s="836"/>
      <c r="HU273" s="836"/>
      <c r="HV273" s="836"/>
      <c r="HW273" s="836"/>
      <c r="HX273" s="836"/>
      <c r="HY273" s="836"/>
      <c r="HZ273" s="836"/>
      <c r="IA273" s="836"/>
      <c r="IB273" s="836"/>
      <c r="IC273" s="836"/>
      <c r="ID273" s="836"/>
      <c r="IE273" s="839"/>
      <c r="IF273" s="839"/>
      <c r="IG273" s="836"/>
      <c r="II273" s="834"/>
      <c r="IJ273" s="834"/>
      <c r="IK273" s="826"/>
      <c r="IL273" s="834"/>
    </row>
    <row r="274" spans="26:246">
      <c r="AA274" s="840"/>
      <c r="AB274" s="840"/>
      <c r="AC274" s="840"/>
      <c r="AD274" s="840"/>
      <c r="AE274" s="840"/>
      <c r="AF274" s="841"/>
      <c r="AG274" s="841"/>
      <c r="AH274" s="840"/>
      <c r="AI274" s="840"/>
      <c r="AJ274" s="841"/>
      <c r="AK274" s="841"/>
      <c r="AL274" s="840"/>
      <c r="AM274" s="840"/>
      <c r="AN274" s="840"/>
      <c r="AO274" s="840"/>
      <c r="AP274" s="840"/>
      <c r="AQ274" s="840"/>
      <c r="AR274" s="841"/>
      <c r="AS274" s="841"/>
      <c r="AT274" s="840"/>
      <c r="AU274" s="840"/>
      <c r="AV274" s="841"/>
      <c r="AW274" s="841"/>
      <c r="AX274" s="841"/>
      <c r="AY274" s="840"/>
      <c r="AZ274" s="840"/>
      <c r="BA274" s="840"/>
      <c r="BB274" s="840"/>
      <c r="BC274" s="840"/>
      <c r="BD274" s="840"/>
      <c r="BE274" s="840"/>
      <c r="BF274" s="840"/>
      <c r="BG274" s="840"/>
      <c r="BH274" s="840"/>
      <c r="BI274" s="840"/>
      <c r="BJ274" s="840"/>
      <c r="BK274" s="840"/>
      <c r="BL274" s="840"/>
      <c r="BM274" s="840"/>
      <c r="BN274" s="840"/>
      <c r="BO274" s="840"/>
      <c r="BP274" s="840"/>
      <c r="BQ274" s="840"/>
      <c r="BR274" s="840"/>
      <c r="BS274" s="840"/>
      <c r="BT274" s="841"/>
      <c r="BU274" s="841"/>
      <c r="BV274" s="841"/>
      <c r="BW274" s="841"/>
      <c r="BX274" s="840"/>
      <c r="BY274" s="840"/>
      <c r="BZ274" s="840"/>
      <c r="CA274" s="840"/>
      <c r="CB274" s="840"/>
      <c r="CC274" s="840"/>
      <c r="CD274" s="840"/>
      <c r="CE274" s="840"/>
      <c r="CF274" s="840"/>
      <c r="CG274" s="840"/>
      <c r="CH274" s="840"/>
      <c r="CI274" s="840"/>
      <c r="CJ274" s="841"/>
      <c r="CK274" s="841"/>
      <c r="CL274" s="840"/>
      <c r="CM274" s="840"/>
      <c r="CN274" s="841"/>
      <c r="CO274" s="841"/>
      <c r="CP274" s="840"/>
      <c r="CQ274" s="840"/>
      <c r="CR274" s="841"/>
      <c r="CS274" s="841"/>
      <c r="CT274" s="840"/>
      <c r="CU274" s="840"/>
      <c r="CV274" s="841"/>
      <c r="CW274" s="841"/>
      <c r="CX274" s="840"/>
      <c r="CY274" s="840"/>
      <c r="CZ274" s="840"/>
      <c r="DA274" s="840"/>
      <c r="DB274" s="840"/>
      <c r="DC274" s="840"/>
      <c r="DD274" s="840"/>
      <c r="DE274" s="840"/>
      <c r="DF274" s="840"/>
      <c r="DG274" s="840"/>
      <c r="DH274" s="840"/>
      <c r="DI274" s="840"/>
      <c r="DJ274" s="840"/>
      <c r="DK274" s="840"/>
      <c r="DL274" s="841"/>
      <c r="DM274" s="841"/>
      <c r="DN274" s="840"/>
      <c r="DO274" s="840"/>
      <c r="DP274" s="840"/>
      <c r="DQ274" s="840"/>
      <c r="DR274" s="840"/>
      <c r="DS274" s="840"/>
      <c r="DT274" s="840"/>
      <c r="DU274" s="840"/>
      <c r="DV274" s="840"/>
      <c r="DW274" s="840"/>
      <c r="DX274" s="840"/>
      <c r="DY274" s="840"/>
      <c r="DZ274" s="840"/>
      <c r="EA274" s="840"/>
      <c r="EB274" s="841"/>
      <c r="EC274" s="841"/>
      <c r="ED274" s="840"/>
      <c r="EE274" s="840"/>
      <c r="EF274" s="840"/>
      <c r="EG274" s="840"/>
      <c r="EH274" s="840"/>
      <c r="EI274" s="840"/>
      <c r="EJ274" s="840"/>
      <c r="EK274" s="840"/>
      <c r="EL274" s="840"/>
      <c r="EM274" s="840"/>
      <c r="EN274" s="840"/>
      <c r="EO274" s="840"/>
      <c r="EP274" s="840"/>
      <c r="EQ274" s="840"/>
      <c r="ER274" s="840"/>
      <c r="ES274" s="840"/>
      <c r="ET274" s="840"/>
      <c r="EU274" s="840"/>
      <c r="EV274" s="840"/>
      <c r="EW274" s="840"/>
      <c r="EX274" s="840"/>
      <c r="EY274" s="840"/>
      <c r="EZ274" s="840"/>
      <c r="FA274" s="840"/>
      <c r="FB274" s="841"/>
      <c r="FC274" s="840"/>
      <c r="FD274" s="840"/>
      <c r="FE274" s="840"/>
      <c r="FF274" s="840"/>
      <c r="FG274" s="840"/>
      <c r="FH274" s="841"/>
      <c r="FI274" s="841"/>
      <c r="FJ274" s="840"/>
      <c r="FK274" s="840"/>
      <c r="FL274" s="840"/>
      <c r="FM274" s="840"/>
      <c r="FN274" s="840"/>
      <c r="FO274" s="840"/>
      <c r="FP274" s="840"/>
      <c r="FQ274" s="840"/>
      <c r="FR274" s="840"/>
      <c r="FS274" s="840"/>
      <c r="FT274" s="840"/>
      <c r="FU274" s="840"/>
      <c r="FV274" s="840"/>
      <c r="FW274" s="840"/>
      <c r="FX274" s="841"/>
      <c r="FY274" s="841"/>
      <c r="FZ274" s="840"/>
      <c r="GA274" s="840"/>
      <c r="GB274" s="841"/>
      <c r="GC274" s="841"/>
      <c r="GD274" s="841"/>
      <c r="GE274" s="840"/>
      <c r="GF274" s="840"/>
      <c r="GG274" s="841"/>
      <c r="GH274" s="841"/>
      <c r="GI274" s="840"/>
      <c r="GJ274" s="840"/>
      <c r="GK274" s="841"/>
      <c r="GL274" s="841"/>
      <c r="GM274" s="840"/>
      <c r="GN274" s="840"/>
      <c r="GO274" s="840"/>
      <c r="GP274" s="840"/>
      <c r="GQ274" s="840"/>
      <c r="GR274" s="840"/>
      <c r="GS274" s="841"/>
      <c r="GT274" s="841"/>
      <c r="GU274" s="840"/>
      <c r="GV274" s="840"/>
      <c r="GW274" s="841"/>
      <c r="GX274" s="841"/>
      <c r="GY274" s="840"/>
      <c r="GZ274" s="840"/>
      <c r="HA274" s="841"/>
      <c r="HB274" s="841"/>
      <c r="HC274" s="840"/>
      <c r="HD274" s="840"/>
      <c r="HE274" s="840"/>
      <c r="HF274" s="840"/>
      <c r="HG274" s="840"/>
      <c r="HH274" s="840"/>
      <c r="HI274" s="841"/>
      <c r="HJ274" s="841"/>
      <c r="HK274" s="840"/>
      <c r="HL274" s="840"/>
      <c r="HM274" s="841"/>
      <c r="HN274" s="841"/>
      <c r="HO274" s="840"/>
      <c r="HP274" s="840"/>
      <c r="HQ274" s="841"/>
      <c r="HR274" s="840"/>
      <c r="HS274" s="840"/>
      <c r="HT274" s="840"/>
      <c r="HU274" s="840"/>
      <c r="HV274" s="840"/>
      <c r="HW274" s="840"/>
      <c r="HX274" s="840"/>
      <c r="HY274" s="840"/>
      <c r="HZ274" s="840"/>
      <c r="IA274" s="840"/>
      <c r="IB274" s="840"/>
      <c r="IC274" s="619"/>
      <c r="ID274" s="840"/>
      <c r="IE274" s="842"/>
      <c r="IF274" s="842"/>
      <c r="IG274" s="840"/>
    </row>
    <row r="275" spans="26:246">
      <c r="AA275" s="840"/>
      <c r="AB275" s="840"/>
      <c r="AC275" s="840"/>
      <c r="AD275" s="840"/>
      <c r="AE275" s="840"/>
      <c r="AF275" s="841"/>
      <c r="AG275" s="841"/>
      <c r="AH275" s="840"/>
      <c r="AI275" s="840"/>
      <c r="AJ275" s="841"/>
      <c r="AK275" s="841"/>
      <c r="AL275" s="840"/>
      <c r="AM275" s="840"/>
      <c r="AN275" s="840"/>
      <c r="AO275" s="840"/>
      <c r="AP275" s="840"/>
      <c r="AQ275" s="840"/>
      <c r="AR275" s="841"/>
      <c r="AS275" s="841"/>
      <c r="AT275" s="840"/>
      <c r="AU275" s="840"/>
      <c r="AV275" s="841"/>
      <c r="AW275" s="841"/>
      <c r="AX275" s="841"/>
      <c r="AY275" s="840"/>
      <c r="AZ275" s="840"/>
      <c r="BA275" s="840"/>
      <c r="BB275" s="840"/>
      <c r="BC275" s="840"/>
      <c r="BD275" s="840"/>
      <c r="BE275" s="840"/>
      <c r="BF275" s="840"/>
      <c r="BG275" s="840"/>
      <c r="BH275" s="840"/>
      <c r="BI275" s="840"/>
      <c r="BJ275" s="840"/>
      <c r="BK275" s="840"/>
      <c r="BL275" s="840"/>
      <c r="BM275" s="840"/>
      <c r="BN275" s="840"/>
      <c r="BO275" s="840"/>
      <c r="BP275" s="840"/>
      <c r="BQ275" s="840"/>
      <c r="BR275" s="840"/>
      <c r="BS275" s="840"/>
      <c r="BT275" s="841"/>
      <c r="BU275" s="841"/>
      <c r="BV275" s="841"/>
      <c r="BW275" s="841"/>
      <c r="BX275" s="840"/>
      <c r="BY275" s="840"/>
      <c r="BZ275" s="840"/>
      <c r="CA275" s="840"/>
      <c r="CB275" s="840"/>
      <c r="CC275" s="840"/>
      <c r="CD275" s="840"/>
      <c r="CE275" s="840"/>
      <c r="CF275" s="840"/>
      <c r="CG275" s="840"/>
      <c r="CH275" s="840"/>
      <c r="CI275" s="840"/>
      <c r="CJ275" s="841"/>
      <c r="CK275" s="841"/>
      <c r="CL275" s="840"/>
      <c r="CM275" s="840"/>
      <c r="CN275" s="841"/>
      <c r="CO275" s="841"/>
      <c r="CP275" s="840"/>
      <c r="CQ275" s="840"/>
      <c r="CR275" s="841"/>
      <c r="CS275" s="841"/>
      <c r="CT275" s="840"/>
      <c r="CU275" s="840"/>
      <c r="CV275" s="841"/>
      <c r="CW275" s="841"/>
      <c r="CX275" s="840"/>
      <c r="CY275" s="840"/>
      <c r="CZ275" s="840"/>
      <c r="DA275" s="840"/>
      <c r="DB275" s="840"/>
      <c r="DC275" s="840"/>
      <c r="DD275" s="840"/>
      <c r="DE275" s="840"/>
      <c r="DF275" s="840"/>
      <c r="DG275" s="840"/>
      <c r="DH275" s="840"/>
      <c r="DI275" s="840"/>
      <c r="DJ275" s="840"/>
      <c r="DK275" s="840"/>
      <c r="DL275" s="841"/>
      <c r="DM275" s="841"/>
      <c r="DN275" s="840"/>
      <c r="DO275" s="840"/>
      <c r="DP275" s="840"/>
      <c r="DQ275" s="840"/>
      <c r="DR275" s="840"/>
      <c r="DS275" s="840"/>
      <c r="DT275" s="840"/>
      <c r="DU275" s="840"/>
      <c r="DV275" s="840"/>
      <c r="DW275" s="840"/>
      <c r="DX275" s="840"/>
      <c r="DY275" s="840"/>
      <c r="DZ275" s="840"/>
      <c r="EA275" s="840"/>
      <c r="EB275" s="841"/>
      <c r="EC275" s="841"/>
      <c r="ED275" s="840"/>
      <c r="EE275" s="840"/>
      <c r="EF275" s="840"/>
      <c r="EG275" s="840"/>
      <c r="EH275" s="840"/>
      <c r="EI275" s="840"/>
      <c r="EJ275" s="840"/>
      <c r="EK275" s="840"/>
      <c r="EL275" s="840"/>
      <c r="EM275" s="840"/>
      <c r="EN275" s="840"/>
      <c r="EO275" s="840"/>
      <c r="EP275" s="840"/>
      <c r="EQ275" s="840"/>
      <c r="ER275" s="840"/>
      <c r="ES275" s="840"/>
      <c r="ET275" s="840"/>
      <c r="EU275" s="840"/>
      <c r="EV275" s="840"/>
      <c r="EW275" s="840"/>
      <c r="EX275" s="840"/>
      <c r="EY275" s="840"/>
      <c r="EZ275" s="840"/>
      <c r="FA275" s="840"/>
      <c r="FB275" s="841"/>
      <c r="FC275" s="840"/>
      <c r="FD275" s="840"/>
      <c r="FE275" s="840"/>
      <c r="FF275" s="840"/>
      <c r="FG275" s="840"/>
      <c r="FH275" s="841"/>
      <c r="FI275" s="841"/>
      <c r="FJ275" s="840"/>
      <c r="FK275" s="840"/>
      <c r="FL275" s="840"/>
      <c r="FM275" s="840"/>
      <c r="FN275" s="840"/>
      <c r="FO275" s="840"/>
      <c r="FP275" s="840"/>
      <c r="FQ275" s="840"/>
      <c r="FR275" s="840"/>
      <c r="FS275" s="840"/>
      <c r="FT275" s="840"/>
      <c r="FU275" s="840"/>
      <c r="FV275" s="840"/>
      <c r="FW275" s="840"/>
      <c r="FX275" s="841"/>
      <c r="FY275" s="841"/>
      <c r="FZ275" s="840"/>
      <c r="GA275" s="840"/>
      <c r="GB275" s="841"/>
      <c r="GC275" s="841"/>
      <c r="GD275" s="841"/>
      <c r="GE275" s="840"/>
      <c r="GF275" s="840"/>
      <c r="GG275" s="841"/>
      <c r="GH275" s="841"/>
      <c r="GI275" s="840"/>
      <c r="GJ275" s="840"/>
      <c r="GK275" s="841"/>
      <c r="GL275" s="841"/>
      <c r="GM275" s="840"/>
      <c r="GN275" s="840"/>
      <c r="GO275" s="840"/>
      <c r="GP275" s="840"/>
      <c r="GQ275" s="840"/>
      <c r="GR275" s="840"/>
      <c r="GS275" s="841"/>
      <c r="GT275" s="841"/>
      <c r="GU275" s="840"/>
      <c r="GV275" s="840"/>
      <c r="GW275" s="841"/>
      <c r="GX275" s="841"/>
      <c r="GY275" s="840"/>
      <c r="GZ275" s="840"/>
      <c r="HA275" s="841"/>
      <c r="HB275" s="841"/>
      <c r="HC275" s="840"/>
      <c r="HD275" s="840"/>
      <c r="HE275" s="840"/>
      <c r="HF275" s="840"/>
      <c r="HG275" s="840"/>
      <c r="HH275" s="840"/>
      <c r="HI275" s="841"/>
      <c r="HJ275" s="841"/>
      <c r="HK275" s="840"/>
      <c r="HL275" s="840"/>
      <c r="HM275" s="841"/>
      <c r="HN275" s="841"/>
      <c r="HO275" s="840"/>
      <c r="HP275" s="840"/>
      <c r="HQ275" s="841"/>
      <c r="HR275" s="840"/>
      <c r="HS275" s="840"/>
      <c r="HT275" s="840"/>
      <c r="HU275" s="840"/>
      <c r="HV275" s="840"/>
      <c r="HW275" s="840"/>
      <c r="HX275" s="840"/>
      <c r="HY275" s="840"/>
      <c r="HZ275" s="840"/>
      <c r="IA275" s="840"/>
      <c r="IB275" s="840"/>
      <c r="IC275" s="619"/>
      <c r="ID275" s="840"/>
      <c r="IE275" s="843"/>
      <c r="IF275" s="843"/>
      <c r="IG275" s="840"/>
    </row>
    <row r="276" spans="26:246">
      <c r="AA276" s="840"/>
      <c r="AB276" s="840"/>
      <c r="AC276" s="840"/>
      <c r="AD276" s="840"/>
      <c r="AE276" s="840"/>
      <c r="AF276" s="841"/>
      <c r="AG276" s="841"/>
      <c r="AH276" s="840"/>
      <c r="AI276" s="840"/>
      <c r="AJ276" s="841"/>
      <c r="AK276" s="841"/>
      <c r="AL276" s="840"/>
      <c r="AM276" s="840"/>
      <c r="AN276" s="840"/>
      <c r="AO276" s="840"/>
      <c r="AP276" s="840"/>
      <c r="AQ276" s="840"/>
      <c r="AR276" s="841"/>
      <c r="AS276" s="841"/>
      <c r="AT276" s="840"/>
      <c r="AU276" s="840"/>
      <c r="AV276" s="841"/>
      <c r="AW276" s="841"/>
      <c r="AX276" s="841"/>
      <c r="AY276" s="840"/>
      <c r="AZ276" s="840"/>
      <c r="BA276" s="840"/>
      <c r="BB276" s="840"/>
      <c r="BC276" s="840"/>
      <c r="BD276" s="840"/>
      <c r="BE276" s="840"/>
      <c r="BF276" s="840"/>
      <c r="BG276" s="840"/>
      <c r="BH276" s="840"/>
      <c r="BI276" s="840"/>
      <c r="BJ276" s="840"/>
      <c r="BK276" s="840"/>
      <c r="BL276" s="840"/>
      <c r="BM276" s="840"/>
      <c r="BN276" s="840"/>
      <c r="BO276" s="840"/>
      <c r="BP276" s="840"/>
      <c r="BQ276" s="840"/>
      <c r="BR276" s="840"/>
      <c r="BS276" s="840"/>
      <c r="BT276" s="841"/>
      <c r="BU276" s="841"/>
      <c r="BV276" s="841"/>
      <c r="BW276" s="841"/>
      <c r="BX276" s="840"/>
      <c r="BY276" s="840"/>
      <c r="BZ276" s="840"/>
      <c r="CA276" s="840"/>
      <c r="CB276" s="840"/>
      <c r="CC276" s="840"/>
      <c r="CD276" s="840"/>
      <c r="CE276" s="840"/>
      <c r="CF276" s="840"/>
      <c r="CG276" s="840"/>
      <c r="CH276" s="840"/>
      <c r="CI276" s="840"/>
      <c r="CJ276" s="841"/>
      <c r="CK276" s="841"/>
      <c r="CL276" s="840"/>
      <c r="CM276" s="840"/>
      <c r="CN276" s="841"/>
      <c r="CO276" s="841"/>
      <c r="CP276" s="840"/>
      <c r="CQ276" s="840"/>
      <c r="CR276" s="841"/>
      <c r="CS276" s="841"/>
      <c r="CT276" s="840"/>
      <c r="CU276" s="840"/>
      <c r="CV276" s="841"/>
      <c r="CW276" s="841"/>
      <c r="CX276" s="840"/>
      <c r="CY276" s="840"/>
      <c r="CZ276" s="840"/>
      <c r="DA276" s="840"/>
      <c r="DB276" s="840"/>
      <c r="DC276" s="840"/>
      <c r="DD276" s="840"/>
      <c r="DE276" s="840"/>
      <c r="DF276" s="840"/>
      <c r="DG276" s="840"/>
      <c r="DH276" s="840"/>
      <c r="DI276" s="840"/>
      <c r="DJ276" s="840"/>
      <c r="DK276" s="840"/>
      <c r="DL276" s="841"/>
      <c r="DM276" s="841"/>
      <c r="DN276" s="840"/>
      <c r="DO276" s="840"/>
      <c r="DP276" s="840"/>
      <c r="DQ276" s="840"/>
      <c r="DR276" s="840"/>
      <c r="DS276" s="840"/>
      <c r="DT276" s="840"/>
      <c r="DU276" s="840"/>
      <c r="DV276" s="840"/>
      <c r="DW276" s="840"/>
      <c r="DX276" s="840"/>
      <c r="DY276" s="840"/>
      <c r="DZ276" s="840"/>
      <c r="EA276" s="840"/>
      <c r="EB276" s="841"/>
      <c r="EC276" s="841"/>
      <c r="ED276" s="840"/>
      <c r="EE276" s="840"/>
      <c r="EF276" s="840"/>
      <c r="EG276" s="840"/>
      <c r="EH276" s="840"/>
      <c r="EI276" s="840"/>
      <c r="EJ276" s="840"/>
      <c r="EK276" s="840"/>
      <c r="EL276" s="840"/>
      <c r="EM276" s="840"/>
      <c r="EN276" s="840"/>
      <c r="EO276" s="840"/>
      <c r="EP276" s="840"/>
      <c r="EQ276" s="840"/>
      <c r="ER276" s="840"/>
      <c r="ES276" s="840"/>
      <c r="ET276" s="840"/>
      <c r="EU276" s="840"/>
      <c r="EV276" s="840"/>
      <c r="EW276" s="840"/>
      <c r="EX276" s="840"/>
      <c r="EY276" s="840"/>
      <c r="EZ276" s="840"/>
      <c r="FA276" s="840"/>
      <c r="FB276" s="841"/>
      <c r="FC276" s="840"/>
      <c r="FD276" s="840"/>
      <c r="FE276" s="840"/>
      <c r="FF276" s="840"/>
      <c r="FG276" s="840"/>
      <c r="FH276" s="841"/>
      <c r="FI276" s="841"/>
      <c r="FJ276" s="840"/>
      <c r="FK276" s="840"/>
      <c r="FL276" s="840"/>
      <c r="FM276" s="840"/>
      <c r="FN276" s="840"/>
      <c r="FO276" s="840"/>
      <c r="FP276" s="840"/>
      <c r="FQ276" s="840"/>
      <c r="FR276" s="840"/>
      <c r="FS276" s="840"/>
      <c r="FT276" s="840"/>
      <c r="FU276" s="840"/>
      <c r="FV276" s="840"/>
      <c r="FW276" s="840"/>
      <c r="FX276" s="841"/>
      <c r="FY276" s="841"/>
      <c r="FZ276" s="840"/>
      <c r="GA276" s="840"/>
      <c r="GB276" s="841"/>
      <c r="GC276" s="841"/>
      <c r="GD276" s="841"/>
      <c r="GE276" s="840"/>
      <c r="GF276" s="840"/>
      <c r="GG276" s="841"/>
      <c r="GH276" s="841"/>
      <c r="GI276" s="840"/>
      <c r="GJ276" s="840"/>
      <c r="GK276" s="841"/>
      <c r="GL276" s="841"/>
      <c r="GM276" s="840"/>
      <c r="GN276" s="840"/>
      <c r="GO276" s="840"/>
      <c r="GP276" s="840"/>
      <c r="GQ276" s="840"/>
      <c r="GR276" s="840"/>
      <c r="GS276" s="841"/>
      <c r="GT276" s="841"/>
      <c r="GU276" s="840"/>
      <c r="GV276" s="840"/>
      <c r="GW276" s="841"/>
      <c r="GX276" s="841"/>
      <c r="GY276" s="840"/>
      <c r="GZ276" s="840"/>
      <c r="HA276" s="841"/>
      <c r="HB276" s="841"/>
      <c r="HC276" s="840"/>
      <c r="HD276" s="840"/>
      <c r="HE276" s="840"/>
      <c r="HF276" s="840"/>
      <c r="HG276" s="840"/>
      <c r="HH276" s="840"/>
      <c r="HI276" s="841"/>
      <c r="HJ276" s="841"/>
      <c r="HK276" s="840"/>
      <c r="HL276" s="840"/>
      <c r="HM276" s="841"/>
      <c r="HN276" s="841"/>
      <c r="HO276" s="840"/>
      <c r="HP276" s="840"/>
      <c r="HQ276" s="841"/>
      <c r="HR276" s="840"/>
      <c r="HS276" s="840"/>
      <c r="HT276" s="840"/>
      <c r="HU276" s="840"/>
      <c r="HV276" s="840"/>
      <c r="HW276" s="840"/>
      <c r="HX276" s="840"/>
      <c r="HY276" s="840"/>
      <c r="HZ276" s="840"/>
      <c r="IA276" s="840"/>
      <c r="IB276" s="840"/>
      <c r="IC276" s="619"/>
      <c r="ID276" s="840"/>
      <c r="IE276" s="843"/>
      <c r="IF276" s="843"/>
      <c r="IG276" s="840"/>
    </row>
    <row r="277" spans="26:246">
      <c r="AA277" s="840"/>
      <c r="AB277" s="840"/>
      <c r="AC277" s="840"/>
      <c r="AD277" s="840"/>
      <c r="AE277" s="840"/>
      <c r="AF277" s="841"/>
      <c r="AG277" s="841"/>
      <c r="AH277" s="840"/>
      <c r="AI277" s="840"/>
      <c r="AJ277" s="841"/>
      <c r="AK277" s="841"/>
      <c r="AL277" s="840"/>
      <c r="AM277" s="840"/>
      <c r="AN277" s="840"/>
      <c r="AO277" s="840"/>
      <c r="AP277" s="840"/>
      <c r="AQ277" s="840"/>
      <c r="AR277" s="841"/>
      <c r="AS277" s="841"/>
      <c r="AT277" s="840"/>
      <c r="AU277" s="840"/>
      <c r="AV277" s="841"/>
      <c r="AW277" s="841"/>
      <c r="AX277" s="841"/>
      <c r="AY277" s="840"/>
      <c r="AZ277" s="840"/>
      <c r="BA277" s="840"/>
      <c r="BB277" s="840"/>
      <c r="BC277" s="840"/>
      <c r="BD277" s="840"/>
      <c r="BE277" s="840"/>
      <c r="BF277" s="840"/>
      <c r="BG277" s="840"/>
      <c r="BH277" s="840"/>
      <c r="BI277" s="840"/>
      <c r="BJ277" s="840"/>
      <c r="BK277" s="840"/>
      <c r="BL277" s="840"/>
      <c r="BM277" s="840"/>
      <c r="BN277" s="840"/>
      <c r="BO277" s="840"/>
      <c r="BP277" s="840"/>
      <c r="BQ277" s="840"/>
      <c r="BR277" s="840"/>
      <c r="BS277" s="840"/>
      <c r="BT277" s="841"/>
      <c r="BU277" s="841"/>
      <c r="BV277" s="841"/>
      <c r="BW277" s="841"/>
      <c r="BX277" s="840"/>
      <c r="BY277" s="840"/>
      <c r="BZ277" s="840"/>
      <c r="CA277" s="840"/>
      <c r="CB277" s="840"/>
      <c r="CC277" s="840"/>
      <c r="CD277" s="840"/>
      <c r="CE277" s="840"/>
      <c r="CF277" s="840"/>
      <c r="CG277" s="840"/>
      <c r="CH277" s="840"/>
      <c r="CI277" s="840"/>
      <c r="CJ277" s="841"/>
      <c r="CK277" s="841"/>
      <c r="CL277" s="840"/>
      <c r="CM277" s="840"/>
      <c r="CN277" s="841"/>
      <c r="CO277" s="841"/>
      <c r="CP277" s="840"/>
      <c r="CQ277" s="840"/>
      <c r="CR277" s="841"/>
      <c r="CS277" s="841"/>
      <c r="CT277" s="840"/>
      <c r="CU277" s="840"/>
      <c r="CV277" s="841"/>
      <c r="CW277" s="841"/>
      <c r="CX277" s="840"/>
      <c r="CY277" s="840"/>
      <c r="CZ277" s="840"/>
      <c r="DA277" s="840"/>
      <c r="DB277" s="840"/>
      <c r="DC277" s="840"/>
      <c r="DD277" s="840"/>
      <c r="DE277" s="840"/>
      <c r="DF277" s="840"/>
      <c r="DG277" s="840"/>
      <c r="DH277" s="840"/>
      <c r="DI277" s="840"/>
      <c r="DJ277" s="840"/>
      <c r="DK277" s="840"/>
      <c r="DL277" s="841"/>
      <c r="DM277" s="841"/>
      <c r="DN277" s="840"/>
      <c r="DO277" s="840"/>
      <c r="DP277" s="840"/>
      <c r="DQ277" s="840"/>
      <c r="DR277" s="840"/>
      <c r="DS277" s="840"/>
      <c r="DT277" s="840"/>
      <c r="DU277" s="840"/>
      <c r="DV277" s="840"/>
      <c r="DW277" s="840"/>
      <c r="DX277" s="840"/>
      <c r="DY277" s="840"/>
      <c r="DZ277" s="840"/>
      <c r="EA277" s="840"/>
      <c r="EB277" s="841"/>
      <c r="EC277" s="841"/>
      <c r="ED277" s="840"/>
      <c r="EE277" s="840"/>
      <c r="EF277" s="840"/>
      <c r="EG277" s="840"/>
      <c r="EH277" s="840"/>
      <c r="EI277" s="840"/>
      <c r="EJ277" s="840"/>
      <c r="EK277" s="840"/>
      <c r="EL277" s="840"/>
      <c r="EM277" s="840"/>
      <c r="EN277" s="840"/>
      <c r="EO277" s="840"/>
      <c r="EP277" s="840"/>
      <c r="EQ277" s="840"/>
      <c r="ER277" s="840"/>
      <c r="ES277" s="840"/>
      <c r="ET277" s="840"/>
      <c r="EU277" s="840"/>
      <c r="EV277" s="840"/>
      <c r="EW277" s="840"/>
      <c r="EX277" s="840"/>
      <c r="EY277" s="840"/>
      <c r="EZ277" s="840"/>
      <c r="FA277" s="840"/>
      <c r="FB277" s="841"/>
      <c r="FC277" s="840"/>
      <c r="FD277" s="840"/>
      <c r="FE277" s="840"/>
      <c r="FF277" s="840"/>
      <c r="FG277" s="840"/>
      <c r="FH277" s="609"/>
      <c r="FI277" s="841"/>
      <c r="FJ277" s="840"/>
      <c r="FK277" s="840"/>
      <c r="FL277" s="840"/>
      <c r="FM277" s="840"/>
      <c r="FN277" s="840"/>
      <c r="FO277" s="840"/>
      <c r="FP277" s="840"/>
      <c r="FQ277" s="840"/>
      <c r="FR277" s="840"/>
      <c r="FS277" s="840"/>
      <c r="FT277" s="840"/>
      <c r="FU277" s="840"/>
      <c r="FV277" s="840"/>
      <c r="FW277" s="840"/>
      <c r="FX277" s="841"/>
      <c r="FY277" s="841"/>
      <c r="FZ277" s="840"/>
      <c r="GA277" s="840"/>
      <c r="GB277" s="841"/>
      <c r="GC277" s="841"/>
      <c r="GD277" s="841"/>
      <c r="GE277" s="840"/>
      <c r="GF277" s="840"/>
      <c r="GG277" s="841"/>
      <c r="GH277" s="841"/>
      <c r="GI277" s="840"/>
      <c r="GJ277" s="840"/>
      <c r="GK277" s="841"/>
      <c r="GL277" s="841"/>
      <c r="GM277" s="840"/>
      <c r="GN277" s="840"/>
      <c r="GO277" s="840"/>
      <c r="GP277" s="840"/>
      <c r="GQ277" s="840"/>
      <c r="GR277" s="840"/>
      <c r="GS277" s="841"/>
      <c r="GT277" s="841"/>
      <c r="GU277" s="840"/>
      <c r="GV277" s="840"/>
      <c r="GW277" s="841"/>
      <c r="GX277" s="841"/>
      <c r="GY277" s="840"/>
      <c r="GZ277" s="840"/>
      <c r="HA277" s="841"/>
      <c r="HB277" s="841"/>
      <c r="HC277" s="840"/>
      <c r="HD277" s="840"/>
      <c r="HE277" s="840"/>
      <c r="HF277" s="840"/>
      <c r="HG277" s="840"/>
      <c r="HH277" s="840"/>
      <c r="HI277" s="841"/>
      <c r="HJ277" s="841"/>
      <c r="HK277" s="840"/>
      <c r="HL277" s="840"/>
      <c r="HM277" s="841"/>
      <c r="HN277" s="841"/>
      <c r="HO277" s="840"/>
      <c r="HP277" s="840"/>
      <c r="HQ277" s="841"/>
      <c r="HR277" s="840"/>
      <c r="HS277" s="840"/>
      <c r="HT277" s="840"/>
      <c r="HU277" s="840"/>
      <c r="HV277" s="840"/>
      <c r="HW277" s="840"/>
      <c r="HX277" s="840"/>
      <c r="HY277" s="840"/>
      <c r="HZ277" s="840"/>
      <c r="IA277" s="840"/>
      <c r="IB277" s="840"/>
      <c r="IC277" s="619"/>
      <c r="ID277" s="840"/>
      <c r="IE277" s="843"/>
      <c r="IF277" s="843"/>
      <c r="IG277" s="840"/>
    </row>
    <row r="278" spans="26:246">
      <c r="AA278" s="840"/>
      <c r="AB278" s="840"/>
      <c r="AC278" s="840"/>
      <c r="AD278" s="840"/>
      <c r="AE278" s="840"/>
      <c r="AF278" s="841"/>
      <c r="AG278" s="841"/>
      <c r="AH278" s="840"/>
      <c r="AI278" s="840"/>
      <c r="AJ278" s="841"/>
      <c r="AK278" s="841"/>
      <c r="AL278" s="840"/>
      <c r="AM278" s="840"/>
      <c r="AN278" s="840"/>
      <c r="AO278" s="840"/>
      <c r="AP278" s="840"/>
      <c r="AQ278" s="840"/>
      <c r="AR278" s="841"/>
      <c r="AS278" s="841"/>
      <c r="AT278" s="840"/>
      <c r="AU278" s="840"/>
      <c r="AV278" s="841"/>
      <c r="AW278" s="841"/>
      <c r="AX278" s="841"/>
      <c r="AY278" s="840"/>
      <c r="AZ278" s="840"/>
      <c r="BA278" s="840"/>
      <c r="BB278" s="840"/>
      <c r="BC278" s="840"/>
      <c r="BD278" s="840"/>
      <c r="BE278" s="840"/>
      <c r="BF278" s="840"/>
      <c r="BG278" s="840"/>
      <c r="BH278" s="840"/>
      <c r="BI278" s="840"/>
      <c r="BJ278" s="840"/>
      <c r="BK278" s="840"/>
      <c r="BL278" s="840"/>
      <c r="BM278" s="840"/>
      <c r="BN278" s="840"/>
      <c r="BO278" s="840"/>
      <c r="BP278" s="840"/>
      <c r="BQ278" s="840"/>
      <c r="BR278" s="840"/>
      <c r="BS278" s="840"/>
      <c r="BT278" s="841"/>
      <c r="BU278" s="841"/>
      <c r="BV278" s="841"/>
      <c r="BW278" s="841"/>
      <c r="BX278" s="840"/>
      <c r="BY278" s="840"/>
      <c r="BZ278" s="840"/>
      <c r="CA278" s="840"/>
      <c r="CB278" s="840"/>
      <c r="CC278" s="840"/>
      <c r="CD278" s="840"/>
      <c r="CE278" s="840"/>
      <c r="CF278" s="840"/>
      <c r="CG278" s="840"/>
      <c r="CH278" s="840"/>
      <c r="CI278" s="840"/>
      <c r="CJ278" s="841"/>
      <c r="CK278" s="841"/>
      <c r="CL278" s="840"/>
      <c r="CM278" s="840"/>
      <c r="CN278" s="841"/>
      <c r="CO278" s="841"/>
      <c r="CP278" s="840"/>
      <c r="CQ278" s="840"/>
      <c r="CR278" s="841"/>
      <c r="CS278" s="841"/>
      <c r="CT278" s="840"/>
      <c r="CU278" s="840"/>
      <c r="CV278" s="841"/>
      <c r="CW278" s="841"/>
      <c r="CX278" s="840"/>
      <c r="CY278" s="840"/>
      <c r="CZ278" s="840"/>
      <c r="DA278" s="840"/>
      <c r="DB278" s="840"/>
      <c r="DC278" s="840"/>
      <c r="DD278" s="840"/>
      <c r="DE278" s="840"/>
      <c r="DF278" s="840"/>
      <c r="DG278" s="840"/>
      <c r="DH278" s="840"/>
      <c r="DI278" s="840"/>
      <c r="DJ278" s="840"/>
      <c r="DK278" s="840"/>
      <c r="DL278" s="841"/>
      <c r="DM278" s="841"/>
      <c r="DN278" s="840"/>
      <c r="DO278" s="840"/>
      <c r="DP278" s="840"/>
      <c r="DQ278" s="840"/>
      <c r="DR278" s="840"/>
      <c r="DS278" s="840"/>
      <c r="DT278" s="840"/>
      <c r="DU278" s="840"/>
      <c r="DV278" s="840"/>
      <c r="DW278" s="840"/>
      <c r="DX278" s="840"/>
      <c r="DY278" s="840"/>
      <c r="DZ278" s="840"/>
      <c r="EA278" s="840"/>
      <c r="EB278" s="841"/>
      <c r="EC278" s="841"/>
      <c r="ED278" s="840"/>
      <c r="EE278" s="840"/>
      <c r="EF278" s="840"/>
      <c r="EG278" s="840"/>
      <c r="EH278" s="840"/>
      <c r="EI278" s="840"/>
      <c r="EJ278" s="840"/>
      <c r="EK278" s="840"/>
      <c r="EL278" s="840"/>
      <c r="EM278" s="840"/>
      <c r="EN278" s="840"/>
      <c r="EO278" s="840"/>
      <c r="EP278" s="840"/>
      <c r="EQ278" s="840"/>
      <c r="ER278" s="840"/>
      <c r="ES278" s="840"/>
      <c r="ET278" s="840"/>
      <c r="EU278" s="840"/>
      <c r="EV278" s="840"/>
      <c r="EW278" s="840"/>
      <c r="EX278" s="840"/>
      <c r="EY278" s="840"/>
      <c r="EZ278" s="840"/>
      <c r="FA278" s="840"/>
      <c r="FB278" s="841"/>
      <c r="FC278" s="840"/>
      <c r="FD278" s="840"/>
      <c r="FE278" s="840"/>
      <c r="FF278" s="840"/>
      <c r="FG278" s="840"/>
      <c r="FH278" s="841"/>
      <c r="FI278" s="841"/>
      <c r="FJ278" s="840"/>
      <c r="FK278" s="840"/>
      <c r="FL278" s="840"/>
      <c r="FM278" s="840"/>
      <c r="FN278" s="840"/>
      <c r="FO278" s="840"/>
      <c r="FP278" s="840"/>
      <c r="FQ278" s="840"/>
      <c r="FR278" s="840"/>
      <c r="FS278" s="840"/>
      <c r="FT278" s="840"/>
      <c r="FU278" s="840"/>
      <c r="FV278" s="840"/>
      <c r="FW278" s="840"/>
      <c r="FX278" s="841"/>
      <c r="FY278" s="841"/>
      <c r="FZ278" s="840"/>
      <c r="GA278" s="840"/>
      <c r="GB278" s="841"/>
      <c r="GC278" s="841"/>
      <c r="GD278" s="841"/>
      <c r="GE278" s="840"/>
      <c r="GF278" s="840"/>
      <c r="GG278" s="841"/>
      <c r="GH278" s="841"/>
      <c r="GI278" s="840"/>
      <c r="GJ278" s="840"/>
      <c r="GK278" s="841"/>
      <c r="GL278" s="841"/>
      <c r="GM278" s="840"/>
      <c r="GN278" s="840"/>
      <c r="GO278" s="840"/>
      <c r="GP278" s="840"/>
      <c r="GQ278" s="840"/>
      <c r="GR278" s="840"/>
      <c r="GS278" s="841"/>
      <c r="GT278" s="841"/>
      <c r="GU278" s="840"/>
      <c r="GV278" s="840"/>
      <c r="GW278" s="841"/>
      <c r="GX278" s="841"/>
      <c r="GY278" s="840"/>
      <c r="GZ278" s="840"/>
      <c r="HA278" s="841"/>
      <c r="HB278" s="841"/>
      <c r="HC278" s="840"/>
      <c r="HD278" s="840"/>
      <c r="HE278" s="840"/>
      <c r="HF278" s="840"/>
      <c r="HG278" s="840"/>
      <c r="HH278" s="840"/>
      <c r="HI278" s="841"/>
      <c r="HJ278" s="841"/>
      <c r="HK278" s="840"/>
      <c r="HL278" s="840"/>
      <c r="HM278" s="841"/>
      <c r="HN278" s="841"/>
      <c r="HO278" s="840"/>
      <c r="HP278" s="840"/>
      <c r="HQ278" s="841"/>
      <c r="HR278" s="840"/>
      <c r="HS278" s="840"/>
      <c r="HT278" s="840"/>
      <c r="HU278" s="840"/>
      <c r="HV278" s="840"/>
      <c r="HW278" s="840"/>
      <c r="HX278" s="840"/>
      <c r="HY278" s="840"/>
      <c r="HZ278" s="840"/>
      <c r="IA278" s="840"/>
      <c r="IB278" s="840"/>
      <c r="IC278" s="619"/>
      <c r="ID278" s="840"/>
      <c r="IE278" s="843"/>
      <c r="IF278" s="843"/>
      <c r="IG278" s="840"/>
    </row>
    <row r="279" spans="26:246">
      <c r="AA279" s="840"/>
      <c r="AB279" s="840"/>
      <c r="AC279" s="840"/>
      <c r="AD279" s="840"/>
      <c r="AE279" s="840"/>
      <c r="AF279" s="841"/>
      <c r="AG279" s="841"/>
      <c r="AH279" s="840"/>
      <c r="AI279" s="840"/>
      <c r="AJ279" s="841"/>
      <c r="AK279" s="841"/>
      <c r="AL279" s="840"/>
      <c r="AM279" s="840"/>
      <c r="AN279" s="840"/>
      <c r="AO279" s="840"/>
      <c r="AP279" s="840"/>
      <c r="AQ279" s="840"/>
      <c r="AR279" s="841"/>
      <c r="AS279" s="841"/>
      <c r="AT279" s="840"/>
      <c r="AU279" s="840"/>
      <c r="AV279" s="841"/>
      <c r="AW279" s="841"/>
      <c r="AX279" s="841"/>
      <c r="AY279" s="840"/>
      <c r="AZ279" s="840"/>
      <c r="BA279" s="840"/>
      <c r="BB279" s="840"/>
      <c r="BC279" s="840"/>
      <c r="BD279" s="840"/>
      <c r="BE279" s="840"/>
      <c r="BF279" s="840"/>
      <c r="BG279" s="840"/>
      <c r="BH279" s="840"/>
      <c r="BI279" s="840"/>
      <c r="BJ279" s="840"/>
      <c r="BK279" s="840"/>
      <c r="BL279" s="840"/>
      <c r="BM279" s="840"/>
      <c r="BN279" s="840"/>
      <c r="BO279" s="840"/>
      <c r="BP279" s="840"/>
      <c r="BQ279" s="840"/>
      <c r="BR279" s="840"/>
      <c r="BS279" s="840"/>
      <c r="BT279" s="841"/>
      <c r="BU279" s="841"/>
      <c r="BV279" s="841"/>
      <c r="BW279" s="841"/>
      <c r="BX279" s="840"/>
      <c r="BY279" s="840"/>
      <c r="BZ279" s="840"/>
      <c r="CA279" s="840"/>
      <c r="CB279" s="840"/>
      <c r="CC279" s="840"/>
      <c r="CD279" s="840"/>
      <c r="CE279" s="840"/>
      <c r="CF279" s="840"/>
      <c r="CG279" s="840"/>
      <c r="CH279" s="840"/>
      <c r="CI279" s="840"/>
      <c r="CJ279" s="841"/>
      <c r="CK279" s="841"/>
      <c r="CL279" s="840"/>
      <c r="CM279" s="840"/>
      <c r="CN279" s="841"/>
      <c r="CO279" s="841"/>
      <c r="CP279" s="840"/>
      <c r="CQ279" s="840"/>
      <c r="CR279" s="841"/>
      <c r="CS279" s="841"/>
      <c r="CT279" s="840"/>
      <c r="CU279" s="840"/>
      <c r="CV279" s="841"/>
      <c r="CW279" s="841"/>
      <c r="CX279" s="840"/>
      <c r="CY279" s="840"/>
      <c r="CZ279" s="840"/>
      <c r="DA279" s="840"/>
      <c r="DB279" s="840"/>
      <c r="DC279" s="840"/>
      <c r="DD279" s="840"/>
      <c r="DE279" s="840"/>
      <c r="DF279" s="840"/>
      <c r="DG279" s="840"/>
      <c r="DH279" s="840"/>
      <c r="DI279" s="840"/>
      <c r="DJ279" s="840"/>
      <c r="DK279" s="840"/>
      <c r="DL279" s="841"/>
      <c r="DM279" s="841"/>
      <c r="DN279" s="840"/>
      <c r="DO279" s="840"/>
      <c r="DP279" s="840"/>
      <c r="DQ279" s="840"/>
      <c r="DR279" s="840"/>
      <c r="DS279" s="840"/>
      <c r="DT279" s="840"/>
      <c r="DU279" s="840"/>
      <c r="DV279" s="840"/>
      <c r="DW279" s="840"/>
      <c r="DX279" s="840"/>
      <c r="DY279" s="840"/>
      <c r="DZ279" s="840"/>
      <c r="EA279" s="840"/>
      <c r="EB279" s="841"/>
      <c r="EC279" s="841"/>
      <c r="ED279" s="840"/>
      <c r="EE279" s="840"/>
      <c r="EF279" s="840"/>
      <c r="EG279" s="840"/>
      <c r="EH279" s="840"/>
      <c r="EI279" s="840"/>
      <c r="EJ279" s="840"/>
      <c r="EK279" s="840"/>
      <c r="EL279" s="840"/>
      <c r="EM279" s="840"/>
      <c r="EN279" s="840"/>
      <c r="EO279" s="840"/>
      <c r="EP279" s="840"/>
      <c r="EQ279" s="840"/>
      <c r="ER279" s="840"/>
      <c r="ES279" s="840"/>
      <c r="ET279" s="840"/>
      <c r="EU279" s="840"/>
      <c r="EV279" s="840"/>
      <c r="EW279" s="840"/>
      <c r="EX279" s="840"/>
      <c r="EY279" s="840"/>
      <c r="EZ279" s="840"/>
      <c r="FA279" s="840"/>
      <c r="FB279" s="841"/>
      <c r="FC279" s="840"/>
      <c r="FD279" s="840"/>
      <c r="FE279" s="840"/>
      <c r="FF279" s="840"/>
      <c r="FG279" s="840"/>
      <c r="FH279" s="841"/>
      <c r="FI279" s="841"/>
      <c r="FJ279" s="840"/>
      <c r="FK279" s="840"/>
      <c r="FL279" s="840"/>
      <c r="FM279" s="840"/>
      <c r="FN279" s="840"/>
      <c r="FO279" s="840"/>
      <c r="FP279" s="840"/>
      <c r="FQ279" s="840"/>
      <c r="FR279" s="840"/>
      <c r="FS279" s="840"/>
      <c r="FT279" s="840"/>
      <c r="FU279" s="840"/>
      <c r="FV279" s="840"/>
      <c r="FW279" s="840"/>
      <c r="FX279" s="841"/>
      <c r="FY279" s="841"/>
      <c r="FZ279" s="840"/>
      <c r="GA279" s="840"/>
      <c r="GB279" s="841"/>
      <c r="GC279" s="841"/>
      <c r="GD279" s="841"/>
      <c r="GE279" s="840"/>
      <c r="GF279" s="840"/>
      <c r="GG279" s="841"/>
      <c r="GH279" s="841"/>
      <c r="GI279" s="840"/>
      <c r="GJ279" s="840"/>
      <c r="GK279" s="841"/>
      <c r="GL279" s="841"/>
      <c r="GM279" s="840"/>
      <c r="GN279" s="840"/>
      <c r="GO279" s="840"/>
      <c r="GP279" s="840"/>
      <c r="GQ279" s="840"/>
      <c r="GR279" s="840"/>
      <c r="GS279" s="841"/>
      <c r="GT279" s="841"/>
      <c r="GU279" s="840"/>
      <c r="GV279" s="840"/>
      <c r="GW279" s="841"/>
      <c r="GX279" s="841"/>
      <c r="GY279" s="840"/>
      <c r="GZ279" s="840"/>
      <c r="HA279" s="841"/>
      <c r="HB279" s="841"/>
      <c r="HC279" s="840"/>
      <c r="HD279" s="840"/>
      <c r="HE279" s="840"/>
      <c r="HF279" s="840"/>
      <c r="HG279" s="840"/>
      <c r="HH279" s="840"/>
      <c r="HI279" s="841"/>
      <c r="HJ279" s="841"/>
      <c r="HK279" s="840"/>
      <c r="HL279" s="840"/>
      <c r="HM279" s="841"/>
      <c r="HN279" s="841"/>
      <c r="HO279" s="840"/>
      <c r="HP279" s="840"/>
      <c r="HQ279" s="841"/>
      <c r="HR279" s="840"/>
      <c r="HS279" s="840"/>
      <c r="HT279" s="840"/>
      <c r="HU279" s="840"/>
      <c r="HV279" s="840"/>
      <c r="HW279" s="840"/>
      <c r="HX279" s="840"/>
      <c r="HY279" s="840"/>
      <c r="HZ279" s="840"/>
      <c r="IA279" s="840"/>
      <c r="IB279" s="840"/>
      <c r="IC279" s="619"/>
      <c r="ID279" s="840"/>
      <c r="IE279" s="843"/>
      <c r="IF279" s="843"/>
      <c r="IG279" s="840"/>
    </row>
    <row r="280" spans="26:246">
      <c r="AA280" s="840"/>
      <c r="AB280" s="840"/>
      <c r="AC280" s="840"/>
      <c r="AD280" s="840"/>
      <c r="AE280" s="840"/>
      <c r="AF280" s="841"/>
      <c r="AG280" s="841"/>
      <c r="AH280" s="840"/>
      <c r="AI280" s="840"/>
      <c r="AJ280" s="841"/>
      <c r="AK280" s="841"/>
      <c r="AL280" s="840"/>
      <c r="AM280" s="840"/>
      <c r="AN280" s="840"/>
      <c r="AO280" s="840"/>
      <c r="AP280" s="840"/>
      <c r="AQ280" s="840"/>
      <c r="AR280" s="841"/>
      <c r="AS280" s="841"/>
      <c r="AT280" s="840"/>
      <c r="AU280" s="840"/>
      <c r="AV280" s="841"/>
      <c r="AW280" s="841"/>
      <c r="AX280" s="841"/>
      <c r="AY280" s="840"/>
      <c r="AZ280" s="840"/>
      <c r="BA280" s="840"/>
      <c r="BB280" s="840"/>
      <c r="BC280" s="840"/>
      <c r="BD280" s="840"/>
      <c r="BE280" s="840"/>
      <c r="BF280" s="840"/>
      <c r="BG280" s="840"/>
      <c r="BH280" s="840"/>
      <c r="BI280" s="840"/>
      <c r="BJ280" s="840"/>
      <c r="BK280" s="840"/>
      <c r="BL280" s="840"/>
      <c r="BM280" s="840"/>
      <c r="BN280" s="840"/>
      <c r="BO280" s="840"/>
      <c r="BP280" s="840"/>
      <c r="BQ280" s="840"/>
      <c r="BR280" s="840"/>
      <c r="BS280" s="840"/>
      <c r="BT280" s="841"/>
      <c r="BU280" s="841"/>
      <c r="BV280" s="841"/>
      <c r="BW280" s="841"/>
      <c r="BX280" s="840"/>
      <c r="BY280" s="840"/>
      <c r="BZ280" s="840"/>
      <c r="CA280" s="840"/>
      <c r="CB280" s="840"/>
      <c r="CC280" s="840"/>
      <c r="CD280" s="840"/>
      <c r="CE280" s="840"/>
      <c r="CF280" s="840"/>
      <c r="CG280" s="840"/>
      <c r="CH280" s="840"/>
      <c r="CI280" s="840"/>
      <c r="CJ280" s="841"/>
      <c r="CK280" s="841"/>
      <c r="CL280" s="840"/>
      <c r="CM280" s="840"/>
      <c r="CN280" s="841"/>
      <c r="CO280" s="841"/>
      <c r="CP280" s="840"/>
      <c r="CQ280" s="840"/>
      <c r="CR280" s="841"/>
      <c r="CS280" s="841"/>
      <c r="CT280" s="840"/>
      <c r="CU280" s="840"/>
      <c r="CV280" s="841"/>
      <c r="CW280" s="841"/>
      <c r="CX280" s="840"/>
      <c r="CY280" s="840"/>
      <c r="CZ280" s="840"/>
      <c r="DA280" s="840"/>
      <c r="DB280" s="840"/>
      <c r="DC280" s="840"/>
      <c r="DD280" s="840"/>
      <c r="DE280" s="840"/>
      <c r="DF280" s="840"/>
      <c r="DG280" s="840"/>
      <c r="DH280" s="840"/>
      <c r="DI280" s="840"/>
      <c r="DJ280" s="840"/>
      <c r="DK280" s="840"/>
      <c r="DL280" s="841"/>
      <c r="DM280" s="841"/>
      <c r="DN280" s="840"/>
      <c r="DO280" s="840"/>
      <c r="DP280" s="840"/>
      <c r="DQ280" s="840"/>
      <c r="DR280" s="840"/>
      <c r="DS280" s="840"/>
      <c r="DT280" s="840"/>
      <c r="DU280" s="840"/>
      <c r="DV280" s="840"/>
      <c r="DW280" s="840"/>
      <c r="DX280" s="840"/>
      <c r="DY280" s="840"/>
      <c r="DZ280" s="840"/>
      <c r="EA280" s="840"/>
      <c r="EB280" s="841"/>
      <c r="EC280" s="841"/>
      <c r="ED280" s="840"/>
      <c r="EE280" s="840"/>
      <c r="EF280" s="840"/>
      <c r="EG280" s="840"/>
      <c r="EH280" s="840"/>
      <c r="EI280" s="840"/>
      <c r="EJ280" s="840"/>
      <c r="EK280" s="840"/>
      <c r="EL280" s="840"/>
      <c r="EM280" s="840"/>
      <c r="EN280" s="840"/>
      <c r="EO280" s="840"/>
      <c r="EP280" s="840"/>
      <c r="EQ280" s="840"/>
      <c r="ER280" s="840"/>
      <c r="ES280" s="840"/>
      <c r="ET280" s="840"/>
      <c r="EU280" s="840"/>
      <c r="EV280" s="840"/>
      <c r="EW280" s="840"/>
      <c r="EX280" s="840"/>
      <c r="EY280" s="840"/>
      <c r="EZ280" s="840"/>
      <c r="FA280" s="840"/>
      <c r="FB280" s="841"/>
      <c r="FC280" s="840"/>
      <c r="FD280" s="840"/>
      <c r="FE280" s="840"/>
      <c r="FF280" s="840"/>
      <c r="FG280" s="840"/>
      <c r="FH280" s="841"/>
      <c r="FI280" s="841"/>
      <c r="FJ280" s="840"/>
      <c r="FK280" s="840"/>
      <c r="FL280" s="840"/>
      <c r="FM280" s="840"/>
      <c r="FN280" s="840"/>
      <c r="FO280" s="840"/>
      <c r="FP280" s="840"/>
      <c r="FQ280" s="840"/>
      <c r="FR280" s="840"/>
      <c r="FS280" s="840"/>
      <c r="FT280" s="840"/>
      <c r="FU280" s="840"/>
      <c r="FV280" s="840"/>
      <c r="FW280" s="840"/>
      <c r="FX280" s="841"/>
      <c r="FY280" s="841"/>
      <c r="FZ280" s="840"/>
      <c r="GA280" s="840"/>
      <c r="GB280" s="841"/>
      <c r="GC280" s="841"/>
      <c r="GD280" s="841"/>
      <c r="GE280" s="840"/>
      <c r="GF280" s="840"/>
      <c r="GG280" s="841"/>
      <c r="GH280" s="841"/>
      <c r="GI280" s="840"/>
      <c r="GJ280" s="840"/>
      <c r="GK280" s="841"/>
      <c r="GL280" s="841"/>
      <c r="GM280" s="840"/>
      <c r="GN280" s="840"/>
      <c r="GO280" s="840"/>
      <c r="GP280" s="840"/>
      <c r="GQ280" s="840"/>
      <c r="GR280" s="840"/>
      <c r="GS280" s="841"/>
      <c r="GT280" s="841"/>
      <c r="GU280" s="840"/>
      <c r="GV280" s="840"/>
      <c r="GW280" s="841"/>
      <c r="GX280" s="841"/>
      <c r="GY280" s="840"/>
      <c r="GZ280" s="840"/>
      <c r="HA280" s="841"/>
      <c r="HB280" s="841"/>
      <c r="HC280" s="840"/>
      <c r="HD280" s="840"/>
      <c r="HE280" s="840"/>
      <c r="HF280" s="840"/>
      <c r="HG280" s="840"/>
      <c r="HH280" s="840"/>
      <c r="HI280" s="841"/>
      <c r="HJ280" s="841"/>
      <c r="HK280" s="840"/>
      <c r="HL280" s="840"/>
      <c r="HM280" s="841"/>
      <c r="HN280" s="841"/>
      <c r="HO280" s="840"/>
      <c r="HP280" s="840"/>
      <c r="HQ280" s="841"/>
      <c r="HR280" s="840"/>
      <c r="HS280" s="840"/>
      <c r="HT280" s="840"/>
      <c r="HU280" s="840"/>
      <c r="HV280" s="840"/>
      <c r="HW280" s="840"/>
      <c r="HX280" s="840"/>
      <c r="HY280" s="840"/>
      <c r="HZ280" s="840"/>
      <c r="IA280" s="840"/>
      <c r="IB280" s="840"/>
      <c r="IC280" s="619"/>
      <c r="ID280" s="840"/>
      <c r="IE280" s="843"/>
      <c r="IF280" s="843"/>
      <c r="IG280" s="840"/>
    </row>
    <row r="281" spans="26:246">
      <c r="AA281" s="840"/>
      <c r="AB281" s="840"/>
      <c r="AC281" s="840"/>
      <c r="AD281" s="840"/>
      <c r="AE281" s="840"/>
      <c r="AF281" s="841"/>
      <c r="AG281" s="841"/>
      <c r="AH281" s="840"/>
      <c r="AI281" s="840"/>
      <c r="AJ281" s="841"/>
      <c r="AK281" s="841"/>
      <c r="AL281" s="840"/>
      <c r="AM281" s="840"/>
      <c r="AN281" s="840"/>
      <c r="AO281" s="840"/>
      <c r="AP281" s="840"/>
      <c r="AQ281" s="840"/>
      <c r="AR281" s="841"/>
      <c r="AS281" s="841"/>
      <c r="AT281" s="840"/>
      <c r="AU281" s="840"/>
      <c r="AV281" s="841"/>
      <c r="AW281" s="841"/>
      <c r="AX281" s="841"/>
      <c r="AY281" s="840"/>
      <c r="AZ281" s="840"/>
      <c r="BA281" s="840"/>
      <c r="BB281" s="840"/>
      <c r="BC281" s="840"/>
      <c r="BD281" s="840"/>
      <c r="BE281" s="840"/>
      <c r="BF281" s="840"/>
      <c r="BG281" s="840"/>
      <c r="BH281" s="840"/>
      <c r="BI281" s="840"/>
      <c r="BJ281" s="840"/>
      <c r="BK281" s="840"/>
      <c r="BL281" s="840"/>
      <c r="BM281" s="840"/>
      <c r="BN281" s="840"/>
      <c r="BO281" s="840"/>
      <c r="BP281" s="840"/>
      <c r="BQ281" s="840"/>
      <c r="BR281" s="840"/>
      <c r="BS281" s="840"/>
      <c r="BT281" s="841"/>
      <c r="BU281" s="841"/>
      <c r="BV281" s="841"/>
      <c r="BW281" s="841"/>
      <c r="BX281" s="840"/>
      <c r="BY281" s="840"/>
      <c r="BZ281" s="840"/>
      <c r="CA281" s="840"/>
      <c r="CB281" s="840"/>
      <c r="CC281" s="840"/>
      <c r="CD281" s="840"/>
      <c r="CE281" s="840"/>
      <c r="CF281" s="840"/>
      <c r="CG281" s="840"/>
      <c r="CH281" s="840"/>
      <c r="CI281" s="840"/>
      <c r="CJ281" s="841"/>
      <c r="CK281" s="841"/>
      <c r="CL281" s="840"/>
      <c r="CM281" s="840"/>
      <c r="CN281" s="841"/>
      <c r="CO281" s="841"/>
      <c r="CP281" s="840"/>
      <c r="CQ281" s="840"/>
      <c r="CR281" s="841"/>
      <c r="CS281" s="841"/>
      <c r="CT281" s="840"/>
      <c r="CU281" s="840"/>
      <c r="CV281" s="841"/>
      <c r="CW281" s="841"/>
      <c r="CX281" s="840"/>
      <c r="CY281" s="840"/>
      <c r="CZ281" s="840"/>
      <c r="DA281" s="840"/>
      <c r="DB281" s="840"/>
      <c r="DC281" s="840"/>
      <c r="DD281" s="840"/>
      <c r="DE281" s="840"/>
      <c r="DF281" s="840"/>
      <c r="DG281" s="840"/>
      <c r="DH281" s="840"/>
      <c r="DI281" s="840"/>
      <c r="DJ281" s="840"/>
      <c r="DK281" s="840"/>
      <c r="DL281" s="841"/>
      <c r="DM281" s="841"/>
      <c r="DN281" s="840"/>
      <c r="DO281" s="840"/>
      <c r="DP281" s="840"/>
      <c r="DQ281" s="840"/>
      <c r="DR281" s="840"/>
      <c r="DS281" s="840"/>
      <c r="DT281" s="840"/>
      <c r="DU281" s="840"/>
      <c r="DV281" s="840"/>
      <c r="DW281" s="840"/>
      <c r="DX281" s="840"/>
      <c r="DY281" s="840"/>
      <c r="DZ281" s="840"/>
      <c r="EA281" s="840"/>
      <c r="EB281" s="841"/>
      <c r="EC281" s="841"/>
      <c r="ED281" s="840"/>
      <c r="EE281" s="840"/>
      <c r="EF281" s="840"/>
      <c r="EG281" s="840"/>
      <c r="EH281" s="840"/>
      <c r="EI281" s="840"/>
      <c r="EJ281" s="840"/>
      <c r="EK281" s="840"/>
      <c r="EL281" s="840"/>
      <c r="EM281" s="840"/>
      <c r="EN281" s="840"/>
      <c r="EO281" s="840"/>
      <c r="EP281" s="840"/>
      <c r="EQ281" s="840"/>
      <c r="ER281" s="840"/>
      <c r="ES281" s="840"/>
      <c r="ET281" s="840"/>
      <c r="EU281" s="840"/>
      <c r="EV281" s="840"/>
      <c r="EW281" s="840"/>
      <c r="EX281" s="840"/>
      <c r="EY281" s="840"/>
      <c r="EZ281" s="840"/>
      <c r="FA281" s="840"/>
      <c r="FB281" s="841"/>
      <c r="FC281" s="840"/>
      <c r="FD281" s="840"/>
      <c r="FE281" s="840"/>
      <c r="FF281" s="840"/>
      <c r="FG281" s="840"/>
      <c r="FH281" s="841"/>
      <c r="FI281" s="841"/>
      <c r="FJ281" s="840"/>
      <c r="FK281" s="840"/>
      <c r="FL281" s="840"/>
      <c r="FM281" s="840"/>
      <c r="FN281" s="840"/>
      <c r="FO281" s="840"/>
      <c r="FP281" s="840"/>
      <c r="FQ281" s="840"/>
      <c r="FR281" s="840"/>
      <c r="FS281" s="840"/>
      <c r="FT281" s="840"/>
      <c r="FU281" s="840"/>
      <c r="FV281" s="840"/>
      <c r="FW281" s="840"/>
      <c r="FX281" s="841"/>
      <c r="FY281" s="841"/>
      <c r="FZ281" s="840"/>
      <c r="GA281" s="840"/>
      <c r="GB281" s="841"/>
      <c r="GC281" s="841"/>
      <c r="GD281" s="841"/>
      <c r="GE281" s="840"/>
      <c r="GF281" s="840"/>
      <c r="GG281" s="841"/>
      <c r="GH281" s="841"/>
      <c r="GI281" s="840"/>
      <c r="GJ281" s="840"/>
      <c r="GK281" s="841"/>
      <c r="GL281" s="841"/>
      <c r="GM281" s="840"/>
      <c r="GN281" s="840"/>
      <c r="GO281" s="840"/>
      <c r="GP281" s="840"/>
      <c r="GQ281" s="840"/>
      <c r="GR281" s="840"/>
      <c r="GS281" s="841"/>
      <c r="GT281" s="841"/>
      <c r="GU281" s="840"/>
      <c r="GV281" s="840"/>
      <c r="GW281" s="841"/>
      <c r="GX281" s="841"/>
      <c r="GY281" s="840"/>
      <c r="GZ281" s="840"/>
      <c r="HA281" s="841"/>
      <c r="HB281" s="841"/>
      <c r="HC281" s="840"/>
      <c r="HD281" s="840"/>
      <c r="HE281" s="840"/>
      <c r="HF281" s="840"/>
      <c r="HG281" s="840"/>
      <c r="HH281" s="840"/>
      <c r="HI281" s="841"/>
      <c r="HJ281" s="841"/>
      <c r="HK281" s="840"/>
      <c r="HL281" s="840"/>
      <c r="HM281" s="841"/>
      <c r="HN281" s="841"/>
      <c r="HO281" s="840"/>
      <c r="HP281" s="840"/>
      <c r="HQ281" s="841"/>
      <c r="HR281" s="840"/>
      <c r="HS281" s="840"/>
      <c r="HT281" s="840"/>
      <c r="HU281" s="840"/>
      <c r="HV281" s="840"/>
      <c r="HW281" s="840"/>
      <c r="HX281" s="840"/>
      <c r="HY281" s="840"/>
      <c r="HZ281" s="840"/>
      <c r="IA281" s="840"/>
      <c r="IB281" s="840"/>
      <c r="IC281" s="619"/>
      <c r="ID281" s="840"/>
      <c r="IE281" s="843"/>
      <c r="IF281" s="843"/>
      <c r="IG281" s="840"/>
    </row>
    <row r="282" spans="26:246">
      <c r="AA282" s="840"/>
      <c r="AB282" s="840"/>
      <c r="AC282" s="840"/>
      <c r="AD282" s="840"/>
      <c r="AE282" s="840"/>
      <c r="AF282" s="841"/>
      <c r="AG282" s="841"/>
      <c r="AH282" s="840"/>
      <c r="AI282" s="840"/>
      <c r="AJ282" s="841"/>
      <c r="AK282" s="841"/>
      <c r="AL282" s="840"/>
      <c r="AM282" s="840"/>
      <c r="AN282" s="840"/>
      <c r="AO282" s="840"/>
      <c r="AP282" s="840"/>
      <c r="AQ282" s="840"/>
      <c r="AR282" s="841"/>
      <c r="AS282" s="841"/>
      <c r="AT282" s="840"/>
      <c r="AU282" s="840"/>
      <c r="AV282" s="841"/>
      <c r="AW282" s="841"/>
      <c r="AX282" s="841"/>
      <c r="AY282" s="840"/>
      <c r="AZ282" s="840"/>
      <c r="BA282" s="840"/>
      <c r="BB282" s="840"/>
      <c r="BC282" s="840"/>
      <c r="BD282" s="840"/>
      <c r="BE282" s="840"/>
      <c r="BF282" s="840"/>
      <c r="BG282" s="840"/>
      <c r="BH282" s="840"/>
      <c r="BI282" s="840"/>
      <c r="BJ282" s="840"/>
      <c r="BK282" s="840"/>
      <c r="BL282" s="840"/>
      <c r="BM282" s="840"/>
      <c r="BN282" s="840"/>
      <c r="BO282" s="840"/>
      <c r="BP282" s="840"/>
      <c r="BQ282" s="840"/>
      <c r="BR282" s="840"/>
      <c r="BS282" s="840"/>
      <c r="BT282" s="841"/>
      <c r="BU282" s="841"/>
      <c r="BV282" s="841"/>
      <c r="BW282" s="841"/>
      <c r="BX282" s="840"/>
      <c r="BY282" s="840"/>
      <c r="BZ282" s="840"/>
      <c r="CA282" s="840"/>
      <c r="CB282" s="840"/>
      <c r="CC282" s="840"/>
      <c r="CD282" s="840"/>
      <c r="CE282" s="840"/>
      <c r="CF282" s="840"/>
      <c r="CG282" s="840"/>
      <c r="CH282" s="840"/>
      <c r="CI282" s="840"/>
      <c r="CJ282" s="841"/>
      <c r="CK282" s="841"/>
      <c r="CL282" s="840"/>
      <c r="CM282" s="840"/>
      <c r="CN282" s="841"/>
      <c r="CO282" s="841"/>
      <c r="CP282" s="840"/>
      <c r="CQ282" s="840"/>
      <c r="CR282" s="841"/>
      <c r="CS282" s="841"/>
      <c r="CT282" s="840"/>
      <c r="CU282" s="840"/>
      <c r="CV282" s="841"/>
      <c r="CW282" s="841"/>
      <c r="CX282" s="840"/>
      <c r="CY282" s="840"/>
      <c r="CZ282" s="840"/>
      <c r="DA282" s="840"/>
      <c r="DB282" s="840"/>
      <c r="DC282" s="840"/>
      <c r="DD282" s="840"/>
      <c r="DE282" s="840"/>
      <c r="DF282" s="840"/>
      <c r="DG282" s="840"/>
      <c r="DH282" s="840"/>
      <c r="DI282" s="840"/>
      <c r="DJ282" s="840"/>
      <c r="DK282" s="840"/>
      <c r="DL282" s="841"/>
      <c r="DM282" s="841"/>
      <c r="DN282" s="840"/>
      <c r="DO282" s="840"/>
      <c r="DP282" s="840"/>
      <c r="DQ282" s="840"/>
      <c r="DR282" s="840"/>
      <c r="DS282" s="840"/>
      <c r="DT282" s="840"/>
      <c r="DU282" s="840"/>
      <c r="DV282" s="840"/>
      <c r="DW282" s="840"/>
      <c r="DX282" s="840"/>
      <c r="DY282" s="840"/>
      <c r="DZ282" s="840"/>
      <c r="EA282" s="840"/>
      <c r="EB282" s="841"/>
      <c r="EC282" s="841"/>
      <c r="ED282" s="840"/>
      <c r="EE282" s="840"/>
      <c r="EF282" s="840"/>
      <c r="EG282" s="840"/>
      <c r="EH282" s="840"/>
      <c r="EI282" s="840"/>
      <c r="EJ282" s="840"/>
      <c r="EK282" s="840"/>
      <c r="EL282" s="840"/>
      <c r="EM282" s="840"/>
      <c r="EN282" s="840"/>
      <c r="EO282" s="840"/>
      <c r="EP282" s="840"/>
      <c r="EQ282" s="840"/>
      <c r="ER282" s="840"/>
      <c r="ES282" s="840"/>
      <c r="ET282" s="840"/>
      <c r="EU282" s="840"/>
      <c r="EV282" s="840"/>
      <c r="EW282" s="840"/>
      <c r="EX282" s="840"/>
      <c r="EY282" s="840"/>
      <c r="EZ282" s="840"/>
      <c r="FA282" s="840"/>
      <c r="FB282" s="841"/>
      <c r="FC282" s="840"/>
      <c r="FD282" s="840"/>
      <c r="FE282" s="840"/>
      <c r="FF282" s="840"/>
      <c r="FG282" s="840"/>
      <c r="FH282" s="841"/>
      <c r="FI282" s="841"/>
      <c r="FJ282" s="840"/>
      <c r="FK282" s="840"/>
      <c r="FL282" s="840"/>
      <c r="FM282" s="840"/>
      <c r="FN282" s="840"/>
      <c r="FO282" s="840"/>
      <c r="FP282" s="840"/>
      <c r="FQ282" s="840"/>
      <c r="FR282" s="840"/>
      <c r="FS282" s="840"/>
      <c r="FT282" s="840"/>
      <c r="FU282" s="840"/>
      <c r="FV282" s="840"/>
      <c r="FW282" s="840"/>
      <c r="FX282" s="841"/>
      <c r="FY282" s="841"/>
      <c r="FZ282" s="840"/>
      <c r="GA282" s="840"/>
      <c r="GB282" s="841"/>
      <c r="GC282" s="841"/>
      <c r="GD282" s="841"/>
      <c r="GE282" s="840"/>
      <c r="GF282" s="840"/>
      <c r="GG282" s="841"/>
      <c r="GH282" s="841"/>
      <c r="GI282" s="840"/>
      <c r="GJ282" s="840"/>
      <c r="GK282" s="841"/>
      <c r="GL282" s="841"/>
      <c r="GM282" s="840"/>
      <c r="GN282" s="840"/>
      <c r="GO282" s="840"/>
      <c r="GP282" s="840"/>
      <c r="GQ282" s="840"/>
      <c r="GR282" s="840"/>
      <c r="GS282" s="841"/>
      <c r="GT282" s="841"/>
      <c r="GU282" s="840"/>
      <c r="GV282" s="840"/>
      <c r="GW282" s="841"/>
      <c r="GX282" s="841"/>
      <c r="GY282" s="840"/>
      <c r="GZ282" s="840"/>
      <c r="HA282" s="841"/>
      <c r="HB282" s="841"/>
      <c r="HC282" s="840"/>
      <c r="HD282" s="840"/>
      <c r="HE282" s="840"/>
      <c r="HF282" s="840"/>
      <c r="HG282" s="840"/>
      <c r="HH282" s="840"/>
      <c r="HI282" s="841"/>
      <c r="HJ282" s="841"/>
      <c r="HK282" s="840"/>
      <c r="HL282" s="840"/>
      <c r="HM282" s="841"/>
      <c r="HN282" s="841"/>
      <c r="HO282" s="840"/>
      <c r="HP282" s="840"/>
      <c r="HQ282" s="841"/>
      <c r="HR282" s="840"/>
      <c r="HS282" s="840"/>
      <c r="HT282" s="840"/>
      <c r="HU282" s="840"/>
      <c r="HV282" s="840"/>
      <c r="HW282" s="840"/>
      <c r="HX282" s="840"/>
      <c r="HY282" s="840"/>
      <c r="HZ282" s="840"/>
      <c r="IA282" s="840"/>
      <c r="IB282" s="840"/>
      <c r="IC282" s="619"/>
      <c r="ID282" s="840"/>
      <c r="IE282" s="843"/>
      <c r="IF282" s="843"/>
      <c r="IG282" s="840"/>
    </row>
    <row r="283" spans="26:246">
      <c r="AA283" s="840"/>
      <c r="AB283" s="840"/>
      <c r="AC283" s="840"/>
      <c r="AD283" s="840"/>
      <c r="AE283" s="840"/>
      <c r="AF283" s="841"/>
      <c r="AG283" s="841"/>
      <c r="AH283" s="840"/>
      <c r="AI283" s="840"/>
      <c r="AJ283" s="841"/>
      <c r="AK283" s="841"/>
      <c r="AL283" s="840"/>
      <c r="AM283" s="840"/>
      <c r="AN283" s="840"/>
      <c r="AO283" s="840"/>
      <c r="AP283" s="840"/>
      <c r="AQ283" s="840"/>
      <c r="AR283" s="841"/>
      <c r="AS283" s="841"/>
      <c r="AT283" s="840"/>
      <c r="AU283" s="840"/>
      <c r="AV283" s="841"/>
      <c r="AW283" s="841"/>
      <c r="AX283" s="841"/>
      <c r="AY283" s="840"/>
      <c r="AZ283" s="840"/>
      <c r="BA283" s="840"/>
      <c r="BB283" s="840"/>
      <c r="BC283" s="840"/>
      <c r="BD283" s="840"/>
      <c r="BE283" s="840"/>
      <c r="BF283" s="840"/>
      <c r="BG283" s="840"/>
      <c r="BH283" s="840"/>
      <c r="BI283" s="840"/>
      <c r="BJ283" s="840"/>
      <c r="BK283" s="840"/>
      <c r="BL283" s="840"/>
      <c r="BM283" s="840"/>
      <c r="BN283" s="840"/>
      <c r="BO283" s="840"/>
      <c r="BP283" s="840"/>
      <c r="BQ283" s="840"/>
      <c r="BR283" s="840"/>
      <c r="BS283" s="840"/>
      <c r="BT283" s="841"/>
      <c r="BU283" s="841"/>
      <c r="BV283" s="841"/>
      <c r="BW283" s="841"/>
      <c r="BX283" s="840"/>
      <c r="BY283" s="840"/>
      <c r="BZ283" s="840"/>
      <c r="CA283" s="840"/>
      <c r="CB283" s="840"/>
      <c r="CC283" s="840"/>
      <c r="CD283" s="840"/>
      <c r="CE283" s="840"/>
      <c r="CF283" s="840"/>
      <c r="CG283" s="840"/>
      <c r="CH283" s="840"/>
      <c r="CI283" s="840"/>
      <c r="CJ283" s="841"/>
      <c r="CK283" s="841"/>
      <c r="CL283" s="840"/>
      <c r="CM283" s="840"/>
      <c r="CN283" s="841"/>
      <c r="CO283" s="841"/>
      <c r="CP283" s="840"/>
      <c r="CQ283" s="840"/>
      <c r="CR283" s="841"/>
      <c r="CS283" s="841"/>
      <c r="CT283" s="840"/>
      <c r="CU283" s="840"/>
      <c r="CV283" s="841"/>
      <c r="CW283" s="841"/>
      <c r="CX283" s="840"/>
      <c r="CY283" s="840"/>
      <c r="CZ283" s="840"/>
      <c r="DA283" s="840"/>
      <c r="DB283" s="840"/>
      <c r="DC283" s="840"/>
      <c r="DD283" s="840"/>
      <c r="DE283" s="840"/>
      <c r="DF283" s="840"/>
      <c r="DG283" s="840"/>
      <c r="DH283" s="840"/>
      <c r="DI283" s="840"/>
      <c r="DJ283" s="840"/>
      <c r="DK283" s="840"/>
      <c r="DL283" s="841"/>
      <c r="DM283" s="841"/>
      <c r="DN283" s="840"/>
      <c r="DO283" s="840"/>
      <c r="DP283" s="840"/>
      <c r="DQ283" s="840"/>
      <c r="DR283" s="840"/>
      <c r="DS283" s="840"/>
      <c r="DT283" s="840"/>
      <c r="DU283" s="840"/>
      <c r="DV283" s="840"/>
      <c r="DW283" s="840"/>
      <c r="DX283" s="840"/>
      <c r="DY283" s="840"/>
      <c r="DZ283" s="840"/>
      <c r="EA283" s="840"/>
      <c r="EB283" s="841"/>
      <c r="EC283" s="841"/>
      <c r="ED283" s="840"/>
      <c r="EE283" s="840"/>
      <c r="EF283" s="840"/>
      <c r="EG283" s="840"/>
      <c r="EH283" s="840"/>
      <c r="EI283" s="840"/>
      <c r="EJ283" s="840"/>
      <c r="EK283" s="840"/>
      <c r="EL283" s="840"/>
      <c r="EM283" s="840"/>
      <c r="EN283" s="840"/>
      <c r="EO283" s="840"/>
      <c r="EP283" s="840"/>
      <c r="EQ283" s="840"/>
      <c r="ER283" s="840"/>
      <c r="ES283" s="840"/>
      <c r="ET283" s="840"/>
      <c r="EU283" s="840"/>
      <c r="EV283" s="840"/>
      <c r="EW283" s="840"/>
      <c r="EX283" s="840"/>
      <c r="EY283" s="840"/>
      <c r="EZ283" s="840"/>
      <c r="FA283" s="840"/>
      <c r="FB283" s="841"/>
      <c r="FC283" s="840"/>
      <c r="FD283" s="840"/>
      <c r="FE283" s="840"/>
      <c r="FF283" s="840"/>
      <c r="FG283" s="840"/>
      <c r="FH283" s="841"/>
      <c r="FI283" s="841"/>
      <c r="FJ283" s="840"/>
      <c r="FK283" s="840"/>
      <c r="FL283" s="840"/>
      <c r="FM283" s="840"/>
      <c r="FN283" s="840"/>
      <c r="FO283" s="840"/>
      <c r="FP283" s="840"/>
      <c r="FQ283" s="840"/>
      <c r="FR283" s="840"/>
      <c r="FS283" s="840"/>
      <c r="FT283" s="840"/>
      <c r="FU283" s="840"/>
      <c r="FV283" s="840"/>
      <c r="FW283" s="840"/>
      <c r="FX283" s="841"/>
      <c r="FY283" s="841"/>
      <c r="FZ283" s="840"/>
      <c r="GA283" s="840"/>
      <c r="GB283" s="841"/>
      <c r="GC283" s="841"/>
      <c r="GD283" s="841"/>
      <c r="GE283" s="840"/>
      <c r="GF283" s="840"/>
      <c r="GG283" s="841"/>
      <c r="GH283" s="841"/>
      <c r="GI283" s="840"/>
      <c r="GJ283" s="840"/>
      <c r="GK283" s="841"/>
      <c r="GL283" s="841"/>
      <c r="GM283" s="840"/>
      <c r="GN283" s="840"/>
      <c r="GO283" s="840"/>
      <c r="GP283" s="840"/>
      <c r="GQ283" s="840"/>
      <c r="GR283" s="840"/>
      <c r="GS283" s="841"/>
      <c r="GT283" s="841"/>
      <c r="GU283" s="840"/>
      <c r="GV283" s="840"/>
      <c r="GW283" s="841"/>
      <c r="GX283" s="841"/>
      <c r="GY283" s="840"/>
      <c r="GZ283" s="840"/>
      <c r="HA283" s="841"/>
      <c r="HB283" s="841"/>
      <c r="HC283" s="840"/>
      <c r="HD283" s="840"/>
      <c r="HE283" s="840"/>
      <c r="HF283" s="840"/>
      <c r="HG283" s="840"/>
      <c r="HH283" s="840"/>
      <c r="HI283" s="841"/>
      <c r="HJ283" s="841"/>
      <c r="HK283" s="840"/>
      <c r="HL283" s="840"/>
      <c r="HM283" s="841"/>
      <c r="HN283" s="841"/>
      <c r="HO283" s="840"/>
      <c r="HP283" s="840"/>
      <c r="HQ283" s="841"/>
      <c r="HR283" s="840"/>
      <c r="HS283" s="840"/>
      <c r="HT283" s="840"/>
      <c r="HU283" s="840"/>
      <c r="HV283" s="840"/>
      <c r="HW283" s="840"/>
      <c r="HX283" s="840"/>
      <c r="HY283" s="840"/>
      <c r="HZ283" s="840"/>
      <c r="IA283" s="840"/>
      <c r="IB283" s="840"/>
      <c r="IC283" s="619"/>
      <c r="ID283" s="840"/>
      <c r="IE283" s="843"/>
      <c r="IF283" s="843"/>
      <c r="IG283" s="840"/>
    </row>
  </sheetData>
  <autoFilter ref="A7:IN73">
    <filterColumn colId="2" showButton="0"/>
  </autoFilter>
  <mergeCells count="124">
    <mergeCell ref="FL5:FL6"/>
    <mergeCell ref="FM5:FM6"/>
    <mergeCell ref="FN5:FN6"/>
    <mergeCell ref="DX3:EA3"/>
    <mergeCell ref="DX5:DX6"/>
    <mergeCell ref="FE4:FH4"/>
    <mergeCell ref="AN3:AQ3"/>
    <mergeCell ref="AR3:AU3"/>
    <mergeCell ref="AV3:AZ3"/>
    <mergeCell ref="BA3:BE3"/>
    <mergeCell ref="DT3:DW3"/>
    <mergeCell ref="EB3:EE3"/>
    <mergeCell ref="CB5:CB6"/>
    <mergeCell ref="CZ5:CZ6"/>
    <mergeCell ref="DD5:DD6"/>
    <mergeCell ref="DH5:DH6"/>
    <mergeCell ref="DL5:DL6"/>
    <mergeCell ref="DP5:DP6"/>
    <mergeCell ref="CJ5:CJ6"/>
    <mergeCell ref="CN5:CN6"/>
    <mergeCell ref="CR5:CR6"/>
    <mergeCell ref="CV5:CV6"/>
    <mergeCell ref="EN5:EN6"/>
    <mergeCell ref="ER5:ER6"/>
    <mergeCell ref="F3:S3"/>
    <mergeCell ref="T3:W3"/>
    <mergeCell ref="X3:AA3"/>
    <mergeCell ref="AB3:AE3"/>
    <mergeCell ref="FE3:FK3"/>
    <mergeCell ref="AF3:AI3"/>
    <mergeCell ref="HM3:HP3"/>
    <mergeCell ref="F4:F5"/>
    <mergeCell ref="G4:G5"/>
    <mergeCell ref="H4:H5"/>
    <mergeCell ref="I4:I5"/>
    <mergeCell ref="GG3:GJ3"/>
    <mergeCell ref="GK3:GN3"/>
    <mergeCell ref="GO3:GR3"/>
    <mergeCell ref="GS3:GV3"/>
    <mergeCell ref="GW3:GZ3"/>
    <mergeCell ref="FS3:FW3"/>
    <mergeCell ref="FX3:GA3"/>
    <mergeCell ref="GB3:GF3"/>
    <mergeCell ref="EN3:EQ3"/>
    <mergeCell ref="ER3:EU3"/>
    <mergeCell ref="EV3:EY3"/>
    <mergeCell ref="EZ3:FD3"/>
    <mergeCell ref="DP3:DS3"/>
    <mergeCell ref="J4:J5"/>
    <mergeCell ref="K4:K5"/>
    <mergeCell ref="AJ3:AM3"/>
    <mergeCell ref="CF3:CI3"/>
    <mergeCell ref="CJ3:CM3"/>
    <mergeCell ref="CN3:CQ3"/>
    <mergeCell ref="CR3:CU3"/>
    <mergeCell ref="CV3:CY3"/>
    <mergeCell ref="BF3:BI3"/>
    <mergeCell ref="BJ3:BN3"/>
    <mergeCell ref="BO3:BS3"/>
    <mergeCell ref="BT3:BY3"/>
    <mergeCell ref="BZ3:CE3"/>
    <mergeCell ref="V4:V5"/>
    <mergeCell ref="W4:W5"/>
    <mergeCell ref="P4:P5"/>
    <mergeCell ref="Q4:Q5"/>
    <mergeCell ref="R4:R5"/>
    <mergeCell ref="S4:S5"/>
    <mergeCell ref="T4:T5"/>
    <mergeCell ref="U4:U5"/>
    <mergeCell ref="L4:L5"/>
    <mergeCell ref="M4:M5"/>
    <mergeCell ref="N4:N5"/>
    <mergeCell ref="HA3:HD3"/>
    <mergeCell ref="HE3:HH3"/>
    <mergeCell ref="HI3:HL3"/>
    <mergeCell ref="EF3:EI3"/>
    <mergeCell ref="EJ3:EM3"/>
    <mergeCell ref="CZ3:DC3"/>
    <mergeCell ref="DD3:DG3"/>
    <mergeCell ref="DH3:DK3"/>
    <mergeCell ref="DL3:DO3"/>
    <mergeCell ref="FL3:FR3"/>
    <mergeCell ref="O4:O5"/>
    <mergeCell ref="BT4:BU4"/>
    <mergeCell ref="BZ4:CA4"/>
    <mergeCell ref="X5:X6"/>
    <mergeCell ref="AB5:AB6"/>
    <mergeCell ref="AF5:AF6"/>
    <mergeCell ref="AJ5:AJ6"/>
    <mergeCell ref="AN5:AN6"/>
    <mergeCell ref="AV5:AV6"/>
    <mergeCell ref="AW5:AW6"/>
    <mergeCell ref="BA5:BA6"/>
    <mergeCell ref="BB5:BB6"/>
    <mergeCell ref="BT5:BT6"/>
    <mergeCell ref="BU5:BU6"/>
    <mergeCell ref="BV5:BV6"/>
    <mergeCell ref="BZ5:BZ6"/>
    <mergeCell ref="CA5:CA6"/>
    <mergeCell ref="BJ5:BJ6"/>
    <mergeCell ref="BK5:BK6"/>
    <mergeCell ref="BO5:BO6"/>
    <mergeCell ref="BP5:BP6"/>
    <mergeCell ref="EV5:EV6"/>
    <mergeCell ref="EZ5:EZ6"/>
    <mergeCell ref="FA5:FA6"/>
    <mergeCell ref="FH5:FH6"/>
    <mergeCell ref="DT5:DT6"/>
    <mergeCell ref="EB5:EB6"/>
    <mergeCell ref="EF5:EF6"/>
    <mergeCell ref="EJ5:EJ6"/>
    <mergeCell ref="FE5:FE6"/>
    <mergeCell ref="FF5:FF6"/>
    <mergeCell ref="FG5:FG6"/>
    <mergeCell ref="HE5:HE6"/>
    <mergeCell ref="HI5:HI6"/>
    <mergeCell ref="HM5:HM6"/>
    <mergeCell ref="FX5:FX6"/>
    <mergeCell ref="GB5:GB6"/>
    <mergeCell ref="GC5:GC6"/>
    <mergeCell ref="GG5:GG6"/>
    <mergeCell ref="FO5:FO6"/>
    <mergeCell ref="FS5:FS6"/>
    <mergeCell ref="FT5:FT6"/>
  </mergeCells>
  <pageMargins left="0.31496062992125984" right="0.31496062992125984" top="0.15748031496062992" bottom="0.35433070866141736" header="0.31496062992125984" footer="0.31496062992125984"/>
  <pageSetup paperSize="8" scale="10" fitToHeight="0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>
    <tabColor theme="6" tint="0.59999389629810485"/>
    <pageSetUpPr fitToPage="1"/>
  </sheetPr>
  <dimension ref="A1:FF254"/>
  <sheetViews>
    <sheetView showWhiteSpace="0" zoomScale="85" zoomScaleNormal="85" workbookViewId="0">
      <selection activeCell="EX20" sqref="EX20"/>
    </sheetView>
  </sheetViews>
  <sheetFormatPr defaultRowHeight="12"/>
  <cols>
    <col min="1" max="2" width="9.140625" style="610"/>
    <col min="3" max="3" width="22.7109375" style="610" bestFit="1" customWidth="1"/>
    <col min="4" max="5" width="9.85546875" style="610" hidden="1" customWidth="1"/>
    <col min="6" max="6" width="5.85546875" style="610" hidden="1" customWidth="1"/>
    <col min="7" max="7" width="11.85546875" style="610" hidden="1" customWidth="1"/>
    <col min="8" max="8" width="6" style="610" hidden="1" customWidth="1"/>
    <col min="9" max="9" width="12.42578125" style="610" hidden="1" customWidth="1"/>
    <col min="10" max="10" width="6.28515625" style="610" hidden="1" customWidth="1"/>
    <col min="11" max="11" width="7.7109375" style="610" hidden="1" customWidth="1"/>
    <col min="12" max="12" width="11.42578125" style="610" hidden="1" customWidth="1"/>
    <col min="13" max="14" width="10.85546875" style="610" hidden="1" customWidth="1"/>
    <col min="15" max="15" width="8.85546875" style="610" hidden="1" customWidth="1"/>
    <col min="16" max="17" width="7.28515625" style="610" customWidth="1"/>
    <col min="18" max="18" width="8.42578125" style="611" customWidth="1"/>
    <col min="19" max="23" width="9.140625" style="611" customWidth="1"/>
    <col min="24" max="25" width="7.140625" style="610" customWidth="1"/>
    <col min="26" max="26" width="8.28515625" style="611" customWidth="1"/>
    <col min="27" max="27" width="9.28515625" style="611" customWidth="1"/>
    <col min="28" max="29" width="6.7109375" style="610" customWidth="1"/>
    <col min="30" max="30" width="8.28515625" style="611" customWidth="1"/>
    <col min="31" max="31" width="10.5703125" style="611" customWidth="1"/>
    <col min="32" max="33" width="8.140625" style="610" customWidth="1"/>
    <col min="34" max="34" width="9" style="611" customWidth="1"/>
    <col min="35" max="35" width="19.7109375" style="611" customWidth="1"/>
    <col min="36" max="36" width="11.140625" style="610" customWidth="1"/>
    <col min="37" max="38" width="7.85546875" style="610" customWidth="1"/>
    <col min="39" max="40" width="8.85546875" style="611" customWidth="1"/>
    <col min="41" max="41" width="10.42578125" style="611" customWidth="1"/>
    <col min="42" max="44" width="8.85546875" style="611" customWidth="1"/>
    <col min="45" max="45" width="10.7109375" style="611" customWidth="1"/>
    <col min="46" max="47" width="10.140625" style="610" customWidth="1"/>
    <col min="48" max="48" width="7" style="610" customWidth="1"/>
    <col min="49" max="49" width="7.7109375" style="610" customWidth="1"/>
    <col min="50" max="50" width="9" style="611" customWidth="1"/>
    <col min="51" max="51" width="8.7109375" style="611" customWidth="1"/>
    <col min="52" max="53" width="9.5703125" style="610" customWidth="1"/>
    <col min="54" max="54" width="9.5703125" style="611" customWidth="1"/>
    <col min="55" max="55" width="10.42578125" style="611" customWidth="1"/>
    <col min="56" max="56" width="10.28515625" style="610" customWidth="1"/>
    <col min="57" max="57" width="9.42578125" style="610" customWidth="1"/>
    <col min="58" max="59" width="9.42578125" style="611" customWidth="1"/>
    <col min="60" max="75" width="8.5703125" style="611" customWidth="1"/>
    <col min="76" max="77" width="6.5703125" style="610" customWidth="1"/>
    <col min="78" max="78" width="8.42578125" style="611" customWidth="1"/>
    <col min="79" max="79" width="8.140625" style="611" customWidth="1"/>
    <col min="80" max="81" width="6.85546875" style="610" customWidth="1"/>
    <col min="82" max="82" width="8.5703125" style="611" customWidth="1"/>
    <col min="83" max="87" width="9.140625" style="611" customWidth="1"/>
    <col min="88" max="88" width="11.28515625" style="611" customWidth="1"/>
    <col min="89" max="89" width="7.7109375" style="611" customWidth="1"/>
    <col min="90" max="90" width="6.85546875" style="610" customWidth="1"/>
    <col min="91" max="91" width="9" style="611" customWidth="1"/>
    <col min="92" max="93" width="8.5703125" style="611" customWidth="1"/>
    <col min="94" max="94" width="10.140625" style="611" customWidth="1"/>
    <col min="95" max="95" width="8.5703125" style="611" customWidth="1"/>
    <col min="96" max="96" width="29.5703125" style="610" customWidth="1"/>
    <col min="97" max="97" width="6.7109375" style="610" customWidth="1"/>
    <col min="98" max="98" width="8.42578125" style="611" customWidth="1"/>
    <col min="99" max="99" width="8.85546875" style="611" customWidth="1"/>
    <col min="100" max="100" width="11" style="611" customWidth="1"/>
    <col min="101" max="104" width="9" style="611" customWidth="1"/>
    <col min="105" max="105" width="8" style="610" customWidth="1"/>
    <col min="106" max="106" width="6.85546875" style="610" customWidth="1"/>
    <col min="107" max="107" width="8.42578125" style="611" customWidth="1"/>
    <col min="108" max="108" width="8.7109375" style="611" customWidth="1"/>
    <col min="109" max="109" width="13.28515625" style="610" customWidth="1"/>
    <col min="110" max="110" width="6.7109375" style="610" customWidth="1"/>
    <col min="111" max="111" width="8.28515625" style="611" customWidth="1"/>
    <col min="112" max="112" width="10.7109375" style="611" customWidth="1"/>
    <col min="113" max="113" width="11.7109375" style="611" customWidth="1"/>
    <col min="114" max="115" width="8.7109375" style="611" customWidth="1"/>
    <col min="116" max="116" width="10" style="611" customWidth="1"/>
    <col min="117" max="117" width="14" style="610" customWidth="1"/>
    <col min="118" max="118" width="9.28515625" style="610" customWidth="1"/>
    <col min="119" max="119" width="9.5703125" style="611" customWidth="1"/>
    <col min="120" max="120" width="10.42578125" style="611" customWidth="1"/>
    <col min="121" max="121" width="13.42578125" style="610" customWidth="1"/>
    <col min="122" max="122" width="6.7109375" style="610" customWidth="1"/>
    <col min="123" max="123" width="9" style="611" customWidth="1"/>
    <col min="124" max="124" width="10.42578125" style="611" customWidth="1"/>
    <col min="125" max="125" width="13.5703125" style="610" customWidth="1"/>
    <col min="126" max="126" width="7" style="610" customWidth="1"/>
    <col min="127" max="127" width="8.85546875" style="611" customWidth="1"/>
    <col min="128" max="132" width="9.28515625" style="611" customWidth="1"/>
    <col min="133" max="133" width="8.7109375" style="610" customWidth="1"/>
    <col min="134" max="134" width="7.140625" style="610" customWidth="1"/>
    <col min="135" max="136" width="9.140625" style="611" customWidth="1"/>
    <col min="137" max="138" width="9.140625" style="610" customWidth="1"/>
    <col min="139" max="140" width="9.140625" style="611" customWidth="1"/>
    <col min="141" max="141" width="9.140625" style="610" customWidth="1"/>
    <col min="142" max="142" width="22.42578125" style="611" customWidth="1"/>
    <col min="143" max="144" width="24.28515625" style="611" customWidth="1"/>
    <col min="145" max="146" width="16.85546875" style="611" customWidth="1"/>
    <col min="147" max="147" width="16.42578125" style="611" customWidth="1"/>
    <col min="148" max="148" width="17.85546875" style="611" customWidth="1"/>
    <col min="149" max="151" width="16.42578125" style="611" customWidth="1"/>
    <col min="152" max="152" width="12" style="611" customWidth="1"/>
    <col min="153" max="153" width="18.85546875" style="844" customWidth="1"/>
    <col min="154" max="154" width="12.7109375" style="611" customWidth="1"/>
    <col min="155" max="155" width="24.42578125" style="621" customWidth="1"/>
    <col min="156" max="156" width="10.42578125" style="621" customWidth="1"/>
    <col min="157" max="157" width="17.140625" style="611" customWidth="1"/>
    <col min="158" max="158" width="3.28515625" style="610" customWidth="1"/>
    <col min="159" max="159" width="15.28515625" style="615" hidden="1" customWidth="1"/>
    <col min="160" max="160" width="16.28515625" style="615" hidden="1" customWidth="1"/>
    <col min="161" max="161" width="12.85546875" style="616" hidden="1" customWidth="1"/>
    <col min="162" max="162" width="13.140625" style="615" hidden="1" customWidth="1"/>
    <col min="163" max="163" width="2.7109375" style="610" customWidth="1"/>
    <col min="164" max="16384" width="9.140625" style="610"/>
  </cols>
  <sheetData>
    <row r="1" spans="1:162">
      <c r="EM1" s="612"/>
      <c r="EN1" s="612"/>
      <c r="EW1" s="613">
        <f>'Таблиця цін схема №2'!IC1</f>
        <v>7.0000000000000007E-2</v>
      </c>
      <c r="EX1" s="612">
        <f>'Таблиця цін схема №2'!ID1</f>
        <v>0.1</v>
      </c>
      <c r="EY1" s="614">
        <f>'Таблиця цін схема №2'!IE1</f>
        <v>1.0147029780510892</v>
      </c>
      <c r="EZ1" s="614"/>
    </row>
    <row r="2" spans="1:162" ht="12.75" thickBot="1">
      <c r="B2" s="617"/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8"/>
      <c r="BI2" s="618"/>
      <c r="BJ2" s="618"/>
      <c r="BK2" s="618"/>
      <c r="BL2" s="618"/>
      <c r="BM2" s="618"/>
      <c r="BN2" s="618"/>
      <c r="BO2" s="618"/>
      <c r="BP2" s="618"/>
      <c r="BQ2" s="618"/>
      <c r="BR2" s="618"/>
      <c r="BS2" s="618"/>
      <c r="BT2" s="618"/>
      <c r="BU2" s="618"/>
      <c r="BV2" s="618"/>
      <c r="BW2" s="618"/>
      <c r="BX2" s="617"/>
      <c r="BY2" s="617"/>
      <c r="BZ2" s="618"/>
      <c r="CA2" s="618"/>
      <c r="CB2" s="617"/>
      <c r="CC2" s="617"/>
      <c r="CD2" s="618"/>
      <c r="CE2" s="618"/>
      <c r="CF2" s="618"/>
      <c r="CG2" s="618"/>
      <c r="CH2" s="618"/>
      <c r="CI2" s="618"/>
      <c r="CJ2" s="618"/>
      <c r="CK2" s="618"/>
      <c r="CL2" s="617"/>
      <c r="CM2" s="618"/>
      <c r="CN2" s="618"/>
      <c r="CO2" s="618"/>
      <c r="CP2" s="618"/>
      <c r="CQ2" s="618"/>
      <c r="CR2" s="617"/>
      <c r="CS2" s="617"/>
      <c r="CT2" s="618"/>
      <c r="CU2" s="618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O2" s="611" t="s">
        <v>664</v>
      </c>
      <c r="EW2" s="619"/>
      <c r="EX2" s="620">
        <f>EX1</f>
        <v>0.1</v>
      </c>
    </row>
    <row r="3" spans="1:162" ht="53.25" customHeight="1" thickBot="1">
      <c r="B3" s="1062" t="s">
        <v>15</v>
      </c>
      <c r="C3" s="1061" t="s">
        <v>1003</v>
      </c>
      <c r="D3" s="622" t="s">
        <v>800</v>
      </c>
      <c r="E3" s="1379" t="s">
        <v>808</v>
      </c>
      <c r="F3" s="1380"/>
      <c r="G3" s="1380"/>
      <c r="H3" s="1380"/>
      <c r="I3" s="1380"/>
      <c r="J3" s="1380"/>
      <c r="K3" s="1380"/>
      <c r="L3" s="1379" t="s">
        <v>839</v>
      </c>
      <c r="M3" s="1380"/>
      <c r="N3" s="1380"/>
      <c r="O3" s="1381"/>
      <c r="P3" s="1347" t="s">
        <v>953</v>
      </c>
      <c r="Q3" s="1348"/>
      <c r="R3" s="1348"/>
      <c r="S3" s="1349"/>
      <c r="T3" s="1419" t="s">
        <v>1126</v>
      </c>
      <c r="U3" s="1420"/>
      <c r="V3" s="1420"/>
      <c r="W3" s="1421"/>
      <c r="X3" s="1419" t="s">
        <v>952</v>
      </c>
      <c r="Y3" s="1420"/>
      <c r="Z3" s="1420"/>
      <c r="AA3" s="1421"/>
      <c r="AB3" s="1347" t="s">
        <v>954</v>
      </c>
      <c r="AC3" s="1348"/>
      <c r="AD3" s="1348"/>
      <c r="AE3" s="1349"/>
      <c r="AF3" s="1347" t="s">
        <v>1023</v>
      </c>
      <c r="AG3" s="1348"/>
      <c r="AH3" s="1348"/>
      <c r="AI3" s="1349"/>
      <c r="AJ3" s="1347" t="s">
        <v>1022</v>
      </c>
      <c r="AK3" s="1348"/>
      <c r="AL3" s="1348"/>
      <c r="AM3" s="1348"/>
      <c r="AN3" s="1349"/>
      <c r="AO3" s="1397" t="s">
        <v>1024</v>
      </c>
      <c r="AP3" s="1425"/>
      <c r="AQ3" s="1425"/>
      <c r="AR3" s="1425"/>
      <c r="AS3" s="1426"/>
      <c r="AT3" s="1367" t="s">
        <v>1005</v>
      </c>
      <c r="AU3" s="1367"/>
      <c r="AV3" s="1351"/>
      <c r="AW3" s="1351"/>
      <c r="AX3" s="1351"/>
      <c r="AY3" s="1352"/>
      <c r="AZ3" s="1347" t="s">
        <v>961</v>
      </c>
      <c r="BA3" s="1348"/>
      <c r="BB3" s="1348"/>
      <c r="BC3" s="1349"/>
      <c r="BD3" s="1347" t="s">
        <v>961</v>
      </c>
      <c r="BE3" s="1348"/>
      <c r="BF3" s="1348"/>
      <c r="BG3" s="1349"/>
      <c r="BH3" s="1387" t="s">
        <v>963</v>
      </c>
      <c r="BI3" s="1384"/>
      <c r="BJ3" s="1384"/>
      <c r="BK3" s="1385"/>
      <c r="BL3" s="1347" t="s">
        <v>964</v>
      </c>
      <c r="BM3" s="1348"/>
      <c r="BN3" s="1348"/>
      <c r="BO3" s="1349"/>
      <c r="BP3" s="1347" t="s">
        <v>965</v>
      </c>
      <c r="BQ3" s="1384"/>
      <c r="BR3" s="1384"/>
      <c r="BS3" s="1385"/>
      <c r="BT3" s="1347" t="s">
        <v>968</v>
      </c>
      <c r="BU3" s="1348"/>
      <c r="BV3" s="1353"/>
      <c r="BW3" s="1354"/>
      <c r="BX3" s="1347" t="s">
        <v>1010</v>
      </c>
      <c r="BY3" s="1348"/>
      <c r="BZ3" s="1353"/>
      <c r="CA3" s="1354"/>
      <c r="CB3" s="1347" t="s">
        <v>968</v>
      </c>
      <c r="CC3" s="1348"/>
      <c r="CD3" s="1353"/>
      <c r="CE3" s="1354"/>
      <c r="CF3" s="1387" t="s">
        <v>970</v>
      </c>
      <c r="CG3" s="1384"/>
      <c r="CH3" s="1384"/>
      <c r="CI3" s="1385"/>
      <c r="CJ3" s="1386" t="s">
        <v>971</v>
      </c>
      <c r="CK3" s="1351"/>
      <c r="CL3" s="1351"/>
      <c r="CM3" s="1351"/>
      <c r="CN3" s="1352"/>
      <c r="CO3" s="1341" t="s">
        <v>972</v>
      </c>
      <c r="CP3" s="1342"/>
      <c r="CQ3" s="1342"/>
      <c r="CR3" s="1342"/>
      <c r="CS3" s="1342"/>
      <c r="CT3" s="1342"/>
      <c r="CU3" s="1343"/>
      <c r="CV3" s="1347" t="s">
        <v>975</v>
      </c>
      <c r="CW3" s="1348"/>
      <c r="CX3" s="1348"/>
      <c r="CY3" s="1348"/>
      <c r="CZ3" s="1349"/>
      <c r="DA3" s="1341" t="s">
        <v>976</v>
      </c>
      <c r="DB3" s="1351"/>
      <c r="DC3" s="1351"/>
      <c r="DD3" s="1352"/>
      <c r="DE3" s="1341" t="s">
        <v>1011</v>
      </c>
      <c r="DF3" s="1351"/>
      <c r="DG3" s="1351"/>
      <c r="DH3" s="1352"/>
      <c r="DI3" s="1341" t="s">
        <v>980</v>
      </c>
      <c r="DJ3" s="1351"/>
      <c r="DK3" s="1351"/>
      <c r="DL3" s="1352"/>
      <c r="DM3" s="1341" t="s">
        <v>981</v>
      </c>
      <c r="DN3" s="1351"/>
      <c r="DO3" s="1351"/>
      <c r="DP3" s="1352"/>
      <c r="DQ3" s="1341" t="s">
        <v>982</v>
      </c>
      <c r="DR3" s="1351"/>
      <c r="DS3" s="1351"/>
      <c r="DT3" s="1352"/>
      <c r="DU3" s="1347" t="s">
        <v>1012</v>
      </c>
      <c r="DV3" s="1348"/>
      <c r="DW3" s="1348"/>
      <c r="DX3" s="1349"/>
      <c r="DY3" s="1382" t="s">
        <v>1103</v>
      </c>
      <c r="DZ3" s="1348"/>
      <c r="EA3" s="1348"/>
      <c r="EB3" s="1349"/>
      <c r="EC3" s="1386" t="s">
        <v>746</v>
      </c>
      <c r="ED3" s="1351"/>
      <c r="EE3" s="1351"/>
      <c r="EF3" s="1351"/>
      <c r="EG3" s="1386" t="s">
        <v>745</v>
      </c>
      <c r="EH3" s="1351"/>
      <c r="EI3" s="1351"/>
      <c r="EJ3" s="1352"/>
      <c r="EK3" s="623" t="s">
        <v>15</v>
      </c>
      <c r="EL3" s="624" t="s">
        <v>385</v>
      </c>
      <c r="EM3" s="624" t="s">
        <v>374</v>
      </c>
      <c r="EN3" s="624" t="s">
        <v>374</v>
      </c>
      <c r="EO3" s="624" t="s">
        <v>374</v>
      </c>
      <c r="EP3" s="625" t="s">
        <v>1156</v>
      </c>
      <c r="EQ3" s="624" t="s">
        <v>374</v>
      </c>
      <c r="ER3" s="624" t="s">
        <v>374</v>
      </c>
      <c r="ES3" s="626" t="s">
        <v>1149</v>
      </c>
      <c r="ET3" s="627" t="s">
        <v>1150</v>
      </c>
      <c r="EU3" s="626" t="s">
        <v>1151</v>
      </c>
      <c r="EV3" s="624" t="s">
        <v>667</v>
      </c>
      <c r="EW3" s="628" t="s">
        <v>692</v>
      </c>
      <c r="EX3" s="629" t="s">
        <v>693</v>
      </c>
      <c r="EY3" s="630" t="s">
        <v>690</v>
      </c>
      <c r="EZ3" s="631" t="s">
        <v>1148</v>
      </c>
      <c r="FA3" s="624" t="s">
        <v>385</v>
      </c>
      <c r="FC3" s="632" t="s">
        <v>758</v>
      </c>
      <c r="FD3" s="632" t="s">
        <v>756</v>
      </c>
      <c r="FE3" s="633" t="s">
        <v>757</v>
      </c>
      <c r="FF3" s="632"/>
    </row>
    <row r="4" spans="1:162" ht="13.5" customHeight="1">
      <c r="B4" s="1063"/>
      <c r="C4" s="1059"/>
      <c r="D4" s="634"/>
      <c r="E4" s="1365" t="s">
        <v>804</v>
      </c>
      <c r="F4" s="1355" t="s">
        <v>22</v>
      </c>
      <c r="G4" s="1355" t="s">
        <v>805</v>
      </c>
      <c r="H4" s="1355" t="s">
        <v>22</v>
      </c>
      <c r="I4" s="1355" t="s">
        <v>802</v>
      </c>
      <c r="J4" s="1355" t="s">
        <v>22</v>
      </c>
      <c r="K4" s="1371" t="s">
        <v>816</v>
      </c>
      <c r="L4" s="1394" t="s">
        <v>840</v>
      </c>
      <c r="M4" s="1395" t="s">
        <v>841</v>
      </c>
      <c r="N4" s="1356" t="s">
        <v>94</v>
      </c>
      <c r="O4" s="1396" t="s">
        <v>842</v>
      </c>
      <c r="P4" s="635">
        <v>1</v>
      </c>
      <c r="Q4" s="636"/>
      <c r="R4" s="637" t="s">
        <v>374</v>
      </c>
      <c r="S4" s="638" t="s">
        <v>10</v>
      </c>
      <c r="T4" s="635">
        <v>3</v>
      </c>
      <c r="U4" s="639"/>
      <c r="V4" s="637" t="s">
        <v>374</v>
      </c>
      <c r="W4" s="638" t="s">
        <v>10</v>
      </c>
      <c r="X4" s="635">
        <v>2</v>
      </c>
      <c r="Y4" s="636"/>
      <c r="Z4" s="637" t="s">
        <v>374</v>
      </c>
      <c r="AA4" s="638" t="s">
        <v>10</v>
      </c>
      <c r="AB4" s="640">
        <v>4</v>
      </c>
      <c r="AC4" s="636"/>
      <c r="AD4" s="637" t="s">
        <v>374</v>
      </c>
      <c r="AE4" s="638" t="s">
        <v>10</v>
      </c>
      <c r="AF4" s="641" t="s">
        <v>68</v>
      </c>
      <c r="AG4" s="636"/>
      <c r="AH4" s="637" t="s">
        <v>374</v>
      </c>
      <c r="AI4" s="638" t="s">
        <v>10</v>
      </c>
      <c r="AJ4" s="642" t="s">
        <v>85</v>
      </c>
      <c r="AK4" s="636"/>
      <c r="AL4" s="636"/>
      <c r="AM4" s="637" t="s">
        <v>374</v>
      </c>
      <c r="AN4" s="638" t="s">
        <v>10</v>
      </c>
      <c r="AO4" s="643">
        <v>6</v>
      </c>
      <c r="AP4" s="644"/>
      <c r="AQ4" s="644"/>
      <c r="AR4" s="645" t="s">
        <v>374</v>
      </c>
      <c r="AS4" s="646" t="s">
        <v>10</v>
      </c>
      <c r="AT4" s="1429" t="s">
        <v>871</v>
      </c>
      <c r="AU4" s="1334"/>
      <c r="AV4" s="647" t="s">
        <v>1007</v>
      </c>
      <c r="AW4" s="636"/>
      <c r="AX4" s="637" t="s">
        <v>374</v>
      </c>
      <c r="AY4" s="638" t="s">
        <v>10</v>
      </c>
      <c r="AZ4" s="640">
        <v>9</v>
      </c>
      <c r="BA4" s="636"/>
      <c r="BB4" s="637" t="s">
        <v>374</v>
      </c>
      <c r="BC4" s="638" t="s">
        <v>10</v>
      </c>
      <c r="BD4" s="640">
        <v>10</v>
      </c>
      <c r="BE4" s="636"/>
      <c r="BF4" s="637" t="s">
        <v>374</v>
      </c>
      <c r="BG4" s="638" t="s">
        <v>10</v>
      </c>
      <c r="BH4" s="640">
        <v>22</v>
      </c>
      <c r="BI4" s="636"/>
      <c r="BJ4" s="637" t="s">
        <v>374</v>
      </c>
      <c r="BK4" s="638" t="s">
        <v>10</v>
      </c>
      <c r="BL4" s="640">
        <v>23</v>
      </c>
      <c r="BM4" s="636"/>
      <c r="BN4" s="637" t="s">
        <v>374</v>
      </c>
      <c r="BO4" s="638" t="s">
        <v>10</v>
      </c>
      <c r="BP4" s="640">
        <v>24</v>
      </c>
      <c r="BQ4" s="636"/>
      <c r="BR4" s="637" t="s">
        <v>374</v>
      </c>
      <c r="BS4" s="638" t="s">
        <v>10</v>
      </c>
      <c r="BT4" s="640">
        <v>8</v>
      </c>
      <c r="BU4" s="636"/>
      <c r="BV4" s="637" t="s">
        <v>374</v>
      </c>
      <c r="BW4" s="638" t="s">
        <v>10</v>
      </c>
      <c r="BX4" s="640">
        <v>11</v>
      </c>
      <c r="BY4" s="636"/>
      <c r="BZ4" s="637" t="s">
        <v>374</v>
      </c>
      <c r="CA4" s="638" t="s">
        <v>10</v>
      </c>
      <c r="CB4" s="640">
        <v>12</v>
      </c>
      <c r="CC4" s="636"/>
      <c r="CD4" s="637" t="s">
        <v>374</v>
      </c>
      <c r="CE4" s="638" t="s">
        <v>10</v>
      </c>
      <c r="CF4" s="640">
        <v>17</v>
      </c>
      <c r="CG4" s="636"/>
      <c r="CH4" s="637" t="s">
        <v>374</v>
      </c>
      <c r="CI4" s="638" t="s">
        <v>10</v>
      </c>
      <c r="CJ4" s="648" t="s">
        <v>879</v>
      </c>
      <c r="CK4" s="649"/>
      <c r="CL4" s="636"/>
      <c r="CM4" s="637" t="s">
        <v>374</v>
      </c>
      <c r="CN4" s="638" t="s">
        <v>10</v>
      </c>
      <c r="CO4" s="649"/>
      <c r="CP4" s="649"/>
      <c r="CQ4" s="649"/>
      <c r="CR4" s="635">
        <v>14</v>
      </c>
      <c r="CS4" s="636"/>
      <c r="CT4" s="637" t="s">
        <v>374</v>
      </c>
      <c r="CU4" s="638" t="s">
        <v>10</v>
      </c>
      <c r="CV4" s="650">
        <v>16</v>
      </c>
      <c r="CW4" s="636"/>
      <c r="CX4" s="636"/>
      <c r="CY4" s="637" t="s">
        <v>374</v>
      </c>
      <c r="CZ4" s="651" t="s">
        <v>10</v>
      </c>
      <c r="DA4" s="640">
        <v>15</v>
      </c>
      <c r="DB4" s="636"/>
      <c r="DC4" s="637" t="s">
        <v>374</v>
      </c>
      <c r="DD4" s="638" t="s">
        <v>10</v>
      </c>
      <c r="DE4" s="640">
        <v>18</v>
      </c>
      <c r="DF4" s="652"/>
      <c r="DG4" s="653" t="s">
        <v>374</v>
      </c>
      <c r="DH4" s="654" t="s">
        <v>10</v>
      </c>
      <c r="DI4" s="640">
        <v>19</v>
      </c>
      <c r="DJ4" s="652"/>
      <c r="DK4" s="637" t="s">
        <v>374</v>
      </c>
      <c r="DL4" s="638" t="s">
        <v>10</v>
      </c>
      <c r="DM4" s="655">
        <v>20</v>
      </c>
      <c r="DN4" s="652"/>
      <c r="DO4" s="653" t="s">
        <v>374</v>
      </c>
      <c r="DP4" s="654" t="s">
        <v>10</v>
      </c>
      <c r="DQ4" s="656">
        <v>21</v>
      </c>
      <c r="DR4" s="657"/>
      <c r="DS4" s="637" t="s">
        <v>374</v>
      </c>
      <c r="DT4" s="638" t="s">
        <v>10</v>
      </c>
      <c r="DU4" s="656">
        <v>26</v>
      </c>
      <c r="DV4" s="657"/>
      <c r="DW4" s="637" t="s">
        <v>374</v>
      </c>
      <c r="DX4" s="651" t="s">
        <v>10</v>
      </c>
      <c r="DY4" s="658">
        <v>25</v>
      </c>
      <c r="DZ4" s="657"/>
      <c r="EA4" s="637" t="s">
        <v>374</v>
      </c>
      <c r="EB4" s="651" t="s">
        <v>10</v>
      </c>
      <c r="EC4" s="659">
        <v>27</v>
      </c>
      <c r="ED4" s="657"/>
      <c r="EE4" s="637" t="s">
        <v>374</v>
      </c>
      <c r="EF4" s="651" t="s">
        <v>10</v>
      </c>
      <c r="EG4" s="659">
        <v>28</v>
      </c>
      <c r="EH4" s="652"/>
      <c r="EI4" s="637" t="s">
        <v>374</v>
      </c>
      <c r="EJ4" s="638" t="s">
        <v>10</v>
      </c>
      <c r="EK4" s="660" t="s">
        <v>387</v>
      </c>
      <c r="EL4" s="661" t="s">
        <v>386</v>
      </c>
      <c r="EM4" s="661" t="s">
        <v>389</v>
      </c>
      <c r="EN4" s="661" t="s">
        <v>389</v>
      </c>
      <c r="EO4" s="661" t="s">
        <v>665</v>
      </c>
      <c r="EP4" s="661"/>
      <c r="EQ4" s="661" t="s">
        <v>392</v>
      </c>
      <c r="ER4" s="661" t="s">
        <v>666</v>
      </c>
      <c r="ES4" s="661"/>
      <c r="ET4" s="661"/>
      <c r="EU4" s="661"/>
      <c r="EV4" s="661" t="s">
        <v>668</v>
      </c>
      <c r="EW4" s="662"/>
      <c r="EX4" s="663" t="s">
        <v>393</v>
      </c>
      <c r="EY4" s="630" t="s">
        <v>691</v>
      </c>
      <c r="EZ4" s="664"/>
      <c r="FA4" s="661" t="s">
        <v>394</v>
      </c>
    </row>
    <row r="5" spans="1:162" ht="12.75" customHeight="1">
      <c r="B5" s="1063"/>
      <c r="C5" s="1059"/>
      <c r="D5" s="665"/>
      <c r="E5" s="1366"/>
      <c r="F5" s="1356"/>
      <c r="G5" s="1356"/>
      <c r="H5" s="1356"/>
      <c r="I5" s="1356"/>
      <c r="J5" s="1356"/>
      <c r="K5" s="1372"/>
      <c r="L5" s="1360"/>
      <c r="M5" s="1356"/>
      <c r="N5" s="1361"/>
      <c r="O5" s="1371"/>
      <c r="P5" s="1345" t="s">
        <v>984</v>
      </c>
      <c r="Q5" s="666" t="s">
        <v>986</v>
      </c>
      <c r="R5" s="667" t="s">
        <v>375</v>
      </c>
      <c r="S5" s="668" t="s">
        <v>380</v>
      </c>
      <c r="T5" s="1345" t="s">
        <v>984</v>
      </c>
      <c r="U5" s="666" t="s">
        <v>986</v>
      </c>
      <c r="V5" s="667" t="s">
        <v>375</v>
      </c>
      <c r="W5" s="668" t="s">
        <v>380</v>
      </c>
      <c r="X5" s="1345" t="s">
        <v>984</v>
      </c>
      <c r="Y5" s="666" t="s">
        <v>986</v>
      </c>
      <c r="Z5" s="667" t="s">
        <v>375</v>
      </c>
      <c r="AA5" s="668" t="s">
        <v>380</v>
      </c>
      <c r="AB5" s="1345" t="s">
        <v>984</v>
      </c>
      <c r="AC5" s="666" t="s">
        <v>986</v>
      </c>
      <c r="AD5" s="667" t="s">
        <v>375</v>
      </c>
      <c r="AE5" s="668" t="s">
        <v>380</v>
      </c>
      <c r="AF5" s="669" t="s">
        <v>990</v>
      </c>
      <c r="AG5" s="666" t="s">
        <v>986</v>
      </c>
      <c r="AH5" s="667" t="s">
        <v>375</v>
      </c>
      <c r="AI5" s="668" t="s">
        <v>380</v>
      </c>
      <c r="AJ5" s="1345" t="s">
        <v>989</v>
      </c>
      <c r="AK5" s="1345" t="s">
        <v>984</v>
      </c>
      <c r="AL5" s="666" t="s">
        <v>986</v>
      </c>
      <c r="AM5" s="667" t="s">
        <v>375</v>
      </c>
      <c r="AN5" s="668" t="s">
        <v>380</v>
      </c>
      <c r="AO5" s="1373" t="s">
        <v>989</v>
      </c>
      <c r="AP5" s="1345" t="s">
        <v>984</v>
      </c>
      <c r="AQ5" s="666" t="s">
        <v>986</v>
      </c>
      <c r="AR5" s="670" t="s">
        <v>375</v>
      </c>
      <c r="AS5" s="671" t="s">
        <v>380</v>
      </c>
      <c r="AT5" s="1427" t="s">
        <v>984</v>
      </c>
      <c r="AU5" s="1428" t="s">
        <v>988</v>
      </c>
      <c r="AV5" s="1362" t="s">
        <v>987</v>
      </c>
      <c r="AW5" s="666" t="s">
        <v>986</v>
      </c>
      <c r="AX5" s="667" t="s">
        <v>375</v>
      </c>
      <c r="AY5" s="668" t="s">
        <v>380</v>
      </c>
      <c r="AZ5" s="1345" t="s">
        <v>984</v>
      </c>
      <c r="BA5" s="666" t="s">
        <v>986</v>
      </c>
      <c r="BB5" s="667" t="s">
        <v>375</v>
      </c>
      <c r="BC5" s="668" t="s">
        <v>380</v>
      </c>
      <c r="BD5" s="1345" t="s">
        <v>984</v>
      </c>
      <c r="BE5" s="666" t="s">
        <v>986</v>
      </c>
      <c r="BF5" s="667" t="s">
        <v>375</v>
      </c>
      <c r="BG5" s="668" t="s">
        <v>380</v>
      </c>
      <c r="BH5" s="1345" t="s">
        <v>984</v>
      </c>
      <c r="BI5" s="666" t="s">
        <v>986</v>
      </c>
      <c r="BJ5" s="667" t="s">
        <v>375</v>
      </c>
      <c r="BK5" s="668" t="s">
        <v>380</v>
      </c>
      <c r="BL5" s="1345" t="s">
        <v>984</v>
      </c>
      <c r="BM5" s="666" t="s">
        <v>986</v>
      </c>
      <c r="BN5" s="667" t="s">
        <v>375</v>
      </c>
      <c r="BO5" s="668" t="s">
        <v>380</v>
      </c>
      <c r="BP5" s="1345" t="s">
        <v>984</v>
      </c>
      <c r="BQ5" s="666" t="s">
        <v>986</v>
      </c>
      <c r="BR5" s="667" t="s">
        <v>375</v>
      </c>
      <c r="BS5" s="668" t="s">
        <v>380</v>
      </c>
      <c r="BT5" s="1345" t="s">
        <v>984</v>
      </c>
      <c r="BU5" s="666" t="s">
        <v>986</v>
      </c>
      <c r="BV5" s="667" t="s">
        <v>375</v>
      </c>
      <c r="BW5" s="668" t="s">
        <v>380</v>
      </c>
      <c r="BX5" s="1345" t="s">
        <v>984</v>
      </c>
      <c r="BY5" s="666" t="s">
        <v>986</v>
      </c>
      <c r="BZ5" s="667" t="s">
        <v>375</v>
      </c>
      <c r="CA5" s="668" t="s">
        <v>380</v>
      </c>
      <c r="CB5" s="1345" t="s">
        <v>984</v>
      </c>
      <c r="CC5" s="666" t="s">
        <v>986</v>
      </c>
      <c r="CD5" s="667" t="s">
        <v>375</v>
      </c>
      <c r="CE5" s="668" t="s">
        <v>380</v>
      </c>
      <c r="CF5" s="1345" t="s">
        <v>984</v>
      </c>
      <c r="CG5" s="666" t="s">
        <v>986</v>
      </c>
      <c r="CH5" s="667" t="s">
        <v>375</v>
      </c>
      <c r="CI5" s="668" t="s">
        <v>380</v>
      </c>
      <c r="CJ5" s="1430" t="s">
        <v>994</v>
      </c>
      <c r="CK5" s="1400" t="s">
        <v>984</v>
      </c>
      <c r="CL5" s="666" t="s">
        <v>986</v>
      </c>
      <c r="CM5" s="667" t="s">
        <v>375</v>
      </c>
      <c r="CN5" s="668" t="s">
        <v>380</v>
      </c>
      <c r="CO5" s="1337" t="s">
        <v>995</v>
      </c>
      <c r="CP5" s="1339" t="s">
        <v>996</v>
      </c>
      <c r="CQ5" s="1339" t="s">
        <v>997</v>
      </c>
      <c r="CR5" s="1362" t="s">
        <v>998</v>
      </c>
      <c r="CS5" s="666" t="s">
        <v>986</v>
      </c>
      <c r="CT5" s="667" t="s">
        <v>375</v>
      </c>
      <c r="CU5" s="668" t="s">
        <v>380</v>
      </c>
      <c r="CV5" s="1409" t="s">
        <v>989</v>
      </c>
      <c r="CW5" s="1345" t="s">
        <v>984</v>
      </c>
      <c r="CX5" s="666" t="s">
        <v>986</v>
      </c>
      <c r="CY5" s="667" t="s">
        <v>375</v>
      </c>
      <c r="CZ5" s="668" t="s">
        <v>380</v>
      </c>
      <c r="DA5" s="1345" t="s">
        <v>984</v>
      </c>
      <c r="DB5" s="666" t="s">
        <v>986</v>
      </c>
      <c r="DC5" s="667" t="s">
        <v>375</v>
      </c>
      <c r="DD5" s="672" t="s">
        <v>380</v>
      </c>
      <c r="DE5" s="669" t="s">
        <v>1001</v>
      </c>
      <c r="DF5" s="666" t="s">
        <v>986</v>
      </c>
      <c r="DG5" s="667" t="s">
        <v>375</v>
      </c>
      <c r="DH5" s="668" t="s">
        <v>380</v>
      </c>
      <c r="DI5" s="673" t="s">
        <v>1001</v>
      </c>
      <c r="DJ5" s="666" t="s">
        <v>986</v>
      </c>
      <c r="DK5" s="674" t="s">
        <v>375</v>
      </c>
      <c r="DL5" s="675" t="s">
        <v>380</v>
      </c>
      <c r="DM5" s="669" t="s">
        <v>1001</v>
      </c>
      <c r="DN5" s="666" t="s">
        <v>986</v>
      </c>
      <c r="DO5" s="667" t="s">
        <v>375</v>
      </c>
      <c r="DP5" s="672" t="s">
        <v>380</v>
      </c>
      <c r="DQ5" s="669" t="s">
        <v>1001</v>
      </c>
      <c r="DR5" s="666" t="s">
        <v>986</v>
      </c>
      <c r="DS5" s="674" t="s">
        <v>375</v>
      </c>
      <c r="DT5" s="675" t="s">
        <v>380</v>
      </c>
      <c r="DU5" s="669"/>
      <c r="DV5" s="666" t="s">
        <v>986</v>
      </c>
      <c r="DW5" s="674" t="s">
        <v>375</v>
      </c>
      <c r="DX5" s="675" t="s">
        <v>380</v>
      </c>
      <c r="DY5" s="1412" t="s">
        <v>866</v>
      </c>
      <c r="DZ5" s="666" t="s">
        <v>986</v>
      </c>
      <c r="EA5" s="674" t="s">
        <v>375</v>
      </c>
      <c r="EB5" s="676" t="s">
        <v>380</v>
      </c>
      <c r="EC5" s="1413" t="s">
        <v>382</v>
      </c>
      <c r="ED5" s="666" t="s">
        <v>986</v>
      </c>
      <c r="EE5" s="674" t="s">
        <v>375</v>
      </c>
      <c r="EF5" s="676" t="s">
        <v>380</v>
      </c>
      <c r="EG5" s="1413" t="s">
        <v>384</v>
      </c>
      <c r="EH5" s="666" t="s">
        <v>986</v>
      </c>
      <c r="EI5" s="674" t="s">
        <v>375</v>
      </c>
      <c r="EJ5" s="675" t="s">
        <v>380</v>
      </c>
      <c r="EK5" s="677" t="s">
        <v>84</v>
      </c>
      <c r="EL5" s="678"/>
      <c r="EM5" s="678" t="s">
        <v>390</v>
      </c>
      <c r="EN5" s="661" t="s">
        <v>391</v>
      </c>
      <c r="EO5" s="661" t="s">
        <v>388</v>
      </c>
      <c r="EP5" s="661"/>
      <c r="EQ5" s="661"/>
      <c r="ER5" s="661" t="s">
        <v>84</v>
      </c>
      <c r="ES5" s="661"/>
      <c r="ET5" s="661"/>
      <c r="EU5" s="661"/>
      <c r="EV5" s="661" t="s">
        <v>669</v>
      </c>
      <c r="EW5" s="662"/>
      <c r="EX5" s="663"/>
      <c r="EY5" s="679"/>
      <c r="EZ5" s="680"/>
      <c r="FA5" s="678"/>
    </row>
    <row r="6" spans="1:162" ht="13.5" customHeight="1" thickBot="1">
      <c r="B6" s="681"/>
      <c r="C6" s="1060"/>
      <c r="D6" s="682"/>
      <c r="E6" s="683"/>
      <c r="F6" s="684"/>
      <c r="G6" s="684"/>
      <c r="H6" s="684"/>
      <c r="I6" s="684"/>
      <c r="J6" s="684"/>
      <c r="K6" s="685"/>
      <c r="L6" s="682"/>
      <c r="M6" s="682"/>
      <c r="N6" s="682"/>
      <c r="O6" s="686"/>
      <c r="P6" s="1346"/>
      <c r="Q6" s="687" t="s">
        <v>985</v>
      </c>
      <c r="R6" s="688" t="s">
        <v>642</v>
      </c>
      <c r="S6" s="689" t="s">
        <v>642</v>
      </c>
      <c r="T6" s="1346"/>
      <c r="U6" s="687" t="s">
        <v>985</v>
      </c>
      <c r="V6" s="688" t="s">
        <v>642</v>
      </c>
      <c r="W6" s="689" t="s">
        <v>642</v>
      </c>
      <c r="X6" s="1346"/>
      <c r="Y6" s="687" t="s">
        <v>985</v>
      </c>
      <c r="Z6" s="688" t="s">
        <v>642</v>
      </c>
      <c r="AA6" s="689" t="s">
        <v>642</v>
      </c>
      <c r="AB6" s="1346"/>
      <c r="AC6" s="687" t="s">
        <v>985</v>
      </c>
      <c r="AD6" s="688" t="s">
        <v>642</v>
      </c>
      <c r="AE6" s="689" t="s">
        <v>642</v>
      </c>
      <c r="AF6" s="690" t="s">
        <v>991</v>
      </c>
      <c r="AG6" s="687" t="s">
        <v>985</v>
      </c>
      <c r="AH6" s="688" t="s">
        <v>642</v>
      </c>
      <c r="AI6" s="689" t="s">
        <v>642</v>
      </c>
      <c r="AJ6" s="1345"/>
      <c r="AK6" s="1346"/>
      <c r="AL6" s="687" t="s">
        <v>985</v>
      </c>
      <c r="AM6" s="688" t="s">
        <v>642</v>
      </c>
      <c r="AN6" s="689" t="s">
        <v>642</v>
      </c>
      <c r="AO6" s="1373"/>
      <c r="AP6" s="1346"/>
      <c r="AQ6" s="687" t="s">
        <v>985</v>
      </c>
      <c r="AR6" s="691" t="s">
        <v>642</v>
      </c>
      <c r="AS6" s="692" t="s">
        <v>642</v>
      </c>
      <c r="AT6" s="1346"/>
      <c r="AU6" s="1363"/>
      <c r="AV6" s="1363"/>
      <c r="AW6" s="687" t="s">
        <v>1006</v>
      </c>
      <c r="AX6" s="688" t="s">
        <v>642</v>
      </c>
      <c r="AY6" s="689" t="s">
        <v>642</v>
      </c>
      <c r="AZ6" s="1346"/>
      <c r="BA6" s="687" t="s">
        <v>985</v>
      </c>
      <c r="BB6" s="688" t="s">
        <v>642</v>
      </c>
      <c r="BC6" s="689" t="s">
        <v>642</v>
      </c>
      <c r="BD6" s="1346"/>
      <c r="BE6" s="687" t="s">
        <v>985</v>
      </c>
      <c r="BF6" s="688" t="s">
        <v>642</v>
      </c>
      <c r="BG6" s="689" t="s">
        <v>642</v>
      </c>
      <c r="BH6" s="1346"/>
      <c r="BI6" s="687" t="s">
        <v>985</v>
      </c>
      <c r="BJ6" s="688" t="s">
        <v>642</v>
      </c>
      <c r="BK6" s="689" t="s">
        <v>642</v>
      </c>
      <c r="BL6" s="1346"/>
      <c r="BM6" s="687" t="s">
        <v>985</v>
      </c>
      <c r="BN6" s="688" t="s">
        <v>642</v>
      </c>
      <c r="BO6" s="689" t="s">
        <v>642</v>
      </c>
      <c r="BP6" s="1346"/>
      <c r="BQ6" s="687" t="s">
        <v>985</v>
      </c>
      <c r="BR6" s="688" t="s">
        <v>642</v>
      </c>
      <c r="BS6" s="689" t="s">
        <v>642</v>
      </c>
      <c r="BT6" s="1346"/>
      <c r="BU6" s="687" t="s">
        <v>985</v>
      </c>
      <c r="BV6" s="688" t="s">
        <v>642</v>
      </c>
      <c r="BW6" s="689" t="s">
        <v>642</v>
      </c>
      <c r="BX6" s="1346"/>
      <c r="BY6" s="687" t="s">
        <v>985</v>
      </c>
      <c r="BZ6" s="688" t="s">
        <v>642</v>
      </c>
      <c r="CA6" s="689" t="s">
        <v>642</v>
      </c>
      <c r="CB6" s="1346"/>
      <c r="CC6" s="687" t="s">
        <v>985</v>
      </c>
      <c r="CD6" s="688" t="s">
        <v>642</v>
      </c>
      <c r="CE6" s="689" t="s">
        <v>642</v>
      </c>
      <c r="CF6" s="1346"/>
      <c r="CG6" s="687" t="s">
        <v>985</v>
      </c>
      <c r="CH6" s="688" t="s">
        <v>642</v>
      </c>
      <c r="CI6" s="689" t="s">
        <v>642</v>
      </c>
      <c r="CJ6" s="1358"/>
      <c r="CK6" s="1410"/>
      <c r="CL6" s="687" t="s">
        <v>985</v>
      </c>
      <c r="CM6" s="688" t="s">
        <v>642</v>
      </c>
      <c r="CN6" s="689" t="s">
        <v>642</v>
      </c>
      <c r="CO6" s="1338"/>
      <c r="CP6" s="1340"/>
      <c r="CQ6" s="1340"/>
      <c r="CR6" s="1364"/>
      <c r="CS6" s="687" t="s">
        <v>985</v>
      </c>
      <c r="CT6" s="688" t="s">
        <v>642</v>
      </c>
      <c r="CU6" s="689" t="s">
        <v>642</v>
      </c>
      <c r="CV6" s="1404"/>
      <c r="CW6" s="1346"/>
      <c r="CX6" s="687" t="s">
        <v>985</v>
      </c>
      <c r="CY6" s="688" t="s">
        <v>642</v>
      </c>
      <c r="CZ6" s="689" t="s">
        <v>642</v>
      </c>
      <c r="DA6" s="1346"/>
      <c r="DB6" s="687" t="s">
        <v>985</v>
      </c>
      <c r="DC6" s="688" t="s">
        <v>642</v>
      </c>
      <c r="DD6" s="693" t="s">
        <v>642</v>
      </c>
      <c r="DE6" s="690" t="s">
        <v>1289</v>
      </c>
      <c r="DF6" s="687" t="s">
        <v>985</v>
      </c>
      <c r="DG6" s="688" t="s">
        <v>642</v>
      </c>
      <c r="DH6" s="689" t="s">
        <v>642</v>
      </c>
      <c r="DI6" s="690" t="s">
        <v>1289</v>
      </c>
      <c r="DJ6" s="687" t="s">
        <v>985</v>
      </c>
      <c r="DK6" s="688" t="s">
        <v>642</v>
      </c>
      <c r="DL6" s="689" t="s">
        <v>642</v>
      </c>
      <c r="DM6" s="690" t="s">
        <v>1002</v>
      </c>
      <c r="DN6" s="687" t="s">
        <v>985</v>
      </c>
      <c r="DO6" s="688" t="s">
        <v>642</v>
      </c>
      <c r="DP6" s="689" t="s">
        <v>642</v>
      </c>
      <c r="DQ6" s="690" t="s">
        <v>1002</v>
      </c>
      <c r="DR6" s="687" t="s">
        <v>985</v>
      </c>
      <c r="DS6" s="688" t="s">
        <v>642</v>
      </c>
      <c r="DT6" s="689" t="s">
        <v>642</v>
      </c>
      <c r="DU6" s="690"/>
      <c r="DV6" s="687" t="s">
        <v>985</v>
      </c>
      <c r="DW6" s="688" t="s">
        <v>642</v>
      </c>
      <c r="DX6" s="689" t="s">
        <v>642</v>
      </c>
      <c r="DY6" s="1350"/>
      <c r="DZ6" s="687" t="s">
        <v>985</v>
      </c>
      <c r="EA6" s="688" t="s">
        <v>642</v>
      </c>
      <c r="EB6" s="693" t="s">
        <v>642</v>
      </c>
      <c r="EC6" s="1413"/>
      <c r="ED6" s="687" t="s">
        <v>985</v>
      </c>
      <c r="EE6" s="688" t="s">
        <v>642</v>
      </c>
      <c r="EF6" s="693" t="s">
        <v>642</v>
      </c>
      <c r="EG6" s="1338"/>
      <c r="EH6" s="687" t="s">
        <v>985</v>
      </c>
      <c r="EI6" s="688" t="s">
        <v>642</v>
      </c>
      <c r="EJ6" s="689" t="s">
        <v>642</v>
      </c>
      <c r="EK6" s="694"/>
      <c r="EL6" s="695" t="s">
        <v>642</v>
      </c>
      <c r="EM6" s="695" t="s">
        <v>642</v>
      </c>
      <c r="EN6" s="695" t="s">
        <v>642</v>
      </c>
      <c r="EO6" s="695" t="s">
        <v>642</v>
      </c>
      <c r="EP6" s="695"/>
      <c r="EQ6" s="695" t="s">
        <v>642</v>
      </c>
      <c r="ER6" s="695" t="s">
        <v>642</v>
      </c>
      <c r="ES6" s="695"/>
      <c r="ET6" s="695"/>
      <c r="EU6" s="695"/>
      <c r="EV6" s="695" t="s">
        <v>642</v>
      </c>
      <c r="EW6" s="696"/>
      <c r="EX6" s="697" t="s">
        <v>642</v>
      </c>
      <c r="EY6" s="698" t="s">
        <v>642</v>
      </c>
      <c r="EZ6" s="698"/>
      <c r="FA6" s="695" t="s">
        <v>642</v>
      </c>
    </row>
    <row r="7" spans="1:162">
      <c r="B7" s="699"/>
      <c r="C7" s="700"/>
      <c r="D7" s="701"/>
      <c r="E7" s="702"/>
      <c r="F7" s="703"/>
      <c r="G7" s="703"/>
      <c r="H7" s="703"/>
      <c r="I7" s="703"/>
      <c r="J7" s="703"/>
      <c r="K7" s="704"/>
      <c r="L7" s="705"/>
      <c r="M7" s="705"/>
      <c r="N7" s="705"/>
      <c r="O7" s="706"/>
      <c r="P7" s="707"/>
      <c r="Q7" s="708"/>
      <c r="R7" s="709"/>
      <c r="S7" s="710"/>
      <c r="T7" s="711"/>
      <c r="U7" s="711"/>
      <c r="V7" s="711"/>
      <c r="W7" s="712"/>
      <c r="X7" s="713"/>
      <c r="Y7" s="708"/>
      <c r="Z7" s="709"/>
      <c r="AA7" s="710"/>
      <c r="AB7" s="656"/>
      <c r="AC7" s="708"/>
      <c r="AD7" s="709"/>
      <c r="AE7" s="638"/>
      <c r="AF7" s="713"/>
      <c r="AG7" s="713"/>
      <c r="AH7" s="714"/>
      <c r="AI7" s="710"/>
      <c r="AJ7" s="715"/>
      <c r="AK7" s="708"/>
      <c r="AL7" s="708"/>
      <c r="AM7" s="709"/>
      <c r="AN7" s="710"/>
      <c r="AO7" s="716"/>
      <c r="AP7" s="716"/>
      <c r="AQ7" s="716"/>
      <c r="AR7" s="716"/>
      <c r="AS7" s="717"/>
      <c r="AT7" s="713"/>
      <c r="AU7" s="713"/>
      <c r="AV7" s="708"/>
      <c r="AW7" s="708"/>
      <c r="AX7" s="709"/>
      <c r="AY7" s="710"/>
      <c r="AZ7" s="713"/>
      <c r="BA7" s="708"/>
      <c r="BB7" s="709"/>
      <c r="BC7" s="710"/>
      <c r="BD7" s="656"/>
      <c r="BE7" s="708"/>
      <c r="BF7" s="709"/>
      <c r="BG7" s="638"/>
      <c r="BH7" s="711"/>
      <c r="BI7" s="711"/>
      <c r="BJ7" s="711"/>
      <c r="BK7" s="718"/>
      <c r="BL7" s="711"/>
      <c r="BM7" s="711"/>
      <c r="BN7" s="711"/>
      <c r="BO7" s="712"/>
      <c r="BP7" s="711"/>
      <c r="BQ7" s="711"/>
      <c r="BR7" s="711"/>
      <c r="BS7" s="718"/>
      <c r="BT7" s="711"/>
      <c r="BU7" s="711"/>
      <c r="BV7" s="711"/>
      <c r="BW7" s="718"/>
      <c r="BX7" s="713"/>
      <c r="BY7" s="708"/>
      <c r="BZ7" s="709"/>
      <c r="CA7" s="638"/>
      <c r="CB7" s="713"/>
      <c r="CC7" s="708"/>
      <c r="CD7" s="709"/>
      <c r="CE7" s="710"/>
      <c r="CF7" s="711"/>
      <c r="CG7" s="711"/>
      <c r="CH7" s="711"/>
      <c r="CI7" s="718"/>
      <c r="CJ7" s="711"/>
      <c r="CK7" s="711"/>
      <c r="CL7" s="719"/>
      <c r="CM7" s="676"/>
      <c r="CN7" s="675"/>
      <c r="CO7" s="676"/>
      <c r="CP7" s="676"/>
      <c r="CQ7" s="676"/>
      <c r="CR7" s="708"/>
      <c r="CS7" s="708"/>
      <c r="CT7" s="709"/>
      <c r="CU7" s="638"/>
      <c r="CV7" s="711"/>
      <c r="CW7" s="711"/>
      <c r="CX7" s="711"/>
      <c r="CY7" s="711"/>
      <c r="CZ7" s="711"/>
      <c r="DA7" s="656"/>
      <c r="DB7" s="708"/>
      <c r="DC7" s="709"/>
      <c r="DD7" s="710"/>
      <c r="DE7" s="656"/>
      <c r="DF7" s="708"/>
      <c r="DG7" s="709"/>
      <c r="DH7" s="638"/>
      <c r="DI7" s="711"/>
      <c r="DJ7" s="711"/>
      <c r="DK7" s="711"/>
      <c r="DL7" s="711"/>
      <c r="DM7" s="655"/>
      <c r="DN7" s="720"/>
      <c r="DO7" s="639"/>
      <c r="DP7" s="721"/>
      <c r="DQ7" s="655"/>
      <c r="DR7" s="720"/>
      <c r="DS7" s="639"/>
      <c r="DT7" s="721"/>
      <c r="DU7" s="655"/>
      <c r="DV7" s="720"/>
      <c r="DW7" s="639"/>
      <c r="DX7" s="721"/>
      <c r="DY7" s="722"/>
      <c r="DZ7" s="723"/>
      <c r="EA7" s="723"/>
      <c r="EB7" s="723"/>
      <c r="EC7" s="659"/>
      <c r="ED7" s="724"/>
      <c r="EE7" s="725"/>
      <c r="EF7" s="726"/>
      <c r="EG7" s="727"/>
      <c r="EH7" s="728"/>
      <c r="EI7" s="729"/>
      <c r="EJ7" s="730"/>
      <c r="EK7" s="731"/>
      <c r="EL7" s="732"/>
      <c r="EM7" s="722"/>
      <c r="EN7" s="732"/>
      <c r="EO7" s="732"/>
      <c r="EP7" s="733"/>
      <c r="EQ7" s="678"/>
      <c r="ER7" s="732"/>
      <c r="ES7" s="678"/>
      <c r="ET7" s="678"/>
      <c r="EU7" s="678"/>
      <c r="EV7" s="678"/>
      <c r="EW7" s="734"/>
      <c r="EX7" s="735"/>
      <c r="EY7" s="736"/>
      <c r="EZ7" s="737"/>
      <c r="FA7" s="738"/>
      <c r="FE7" s="739"/>
    </row>
    <row r="8" spans="1:162" ht="12.75">
      <c r="A8" s="610" t="s">
        <v>686</v>
      </c>
      <c r="B8" s="740">
        <v>20</v>
      </c>
      <c r="C8" s="1056" t="s">
        <v>875</v>
      </c>
      <c r="D8" s="741">
        <v>3.5099999999999999E-2</v>
      </c>
      <c r="E8" s="742">
        <f>G8</f>
        <v>0.62700964630225076</v>
      </c>
      <c r="F8" s="743">
        <v>40</v>
      </c>
      <c r="G8" s="598">
        <f>D8*1000/((130-70)*0.933)</f>
        <v>0.62700964630225076</v>
      </c>
      <c r="H8" s="599">
        <v>40</v>
      </c>
      <c r="I8" s="598">
        <f>D8*1000/((95-70)*0.962)</f>
        <v>1.4594594594594594</v>
      </c>
      <c r="J8" s="599">
        <v>40</v>
      </c>
      <c r="K8" s="600">
        <f>G8/SQRT(0.5)</f>
        <v>0.88672554553940031</v>
      </c>
      <c r="L8" s="744">
        <v>2</v>
      </c>
      <c r="M8" s="601">
        <f>I8/L8</f>
        <v>0.72972972972972971</v>
      </c>
      <c r="N8" s="601">
        <f>M8/SQRT(0.5)</f>
        <v>1.0319936806506369</v>
      </c>
      <c r="O8" s="602">
        <v>20</v>
      </c>
      <c r="P8" s="745">
        <f>F8</f>
        <v>40</v>
      </c>
      <c r="Q8" s="746">
        <v>2</v>
      </c>
      <c r="R8" s="747">
        <f>VLOOKUP(P8,'Ціни контур мережний'!$Z$24:$AB$36,3,0)</f>
        <v>18.42400964308333</v>
      </c>
      <c r="S8" s="748">
        <f>R8*Q8</f>
        <v>36.848019286166661</v>
      </c>
      <c r="T8" s="745">
        <f>F8</f>
        <v>40</v>
      </c>
      <c r="U8" s="749">
        <v>2</v>
      </c>
      <c r="V8" s="747">
        <f>VLOOKUP(T8,'Ціни контур мережний'!$Z$64:$AB$77,3,0)</f>
        <v>72.595528496809465</v>
      </c>
      <c r="W8" s="748">
        <f>U8*V8</f>
        <v>145.19105699361893</v>
      </c>
      <c r="X8" s="745">
        <f>F8</f>
        <v>40</v>
      </c>
      <c r="Y8" s="746">
        <v>0</v>
      </c>
      <c r="Z8" s="747">
        <f>VLOOKUP(X8,'Ціни контур мережний'!$Z$5:$AB$17,3,0)</f>
        <v>23.225999999999999</v>
      </c>
      <c r="AA8" s="748">
        <f>Y8*Z8</f>
        <v>0</v>
      </c>
      <c r="AB8" s="750">
        <f>H8</f>
        <v>40</v>
      </c>
      <c r="AC8" s="746">
        <v>1</v>
      </c>
      <c r="AD8" s="747">
        <f>VLOOKUP(AB8,'Ціни контур мережний'!$Z$43:$AB$55,3,0)</f>
        <v>18.42400964308333</v>
      </c>
      <c r="AE8" s="748">
        <f>AC8*AD8</f>
        <v>18.42400964308333</v>
      </c>
      <c r="AF8" s="751" t="s">
        <v>815</v>
      </c>
      <c r="AG8" s="751">
        <v>1</v>
      </c>
      <c r="AH8" s="747">
        <f>VLOOKUP(AF8,'Ціни контур мережний'!$I$53:$M$57,5,0)</f>
        <v>110.39869654932889</v>
      </c>
      <c r="AI8" s="748">
        <f>AG8*AH8</f>
        <v>110.39869654932889</v>
      </c>
      <c r="AJ8" s="752">
        <f t="array" ref="AJ8">MIN(IF('Ціни контур мережний'!$Y$83:$Y$92&gt;(K8*1.2),'Ціни контур мережний'!$Y$83:$Y$92))</f>
        <v>1.6</v>
      </c>
      <c r="AK8" s="746">
        <f>VLOOKUP(AJ8,'Ціни контур мережний'!$Y$83:$Z$92,2,0)</f>
        <v>15</v>
      </c>
      <c r="AL8" s="746">
        <v>1</v>
      </c>
      <c r="AM8" s="747">
        <f>VLOOKUP(AJ8,'Ціни контур мережний'!$Y$83:$AB$92,4,0)</f>
        <v>104.44472592804462</v>
      </c>
      <c r="AN8" s="748">
        <f>AL8*AM8</f>
        <v>104.44472592804462</v>
      </c>
      <c r="AO8" s="1099">
        <f t="array" ref="AO8">MIN(IF('[1]Ціни контур мережний'!$Y$104:$Y$114&gt;(K8*1.2),'[1]Ціни контур мережний'!$Y$104:$Y$114))</f>
        <v>4</v>
      </c>
      <c r="AP8" s="1101">
        <f>VLOOKUP(AO8,'[1]Ціни контур мережний'!$Y$104:$Z$114,2,0)</f>
        <v>15</v>
      </c>
      <c r="AQ8" s="753">
        <v>1</v>
      </c>
      <c r="AR8" s="754">
        <f>VLOOKUP(AO8,'Ціни контур мережний'!$Y$104:$AB$114,4,0)</f>
        <v>251.13923223078018</v>
      </c>
      <c r="AS8" s="755">
        <f>AQ8*AR8</f>
        <v>251.13923223078018</v>
      </c>
      <c r="AT8" s="751" t="s">
        <v>115</v>
      </c>
      <c r="AU8" s="751" t="s">
        <v>115</v>
      </c>
      <c r="AV8" s="746" t="s">
        <v>1025</v>
      </c>
      <c r="AW8" s="756">
        <v>1</v>
      </c>
      <c r="AX8" s="747">
        <v>0</v>
      </c>
      <c r="AY8" s="748">
        <f>AW8*AX8</f>
        <v>0</v>
      </c>
      <c r="AZ8" s="751">
        <f>J8</f>
        <v>40</v>
      </c>
      <c r="BA8" s="746">
        <v>4</v>
      </c>
      <c r="BB8" s="747">
        <f>VLOOKUP(AZ8,'Ціни контур теплопостачання'!$Y$5:$AA$17,3,0)</f>
        <v>18.42400964308333</v>
      </c>
      <c r="BC8" s="748">
        <f>BA8*BB8</f>
        <v>73.696038572333322</v>
      </c>
      <c r="BD8" s="757">
        <f>O8</f>
        <v>20</v>
      </c>
      <c r="BE8" s="746">
        <f>2*L8</f>
        <v>4</v>
      </c>
      <c r="BF8" s="747">
        <f>VLOOKUP(BD8,'Ціни контур теплопостачання'!$Y$5:$AA$17,3,0)</f>
        <v>3.577</v>
      </c>
      <c r="BG8" s="748">
        <f>BE8*BF8</f>
        <v>14.308</v>
      </c>
      <c r="BH8" s="745">
        <v>20</v>
      </c>
      <c r="BI8" s="749">
        <v>2</v>
      </c>
      <c r="BJ8" s="747">
        <f>VLOOKUP(BH8,'Ціни контур теплопостачання'!$Y$5:$AA$17,3,0)</f>
        <v>3.577</v>
      </c>
      <c r="BK8" s="748">
        <f>BI8*BJ8</f>
        <v>7.1539999999999999</v>
      </c>
      <c r="BL8" s="745">
        <v>15</v>
      </c>
      <c r="BM8" s="745">
        <v>5</v>
      </c>
      <c r="BN8" s="758">
        <f>VLOOKUP(BL8,'Ціни контур теплопостачання'!$Y$5:$AA$17,3,0)</f>
        <v>2.464</v>
      </c>
      <c r="BO8" s="759">
        <f>BM8*BN8</f>
        <v>12.32</v>
      </c>
      <c r="BP8" s="745">
        <v>15</v>
      </c>
      <c r="BQ8" s="745">
        <f>22+(L8-1)</f>
        <v>23</v>
      </c>
      <c r="BR8" s="758">
        <f>VLOOKUP(BP8,'Ціни контур мережний'!$J$71:$M$71,4,0)</f>
        <v>3.3865201135922525</v>
      </c>
      <c r="BS8" s="759">
        <f>BQ8*BR8</f>
        <v>77.889962612621801</v>
      </c>
      <c r="BT8" s="745">
        <f>J8</f>
        <v>40</v>
      </c>
      <c r="BU8" s="745">
        <v>1</v>
      </c>
      <c r="BV8" s="758">
        <f>VLOOKUP(BT8,'Ціни контур теплопостачання'!$Y$24:$AA$36,3,0)</f>
        <v>20.3645</v>
      </c>
      <c r="BW8" s="759">
        <f>BU8*BV8</f>
        <v>20.3645</v>
      </c>
      <c r="BX8" s="751">
        <f>J8</f>
        <v>40</v>
      </c>
      <c r="BY8" s="746">
        <v>1</v>
      </c>
      <c r="BZ8" s="747">
        <f>VLOOKUP(BX8,'Ціни контур теплопостачання'!$K$5:$M$17,3,0)</f>
        <v>23.225999999999999</v>
      </c>
      <c r="CA8" s="748">
        <f>BY8*BZ8</f>
        <v>23.225999999999999</v>
      </c>
      <c r="CB8" s="751">
        <f>J8</f>
        <v>40</v>
      </c>
      <c r="CC8" s="746">
        <v>2</v>
      </c>
      <c r="CD8" s="747">
        <f>VLOOKUP(CB8,'Ціни контур теплопостачання'!$Y$24:$AA$36,3,0)</f>
        <v>20.3645</v>
      </c>
      <c r="CE8" s="748">
        <f>CD8*CC8</f>
        <v>40.728999999999999</v>
      </c>
      <c r="CF8" s="745">
        <f>O8</f>
        <v>20</v>
      </c>
      <c r="CG8" s="745">
        <f>2*L8</f>
        <v>4</v>
      </c>
      <c r="CH8" s="758">
        <f>VLOOKUP(CF8,'Ціни контур теплопостачання'!$Y$76:$AA$88,3,0)</f>
        <v>11.45</v>
      </c>
      <c r="CI8" s="759">
        <f>CG8*CH8</f>
        <v>45.8</v>
      </c>
      <c r="CJ8" s="758">
        <f>((3*10^-6*D8*0.86*1000000)/(CL8*0.05))^0.5*10</f>
        <v>9.5161967192781383</v>
      </c>
      <c r="CK8" s="760">
        <v>15</v>
      </c>
      <c r="CL8" s="719">
        <v>2</v>
      </c>
      <c r="CM8" s="747">
        <f>VLOOKUP(CK8,'Ціни контур теплопостачання'!$K$74:$M$79,3,0)</f>
        <v>13.33</v>
      </c>
      <c r="CN8" s="761">
        <f>CL8*CM8</f>
        <v>26.66</v>
      </c>
      <c r="CO8" s="762">
        <f>I8</f>
        <v>1.4594594594594594</v>
      </c>
      <c r="CP8" s="763">
        <v>2</v>
      </c>
      <c r="CQ8" s="762">
        <v>5</v>
      </c>
      <c r="CR8" s="720" t="s">
        <v>1094</v>
      </c>
      <c r="CS8" s="708">
        <v>2</v>
      </c>
      <c r="CT8" s="709">
        <f>VLOOKUP(CR8,'Ціни контур теплопостачання'!$C$89:$M$105,11,0)</f>
        <v>80.399999999999991</v>
      </c>
      <c r="CU8" s="764">
        <f>CS8*CT8</f>
        <v>160.79999999999998</v>
      </c>
      <c r="CV8" s="758">
        <f t="array" ref="CV8">MIN(IF('Ціни контур теплопостачання'!$AN$68:$AN$77&gt;(N8*1.2),'Ціни контур теплопостачання'!$AN$68:$AN$77))</f>
        <v>1.67</v>
      </c>
      <c r="CW8" s="749">
        <f>VLOOKUP(CV8,'Ціни контур теплопостачання'!$AN$68:$AO$77,2,0)</f>
        <v>15</v>
      </c>
      <c r="CX8" s="749">
        <f>L8</f>
        <v>2</v>
      </c>
      <c r="CY8" s="747">
        <f>VLOOKUP(CW8,'Ціни контур теплопостачання'!$AO$68:$AQ$77,3,0)</f>
        <v>22.777999999999999</v>
      </c>
      <c r="CZ8" s="765">
        <f>CX8*CY8</f>
        <v>45.555999999999997</v>
      </c>
      <c r="DA8" s="750">
        <v>15</v>
      </c>
      <c r="DB8" s="746">
        <v>1</v>
      </c>
      <c r="DC8" s="747">
        <f>VLOOKUP(DA8,'Ціни контур мережний'!$J$73:$M$73,4,0)</f>
        <v>3.4649999999999999</v>
      </c>
      <c r="DD8" s="748">
        <f>DB8*DC8</f>
        <v>3.4649999999999999</v>
      </c>
      <c r="DE8" s="655" t="s">
        <v>864</v>
      </c>
      <c r="DF8" s="720">
        <v>0</v>
      </c>
      <c r="DG8" s="747">
        <f>VLOOKUP(DE8,'Ціни контур мережний'!$I$79:$M$80,5,0)</f>
        <v>15.050156291498967</v>
      </c>
      <c r="DH8" s="748">
        <f>DF8*DG8</f>
        <v>0</v>
      </c>
      <c r="DI8" s="758" t="s">
        <v>109</v>
      </c>
      <c r="DJ8" s="749">
        <v>0</v>
      </c>
      <c r="DK8" s="747">
        <f>VLOOKUP(DI8,'Ціни контур мережний'!$I$79:$M$80,5,0)</f>
        <v>15.050156291498967</v>
      </c>
      <c r="DL8" s="765">
        <f>DJ8*DK8</f>
        <v>0</v>
      </c>
      <c r="DM8" s="655" t="s">
        <v>108</v>
      </c>
      <c r="DN8" s="720">
        <v>2</v>
      </c>
      <c r="DO8" s="747">
        <f>VLOOKUP(DM8,'Ціни контур мережний'!$I$67:$M$69,5,0)</f>
        <v>4.4537969640631703</v>
      </c>
      <c r="DP8" s="748">
        <f>DN8*DO8</f>
        <v>8.9075939281263405</v>
      </c>
      <c r="DQ8" s="655" t="s">
        <v>106</v>
      </c>
      <c r="DR8" s="720">
        <f>6+L8</f>
        <v>8</v>
      </c>
      <c r="DS8" s="747">
        <f>VLOOKUP(DQ8,'Ціни контур мережний'!$I$67:$M$69,5,0)</f>
        <v>4.4537969640631703</v>
      </c>
      <c r="DT8" s="748">
        <f>DR8*DS8</f>
        <v>35.630375712505362</v>
      </c>
      <c r="DU8" s="655" t="s">
        <v>1013</v>
      </c>
      <c r="DV8" s="720">
        <v>2</v>
      </c>
      <c r="DW8" s="747">
        <f>VLOOKUP(DU8,'Ціни контур мережний'!$I$64:$M$64,5,0)</f>
        <v>29.1312</v>
      </c>
      <c r="DX8" s="748">
        <f>DV8*DW8</f>
        <v>58.2624</v>
      </c>
      <c r="DY8" s="766" t="s">
        <v>1015</v>
      </c>
      <c r="DZ8" s="749">
        <v>4</v>
      </c>
      <c r="EA8" s="747">
        <f>VLOOKUP(DY8,'Ціни контур мережний'!$I$89:$M$89,5,0)</f>
        <v>79.523165325760516</v>
      </c>
      <c r="EB8" s="765">
        <f>DZ8*EA8</f>
        <v>318.09266130304206</v>
      </c>
      <c r="EC8" s="767" t="s">
        <v>1016</v>
      </c>
      <c r="ED8" s="720">
        <v>4</v>
      </c>
      <c r="EE8" s="747">
        <f>VLOOKUP(EC8,'Ціни контур мережний'!$I$88:$M$88,5,0)</f>
        <v>13.211568975967202</v>
      </c>
      <c r="EF8" s="768">
        <f>ED8*EE8</f>
        <v>52.846275903868808</v>
      </c>
      <c r="EG8" s="767" t="s">
        <v>383</v>
      </c>
      <c r="EH8" s="720">
        <v>1</v>
      </c>
      <c r="EI8" s="747">
        <f>VLOOKUP(EG8,'Ціни контур мережний'!$I$87:$M$87,5,0)</f>
        <v>13.483972460007763</v>
      </c>
      <c r="EJ8" s="748">
        <f>EH8*EI8</f>
        <v>13.483972460007763</v>
      </c>
      <c r="EK8" s="769">
        <f>B8</f>
        <v>20</v>
      </c>
      <c r="EL8" s="770">
        <f>S8+W8+AA8+AE8+AI8+AN8+AS8+AY8+BC8+BG8+BK8+BO8+BS8+BW8+CA8+CE8+CI8+CN8+CU8+CZ8+DD8+DH8+DL8+DP8+DT8+DX8+EB8+EF8+EJ8</f>
        <v>1705.6375211235286</v>
      </c>
      <c r="EM8" s="771">
        <v>0</v>
      </c>
      <c r="EN8" s="771">
        <v>0</v>
      </c>
      <c r="EO8" s="770">
        <f>[2]Расходы!$F$331+[2]Расходы!$F$347</f>
        <v>584.01223091643328</v>
      </c>
      <c r="EP8" s="770">
        <f>'Таблиця цін схема №2'!$HV$8*0.8</f>
        <v>390.2542750321777</v>
      </c>
      <c r="EQ8" s="770">
        <f>'Таблиця цін схема №1'!$JI$8</f>
        <v>323.47913729816605</v>
      </c>
      <c r="ER8" s="770">
        <f>'Таблиця цін схема №1'!$JJ$8</f>
        <v>66.611999999999995</v>
      </c>
      <c r="ES8" s="772">
        <v>0</v>
      </c>
      <c r="ET8" s="772">
        <f>'Таблиця цін схема №1'!$JL$8</f>
        <v>62.86234247089866</v>
      </c>
      <c r="EU8" s="772">
        <v>0</v>
      </c>
      <c r="EV8" s="770">
        <v>0</v>
      </c>
      <c r="EW8" s="773">
        <f>SUM(EL8:EV8)*$EW$1</f>
        <v>219.30002547888429</v>
      </c>
      <c r="EX8" s="774">
        <f>SUM(EL8:EV8)*$EX$1</f>
        <v>313.28575068412039</v>
      </c>
      <c r="EY8" s="775">
        <f>ABS(SUM(EL8:EX8)*$EY$1-SUM(EL8:EX8))</f>
        <v>53.892932137523076</v>
      </c>
      <c r="EZ8" s="776">
        <f>'Таблиця цін схема №1'!$JR$8</f>
        <v>300.63036461094771</v>
      </c>
      <c r="FA8" s="777">
        <f>SUM(EL8:EZ8)</f>
        <v>4019.9665797526795</v>
      </c>
      <c r="FC8" s="616">
        <f>[3]Расчеты!AX7/1.2</f>
        <v>4130.3090565966531</v>
      </c>
      <c r="FD8" s="616">
        <f>FC8+FA8</f>
        <v>8150.2756363493327</v>
      </c>
      <c r="FE8" s="616" t="e">
        <f>FD8*1.2*#REF!</f>
        <v>#REF!</v>
      </c>
      <c r="FF8" s="616"/>
    </row>
    <row r="9" spans="1:162" ht="12.75">
      <c r="A9" s="610" t="s">
        <v>686</v>
      </c>
      <c r="B9" s="740">
        <v>21</v>
      </c>
      <c r="C9" s="1056" t="s">
        <v>876</v>
      </c>
      <c r="D9" s="741">
        <v>3.4099999999999998E-2</v>
      </c>
      <c r="E9" s="742">
        <f>G9</f>
        <v>0.60914612361557696</v>
      </c>
      <c r="F9" s="743">
        <v>40</v>
      </c>
      <c r="G9" s="598">
        <f>D9*1000/((130-70)*0.933)</f>
        <v>0.60914612361557696</v>
      </c>
      <c r="H9" s="599">
        <v>40</v>
      </c>
      <c r="I9" s="598">
        <f>D9*1000/((95-70)*0.962)</f>
        <v>1.4178794178794178</v>
      </c>
      <c r="J9" s="599">
        <v>40</v>
      </c>
      <c r="K9" s="600">
        <f>G9/SQRT(0.5)</f>
        <v>0.86146270948414672</v>
      </c>
      <c r="L9" s="744">
        <v>2</v>
      </c>
      <c r="M9" s="601">
        <f>I9/L9</f>
        <v>0.70893970893970892</v>
      </c>
      <c r="N9" s="601">
        <f t="shared" ref="N9:N11" si="0">M9/SQRT(0.5)</f>
        <v>1.0025921512873708</v>
      </c>
      <c r="O9" s="602">
        <v>20</v>
      </c>
      <c r="P9" s="745">
        <f>F9</f>
        <v>40</v>
      </c>
      <c r="Q9" s="746">
        <v>2</v>
      </c>
      <c r="R9" s="747">
        <f>VLOOKUP(P9,'Ціни контур мережний'!$Z$24:$AB$36,3,0)</f>
        <v>18.42400964308333</v>
      </c>
      <c r="S9" s="748">
        <f t="shared" ref="S9:S11" si="1">R9*Q9</f>
        <v>36.848019286166661</v>
      </c>
      <c r="T9" s="745">
        <f>F9</f>
        <v>40</v>
      </c>
      <c r="U9" s="749">
        <v>2</v>
      </c>
      <c r="V9" s="747">
        <f>VLOOKUP(T9,'Ціни контур мережний'!$Z$64:$AB$77,3,0)</f>
        <v>72.595528496809465</v>
      </c>
      <c r="W9" s="748">
        <f t="shared" ref="W9:W11" si="2">U9*V9</f>
        <v>145.19105699361893</v>
      </c>
      <c r="X9" s="745">
        <f>F9</f>
        <v>40</v>
      </c>
      <c r="Y9" s="746">
        <v>0</v>
      </c>
      <c r="Z9" s="747">
        <f>VLOOKUP(X9,'Ціни контур мережний'!$Z$5:$AB$17,3,0)</f>
        <v>23.225999999999999</v>
      </c>
      <c r="AA9" s="748">
        <f t="shared" ref="AA9:AA11" si="3">Y9*Z9</f>
        <v>0</v>
      </c>
      <c r="AB9" s="750">
        <f>H9</f>
        <v>40</v>
      </c>
      <c r="AC9" s="746">
        <v>1</v>
      </c>
      <c r="AD9" s="747">
        <f>VLOOKUP(AB9,'Ціни контур мережний'!$Z$43:$AB$55,3,0)</f>
        <v>18.42400964308333</v>
      </c>
      <c r="AE9" s="748">
        <f t="shared" ref="AE9:AE11" si="4">AC9*AD9</f>
        <v>18.42400964308333</v>
      </c>
      <c r="AF9" s="751" t="str">
        <f t="shared" ref="AF9:AF11" si="5">AF8</f>
        <v>AMV20</v>
      </c>
      <c r="AG9" s="751">
        <v>1</v>
      </c>
      <c r="AH9" s="747">
        <f>VLOOKUP(AF9,'Ціни контур мережний'!$I$53:$M$57,5,0)</f>
        <v>110.39869654932889</v>
      </c>
      <c r="AI9" s="748">
        <f t="shared" ref="AI9:AI11" si="6">AG9*AH9</f>
        <v>110.39869654932889</v>
      </c>
      <c r="AJ9" s="752">
        <f t="array" ref="AJ9">MIN(IF('Ціни контур мережний'!$Y$83:$Y$92&gt;(K9*1.2),'Ціни контур мережний'!$Y$83:$Y$92))</f>
        <v>1.6</v>
      </c>
      <c r="AK9" s="746">
        <f>VLOOKUP(AJ9,'Ціни контур мережний'!$Y$83:$Z$92,2,0)</f>
        <v>15</v>
      </c>
      <c r="AL9" s="746">
        <v>1</v>
      </c>
      <c r="AM9" s="747">
        <f>VLOOKUP(AJ9,'Ціни контур мережний'!$Y$83:$AB$92,4,0)</f>
        <v>104.44472592804462</v>
      </c>
      <c r="AN9" s="748">
        <f t="shared" ref="AN9:AN11" si="7">AL9*AM9</f>
        <v>104.44472592804462</v>
      </c>
      <c r="AO9" s="1099">
        <f t="array" ref="AO9">MIN(IF('[1]Ціни контур мережний'!$Y$104:$Y$114&gt;(K9*1.2),'[1]Ціни контур мережний'!$Y$104:$Y$114))</f>
        <v>4</v>
      </c>
      <c r="AP9" s="1101">
        <f>VLOOKUP(AO9,'[1]Ціни контур мережний'!$Y$104:$Z$114,2,0)</f>
        <v>15</v>
      </c>
      <c r="AQ9" s="753">
        <v>1</v>
      </c>
      <c r="AR9" s="754">
        <f>VLOOKUP(AO9,'Ціни контур мережний'!$Y$104:$AB$114,4,0)</f>
        <v>251.13923223078018</v>
      </c>
      <c r="AS9" s="755">
        <f t="shared" ref="AS9:AS11" si="8">AQ9*AR9</f>
        <v>251.13923223078018</v>
      </c>
      <c r="AT9" s="751" t="s">
        <v>115</v>
      </c>
      <c r="AU9" s="751" t="s">
        <v>115</v>
      </c>
      <c r="AV9" s="746" t="str">
        <f>AV8</f>
        <v>existed</v>
      </c>
      <c r="AW9" s="756">
        <v>1</v>
      </c>
      <c r="AX9" s="747">
        <v>0</v>
      </c>
      <c r="AY9" s="748">
        <f t="shared" ref="AY9:AY11" si="9">AW9*AX9</f>
        <v>0</v>
      </c>
      <c r="AZ9" s="751">
        <f>J9</f>
        <v>40</v>
      </c>
      <c r="BA9" s="746">
        <v>4</v>
      </c>
      <c r="BB9" s="747">
        <f>VLOOKUP(AZ9,'Ціни контур теплопостачання'!$Y$5:$AA$17,3,0)</f>
        <v>18.42400964308333</v>
      </c>
      <c r="BC9" s="748">
        <f t="shared" ref="BC9:BC11" si="10">BA9*BB9</f>
        <v>73.696038572333322</v>
      </c>
      <c r="BD9" s="757">
        <f>O9</f>
        <v>20</v>
      </c>
      <c r="BE9" s="746">
        <f>2*L9</f>
        <v>4</v>
      </c>
      <c r="BF9" s="747">
        <f>VLOOKUP(BD9,'Ціни контур теплопостачання'!$Y$5:$AA$17,3,0)</f>
        <v>3.577</v>
      </c>
      <c r="BG9" s="748">
        <f t="shared" ref="BG9:BG11" si="11">BE9*BF9</f>
        <v>14.308</v>
      </c>
      <c r="BH9" s="745">
        <v>20</v>
      </c>
      <c r="BI9" s="749">
        <v>2</v>
      </c>
      <c r="BJ9" s="747">
        <f>VLOOKUP(BH9,'Ціни контур теплопостачання'!$Y$5:$AA$17,3,0)</f>
        <v>3.577</v>
      </c>
      <c r="BK9" s="748">
        <f t="shared" ref="BK9:BK11" si="12">BI9*BJ9</f>
        <v>7.1539999999999999</v>
      </c>
      <c r="BL9" s="745">
        <v>15</v>
      </c>
      <c r="BM9" s="745">
        <v>5</v>
      </c>
      <c r="BN9" s="758">
        <f>VLOOKUP(BL9,'Ціни контур теплопостачання'!$Y$5:$AA$17,3,0)</f>
        <v>2.464</v>
      </c>
      <c r="BO9" s="759">
        <f t="shared" ref="BO9:BO11" si="13">BM9*BN9</f>
        <v>12.32</v>
      </c>
      <c r="BP9" s="745">
        <v>15</v>
      </c>
      <c r="BQ9" s="745">
        <f>22+(L9-1)</f>
        <v>23</v>
      </c>
      <c r="BR9" s="758">
        <f>VLOOKUP(BP9,'Ціни контур мережний'!$J$71:$M$71,4,0)</f>
        <v>3.3865201135922525</v>
      </c>
      <c r="BS9" s="759">
        <f t="shared" ref="BS9:BS11" si="14">BQ9*BR9</f>
        <v>77.889962612621801</v>
      </c>
      <c r="BT9" s="745">
        <f t="shared" ref="BT9:BT11" si="15">J9</f>
        <v>40</v>
      </c>
      <c r="BU9" s="745">
        <v>1</v>
      </c>
      <c r="BV9" s="758">
        <f>VLOOKUP(BT9,'Ціни контур теплопостачання'!$Y$24:$AA$36,3,0)</f>
        <v>20.3645</v>
      </c>
      <c r="BW9" s="759">
        <f t="shared" ref="BW9:BW11" si="16">BU9*BV9</f>
        <v>20.3645</v>
      </c>
      <c r="BX9" s="751">
        <f>J9</f>
        <v>40</v>
      </c>
      <c r="BY9" s="746">
        <v>1</v>
      </c>
      <c r="BZ9" s="747">
        <f>VLOOKUP(BX9,'Ціни контур теплопостачання'!$K$5:$M$17,3,0)</f>
        <v>23.225999999999999</v>
      </c>
      <c r="CA9" s="748">
        <f t="shared" ref="CA9:CA11" si="17">BY9*BZ9</f>
        <v>23.225999999999999</v>
      </c>
      <c r="CB9" s="751">
        <f>J9</f>
        <v>40</v>
      </c>
      <c r="CC9" s="746">
        <v>2</v>
      </c>
      <c r="CD9" s="747">
        <f>VLOOKUP(CB9,'Ціни контур теплопостачання'!$Y$24:$AA$36,3,0)</f>
        <v>20.3645</v>
      </c>
      <c r="CE9" s="748">
        <f t="shared" ref="CE9:CE11" si="18">CD9*CC9</f>
        <v>40.728999999999999</v>
      </c>
      <c r="CF9" s="745">
        <f>O9</f>
        <v>20</v>
      </c>
      <c r="CG9" s="745">
        <f>2*L9</f>
        <v>4</v>
      </c>
      <c r="CH9" s="758">
        <f>VLOOKUP(CF9,'Ціни контур теплопостачання'!$Y$76:$AA$88,3,0)</f>
        <v>11.45</v>
      </c>
      <c r="CI9" s="759">
        <f t="shared" ref="CI9:CI11" si="19">CG9*CH9</f>
        <v>45.8</v>
      </c>
      <c r="CJ9" s="758">
        <f>((3*10^-6*D9*0.86*1000000)/(CL9*0.05))^0.5*10</f>
        <v>9.3796588424099951</v>
      </c>
      <c r="CK9" s="760">
        <v>15</v>
      </c>
      <c r="CL9" s="719">
        <v>2</v>
      </c>
      <c r="CM9" s="747">
        <f>VLOOKUP(CK9,'Ціни контур теплопостачання'!$K$74:$M$79,3,0)</f>
        <v>13.33</v>
      </c>
      <c r="CN9" s="761">
        <f t="shared" ref="CN9:CN11" si="20">CL9*CM9</f>
        <v>26.66</v>
      </c>
      <c r="CO9" s="762">
        <f t="shared" ref="CO9:CO11" si="21">I9</f>
        <v>1.4178794178794178</v>
      </c>
      <c r="CP9" s="763">
        <v>2</v>
      </c>
      <c r="CQ9" s="762">
        <v>5</v>
      </c>
      <c r="CR9" s="720" t="s">
        <v>1094</v>
      </c>
      <c r="CS9" s="708">
        <v>2</v>
      </c>
      <c r="CT9" s="709">
        <f>VLOOKUP(CR9,'Ціни контур теплопостачання'!$C$89:$M$105,11,0)</f>
        <v>80.399999999999991</v>
      </c>
      <c r="CU9" s="764">
        <f t="shared" ref="CU9:CU11" si="22">CS9*CT9</f>
        <v>160.79999999999998</v>
      </c>
      <c r="CV9" s="758">
        <f t="array" ref="CV9">MIN(IF('Ціни контур теплопостачання'!$AN$68:$AN$77&gt;(N9*1.2),'Ціни контур теплопостачання'!$AN$68:$AN$77))</f>
        <v>1.67</v>
      </c>
      <c r="CW9" s="749">
        <f>VLOOKUP(CV9,'Ціни контур теплопостачання'!$AN$68:$AO$77,2,0)</f>
        <v>15</v>
      </c>
      <c r="CX9" s="749">
        <f>L9</f>
        <v>2</v>
      </c>
      <c r="CY9" s="747">
        <f>VLOOKUP(CW9,'Ціни контур теплопостачання'!$AO$68:$AQ$77,3,0)</f>
        <v>22.777999999999999</v>
      </c>
      <c r="CZ9" s="765">
        <f t="shared" ref="CZ9:CZ11" si="23">CX9*CY9</f>
        <v>45.555999999999997</v>
      </c>
      <c r="DA9" s="750">
        <v>15</v>
      </c>
      <c r="DB9" s="746">
        <v>1</v>
      </c>
      <c r="DC9" s="747">
        <f>VLOOKUP(DA9,'Ціни контур мережний'!$J$73:$M$73,4,0)</f>
        <v>3.4649999999999999</v>
      </c>
      <c r="DD9" s="748">
        <f t="shared" ref="DD9:DD11" si="24">DB9*DC9</f>
        <v>3.4649999999999999</v>
      </c>
      <c r="DE9" s="655" t="str">
        <f>DE8</f>
        <v>0-150</v>
      </c>
      <c r="DF9" s="720">
        <v>0</v>
      </c>
      <c r="DG9" s="747">
        <f>VLOOKUP(DE9,'Ціни контур мережний'!$I$79:$M$80,5,0)</f>
        <v>15.050156291498967</v>
      </c>
      <c r="DH9" s="748">
        <f t="shared" ref="DH9:DH11" si="25">DF9*DG9</f>
        <v>0</v>
      </c>
      <c r="DI9" s="758" t="s">
        <v>109</v>
      </c>
      <c r="DJ9" s="749">
        <v>0</v>
      </c>
      <c r="DK9" s="747">
        <f>VLOOKUP(DI9,'Ціни контур мережний'!$I$79:$M$80,5,0)</f>
        <v>15.050156291498967</v>
      </c>
      <c r="DL9" s="765">
        <f t="shared" ref="DL9:DL11" si="26">DJ9*DK9</f>
        <v>0</v>
      </c>
      <c r="DM9" s="655" t="s">
        <v>108</v>
      </c>
      <c r="DN9" s="720">
        <v>2</v>
      </c>
      <c r="DO9" s="747">
        <f>VLOOKUP(DM9,'Ціни контур мережний'!$I$67:$M$69,5,0)</f>
        <v>4.4537969640631703</v>
      </c>
      <c r="DP9" s="748">
        <f t="shared" ref="DP9:DP11" si="27">DN9*DO9</f>
        <v>8.9075939281263405</v>
      </c>
      <c r="DQ9" s="655" t="s">
        <v>106</v>
      </c>
      <c r="DR9" s="720">
        <f>6+L9</f>
        <v>8</v>
      </c>
      <c r="DS9" s="747">
        <f>VLOOKUP(DQ9,'Ціни контур мережний'!$I$67:$M$69,5,0)</f>
        <v>4.4537969640631703</v>
      </c>
      <c r="DT9" s="748">
        <f t="shared" ref="DT9:DT11" si="28">DR9*DS9</f>
        <v>35.630375712505362</v>
      </c>
      <c r="DU9" s="655" t="s">
        <v>1013</v>
      </c>
      <c r="DV9" s="720">
        <v>2</v>
      </c>
      <c r="DW9" s="747">
        <f>VLOOKUP(DU9,'Ціни контур мережний'!$I$64:$M$64,5,0)</f>
        <v>29.1312</v>
      </c>
      <c r="DX9" s="748">
        <f t="shared" ref="DX9:DX11" si="29">DV9*DW9</f>
        <v>58.2624</v>
      </c>
      <c r="DY9" s="766" t="s">
        <v>1015</v>
      </c>
      <c r="DZ9" s="749">
        <v>4</v>
      </c>
      <c r="EA9" s="747">
        <f>VLOOKUP(DY9,'Ціни контур мережний'!$I$89:$M$89,5,0)</f>
        <v>79.523165325760516</v>
      </c>
      <c r="EB9" s="765">
        <f t="shared" ref="EB9:EB11" si="30">DZ9*EA9</f>
        <v>318.09266130304206</v>
      </c>
      <c r="EC9" s="778" t="s">
        <v>1016</v>
      </c>
      <c r="ED9" s="720">
        <v>4</v>
      </c>
      <c r="EE9" s="747">
        <f>VLOOKUP(EC9,'Ціни контур мережний'!$I$88:$M$88,5,0)</f>
        <v>13.211568975967202</v>
      </c>
      <c r="EF9" s="768">
        <f t="shared" ref="EF9:EF11" si="31">ED9*EE9</f>
        <v>52.846275903868808</v>
      </c>
      <c r="EG9" s="779" t="s">
        <v>383</v>
      </c>
      <c r="EH9" s="720">
        <v>1</v>
      </c>
      <c r="EI9" s="747">
        <f>VLOOKUP(EG9,'Ціни контур мережний'!$I$87:$M$87,5,0)</f>
        <v>13.483972460007763</v>
      </c>
      <c r="EJ9" s="748">
        <f t="shared" ref="EJ9:EJ11" si="32">EH9*EI9</f>
        <v>13.483972460007763</v>
      </c>
      <c r="EK9" s="769">
        <f>B9</f>
        <v>21</v>
      </c>
      <c r="EL9" s="770">
        <f t="shared" ref="EL9" si="33">S9+W9+AA9+AE9+AI9+AN9+AS9+AY9+BC9+BG9+BK9+BO9+BS9+BW9+CA9+CE9+CI9+CN9+CU9+CZ9+DD9+DH9+DL9+DP9+DT9+DX9+EB9+EF9+EJ9</f>
        <v>1705.6375211235286</v>
      </c>
      <c r="EM9" s="771">
        <v>0</v>
      </c>
      <c r="EN9" s="771">
        <v>0</v>
      </c>
      <c r="EO9" s="770">
        <f>$EO$8</f>
        <v>584.01223091643328</v>
      </c>
      <c r="EP9" s="770">
        <f>'Таблиця цін схема №2'!$HV$8*0.8</f>
        <v>390.2542750321777</v>
      </c>
      <c r="EQ9" s="770">
        <f>'Таблиця цін схема №1'!$JI$8</f>
        <v>323.47913729816605</v>
      </c>
      <c r="ER9" s="770">
        <f>'Таблиця цін схема №1'!$JJ$8</f>
        <v>66.611999999999995</v>
      </c>
      <c r="ES9" s="772">
        <v>0</v>
      </c>
      <c r="ET9" s="772">
        <f>'Таблиця цін схема №1'!$JL$8</f>
        <v>62.86234247089866</v>
      </c>
      <c r="EU9" s="772">
        <v>0</v>
      </c>
      <c r="EV9" s="770">
        <v>0</v>
      </c>
      <c r="EW9" s="773">
        <f>SUM(EL9:EV9)*$EW$1</f>
        <v>219.30002547888429</v>
      </c>
      <c r="EX9" s="774">
        <f>SUM(EL9:EV9)*$EX$1</f>
        <v>313.28575068412039</v>
      </c>
      <c r="EY9" s="775">
        <f>ABS(SUM(EL9:EX9)*$EY$1-SUM(EL9:EX9))</f>
        <v>53.892932137523076</v>
      </c>
      <c r="EZ9" s="776">
        <f>'Таблиця цін схема №1'!$JR$8</f>
        <v>300.63036461094771</v>
      </c>
      <c r="FA9" s="777">
        <f t="shared" ref="FA9:FA11" si="34">SUM(EL9:EZ9)</f>
        <v>4019.9665797526795</v>
      </c>
      <c r="FC9" s="616">
        <f>[3]Расчеты!AX8/1.2</f>
        <v>4130.3090565966531</v>
      </c>
      <c r="FD9" s="616">
        <f t="shared" ref="FD9:FD11" si="35">FC9+FA9</f>
        <v>8150.2756363493327</v>
      </c>
      <c r="FE9" s="616" t="e">
        <f>FD9*1.2*#REF!</f>
        <v>#REF!</v>
      </c>
      <c r="FF9" s="616"/>
    </row>
    <row r="10" spans="1:162" ht="12.75">
      <c r="B10" s="740">
        <v>22</v>
      </c>
      <c r="C10" s="1056" t="s">
        <v>877</v>
      </c>
      <c r="D10" s="741">
        <v>0.13045000000000001</v>
      </c>
      <c r="E10" s="742">
        <f>G10</f>
        <v>2.3302965344765991</v>
      </c>
      <c r="F10" s="743">
        <v>40</v>
      </c>
      <c r="G10" s="598">
        <f>D10*1000/((130-70)*0.933)</f>
        <v>2.3302965344765991</v>
      </c>
      <c r="H10" s="599">
        <v>40</v>
      </c>
      <c r="I10" s="598">
        <f>D10*1000/((95-70)*0.962)</f>
        <v>5.4241164241164244</v>
      </c>
      <c r="J10" s="599">
        <v>40</v>
      </c>
      <c r="K10" s="600">
        <f>G10/SQRT(0.5)</f>
        <v>3.2955369634078289</v>
      </c>
      <c r="L10" s="744">
        <v>2</v>
      </c>
      <c r="M10" s="601">
        <f>I10/L10</f>
        <v>2.7120582120582122</v>
      </c>
      <c r="N10" s="601">
        <f t="shared" si="0"/>
        <v>3.8354295054380509</v>
      </c>
      <c r="O10" s="602">
        <v>32</v>
      </c>
      <c r="P10" s="745">
        <f>F10</f>
        <v>40</v>
      </c>
      <c r="Q10" s="746">
        <v>2</v>
      </c>
      <c r="R10" s="747">
        <f>VLOOKUP(P10,'Ціни контур мережний'!$Z$24:$AB$36,3,0)</f>
        <v>18.42400964308333</v>
      </c>
      <c r="S10" s="748">
        <f t="shared" si="1"/>
        <v>36.848019286166661</v>
      </c>
      <c r="T10" s="745">
        <f>F10</f>
        <v>40</v>
      </c>
      <c r="U10" s="749">
        <v>2</v>
      </c>
      <c r="V10" s="747">
        <f>VLOOKUP(T10,'Ціни контур мережний'!$Z$64:$AB$77,3,0)</f>
        <v>72.595528496809465</v>
      </c>
      <c r="W10" s="748">
        <f t="shared" si="2"/>
        <v>145.19105699361893</v>
      </c>
      <c r="X10" s="745">
        <f>F10</f>
        <v>40</v>
      </c>
      <c r="Y10" s="746">
        <v>0</v>
      </c>
      <c r="Z10" s="747">
        <f>VLOOKUP(X10,'Ціни контур мережний'!$Z$5:$AB$17,3,0)</f>
        <v>23.225999999999999</v>
      </c>
      <c r="AA10" s="748">
        <f t="shared" si="3"/>
        <v>0</v>
      </c>
      <c r="AB10" s="750">
        <f>H10</f>
        <v>40</v>
      </c>
      <c r="AC10" s="746">
        <v>1</v>
      </c>
      <c r="AD10" s="747">
        <f>VLOOKUP(AB10,'Ціни контур мережний'!$Z$43:$AB$55,3,0)</f>
        <v>18.42400964308333</v>
      </c>
      <c r="AE10" s="748">
        <f t="shared" si="4"/>
        <v>18.42400964308333</v>
      </c>
      <c r="AF10" s="751" t="str">
        <f t="shared" si="5"/>
        <v>AMV20</v>
      </c>
      <c r="AG10" s="751">
        <v>1</v>
      </c>
      <c r="AH10" s="747">
        <f>VLOOKUP(AF10,'Ціни контур мережний'!$I$53:$M$57,5,0)</f>
        <v>110.39869654932889</v>
      </c>
      <c r="AI10" s="748">
        <f t="shared" si="6"/>
        <v>110.39869654932889</v>
      </c>
      <c r="AJ10" s="752">
        <f t="array" ref="AJ10">MIN(IF('Ціни контур мережний'!$Y$83:$Y$92&gt;(K10*1.2),'Ціни контур мережний'!$Y$83:$Y$92))</f>
        <v>4</v>
      </c>
      <c r="AK10" s="746">
        <f>VLOOKUP(AJ10,'Ціни контур мережний'!$Y$83:$Z$92,2,0)</f>
        <v>15</v>
      </c>
      <c r="AL10" s="746">
        <v>1</v>
      </c>
      <c r="AM10" s="747">
        <f>VLOOKUP(AJ10,'Ціни контур мережний'!$Y$83:$AB$92,4,0)</f>
        <v>104.44472592804462</v>
      </c>
      <c r="AN10" s="748">
        <f t="shared" si="7"/>
        <v>104.44472592804462</v>
      </c>
      <c r="AO10" s="1099">
        <f t="array" ref="AO10">MIN(IF('[1]Ціни контур мережний'!$Y$104:$Y$114&gt;(K10*1.2),'[1]Ціни контур мережний'!$Y$104:$Y$114))</f>
        <v>4</v>
      </c>
      <c r="AP10" s="1101">
        <f>VLOOKUP(AO10,'[1]Ціни контур мережний'!$Y$104:$Z$114,2,0)</f>
        <v>15</v>
      </c>
      <c r="AQ10" s="753">
        <v>1</v>
      </c>
      <c r="AR10" s="754">
        <f>VLOOKUP(AO10,'Ціни контур мережний'!$Y$104:$AB$114,4,0)</f>
        <v>251.13923223078018</v>
      </c>
      <c r="AS10" s="755">
        <f t="shared" si="8"/>
        <v>251.13923223078018</v>
      </c>
      <c r="AT10" s="751" t="s">
        <v>115</v>
      </c>
      <c r="AU10" s="751" t="s">
        <v>115</v>
      </c>
      <c r="AV10" s="746" t="str">
        <f t="shared" ref="AV10:AV11" si="36">AV9</f>
        <v>existed</v>
      </c>
      <c r="AW10" s="756">
        <v>1</v>
      </c>
      <c r="AX10" s="747">
        <v>0</v>
      </c>
      <c r="AY10" s="748">
        <f t="shared" si="9"/>
        <v>0</v>
      </c>
      <c r="AZ10" s="751">
        <f>J10</f>
        <v>40</v>
      </c>
      <c r="BA10" s="746">
        <v>4</v>
      </c>
      <c r="BB10" s="747">
        <f>VLOOKUP(AZ10,'Ціни контур теплопостачання'!$Y$5:$AA$17,3,0)</f>
        <v>18.42400964308333</v>
      </c>
      <c r="BC10" s="748">
        <f t="shared" si="10"/>
        <v>73.696038572333322</v>
      </c>
      <c r="BD10" s="757">
        <f>O10</f>
        <v>32</v>
      </c>
      <c r="BE10" s="746">
        <f>2*L10</f>
        <v>4</v>
      </c>
      <c r="BF10" s="747">
        <f>VLOOKUP(BD10,'Ціни контур теплопостачання'!$Y$5:$AA$17,3,0)</f>
        <v>10.381</v>
      </c>
      <c r="BG10" s="748">
        <f t="shared" si="11"/>
        <v>41.524000000000001</v>
      </c>
      <c r="BH10" s="745">
        <v>20</v>
      </c>
      <c r="BI10" s="749">
        <v>2</v>
      </c>
      <c r="BJ10" s="747">
        <f>VLOOKUP(BH10,'Ціни контур теплопостачання'!$Y$5:$AA$17,3,0)</f>
        <v>3.577</v>
      </c>
      <c r="BK10" s="748">
        <f t="shared" si="12"/>
        <v>7.1539999999999999</v>
      </c>
      <c r="BL10" s="745">
        <v>15</v>
      </c>
      <c r="BM10" s="745">
        <v>5</v>
      </c>
      <c r="BN10" s="758">
        <f>VLOOKUP(BL10,'Ціни контур теплопостачання'!$Y$5:$AA$17,3,0)</f>
        <v>2.464</v>
      </c>
      <c r="BO10" s="759">
        <f t="shared" si="13"/>
        <v>12.32</v>
      </c>
      <c r="BP10" s="745">
        <v>15</v>
      </c>
      <c r="BQ10" s="745">
        <f>22+(L10-1)</f>
        <v>23</v>
      </c>
      <c r="BR10" s="758">
        <f>VLOOKUP(BP10,'Ціни контур мережний'!$J$71:$M$71,4,0)</f>
        <v>3.3865201135922525</v>
      </c>
      <c r="BS10" s="759">
        <f t="shared" si="14"/>
        <v>77.889962612621801</v>
      </c>
      <c r="BT10" s="745">
        <f t="shared" si="15"/>
        <v>40</v>
      </c>
      <c r="BU10" s="745">
        <v>1</v>
      </c>
      <c r="BV10" s="758">
        <f>VLOOKUP(BT10,'Ціни контур теплопостачання'!$Y$24:$AA$36,3,0)</f>
        <v>20.3645</v>
      </c>
      <c r="BW10" s="759">
        <f t="shared" si="16"/>
        <v>20.3645</v>
      </c>
      <c r="BX10" s="751">
        <f>J10</f>
        <v>40</v>
      </c>
      <c r="BY10" s="746">
        <v>1</v>
      </c>
      <c r="BZ10" s="747">
        <f>VLOOKUP(BX10,'Ціни контур теплопостачання'!$K$5:$M$17,3,0)</f>
        <v>23.225999999999999</v>
      </c>
      <c r="CA10" s="748">
        <f t="shared" si="17"/>
        <v>23.225999999999999</v>
      </c>
      <c r="CB10" s="751">
        <f>J10</f>
        <v>40</v>
      </c>
      <c r="CC10" s="746">
        <v>2</v>
      </c>
      <c r="CD10" s="747">
        <f>VLOOKUP(CB10,'Ціни контур теплопостачання'!$Y$24:$AA$36,3,0)</f>
        <v>20.3645</v>
      </c>
      <c r="CE10" s="748">
        <f t="shared" si="18"/>
        <v>40.728999999999999</v>
      </c>
      <c r="CF10" s="745">
        <f>O10</f>
        <v>32</v>
      </c>
      <c r="CG10" s="745">
        <f>2*L10</f>
        <v>4</v>
      </c>
      <c r="CH10" s="758">
        <f>VLOOKUP(CF10,'Ціни контур теплопостачання'!$Y$76:$AA$88,3,0)</f>
        <v>13.15</v>
      </c>
      <c r="CI10" s="759">
        <f t="shared" si="19"/>
        <v>52.6</v>
      </c>
      <c r="CJ10" s="758">
        <f>((3*10^-6*D10*0.86*1000000)/(CL10*0.05))^0.5*10</f>
        <v>18.345598927263179</v>
      </c>
      <c r="CK10" s="760">
        <v>20</v>
      </c>
      <c r="CL10" s="719">
        <v>2</v>
      </c>
      <c r="CM10" s="747">
        <f>VLOOKUP(CK10,'Ціни контур теплопостачання'!$K$74:$M$79,3,0)</f>
        <v>16.440000000000001</v>
      </c>
      <c r="CN10" s="761">
        <f t="shared" si="20"/>
        <v>32.880000000000003</v>
      </c>
      <c r="CO10" s="762">
        <f t="shared" si="21"/>
        <v>5.4241164241164244</v>
      </c>
      <c r="CP10" s="763">
        <v>3</v>
      </c>
      <c r="CQ10" s="762">
        <v>5</v>
      </c>
      <c r="CR10" s="720" t="s">
        <v>120</v>
      </c>
      <c r="CS10" s="708">
        <v>2</v>
      </c>
      <c r="CT10" s="709">
        <f>VLOOKUP(CR10,'Ціни контур теплопостачання'!$C$89:$M$105,11,0)</f>
        <v>198.83999999999997</v>
      </c>
      <c r="CU10" s="764">
        <f t="shared" si="22"/>
        <v>397.67999999999995</v>
      </c>
      <c r="CV10" s="758">
        <f t="array" ref="CV10">MIN(IF('Ціни контур теплопостачання'!$AN$68:$AN$77&gt;(N10*1.2),'Ціни контур теплопостачання'!$AN$68:$AN$77))</f>
        <v>5.83</v>
      </c>
      <c r="CW10" s="749">
        <f>VLOOKUP(CV10,'Ціни контур теплопостачання'!$AN$68:$AO$77,2,0)</f>
        <v>25</v>
      </c>
      <c r="CX10" s="749">
        <f>L10</f>
        <v>2</v>
      </c>
      <c r="CY10" s="747">
        <f>VLOOKUP(CW10,'Ціни контур теплопостачання'!$AO$68:$AQ$77,3,0)</f>
        <v>26.495000000000001</v>
      </c>
      <c r="CZ10" s="765">
        <f t="shared" si="23"/>
        <v>52.99</v>
      </c>
      <c r="DA10" s="750">
        <v>15</v>
      </c>
      <c r="DB10" s="746">
        <v>1</v>
      </c>
      <c r="DC10" s="747">
        <f>VLOOKUP(DA10,'Ціни контур мережний'!$J$73:$M$73,4,0)</f>
        <v>3.4649999999999999</v>
      </c>
      <c r="DD10" s="748">
        <f t="shared" si="24"/>
        <v>3.4649999999999999</v>
      </c>
      <c r="DE10" s="655" t="str">
        <f t="shared" ref="DE10:DE11" si="37">DE9</f>
        <v>0-150</v>
      </c>
      <c r="DF10" s="720">
        <v>0</v>
      </c>
      <c r="DG10" s="747">
        <f>VLOOKUP(DE10,'Ціни контур мережний'!$I$79:$M$80,5,0)</f>
        <v>15.050156291498967</v>
      </c>
      <c r="DH10" s="748">
        <f t="shared" si="25"/>
        <v>0</v>
      </c>
      <c r="DI10" s="758" t="s">
        <v>109</v>
      </c>
      <c r="DJ10" s="749">
        <v>0</v>
      </c>
      <c r="DK10" s="747">
        <f>VLOOKUP(DI10,'Ціни контур мережний'!$I$79:$M$80,5,0)</f>
        <v>15.050156291498967</v>
      </c>
      <c r="DL10" s="765">
        <f t="shared" si="26"/>
        <v>0</v>
      </c>
      <c r="DM10" s="655" t="s">
        <v>108</v>
      </c>
      <c r="DN10" s="720">
        <v>2</v>
      </c>
      <c r="DO10" s="747">
        <f>VLOOKUP(DM10,'Ціни контур мережний'!$I$67:$M$69,5,0)</f>
        <v>4.4537969640631703</v>
      </c>
      <c r="DP10" s="748">
        <f t="shared" si="27"/>
        <v>8.9075939281263405</v>
      </c>
      <c r="DQ10" s="655" t="s">
        <v>106</v>
      </c>
      <c r="DR10" s="720">
        <f>6+L10</f>
        <v>8</v>
      </c>
      <c r="DS10" s="747">
        <f>VLOOKUP(DQ10,'Ціни контур мережний'!$I$67:$M$69,5,0)</f>
        <v>4.4537969640631703</v>
      </c>
      <c r="DT10" s="748">
        <f t="shared" si="28"/>
        <v>35.630375712505362</v>
      </c>
      <c r="DU10" s="655" t="s">
        <v>1013</v>
      </c>
      <c r="DV10" s="720">
        <v>2</v>
      </c>
      <c r="DW10" s="747">
        <f>VLOOKUP(DU10,'Ціни контур мережний'!$I$64:$M$64,5,0)</f>
        <v>29.1312</v>
      </c>
      <c r="DX10" s="748">
        <f t="shared" si="29"/>
        <v>58.2624</v>
      </c>
      <c r="DY10" s="766" t="s">
        <v>1015</v>
      </c>
      <c r="DZ10" s="749">
        <v>4</v>
      </c>
      <c r="EA10" s="747">
        <f>VLOOKUP(DY10,'Ціни контур мережний'!$I$89:$M$89,5,0)</f>
        <v>79.523165325760516</v>
      </c>
      <c r="EB10" s="765">
        <f t="shared" si="30"/>
        <v>318.09266130304206</v>
      </c>
      <c r="EC10" s="778" t="s">
        <v>1016</v>
      </c>
      <c r="ED10" s="720">
        <v>4</v>
      </c>
      <c r="EE10" s="747">
        <f>VLOOKUP(EC10,'Ціни контур мережний'!$I$88:$M$88,5,0)</f>
        <v>13.211568975967202</v>
      </c>
      <c r="EF10" s="768">
        <f t="shared" si="31"/>
        <v>52.846275903868808</v>
      </c>
      <c r="EG10" s="779" t="s">
        <v>383</v>
      </c>
      <c r="EH10" s="720">
        <v>1</v>
      </c>
      <c r="EI10" s="747">
        <f>VLOOKUP(EG10,'Ціни контур мережний'!$I$87:$M$87,5,0)</f>
        <v>13.483972460007763</v>
      </c>
      <c r="EJ10" s="748">
        <f t="shared" si="32"/>
        <v>13.483972460007763</v>
      </c>
      <c r="EK10" s="769">
        <f>B10</f>
        <v>22</v>
      </c>
      <c r="EL10" s="770">
        <f>S10+W10+AA10+AE10+AI10+AN10+AS10+AY10+BC10+BG10+BK10+BO10+BS10+BW10+CA10+CE10+CI10+CN10+CU10+CZ10+DD10+DH10+DL10+DP10+DT10+DX10+EB10+EF10+EJ10</f>
        <v>1990.1875211235283</v>
      </c>
      <c r="EM10" s="771">
        <v>0</v>
      </c>
      <c r="EN10" s="771">
        <v>0</v>
      </c>
      <c r="EO10" s="770">
        <f t="shared" ref="EO10:EO11" si="38">$EO$8</f>
        <v>584.01223091643328</v>
      </c>
      <c r="EP10" s="770">
        <f>'Таблиця цін схема №2'!$HV$8*0.8</f>
        <v>390.2542750321777</v>
      </c>
      <c r="EQ10" s="770">
        <f>'Таблиця цін схема №1'!$JI$8</f>
        <v>323.47913729816605</v>
      </c>
      <c r="ER10" s="770">
        <f>'Таблиця цін схема №1'!$JJ$8</f>
        <v>66.611999999999995</v>
      </c>
      <c r="ES10" s="770">
        <f>'Таблиця цін схема №1'!$JK$28</f>
        <v>0</v>
      </c>
      <c r="ET10" s="772">
        <f>'Таблиця цін схема №1'!$JL$8</f>
        <v>62.86234247089866</v>
      </c>
      <c r="EU10" s="770">
        <f>'Таблиця цін схема №1'!$JM$28</f>
        <v>0</v>
      </c>
      <c r="EV10" s="770">
        <v>0</v>
      </c>
      <c r="EW10" s="773">
        <f>SUM(EL10:EV10)*$EW$1</f>
        <v>239.21852547888429</v>
      </c>
      <c r="EX10" s="774">
        <f>SUM(EL10:EV10)*$EX$1</f>
        <v>341.74075068412043</v>
      </c>
      <c r="EY10" s="775">
        <f>ABS(SUM(EL10:EX10)*$EY$1-SUM(EL10:EX10))</f>
        <v>58.787899050715168</v>
      </c>
      <c r="EZ10" s="776">
        <f>'Таблиця цін схема №1'!$JR$8</f>
        <v>300.63036461094771</v>
      </c>
      <c r="FA10" s="777">
        <f t="shared" si="34"/>
        <v>4357.7850466658711</v>
      </c>
      <c r="FC10" s="616">
        <f>[3]Расчеты!AX9/1.2</f>
        <v>4013.0253403083561</v>
      </c>
      <c r="FD10" s="616">
        <f t="shared" si="35"/>
        <v>8370.8103869742263</v>
      </c>
      <c r="FE10" s="616" t="e">
        <f>FD10*1.2*#REF!</f>
        <v>#REF!</v>
      </c>
      <c r="FF10" s="616"/>
    </row>
    <row r="11" spans="1:162" ht="13.5" thickBot="1">
      <c r="A11" s="780"/>
      <c r="B11" s="781">
        <v>94</v>
      </c>
      <c r="C11" s="1057" t="s">
        <v>878</v>
      </c>
      <c r="D11" s="782">
        <v>0.33596999999999999</v>
      </c>
      <c r="E11" s="783">
        <f>G11</f>
        <v>6.0016077170418001</v>
      </c>
      <c r="F11" s="784">
        <v>50</v>
      </c>
      <c r="G11" s="604">
        <f>D11*1000/((130-70)*0.933)</f>
        <v>6.0016077170418001</v>
      </c>
      <c r="H11" s="605">
        <v>50</v>
      </c>
      <c r="I11" s="604">
        <f>D11*1000/((95-70)*0.962)</f>
        <v>13.969646569646567</v>
      </c>
      <c r="J11" s="605">
        <v>65</v>
      </c>
      <c r="K11" s="606">
        <f>G11/SQRT(0.5)</f>
        <v>8.4875550294835413</v>
      </c>
      <c r="L11" s="785">
        <v>2</v>
      </c>
      <c r="M11" s="607">
        <f>I11/L11</f>
        <v>6.9848232848232836</v>
      </c>
      <c r="N11" s="607">
        <f t="shared" si="0"/>
        <v>9.8780318201764796</v>
      </c>
      <c r="O11" s="608">
        <v>50</v>
      </c>
      <c r="P11" s="786">
        <f>F11</f>
        <v>50</v>
      </c>
      <c r="Q11" s="787">
        <v>2</v>
      </c>
      <c r="R11" s="788">
        <f>VLOOKUP(P11,'Ціни контур мережний'!$Z$24:$AB$36,3,0)</f>
        <v>23.2782130224622</v>
      </c>
      <c r="S11" s="789">
        <f t="shared" si="1"/>
        <v>46.5564260449244</v>
      </c>
      <c r="T11" s="790">
        <f>F11</f>
        <v>50</v>
      </c>
      <c r="U11" s="791">
        <v>2</v>
      </c>
      <c r="V11" s="788">
        <f>VLOOKUP(T11,'Ціни контур мережний'!$Z$64:$AB$77,3,0)</f>
        <v>80.03214361111678</v>
      </c>
      <c r="W11" s="789">
        <f t="shared" si="2"/>
        <v>160.06428722223356</v>
      </c>
      <c r="X11" s="786">
        <f>F11</f>
        <v>50</v>
      </c>
      <c r="Y11" s="787">
        <v>0</v>
      </c>
      <c r="Z11" s="788">
        <f>VLOOKUP(X11,'Ціни контур мережний'!$Z$5:$AB$17,3,0)</f>
        <v>26.284999999999997</v>
      </c>
      <c r="AA11" s="789">
        <f t="shared" si="3"/>
        <v>0</v>
      </c>
      <c r="AB11" s="792">
        <f>H11</f>
        <v>50</v>
      </c>
      <c r="AC11" s="787">
        <v>1</v>
      </c>
      <c r="AD11" s="788">
        <f>VLOOKUP(AB11,'Ціни контур мережний'!$Z$43:$AB$55,3,0)</f>
        <v>23.2782130224622</v>
      </c>
      <c r="AE11" s="789">
        <f t="shared" si="4"/>
        <v>23.2782130224622</v>
      </c>
      <c r="AF11" s="793" t="str">
        <f t="shared" si="5"/>
        <v>AMV20</v>
      </c>
      <c r="AG11" s="793">
        <v>1</v>
      </c>
      <c r="AH11" s="788">
        <f>VLOOKUP(AF11,'Ціни контур мережний'!$I$53:$M$57,5,0)</f>
        <v>110.39869654932889</v>
      </c>
      <c r="AI11" s="789">
        <f t="shared" si="6"/>
        <v>110.39869654932889</v>
      </c>
      <c r="AJ11" s="794">
        <f t="array" ref="AJ11">MIN(IF('Ціни контур мережний'!$Y$83:$Y$92&gt;(K11*1.2),'Ціни контур мережний'!$Y$83:$Y$92))</f>
        <v>16</v>
      </c>
      <c r="AK11" s="787">
        <f>VLOOKUP(AJ11,'Ціни контур мережний'!$Y$83:$Z$92,2,0)</f>
        <v>32</v>
      </c>
      <c r="AL11" s="787">
        <v>1</v>
      </c>
      <c r="AM11" s="788">
        <f>VLOOKUP(AJ11,'Ціни контур мережний'!$Y$83:$AB$92,4,0)</f>
        <v>130.5392363168325</v>
      </c>
      <c r="AN11" s="789">
        <f t="shared" si="7"/>
        <v>130.5392363168325</v>
      </c>
      <c r="AO11" s="1109">
        <f t="array" ref="AO11">MIN(IF('[1]Ціни контур мережний'!$Y$104:$Y$114&gt;(K11*1.2),'[1]Ціни контур мережний'!$Y$104:$Y$114))</f>
        <v>12.5</v>
      </c>
      <c r="AP11" s="1102">
        <f>VLOOKUP(AO11,'[1]Ціни контур мережний'!$Y$104:$Z$114,2,0)</f>
        <v>32</v>
      </c>
      <c r="AQ11" s="795">
        <v>1</v>
      </c>
      <c r="AR11" s="796">
        <f>VLOOKUP(AO11,'Ціни контур мережний'!$Y$104:$AB$114,4,0)</f>
        <v>435.76049604674444</v>
      </c>
      <c r="AS11" s="797">
        <f t="shared" si="8"/>
        <v>435.76049604674444</v>
      </c>
      <c r="AT11" s="792" t="s">
        <v>115</v>
      </c>
      <c r="AU11" s="793" t="s">
        <v>115</v>
      </c>
      <c r="AV11" s="787" t="str">
        <f t="shared" si="36"/>
        <v>existed</v>
      </c>
      <c r="AW11" s="798">
        <v>1</v>
      </c>
      <c r="AX11" s="788">
        <v>0</v>
      </c>
      <c r="AY11" s="789">
        <f t="shared" si="9"/>
        <v>0</v>
      </c>
      <c r="AZ11" s="793">
        <f>J11</f>
        <v>65</v>
      </c>
      <c r="BA11" s="787">
        <v>4</v>
      </c>
      <c r="BB11" s="788">
        <f>VLOOKUP(AZ11,'Ціни контур теплопостачання'!$Y$5:$AA$17,3,0)</f>
        <v>30.19184015363556</v>
      </c>
      <c r="BC11" s="789">
        <f t="shared" si="10"/>
        <v>120.76736061454224</v>
      </c>
      <c r="BD11" s="799">
        <f>O11</f>
        <v>50</v>
      </c>
      <c r="BE11" s="787">
        <f>2*L11</f>
        <v>4</v>
      </c>
      <c r="BF11" s="788">
        <f>VLOOKUP(BD11,'Ціни контур теплопостачання'!$Y$5:$AA$17,3,0)</f>
        <v>23.2782130224622</v>
      </c>
      <c r="BG11" s="789">
        <f t="shared" si="11"/>
        <v>93.112852089848801</v>
      </c>
      <c r="BH11" s="786">
        <v>20</v>
      </c>
      <c r="BI11" s="791">
        <v>2</v>
      </c>
      <c r="BJ11" s="788">
        <f>VLOOKUP(BH11,'Ціни контур теплопостачання'!$Y$5:$AA$17,3,0)</f>
        <v>3.577</v>
      </c>
      <c r="BK11" s="789">
        <f t="shared" si="12"/>
        <v>7.1539999999999999</v>
      </c>
      <c r="BL11" s="786">
        <v>15</v>
      </c>
      <c r="BM11" s="786">
        <v>5</v>
      </c>
      <c r="BN11" s="800">
        <f>VLOOKUP(BL11,'Ціни контур теплопостачання'!$Y$5:$AA$17,3,0)</f>
        <v>2.464</v>
      </c>
      <c r="BO11" s="801">
        <f t="shared" si="13"/>
        <v>12.32</v>
      </c>
      <c r="BP11" s="786">
        <v>15</v>
      </c>
      <c r="BQ11" s="786">
        <f>22+(L11-1)</f>
        <v>23</v>
      </c>
      <c r="BR11" s="800">
        <f>VLOOKUP(BP11,'Ціни контур мережний'!$J$71:$M$71,4,0)</f>
        <v>3.3865201135922525</v>
      </c>
      <c r="BS11" s="801">
        <f t="shared" si="14"/>
        <v>77.889962612621801</v>
      </c>
      <c r="BT11" s="786">
        <f t="shared" si="15"/>
        <v>65</v>
      </c>
      <c r="BU11" s="786">
        <v>1</v>
      </c>
      <c r="BV11" s="800">
        <f>VLOOKUP(BT11,'Ціни контур теплопостачання'!$Y$24:$AA$36,3,0)</f>
        <v>42.080999999999996</v>
      </c>
      <c r="BW11" s="801">
        <f t="shared" si="16"/>
        <v>42.080999999999996</v>
      </c>
      <c r="BX11" s="793">
        <f>J11</f>
        <v>65</v>
      </c>
      <c r="BY11" s="787">
        <v>1</v>
      </c>
      <c r="BZ11" s="788">
        <f>VLOOKUP(BX11,'Ціни контур теплопостачання'!$K$5:$M$17,3,0)</f>
        <v>39.731999999999999</v>
      </c>
      <c r="CA11" s="789">
        <f t="shared" si="17"/>
        <v>39.731999999999999</v>
      </c>
      <c r="CB11" s="792">
        <f>J11</f>
        <v>65</v>
      </c>
      <c r="CC11" s="787">
        <v>2</v>
      </c>
      <c r="CD11" s="788">
        <f>VLOOKUP(CB11,'Ціни контур теплопостачання'!$Y$24:$AA$36,3,0)</f>
        <v>42.080999999999996</v>
      </c>
      <c r="CE11" s="789">
        <f t="shared" si="18"/>
        <v>84.161999999999992</v>
      </c>
      <c r="CF11" s="786">
        <f>O11</f>
        <v>50</v>
      </c>
      <c r="CG11" s="786">
        <f>2*L11</f>
        <v>4</v>
      </c>
      <c r="CH11" s="800">
        <f>VLOOKUP(CF11,'Ціни контур теплопостачання'!$Y$76:$AA$88,3,0)</f>
        <v>20.6</v>
      </c>
      <c r="CI11" s="801">
        <f t="shared" si="19"/>
        <v>82.4</v>
      </c>
      <c r="CJ11" s="800">
        <f>((3*10^-6*D11*0.86*1000000)/(CL11*0.05))^0.5*10</f>
        <v>29.441511510111024</v>
      </c>
      <c r="CK11" s="802">
        <v>32</v>
      </c>
      <c r="CL11" s="803">
        <v>2</v>
      </c>
      <c r="CM11" s="788">
        <f>VLOOKUP(CK11,'Ціни контур теплопостачання'!$K$74:$M$79,3,0)</f>
        <v>33.68</v>
      </c>
      <c r="CN11" s="804">
        <f t="shared" si="20"/>
        <v>67.36</v>
      </c>
      <c r="CO11" s="805">
        <f t="shared" si="21"/>
        <v>13.969646569646567</v>
      </c>
      <c r="CP11" s="806">
        <v>5</v>
      </c>
      <c r="CQ11" s="807">
        <v>5</v>
      </c>
      <c r="CR11" s="687" t="s">
        <v>123</v>
      </c>
      <c r="CS11" s="808">
        <v>2</v>
      </c>
      <c r="CT11" s="709">
        <f>VLOOKUP(CR11,'Ціни контур теплопостачання'!$C$89:$M$105,11,0)</f>
        <v>387.45599999999996</v>
      </c>
      <c r="CU11" s="809">
        <f t="shared" si="22"/>
        <v>774.91199999999992</v>
      </c>
      <c r="CV11" s="800">
        <f t="array" ref="CV11">MIN(IF('Ціни контур теплопостачання'!$AN$68:$AN$77&gt;(N11*1.2),'Ціни контур теплопостачання'!$AN$68:$AN$77))</f>
        <v>22.36</v>
      </c>
      <c r="CW11" s="791">
        <f>VLOOKUP(CV11,'Ціни контур теплопостачання'!$AN$68:$AO$77,2,0)</f>
        <v>40</v>
      </c>
      <c r="CX11" s="791">
        <f>L11</f>
        <v>2</v>
      </c>
      <c r="CY11" s="788">
        <f>VLOOKUP(CW11,'Ціни контур теплопостачання'!$AO$68:$AQ$77,3,0)</f>
        <v>43.225000000000001</v>
      </c>
      <c r="CZ11" s="810">
        <f t="shared" si="23"/>
        <v>86.45</v>
      </c>
      <c r="DA11" s="792">
        <v>15</v>
      </c>
      <c r="DB11" s="787">
        <v>1</v>
      </c>
      <c r="DC11" s="788">
        <f>VLOOKUP(DA11,'Ціни контур мережний'!$J$73:$M$73,4,0)</f>
        <v>3.4649999999999999</v>
      </c>
      <c r="DD11" s="789">
        <f t="shared" si="24"/>
        <v>3.4649999999999999</v>
      </c>
      <c r="DE11" s="811" t="str">
        <f t="shared" si="37"/>
        <v>0-150</v>
      </c>
      <c r="DF11" s="687">
        <v>0</v>
      </c>
      <c r="DG11" s="788">
        <f>VLOOKUP(DE11,'Ціни контур мережний'!$I$79:$M$80,5,0)</f>
        <v>15.050156291498967</v>
      </c>
      <c r="DH11" s="789">
        <f t="shared" si="25"/>
        <v>0</v>
      </c>
      <c r="DI11" s="800" t="s">
        <v>109</v>
      </c>
      <c r="DJ11" s="791">
        <v>0</v>
      </c>
      <c r="DK11" s="788">
        <f>VLOOKUP(DI11,'Ціни контур мережний'!$I$79:$M$80,5,0)</f>
        <v>15.050156291498967</v>
      </c>
      <c r="DL11" s="810">
        <f t="shared" si="26"/>
        <v>0</v>
      </c>
      <c r="DM11" s="811" t="s">
        <v>108</v>
      </c>
      <c r="DN11" s="687">
        <v>2</v>
      </c>
      <c r="DO11" s="788">
        <f>VLOOKUP(DM11,'Ціни контур мережний'!$I$67:$M$69,5,0)</f>
        <v>4.4537969640631703</v>
      </c>
      <c r="DP11" s="789">
        <f t="shared" si="27"/>
        <v>8.9075939281263405</v>
      </c>
      <c r="DQ11" s="811" t="s">
        <v>106</v>
      </c>
      <c r="DR11" s="687">
        <f>6+L11</f>
        <v>8</v>
      </c>
      <c r="DS11" s="788">
        <f>VLOOKUP(DQ11,'Ціни контур мережний'!$I$67:$M$69,5,0)</f>
        <v>4.4537969640631703</v>
      </c>
      <c r="DT11" s="789">
        <f t="shared" si="28"/>
        <v>35.630375712505362</v>
      </c>
      <c r="DU11" s="811" t="s">
        <v>1013</v>
      </c>
      <c r="DV11" s="687">
        <v>2</v>
      </c>
      <c r="DW11" s="788">
        <f>VLOOKUP(DU11,'Ціни контур мережний'!$I$64:$M$64,5,0)</f>
        <v>29.1312</v>
      </c>
      <c r="DX11" s="789">
        <f t="shared" si="29"/>
        <v>58.2624</v>
      </c>
      <c r="DY11" s="812" t="s">
        <v>1015</v>
      </c>
      <c r="DZ11" s="791">
        <v>4</v>
      </c>
      <c r="EA11" s="788">
        <f>VLOOKUP(DY11,'Ціни контур мережний'!$I$89:$M$89,5,0)</f>
        <v>79.523165325760516</v>
      </c>
      <c r="EB11" s="810">
        <f t="shared" si="30"/>
        <v>318.09266130304206</v>
      </c>
      <c r="EC11" s="813" t="s">
        <v>1016</v>
      </c>
      <c r="ED11" s="687">
        <v>4</v>
      </c>
      <c r="EE11" s="788">
        <f>VLOOKUP(EC11,'Ціни контур мережний'!$I$88:$M$88,5,0)</f>
        <v>13.211568975967202</v>
      </c>
      <c r="EF11" s="814">
        <f t="shared" si="31"/>
        <v>52.846275903868808</v>
      </c>
      <c r="EG11" s="815" t="s">
        <v>383</v>
      </c>
      <c r="EH11" s="687">
        <v>1</v>
      </c>
      <c r="EI11" s="788">
        <f>VLOOKUP(EG11,'Ціни контур мережний'!$I$87:$M$87,5,0)</f>
        <v>13.483972460007763</v>
      </c>
      <c r="EJ11" s="789">
        <f t="shared" si="32"/>
        <v>13.483972460007763</v>
      </c>
      <c r="EK11" s="769">
        <f>B11</f>
        <v>94</v>
      </c>
      <c r="EL11" s="770">
        <f>S11+W11+AA11+AE11+AI11+AN11+AS11+AY11+BC11+BG11+BK11+BO11+BS11+BW11+CA11+CE11+CI11+CN11+CU11+CZ11+DD11+DH11+DL11+DP11+DT11+DX11+EB11+EF11+EJ11</f>
        <v>2885.6268098270889</v>
      </c>
      <c r="EM11" s="771">
        <v>0</v>
      </c>
      <c r="EN11" s="771">
        <v>0</v>
      </c>
      <c r="EO11" s="770">
        <f t="shared" si="38"/>
        <v>584.01223091643328</v>
      </c>
      <c r="EP11" s="770">
        <f>'Таблиця цін схема №2'!$HV$8*0.8</f>
        <v>390.2542750321777</v>
      </c>
      <c r="EQ11" s="770">
        <f>'Таблиця цін схема №1'!$JI$8</f>
        <v>323.47913729816605</v>
      </c>
      <c r="ER11" s="770">
        <f>'Таблиця цін схема №1'!$JJ$8</f>
        <v>66.611999999999995</v>
      </c>
      <c r="ES11" s="770">
        <f>'Таблиця цін схема №1'!$JK$28</f>
        <v>0</v>
      </c>
      <c r="ET11" s="772">
        <f>'Таблиця цін схема №1'!$JL$8</f>
        <v>62.86234247089866</v>
      </c>
      <c r="EU11" s="770">
        <f>'Таблиця цін схема №1'!$JM$28</f>
        <v>0</v>
      </c>
      <c r="EV11" s="770">
        <v>0</v>
      </c>
      <c r="EW11" s="773">
        <f>SUM(EL11:EV11)*$EW$1</f>
        <v>301.89927568813351</v>
      </c>
      <c r="EX11" s="774">
        <f>SUM(EL11:EV11)*$EX$1</f>
        <v>431.28467955447644</v>
      </c>
      <c r="EY11" s="775">
        <f>ABS(SUM(EL11:EX11)*$EY$1-SUM(EL11:EX11))</f>
        <v>74.191679373948318</v>
      </c>
      <c r="EZ11" s="776">
        <f>'Таблиця цін схема №1'!$JR$8</f>
        <v>300.63036461094771</v>
      </c>
      <c r="FA11" s="777">
        <f t="shared" si="34"/>
        <v>5420.8527947722705</v>
      </c>
      <c r="FC11" s="616">
        <f>[3]Расчеты!AX10/1.2</f>
        <v>4013.0253403083561</v>
      </c>
      <c r="FD11" s="616">
        <f t="shared" si="35"/>
        <v>9433.8781350806275</v>
      </c>
      <c r="FE11" s="616" t="e">
        <f>FD11*1.2*#REF!</f>
        <v>#REF!</v>
      </c>
      <c r="FF11" s="616"/>
    </row>
    <row r="12" spans="1:162" s="780" customFormat="1">
      <c r="B12" s="609"/>
      <c r="C12" s="609"/>
      <c r="D12" s="609"/>
      <c r="E12" s="609"/>
      <c r="F12" s="609"/>
      <c r="G12" s="609"/>
      <c r="H12" s="609"/>
      <c r="I12" s="609"/>
      <c r="J12" s="609"/>
      <c r="K12" s="609"/>
      <c r="L12" s="609"/>
      <c r="M12" s="609"/>
      <c r="N12" s="609"/>
      <c r="O12" s="609"/>
      <c r="P12" s="609"/>
      <c r="Q12" s="609"/>
      <c r="R12" s="816"/>
      <c r="S12" s="816"/>
      <c r="T12" s="816"/>
      <c r="U12" s="816"/>
      <c r="V12" s="816"/>
      <c r="W12" s="816"/>
      <c r="X12" s="609"/>
      <c r="Y12" s="609"/>
      <c r="Z12" s="816"/>
      <c r="AA12" s="816"/>
      <c r="AB12" s="609"/>
      <c r="AC12" s="609"/>
      <c r="AD12" s="816"/>
      <c r="AE12" s="816"/>
      <c r="AF12" s="609"/>
      <c r="AG12" s="609"/>
      <c r="AH12" s="816"/>
      <c r="AI12" s="816"/>
      <c r="AJ12" s="817"/>
      <c r="AK12" s="609"/>
      <c r="AL12" s="609"/>
      <c r="AM12" s="816"/>
      <c r="AN12" s="816"/>
      <c r="AO12" s="816"/>
      <c r="AP12" s="816"/>
      <c r="AQ12" s="816"/>
      <c r="AR12" s="816"/>
      <c r="AS12" s="816"/>
      <c r="AT12" s="609"/>
      <c r="AU12" s="609"/>
      <c r="AV12" s="609"/>
      <c r="AW12" s="818"/>
      <c r="AX12" s="816"/>
      <c r="AY12" s="816"/>
      <c r="AZ12" s="609"/>
      <c r="BA12" s="609"/>
      <c r="BB12" s="816"/>
      <c r="BC12" s="816"/>
      <c r="BD12" s="609"/>
      <c r="BE12" s="609"/>
      <c r="BF12" s="816"/>
      <c r="BG12" s="816"/>
      <c r="BH12" s="816"/>
      <c r="BI12" s="816"/>
      <c r="BJ12" s="816"/>
      <c r="BK12" s="816"/>
      <c r="BL12" s="816"/>
      <c r="BM12" s="816"/>
      <c r="BN12" s="816"/>
      <c r="BO12" s="816"/>
      <c r="BP12" s="816"/>
      <c r="BQ12" s="816"/>
      <c r="BR12" s="816"/>
      <c r="BS12" s="816"/>
      <c r="BT12" s="816"/>
      <c r="BU12" s="816"/>
      <c r="BV12" s="816"/>
      <c r="BW12" s="816"/>
      <c r="BX12" s="609"/>
      <c r="BY12" s="609"/>
      <c r="BZ12" s="816"/>
      <c r="CA12" s="816"/>
      <c r="CB12" s="609"/>
      <c r="CC12" s="609"/>
      <c r="CD12" s="816"/>
      <c r="CE12" s="816"/>
      <c r="CF12" s="816"/>
      <c r="CG12" s="816"/>
      <c r="CH12" s="816"/>
      <c r="CI12" s="816"/>
      <c r="CJ12" s="816"/>
      <c r="CK12" s="816"/>
      <c r="CL12" s="819"/>
      <c r="CM12" s="816"/>
      <c r="CN12" s="820"/>
      <c r="CO12" s="820"/>
      <c r="CP12" s="820"/>
      <c r="CQ12" s="820"/>
      <c r="CR12" s="609"/>
      <c r="CS12" s="609"/>
      <c r="CT12" s="816"/>
      <c r="CU12" s="816"/>
      <c r="CV12" s="816"/>
      <c r="CW12" s="816"/>
      <c r="CX12" s="816"/>
      <c r="CY12" s="816"/>
      <c r="CZ12" s="816"/>
      <c r="DA12" s="609"/>
      <c r="DB12" s="609"/>
      <c r="DC12" s="816"/>
      <c r="DD12" s="816"/>
      <c r="DE12" s="609"/>
      <c r="DF12" s="609"/>
      <c r="DG12" s="816"/>
      <c r="DH12" s="816"/>
      <c r="DI12" s="816"/>
      <c r="DJ12" s="816"/>
      <c r="DK12" s="816"/>
      <c r="DL12" s="816"/>
      <c r="DM12" s="609"/>
      <c r="DN12" s="609"/>
      <c r="DO12" s="816"/>
      <c r="DP12" s="816"/>
      <c r="DQ12" s="609"/>
      <c r="DR12" s="609"/>
      <c r="DS12" s="816"/>
      <c r="DT12" s="816"/>
      <c r="DU12" s="609"/>
      <c r="DV12" s="609"/>
      <c r="DW12" s="816"/>
      <c r="DX12" s="816"/>
      <c r="DY12" s="816"/>
      <c r="DZ12" s="816"/>
      <c r="EA12" s="816"/>
      <c r="EB12" s="816"/>
      <c r="EC12" s="821"/>
      <c r="ED12" s="609"/>
      <c r="EE12" s="816"/>
      <c r="EF12" s="816"/>
      <c r="EG12" s="822"/>
      <c r="EH12" s="609"/>
      <c r="EI12" s="816"/>
      <c r="EJ12" s="816"/>
      <c r="EK12" s="609"/>
      <c r="EL12" s="816">
        <f>SUM(EL8:EL11)</f>
        <v>8287.0893731976739</v>
      </c>
      <c r="EM12" s="816">
        <f t="shared" ref="EM12:FA12" si="39">SUM(EM8:EM11)</f>
        <v>0</v>
      </c>
      <c r="EN12" s="816">
        <f t="shared" si="39"/>
        <v>0</v>
      </c>
      <c r="EO12" s="816">
        <f t="shared" si="39"/>
        <v>2336.0489236657331</v>
      </c>
      <c r="EP12" s="816">
        <f t="shared" si="39"/>
        <v>1561.0171001287108</v>
      </c>
      <c r="EQ12" s="816">
        <f t="shared" si="39"/>
        <v>1293.9165491926642</v>
      </c>
      <c r="ER12" s="816">
        <f t="shared" si="39"/>
        <v>266.44799999999998</v>
      </c>
      <c r="ES12" s="816">
        <f t="shared" si="39"/>
        <v>0</v>
      </c>
      <c r="ET12" s="816">
        <f t="shared" si="39"/>
        <v>251.44936988359464</v>
      </c>
      <c r="EU12" s="816">
        <f t="shared" si="39"/>
        <v>0</v>
      </c>
      <c r="EV12" s="816">
        <f t="shared" si="39"/>
        <v>0</v>
      </c>
      <c r="EW12" s="816">
        <f t="shared" si="39"/>
        <v>979.7178521247863</v>
      </c>
      <c r="EX12" s="816">
        <f t="shared" si="39"/>
        <v>1399.5969316068376</v>
      </c>
      <c r="EY12" s="816">
        <f t="shared" si="39"/>
        <v>240.76544269970964</v>
      </c>
      <c r="EZ12" s="816">
        <f t="shared" si="39"/>
        <v>1202.5214584437908</v>
      </c>
      <c r="FA12" s="816">
        <f t="shared" si="39"/>
        <v>17818.571000943499</v>
      </c>
      <c r="FC12" s="826"/>
      <c r="FD12" s="826"/>
      <c r="FE12" s="826"/>
      <c r="FF12" s="826"/>
    </row>
    <row r="13" spans="1:162" s="780" customFormat="1">
      <c r="B13" s="609"/>
      <c r="C13" s="609"/>
      <c r="D13" s="609"/>
      <c r="E13" s="609"/>
      <c r="F13" s="609"/>
      <c r="G13" s="609"/>
      <c r="H13" s="609"/>
      <c r="I13" s="609"/>
      <c r="J13" s="609"/>
      <c r="K13" s="609"/>
      <c r="L13" s="609"/>
      <c r="M13" s="609"/>
      <c r="N13" s="609"/>
      <c r="O13" s="609"/>
      <c r="P13" s="609"/>
      <c r="Q13" s="609"/>
      <c r="R13" s="816"/>
      <c r="S13" s="816"/>
      <c r="T13" s="816"/>
      <c r="U13" s="816"/>
      <c r="V13" s="816"/>
      <c r="W13" s="816"/>
      <c r="X13" s="609"/>
      <c r="Y13" s="609"/>
      <c r="Z13" s="816"/>
      <c r="AA13" s="816"/>
      <c r="AB13" s="609"/>
      <c r="AC13" s="609"/>
      <c r="AD13" s="816"/>
      <c r="AE13" s="816"/>
      <c r="AF13" s="609"/>
      <c r="AG13" s="609"/>
      <c r="AH13" s="816"/>
      <c r="AI13" s="816"/>
      <c r="AJ13" s="817"/>
      <c r="AK13" s="609"/>
      <c r="AL13" s="609"/>
      <c r="AM13" s="816"/>
      <c r="AN13" s="816"/>
      <c r="AO13" s="816"/>
      <c r="AP13" s="816"/>
      <c r="AQ13" s="816"/>
      <c r="AR13" s="816"/>
      <c r="AS13" s="816"/>
      <c r="AT13" s="609"/>
      <c r="AU13" s="609"/>
      <c r="AV13" s="609"/>
      <c r="AW13" s="818"/>
      <c r="AX13" s="816"/>
      <c r="AY13" s="816"/>
      <c r="AZ13" s="609"/>
      <c r="BA13" s="609"/>
      <c r="BB13" s="816"/>
      <c r="BC13" s="816"/>
      <c r="BD13" s="609"/>
      <c r="BE13" s="609"/>
      <c r="BF13" s="816"/>
      <c r="BG13" s="816"/>
      <c r="BH13" s="816"/>
      <c r="BI13" s="816"/>
      <c r="BJ13" s="816"/>
      <c r="BK13" s="816"/>
      <c r="BL13" s="816"/>
      <c r="BM13" s="816"/>
      <c r="BN13" s="816"/>
      <c r="BO13" s="816"/>
      <c r="BP13" s="816"/>
      <c r="BQ13" s="816"/>
      <c r="BR13" s="816"/>
      <c r="BS13" s="816"/>
      <c r="BT13" s="816"/>
      <c r="BU13" s="816"/>
      <c r="BV13" s="816"/>
      <c r="BW13" s="816"/>
      <c r="BX13" s="609"/>
      <c r="BY13" s="609"/>
      <c r="BZ13" s="816"/>
      <c r="CA13" s="816"/>
      <c r="CB13" s="609"/>
      <c r="CC13" s="609"/>
      <c r="CD13" s="816"/>
      <c r="CE13" s="816"/>
      <c r="CF13" s="816"/>
      <c r="CG13" s="816"/>
      <c r="CH13" s="816"/>
      <c r="CI13" s="816"/>
      <c r="CJ13" s="816"/>
      <c r="CK13" s="816"/>
      <c r="CL13" s="819"/>
      <c r="CM13" s="816"/>
      <c r="CN13" s="820"/>
      <c r="CO13" s="820"/>
      <c r="CP13" s="820"/>
      <c r="CQ13" s="820"/>
      <c r="CR13" s="817"/>
      <c r="CS13" s="609"/>
      <c r="CT13" s="816"/>
      <c r="CU13" s="816"/>
      <c r="CV13" s="816"/>
      <c r="CW13" s="816"/>
      <c r="CX13" s="816"/>
      <c r="CY13" s="816"/>
      <c r="CZ13" s="816"/>
      <c r="DA13" s="609"/>
      <c r="DB13" s="609"/>
      <c r="DC13" s="816"/>
      <c r="DD13" s="816"/>
      <c r="DE13" s="609"/>
      <c r="DF13" s="609"/>
      <c r="DG13" s="816"/>
      <c r="DH13" s="816"/>
      <c r="DI13" s="816"/>
      <c r="DJ13" s="816"/>
      <c r="DK13" s="816"/>
      <c r="DL13" s="816"/>
      <c r="DM13" s="609"/>
      <c r="DN13" s="609"/>
      <c r="DO13" s="816"/>
      <c r="DP13" s="816"/>
      <c r="DQ13" s="609"/>
      <c r="DR13" s="609"/>
      <c r="DS13" s="816"/>
      <c r="DT13" s="816"/>
      <c r="DU13" s="609"/>
      <c r="DV13" s="609"/>
      <c r="DW13" s="816"/>
      <c r="DX13" s="816"/>
      <c r="DY13" s="816"/>
      <c r="DZ13" s="816"/>
      <c r="EA13" s="816"/>
      <c r="EB13" s="816"/>
      <c r="EC13" s="821"/>
      <c r="ED13" s="609"/>
      <c r="EE13" s="816"/>
      <c r="EF13" s="816"/>
      <c r="EG13" s="822"/>
      <c r="EH13" s="609"/>
      <c r="EI13" s="816"/>
      <c r="EJ13" s="816"/>
      <c r="EK13" s="609"/>
      <c r="EL13" s="816"/>
      <c r="EM13" s="816"/>
      <c r="EN13" s="816"/>
      <c r="EO13" s="816"/>
      <c r="EP13" s="816"/>
      <c r="EQ13" s="816"/>
      <c r="ER13" s="816"/>
      <c r="ES13" s="816"/>
      <c r="ET13" s="816"/>
      <c r="EU13" s="816"/>
      <c r="EV13" s="816"/>
      <c r="EW13" s="823"/>
      <c r="EX13" s="824"/>
      <c r="EY13" s="825"/>
      <c r="EZ13" s="825"/>
      <c r="FA13" s="816"/>
      <c r="FC13" s="826"/>
      <c r="FD13" s="826"/>
      <c r="FE13" s="826"/>
      <c r="FF13" s="826"/>
    </row>
    <row r="14" spans="1:162" s="780" customFormat="1" ht="13.5" customHeight="1">
      <c r="B14" s="609"/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09"/>
      <c r="P14" s="746">
        <v>40</v>
      </c>
      <c r="Q14" s="746">
        <f>COUNTIF($P$8:$P$11,P14)*2</f>
        <v>6</v>
      </c>
      <c r="R14" s="816"/>
      <c r="S14" s="816"/>
      <c r="T14" s="746">
        <v>40</v>
      </c>
      <c r="U14" s="746">
        <f>COUNTIF($T$8:$T$11,T14)*2</f>
        <v>6</v>
      </c>
      <c r="V14" s="816"/>
      <c r="W14" s="816"/>
      <c r="X14" s="746">
        <v>40</v>
      </c>
      <c r="Y14" s="746">
        <v>0</v>
      </c>
      <c r="Z14" s="816"/>
      <c r="AA14" s="816"/>
      <c r="AB14" s="746">
        <v>15</v>
      </c>
      <c r="AC14" s="746">
        <v>0</v>
      </c>
      <c r="AD14" s="816"/>
      <c r="AE14" s="816"/>
      <c r="AF14" s="746" t="s">
        <v>1017</v>
      </c>
      <c r="AG14" s="746">
        <f>SUM(AG8:AG11)</f>
        <v>4</v>
      </c>
      <c r="AH14" s="816"/>
      <c r="AI14" s="816"/>
      <c r="AJ14" s="827">
        <v>0.63</v>
      </c>
      <c r="AK14" s="746">
        <f>COUNTIF($AJ$8:$AJ$11,AJ14)</f>
        <v>0</v>
      </c>
      <c r="AL14" s="609"/>
      <c r="AM14" s="816"/>
      <c r="AN14" s="816"/>
      <c r="AO14" s="827">
        <v>0.63</v>
      </c>
      <c r="AP14" s="749">
        <f>COUNTIF($AO$8:$AO$11,AO14)</f>
        <v>0</v>
      </c>
      <c r="AQ14" s="816"/>
      <c r="AR14" s="816"/>
      <c r="AS14" s="816"/>
      <c r="AT14" s="828">
        <v>1.5</v>
      </c>
      <c r="AU14" s="746">
        <f>COUNTIF($AU$8:$AU$11,AT14)</f>
        <v>0</v>
      </c>
      <c r="AV14" s="609"/>
      <c r="AW14" s="818"/>
      <c r="AX14" s="816"/>
      <c r="AY14" s="816"/>
      <c r="AZ14" s="829">
        <v>15</v>
      </c>
      <c r="BA14" s="746">
        <f>COUNTIF($AZ$8:$AZ$11,AZ14)*4</f>
        <v>0</v>
      </c>
      <c r="BB14" s="816"/>
      <c r="BC14" s="816"/>
      <c r="BD14" s="829">
        <v>15</v>
      </c>
      <c r="BE14" s="746">
        <v>0</v>
      </c>
      <c r="BF14" s="816"/>
      <c r="BG14" s="816"/>
      <c r="BH14" s="747" t="s">
        <v>1017</v>
      </c>
      <c r="BI14" s="749">
        <f>SUM(BI8:BI11)</f>
        <v>8</v>
      </c>
      <c r="BJ14" s="816"/>
      <c r="BK14" s="816"/>
      <c r="BL14" s="747" t="s">
        <v>1017</v>
      </c>
      <c r="BM14" s="749">
        <f>SUM(BM8:BM11)</f>
        <v>20</v>
      </c>
      <c r="BN14" s="816"/>
      <c r="BO14" s="816"/>
      <c r="BP14" s="747" t="s">
        <v>1017</v>
      </c>
      <c r="BQ14" s="749">
        <f>SUM(BQ8:BQ11)</f>
        <v>92</v>
      </c>
      <c r="BR14" s="816"/>
      <c r="BS14" s="816"/>
      <c r="BT14" s="829">
        <v>15</v>
      </c>
      <c r="BU14" s="829">
        <f>COUNTIF($BT$8:$BT$11,BT14)</f>
        <v>0</v>
      </c>
      <c r="BV14" s="816"/>
      <c r="BW14" s="816"/>
      <c r="BX14" s="829">
        <v>15</v>
      </c>
      <c r="BY14" s="746">
        <f>COUNTIF($BX$8:$BX$11,BX14)</f>
        <v>0</v>
      </c>
      <c r="BZ14" s="816"/>
      <c r="CA14" s="816"/>
      <c r="CB14" s="829">
        <v>15</v>
      </c>
      <c r="CC14" s="829">
        <f>COUNTIF($CB$8:$CB$11,CB14)*2</f>
        <v>0</v>
      </c>
      <c r="CD14" s="816"/>
      <c r="CE14" s="816"/>
      <c r="CF14" s="829">
        <v>15</v>
      </c>
      <c r="CG14" s="829">
        <f>COUNTIF($CF$8:$CF$11,CF14)*4</f>
        <v>0</v>
      </c>
      <c r="CH14" s="816"/>
      <c r="CI14" s="816"/>
      <c r="CJ14" s="816"/>
      <c r="CK14" s="829">
        <v>15</v>
      </c>
      <c r="CL14" s="830">
        <f>COUNTIF($CK$8:$CK$11,CK14)*2</f>
        <v>4</v>
      </c>
      <c r="CM14" s="816"/>
      <c r="CN14" s="820"/>
      <c r="CO14" s="820"/>
      <c r="CP14" s="820"/>
      <c r="CQ14" s="820"/>
      <c r="CR14" s="720" t="s">
        <v>1094</v>
      </c>
      <c r="CS14" s="746">
        <v>4</v>
      </c>
      <c r="CT14" s="816"/>
      <c r="CU14" s="816"/>
      <c r="CV14" s="829">
        <v>15</v>
      </c>
      <c r="CW14" s="749">
        <v>4</v>
      </c>
      <c r="CX14" s="816"/>
      <c r="CY14" s="816"/>
      <c r="CZ14" s="816"/>
      <c r="DA14" s="746" t="s">
        <v>1017</v>
      </c>
      <c r="DB14" s="746">
        <f>SUM(DB8:DB11)</f>
        <v>4</v>
      </c>
      <c r="DC14" s="816"/>
      <c r="DD14" s="816"/>
      <c r="DE14" s="746" t="s">
        <v>1017</v>
      </c>
      <c r="DF14" s="746">
        <f>SUM(DF8:DF11)</f>
        <v>0</v>
      </c>
      <c r="DG14" s="816"/>
      <c r="DH14" s="816"/>
      <c r="DI14" s="746" t="s">
        <v>1017</v>
      </c>
      <c r="DJ14" s="749">
        <f>SUM(DJ8:DJ11)</f>
        <v>0</v>
      </c>
      <c r="DK14" s="816"/>
      <c r="DL14" s="816"/>
      <c r="DM14" s="746" t="s">
        <v>1017</v>
      </c>
      <c r="DN14" s="746">
        <f>SUM(DN8:DN11)</f>
        <v>8</v>
      </c>
      <c r="DO14" s="816"/>
      <c r="DP14" s="816"/>
      <c r="DQ14" s="746" t="s">
        <v>1017</v>
      </c>
      <c r="DR14" s="746">
        <f>SUM(DR8:DR11)</f>
        <v>32</v>
      </c>
      <c r="DS14" s="816"/>
      <c r="DT14" s="816"/>
      <c r="DU14" s="746" t="s">
        <v>1017</v>
      </c>
      <c r="DV14" s="746">
        <f>SUM(DV8:DV11)</f>
        <v>8</v>
      </c>
      <c r="DW14" s="816"/>
      <c r="DX14" s="816"/>
      <c r="DY14" s="746" t="s">
        <v>1017</v>
      </c>
      <c r="DZ14" s="749">
        <f>SUM(DZ8:DZ11)</f>
        <v>16</v>
      </c>
      <c r="EA14" s="816"/>
      <c r="EB14" s="816"/>
      <c r="EC14" s="746" t="s">
        <v>1017</v>
      </c>
      <c r="ED14" s="746">
        <f>SUM(ED8:ED11)</f>
        <v>16</v>
      </c>
      <c r="EE14" s="816"/>
      <c r="EF14" s="816"/>
      <c r="EG14" s="746" t="s">
        <v>1017</v>
      </c>
      <c r="EH14" s="746">
        <f>SUM(EH8:EH11)</f>
        <v>4</v>
      </c>
      <c r="EI14" s="816"/>
      <c r="EJ14" s="816"/>
      <c r="EK14" s="609"/>
      <c r="EL14" s="816"/>
      <c r="EM14" s="816"/>
      <c r="EN14" s="816"/>
      <c r="EO14" s="816"/>
      <c r="EP14" s="816"/>
      <c r="EQ14" s="816"/>
      <c r="ER14" s="816"/>
      <c r="ES14" s="816"/>
      <c r="ET14" s="816"/>
      <c r="EU14" s="816"/>
      <c r="EV14" s="816"/>
      <c r="EW14" s="823"/>
      <c r="EX14" s="824"/>
      <c r="EY14" s="825"/>
      <c r="EZ14" s="825"/>
      <c r="FA14" s="816"/>
      <c r="FC14" s="826"/>
      <c r="FD14" s="826"/>
      <c r="FE14" s="826"/>
      <c r="FF14" s="826"/>
    </row>
    <row r="15" spans="1:162" s="780" customFormat="1" ht="13.5" customHeight="1">
      <c r="B15" s="609"/>
      <c r="C15" s="609"/>
      <c r="D15" s="609"/>
      <c r="E15" s="609"/>
      <c r="F15" s="609"/>
      <c r="G15" s="609"/>
      <c r="H15" s="609"/>
      <c r="I15" s="609"/>
      <c r="J15" s="609"/>
      <c r="K15" s="609"/>
      <c r="L15" s="609"/>
      <c r="M15" s="609"/>
      <c r="N15" s="609"/>
      <c r="O15" s="609"/>
      <c r="P15" s="746">
        <v>50</v>
      </c>
      <c r="Q15" s="746">
        <f t="shared" ref="Q15:Q20" si="40">COUNTIF($P$8:$P$11,P15)*2</f>
        <v>2</v>
      </c>
      <c r="R15" s="816"/>
      <c r="S15" s="816"/>
      <c r="T15" s="746">
        <v>50</v>
      </c>
      <c r="U15" s="746">
        <f t="shared" ref="U15:U20" si="41">COUNTIF($T$8:$T$11,T15)*2</f>
        <v>2</v>
      </c>
      <c r="V15" s="816"/>
      <c r="W15" s="816"/>
      <c r="X15" s="746">
        <v>50</v>
      </c>
      <c r="Y15" s="746">
        <v>0</v>
      </c>
      <c r="Z15" s="816"/>
      <c r="AA15" s="816"/>
      <c r="AB15" s="746">
        <v>20</v>
      </c>
      <c r="AC15" s="746">
        <v>0</v>
      </c>
      <c r="AD15" s="816"/>
      <c r="AE15" s="816"/>
      <c r="AF15" s="609"/>
      <c r="AG15" s="609"/>
      <c r="AH15" s="816"/>
      <c r="AI15" s="816"/>
      <c r="AJ15" s="827">
        <v>1</v>
      </c>
      <c r="AK15" s="746">
        <f t="shared" ref="AK15:AK24" si="42">COUNTIF($AJ$8:$AJ$11,AJ15)</f>
        <v>0</v>
      </c>
      <c r="AL15" s="609"/>
      <c r="AM15" s="816"/>
      <c r="AN15" s="816"/>
      <c r="AO15" s="827">
        <v>1</v>
      </c>
      <c r="AP15" s="749">
        <f t="shared" ref="AP15:AP17" si="43">COUNTIF($AO$8:$AO$11,AO15)</f>
        <v>0</v>
      </c>
      <c r="AQ15" s="816"/>
      <c r="AR15" s="816"/>
      <c r="AS15" s="816"/>
      <c r="AT15" s="828">
        <v>2.5</v>
      </c>
      <c r="AU15" s="746">
        <f t="shared" ref="AU15:AU21" si="44">COUNTIF($AU$8:$AU$11,AT15)</f>
        <v>0</v>
      </c>
      <c r="AV15" s="609"/>
      <c r="AW15" s="818"/>
      <c r="AX15" s="816"/>
      <c r="AY15" s="816"/>
      <c r="AZ15" s="829">
        <v>20</v>
      </c>
      <c r="BA15" s="746">
        <f t="shared" ref="BA15:BA23" si="45">COUNTIF($AZ$8:$AZ$11,AZ15)*4</f>
        <v>0</v>
      </c>
      <c r="BB15" s="816"/>
      <c r="BC15" s="816"/>
      <c r="BD15" s="829">
        <v>20</v>
      </c>
      <c r="BE15" s="746">
        <f>BE8+BE9</f>
        <v>8</v>
      </c>
      <c r="BF15" s="816"/>
      <c r="BG15" s="816"/>
      <c r="BH15" s="816"/>
      <c r="BI15" s="816"/>
      <c r="BJ15" s="816"/>
      <c r="BK15" s="816"/>
      <c r="BL15" s="816"/>
      <c r="BM15" s="816"/>
      <c r="BN15" s="816"/>
      <c r="BO15" s="816"/>
      <c r="BP15" s="816"/>
      <c r="BQ15" s="816"/>
      <c r="BR15" s="816"/>
      <c r="BS15" s="816"/>
      <c r="BT15" s="829">
        <v>20</v>
      </c>
      <c r="BU15" s="829">
        <f t="shared" ref="BU15:BU23" si="46">COUNTIF($BT$8:$BT$11,BT15)</f>
        <v>0</v>
      </c>
      <c r="BV15" s="816"/>
      <c r="BW15" s="816"/>
      <c r="BX15" s="829">
        <v>20</v>
      </c>
      <c r="BY15" s="746">
        <f t="shared" ref="BY15:BY23" si="47">COUNTIF($BX$8:$BX$11,BX15)</f>
        <v>0</v>
      </c>
      <c r="BZ15" s="816"/>
      <c r="CA15" s="816"/>
      <c r="CB15" s="829">
        <v>20</v>
      </c>
      <c r="CC15" s="829">
        <f t="shared" ref="CC15:CC23" si="48">COUNTIF($CB$8:$CB$11,CB15)*2</f>
        <v>0</v>
      </c>
      <c r="CD15" s="816"/>
      <c r="CE15" s="816"/>
      <c r="CF15" s="829">
        <v>20</v>
      </c>
      <c r="CG15" s="829">
        <f t="shared" ref="CG15:CG23" si="49">COUNTIF($CF$8:$CF$11,CF15)*4</f>
        <v>8</v>
      </c>
      <c r="CH15" s="816"/>
      <c r="CI15" s="816"/>
      <c r="CJ15" s="816"/>
      <c r="CK15" s="829">
        <v>20</v>
      </c>
      <c r="CL15" s="830">
        <f t="shared" ref="CL15:CL19" si="50">COUNTIF($CK$8:$CK$11,CK15)*2</f>
        <v>2</v>
      </c>
      <c r="CM15" s="816"/>
      <c r="CN15" s="820"/>
      <c r="CO15" s="820"/>
      <c r="CP15" s="820"/>
      <c r="CQ15" s="820"/>
      <c r="CR15" s="720" t="s">
        <v>120</v>
      </c>
      <c r="CS15" s="746">
        <v>2</v>
      </c>
      <c r="CT15" s="816"/>
      <c r="CU15" s="816"/>
      <c r="CV15" s="829">
        <v>20</v>
      </c>
      <c r="CW15" s="749">
        <v>0</v>
      </c>
      <c r="CX15" s="816"/>
      <c r="CY15" s="816"/>
      <c r="CZ15" s="816"/>
      <c r="DA15" s="609"/>
      <c r="DB15" s="609"/>
      <c r="DC15" s="816"/>
      <c r="DD15" s="816"/>
      <c r="DE15" s="609"/>
      <c r="DF15" s="609"/>
      <c r="DG15" s="816"/>
      <c r="DH15" s="816"/>
      <c r="DI15" s="816"/>
      <c r="DJ15" s="816"/>
      <c r="DK15" s="816"/>
      <c r="DL15" s="816"/>
      <c r="DM15" s="609"/>
      <c r="DN15" s="609"/>
      <c r="DO15" s="816"/>
      <c r="DP15" s="816"/>
      <c r="DQ15" s="609"/>
      <c r="DR15" s="609"/>
      <c r="DS15" s="816"/>
      <c r="DT15" s="816"/>
      <c r="DU15" s="609"/>
      <c r="DV15" s="609"/>
      <c r="DW15" s="816"/>
      <c r="DX15" s="816"/>
      <c r="DY15" s="816"/>
      <c r="DZ15" s="816"/>
      <c r="EA15" s="816"/>
      <c r="EB15" s="816"/>
      <c r="EC15" s="821"/>
      <c r="ED15" s="609"/>
      <c r="EE15" s="816"/>
      <c r="EF15" s="816"/>
      <c r="EG15" s="822"/>
      <c r="EH15" s="609"/>
      <c r="EI15" s="816"/>
      <c r="EJ15" s="816"/>
      <c r="EK15" s="609"/>
      <c r="EL15" s="816">
        <f>SUM(EL8:EL11)+SUM(EO8:EO11)+SUM(ER8:ER11)</f>
        <v>10889.586296863406</v>
      </c>
      <c r="EM15" s="816"/>
      <c r="EN15" s="816"/>
      <c r="EO15" s="816"/>
      <c r="EP15" s="816"/>
      <c r="EQ15" s="816"/>
      <c r="ER15" s="816"/>
      <c r="ES15" s="816"/>
      <c r="ET15" s="816"/>
      <c r="EU15" s="816"/>
      <c r="EV15" s="816"/>
      <c r="EW15" s="823"/>
      <c r="EX15" s="816">
        <f>SUM(EX8:EX11)</f>
        <v>1399.5969316068376</v>
      </c>
      <c r="EY15" s="825"/>
      <c r="EZ15" s="825"/>
      <c r="FA15" s="816">
        <f>SUM(FA8:FA11)</f>
        <v>17818.571000943499</v>
      </c>
      <c r="FC15" s="826"/>
      <c r="FD15" s="826"/>
      <c r="FE15" s="826"/>
      <c r="FF15" s="826"/>
    </row>
    <row r="16" spans="1:162" s="780" customFormat="1" ht="13.5" customHeight="1">
      <c r="B16" s="609"/>
      <c r="C16" s="609"/>
      <c r="D16" s="609"/>
      <c r="E16" s="609"/>
      <c r="F16" s="609"/>
      <c r="G16" s="609"/>
      <c r="H16" s="609"/>
      <c r="I16" s="609"/>
      <c r="J16" s="609"/>
      <c r="K16" s="609"/>
      <c r="L16" s="609"/>
      <c r="M16" s="609"/>
      <c r="N16" s="609"/>
      <c r="O16" s="609"/>
      <c r="P16" s="746">
        <v>65</v>
      </c>
      <c r="Q16" s="746">
        <f t="shared" si="40"/>
        <v>0</v>
      </c>
      <c r="R16" s="816"/>
      <c r="S16" s="816"/>
      <c r="T16" s="746">
        <v>65</v>
      </c>
      <c r="U16" s="746">
        <f t="shared" si="41"/>
        <v>0</v>
      </c>
      <c r="V16" s="816"/>
      <c r="W16" s="816"/>
      <c r="X16" s="746">
        <v>65</v>
      </c>
      <c r="Y16" s="746">
        <v>0</v>
      </c>
      <c r="Z16" s="816"/>
      <c r="AA16" s="816"/>
      <c r="AB16" s="746">
        <v>25</v>
      </c>
      <c r="AC16" s="746">
        <v>0</v>
      </c>
      <c r="AD16" s="816"/>
      <c r="AE16" s="816"/>
      <c r="AF16" s="609"/>
      <c r="AG16" s="609"/>
      <c r="AH16" s="816"/>
      <c r="AI16" s="816"/>
      <c r="AJ16" s="827">
        <v>1.6</v>
      </c>
      <c r="AK16" s="746">
        <f t="shared" si="42"/>
        <v>2</v>
      </c>
      <c r="AL16" s="609"/>
      <c r="AM16" s="816"/>
      <c r="AN16" s="816"/>
      <c r="AO16" s="827">
        <v>1.6</v>
      </c>
      <c r="AP16" s="749">
        <f t="shared" si="43"/>
        <v>0</v>
      </c>
      <c r="AQ16" s="816"/>
      <c r="AR16" s="816"/>
      <c r="AS16" s="816"/>
      <c r="AT16" s="828">
        <v>3.5</v>
      </c>
      <c r="AU16" s="746">
        <f t="shared" si="44"/>
        <v>0</v>
      </c>
      <c r="AV16" s="609"/>
      <c r="AW16" s="818"/>
      <c r="AX16" s="816"/>
      <c r="AY16" s="816"/>
      <c r="AZ16" s="829">
        <v>25</v>
      </c>
      <c r="BA16" s="746">
        <f t="shared" si="45"/>
        <v>0</v>
      </c>
      <c r="BB16" s="816"/>
      <c r="BC16" s="816"/>
      <c r="BD16" s="829">
        <v>25</v>
      </c>
      <c r="BE16" s="746">
        <v>0</v>
      </c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29">
        <v>25</v>
      </c>
      <c r="BU16" s="829">
        <f t="shared" si="46"/>
        <v>0</v>
      </c>
      <c r="BV16" s="816"/>
      <c r="BW16" s="816"/>
      <c r="BX16" s="829">
        <v>25</v>
      </c>
      <c r="BY16" s="746">
        <f t="shared" si="47"/>
        <v>0</v>
      </c>
      <c r="BZ16" s="816"/>
      <c r="CA16" s="816"/>
      <c r="CB16" s="829">
        <v>25</v>
      </c>
      <c r="CC16" s="829">
        <f t="shared" si="48"/>
        <v>0</v>
      </c>
      <c r="CD16" s="816"/>
      <c r="CE16" s="816"/>
      <c r="CF16" s="829">
        <v>25</v>
      </c>
      <c r="CG16" s="829">
        <f t="shared" si="49"/>
        <v>0</v>
      </c>
      <c r="CH16" s="816"/>
      <c r="CI16" s="816"/>
      <c r="CJ16" s="816"/>
      <c r="CK16" s="829">
        <v>25</v>
      </c>
      <c r="CL16" s="830">
        <f t="shared" si="50"/>
        <v>0</v>
      </c>
      <c r="CM16" s="816"/>
      <c r="CN16" s="820"/>
      <c r="CO16" s="820"/>
      <c r="CP16" s="820"/>
      <c r="CQ16" s="820"/>
      <c r="CR16" s="720" t="s">
        <v>123</v>
      </c>
      <c r="CS16" s="746">
        <v>2</v>
      </c>
      <c r="CT16" s="816"/>
      <c r="CU16" s="816"/>
      <c r="CV16" s="829">
        <v>25</v>
      </c>
      <c r="CW16" s="749">
        <v>2</v>
      </c>
      <c r="CX16" s="816"/>
      <c r="CY16" s="816"/>
      <c r="CZ16" s="816"/>
      <c r="DA16" s="609"/>
      <c r="DB16" s="609"/>
      <c r="DC16" s="816"/>
      <c r="DD16" s="816"/>
      <c r="DE16" s="609"/>
      <c r="DF16" s="609"/>
      <c r="DG16" s="816"/>
      <c r="DH16" s="816"/>
      <c r="DI16" s="816"/>
      <c r="DJ16" s="816"/>
      <c r="DK16" s="816"/>
      <c r="DL16" s="816"/>
      <c r="DM16" s="609"/>
      <c r="DN16" s="609"/>
      <c r="DO16" s="816"/>
      <c r="DP16" s="816"/>
      <c r="DQ16" s="609"/>
      <c r="DR16" s="609"/>
      <c r="DS16" s="816"/>
      <c r="DT16" s="816"/>
      <c r="DU16" s="609"/>
      <c r="DV16" s="609"/>
      <c r="DW16" s="816"/>
      <c r="DX16" s="816"/>
      <c r="DY16" s="816"/>
      <c r="DZ16" s="816"/>
      <c r="EA16" s="816"/>
      <c r="EB16" s="816"/>
      <c r="EC16" s="821"/>
      <c r="ED16" s="609"/>
      <c r="EE16" s="816"/>
      <c r="EF16" s="816"/>
      <c r="EG16" s="822"/>
      <c r="EH16" s="609"/>
      <c r="EI16" s="816"/>
      <c r="EJ16" s="816"/>
      <c r="EK16" s="609"/>
      <c r="EL16" s="816"/>
      <c r="EM16" s="816"/>
      <c r="EN16" s="816"/>
      <c r="EO16" s="816"/>
      <c r="EP16" s="816"/>
      <c r="EQ16" s="816"/>
      <c r="ER16" s="816"/>
      <c r="ES16" s="816"/>
      <c r="ET16" s="816"/>
      <c r="EU16" s="816"/>
      <c r="EV16" s="816"/>
      <c r="EW16" s="823"/>
      <c r="EX16" s="824"/>
      <c r="EY16" s="825"/>
      <c r="EZ16" s="825"/>
      <c r="FA16" s="816"/>
      <c r="FC16" s="826"/>
      <c r="FD16" s="826"/>
      <c r="FE16" s="826"/>
      <c r="FF16" s="826"/>
    </row>
    <row r="17" spans="2:162" s="780" customFormat="1" ht="13.5" customHeight="1">
      <c r="B17" s="609"/>
      <c r="C17" s="609"/>
      <c r="D17" s="609"/>
      <c r="E17" s="609"/>
      <c r="F17" s="609"/>
      <c r="G17" s="609"/>
      <c r="H17" s="609"/>
      <c r="I17" s="609"/>
      <c r="J17" s="609"/>
      <c r="K17" s="609"/>
      <c r="L17" s="609"/>
      <c r="M17" s="609"/>
      <c r="N17" s="609"/>
      <c r="O17" s="609"/>
      <c r="P17" s="746">
        <v>80</v>
      </c>
      <c r="Q17" s="746">
        <f t="shared" si="40"/>
        <v>0</v>
      </c>
      <c r="R17" s="816"/>
      <c r="S17" s="816"/>
      <c r="T17" s="746">
        <v>80</v>
      </c>
      <c r="U17" s="746">
        <f t="shared" si="41"/>
        <v>0</v>
      </c>
      <c r="V17" s="816"/>
      <c r="W17" s="816"/>
      <c r="X17" s="746">
        <v>80</v>
      </c>
      <c r="Y17" s="746">
        <v>0</v>
      </c>
      <c r="Z17" s="816"/>
      <c r="AA17" s="816"/>
      <c r="AB17" s="746">
        <v>32</v>
      </c>
      <c r="AC17" s="746">
        <v>0</v>
      </c>
      <c r="AD17" s="816"/>
      <c r="AE17" s="816"/>
      <c r="AF17" s="609"/>
      <c r="AG17" s="609"/>
      <c r="AH17" s="816"/>
      <c r="AI17" s="816"/>
      <c r="AJ17" s="827">
        <v>2.5</v>
      </c>
      <c r="AK17" s="746">
        <f t="shared" si="42"/>
        <v>0</v>
      </c>
      <c r="AL17" s="609"/>
      <c r="AM17" s="816"/>
      <c r="AN17" s="816"/>
      <c r="AO17" s="827">
        <v>2.5</v>
      </c>
      <c r="AP17" s="749">
        <f t="shared" si="43"/>
        <v>0</v>
      </c>
      <c r="AQ17" s="816"/>
      <c r="AR17" s="816"/>
      <c r="AS17" s="816"/>
      <c r="AT17" s="828">
        <v>6</v>
      </c>
      <c r="AU17" s="746">
        <f t="shared" si="44"/>
        <v>0</v>
      </c>
      <c r="AV17" s="609"/>
      <c r="AW17" s="818"/>
      <c r="AX17" s="816"/>
      <c r="AY17" s="816"/>
      <c r="AZ17" s="829">
        <v>32</v>
      </c>
      <c r="BA17" s="746">
        <f t="shared" si="45"/>
        <v>0</v>
      </c>
      <c r="BB17" s="816"/>
      <c r="BC17" s="816"/>
      <c r="BD17" s="829">
        <v>32</v>
      </c>
      <c r="BE17" s="746">
        <f>BE10</f>
        <v>4</v>
      </c>
      <c r="BF17" s="816"/>
      <c r="BG17" s="816"/>
      <c r="BH17" s="816"/>
      <c r="BI17" s="816"/>
      <c r="BJ17" s="816"/>
      <c r="BK17" s="816"/>
      <c r="BL17" s="816"/>
      <c r="BM17" s="816"/>
      <c r="BN17" s="816"/>
      <c r="BO17" s="816"/>
      <c r="BP17" s="816"/>
      <c r="BQ17" s="816"/>
      <c r="BR17" s="816"/>
      <c r="BS17" s="816"/>
      <c r="BT17" s="829">
        <v>32</v>
      </c>
      <c r="BU17" s="829">
        <f t="shared" si="46"/>
        <v>0</v>
      </c>
      <c r="BV17" s="816"/>
      <c r="BW17" s="816"/>
      <c r="BX17" s="829">
        <v>32</v>
      </c>
      <c r="BY17" s="746">
        <f t="shared" si="47"/>
        <v>0</v>
      </c>
      <c r="BZ17" s="816"/>
      <c r="CA17" s="816"/>
      <c r="CB17" s="829">
        <v>32</v>
      </c>
      <c r="CC17" s="829">
        <f t="shared" si="48"/>
        <v>0</v>
      </c>
      <c r="CD17" s="816"/>
      <c r="CE17" s="816"/>
      <c r="CF17" s="829">
        <v>32</v>
      </c>
      <c r="CG17" s="829">
        <f t="shared" si="49"/>
        <v>4</v>
      </c>
      <c r="CH17" s="816"/>
      <c r="CI17" s="816"/>
      <c r="CJ17" s="816"/>
      <c r="CK17" s="829">
        <v>32</v>
      </c>
      <c r="CL17" s="830">
        <f t="shared" si="50"/>
        <v>2</v>
      </c>
      <c r="CM17" s="816"/>
      <c r="CN17" s="820"/>
      <c r="CO17" s="820"/>
      <c r="CP17" s="820"/>
      <c r="CQ17" s="820"/>
      <c r="CR17" s="817"/>
      <c r="CS17" s="609"/>
      <c r="CT17" s="816"/>
      <c r="CU17" s="816"/>
      <c r="CV17" s="829">
        <v>32</v>
      </c>
      <c r="CW17" s="749">
        <v>0</v>
      </c>
      <c r="CX17" s="816"/>
      <c r="CY17" s="816"/>
      <c r="CZ17" s="816"/>
      <c r="DA17" s="609"/>
      <c r="DB17" s="609"/>
      <c r="DC17" s="816"/>
      <c r="DD17" s="816"/>
      <c r="DE17" s="609"/>
      <c r="DF17" s="609"/>
      <c r="DG17" s="816"/>
      <c r="DH17" s="816"/>
      <c r="DI17" s="816"/>
      <c r="DJ17" s="816"/>
      <c r="DK17" s="816"/>
      <c r="DL17" s="816"/>
      <c r="DM17" s="609"/>
      <c r="DN17" s="609"/>
      <c r="DO17" s="816"/>
      <c r="DP17" s="816"/>
      <c r="DQ17" s="609"/>
      <c r="DR17" s="609"/>
      <c r="DS17" s="816"/>
      <c r="DT17" s="816"/>
      <c r="DU17" s="609"/>
      <c r="DV17" s="609"/>
      <c r="DW17" s="816"/>
      <c r="DX17" s="816"/>
      <c r="DY17" s="816"/>
      <c r="DZ17" s="816"/>
      <c r="EA17" s="816"/>
      <c r="EB17" s="816"/>
      <c r="EC17" s="821"/>
      <c r="ED17" s="609"/>
      <c r="EE17" s="816"/>
      <c r="EF17" s="816"/>
      <c r="EG17" s="822"/>
      <c r="EH17" s="609"/>
      <c r="EI17" s="816"/>
      <c r="EJ17" s="816"/>
      <c r="EK17" s="609"/>
      <c r="EL17" s="816"/>
      <c r="EM17" s="816"/>
      <c r="EN17" s="816"/>
      <c r="EO17" s="816"/>
      <c r="EP17" s="816"/>
      <c r="EQ17" s="816"/>
      <c r="ER17" s="816"/>
      <c r="ES17" s="816"/>
      <c r="ET17" s="816"/>
      <c r="EU17" s="816"/>
      <c r="EV17" s="816"/>
      <c r="EW17" s="823"/>
      <c r="EX17" s="824"/>
      <c r="EY17" s="825"/>
      <c r="EZ17" s="825"/>
      <c r="FA17" s="816"/>
      <c r="FC17" s="826"/>
      <c r="FD17" s="826"/>
      <c r="FE17" s="826"/>
      <c r="FF17" s="826"/>
    </row>
    <row r="18" spans="2:162" s="780" customFormat="1" ht="13.5" customHeight="1">
      <c r="B18" s="609"/>
      <c r="C18" s="609"/>
      <c r="D18" s="609"/>
      <c r="E18" s="609"/>
      <c r="F18" s="609"/>
      <c r="G18" s="609"/>
      <c r="H18" s="609"/>
      <c r="I18" s="609"/>
      <c r="J18" s="609"/>
      <c r="K18" s="609"/>
      <c r="L18" s="609"/>
      <c r="M18" s="609"/>
      <c r="N18" s="609"/>
      <c r="O18" s="609"/>
      <c r="P18" s="746">
        <v>100</v>
      </c>
      <c r="Q18" s="746">
        <f t="shared" si="40"/>
        <v>0</v>
      </c>
      <c r="R18" s="816"/>
      <c r="S18" s="816"/>
      <c r="T18" s="746">
        <v>100</v>
      </c>
      <c r="U18" s="746">
        <f t="shared" si="41"/>
        <v>0</v>
      </c>
      <c r="V18" s="816"/>
      <c r="W18" s="816"/>
      <c r="X18" s="746">
        <v>100</v>
      </c>
      <c r="Y18" s="746">
        <v>0</v>
      </c>
      <c r="Z18" s="816"/>
      <c r="AA18" s="816"/>
      <c r="AB18" s="746">
        <v>40</v>
      </c>
      <c r="AC18" s="746">
        <v>3</v>
      </c>
      <c r="AD18" s="816"/>
      <c r="AE18" s="816"/>
      <c r="AF18" s="609"/>
      <c r="AG18" s="609"/>
      <c r="AH18" s="816"/>
      <c r="AI18" s="816"/>
      <c r="AJ18" s="827">
        <v>4</v>
      </c>
      <c r="AK18" s="746">
        <f t="shared" si="42"/>
        <v>1</v>
      </c>
      <c r="AL18" s="609"/>
      <c r="AM18" s="816"/>
      <c r="AN18" s="816"/>
      <c r="AO18" s="1103">
        <v>4</v>
      </c>
      <c r="AP18" s="1105">
        <f t="shared" ref="AP18:AP25" si="51">COUNTIF($AP$8:$AP$11,AO18)</f>
        <v>0</v>
      </c>
      <c r="AQ18" s="816"/>
      <c r="AR18" s="816"/>
      <c r="AS18" s="816"/>
      <c r="AT18" s="828">
        <v>10</v>
      </c>
      <c r="AU18" s="746">
        <f t="shared" si="44"/>
        <v>0</v>
      </c>
      <c r="AV18" s="609"/>
      <c r="AW18" s="818"/>
      <c r="AX18" s="816"/>
      <c r="AY18" s="816"/>
      <c r="AZ18" s="829">
        <v>40</v>
      </c>
      <c r="BA18" s="746">
        <f t="shared" si="45"/>
        <v>12</v>
      </c>
      <c r="BB18" s="816"/>
      <c r="BC18" s="816"/>
      <c r="BD18" s="829">
        <v>40</v>
      </c>
      <c r="BE18" s="746">
        <v>0</v>
      </c>
      <c r="BF18" s="816"/>
      <c r="BG18" s="816"/>
      <c r="BH18" s="816"/>
      <c r="BI18" s="816"/>
      <c r="BJ18" s="816"/>
      <c r="BK18" s="816"/>
      <c r="BL18" s="816"/>
      <c r="BM18" s="816"/>
      <c r="BN18" s="816"/>
      <c r="BO18" s="816"/>
      <c r="BP18" s="816"/>
      <c r="BQ18" s="816"/>
      <c r="BR18" s="816"/>
      <c r="BS18" s="816"/>
      <c r="BT18" s="829">
        <v>40</v>
      </c>
      <c r="BU18" s="829">
        <f t="shared" si="46"/>
        <v>3</v>
      </c>
      <c r="BV18" s="816"/>
      <c r="BW18" s="816"/>
      <c r="BX18" s="829">
        <v>40</v>
      </c>
      <c r="BY18" s="746">
        <f t="shared" si="47"/>
        <v>3</v>
      </c>
      <c r="BZ18" s="816"/>
      <c r="CA18" s="816"/>
      <c r="CB18" s="829">
        <v>40</v>
      </c>
      <c r="CC18" s="829">
        <f t="shared" si="48"/>
        <v>6</v>
      </c>
      <c r="CD18" s="816"/>
      <c r="CE18" s="816"/>
      <c r="CF18" s="829">
        <v>40</v>
      </c>
      <c r="CG18" s="829">
        <f t="shared" si="49"/>
        <v>0</v>
      </c>
      <c r="CH18" s="816"/>
      <c r="CI18" s="816"/>
      <c r="CJ18" s="816"/>
      <c r="CK18" s="829">
        <v>40</v>
      </c>
      <c r="CL18" s="830">
        <f t="shared" si="50"/>
        <v>0</v>
      </c>
      <c r="CM18" s="816"/>
      <c r="CN18" s="820"/>
      <c r="CO18" s="820"/>
      <c r="CP18" s="820"/>
      <c r="CQ18" s="820"/>
      <c r="CR18" s="609"/>
      <c r="CS18" s="609"/>
      <c r="CT18" s="816"/>
      <c r="CU18" s="816"/>
      <c r="CV18" s="829">
        <v>40</v>
      </c>
      <c r="CW18" s="749">
        <v>2</v>
      </c>
      <c r="CX18" s="816"/>
      <c r="CY18" s="816"/>
      <c r="CZ18" s="816"/>
      <c r="DA18" s="609"/>
      <c r="DB18" s="609"/>
      <c r="DC18" s="816"/>
      <c r="DD18" s="816"/>
      <c r="DE18" s="609"/>
      <c r="DF18" s="609"/>
      <c r="DG18" s="816"/>
      <c r="DH18" s="816"/>
      <c r="DI18" s="816"/>
      <c r="DJ18" s="816"/>
      <c r="DK18" s="816"/>
      <c r="DL18" s="816"/>
      <c r="DM18" s="609"/>
      <c r="DN18" s="609"/>
      <c r="DO18" s="816"/>
      <c r="DP18" s="816"/>
      <c r="DQ18" s="609"/>
      <c r="DR18" s="609"/>
      <c r="DS18" s="816"/>
      <c r="DT18" s="816"/>
      <c r="DU18" s="609"/>
      <c r="DV18" s="609"/>
      <c r="DW18" s="816"/>
      <c r="DX18" s="816"/>
      <c r="DY18" s="816"/>
      <c r="DZ18" s="816"/>
      <c r="EA18" s="816"/>
      <c r="EB18" s="816"/>
      <c r="EC18" s="821"/>
      <c r="ED18" s="609"/>
      <c r="EE18" s="816"/>
      <c r="EF18" s="816"/>
      <c r="EG18" s="822"/>
      <c r="EH18" s="609"/>
      <c r="EI18" s="816"/>
      <c r="EJ18" s="816"/>
      <c r="EK18" s="609"/>
      <c r="EL18" s="816"/>
      <c r="EM18" s="816"/>
      <c r="EN18" s="816"/>
      <c r="EO18" s="816"/>
      <c r="EP18" s="816"/>
      <c r="EQ18" s="816"/>
      <c r="ER18" s="816"/>
      <c r="ES18" s="816"/>
      <c r="ET18" s="816"/>
      <c r="EU18" s="816"/>
      <c r="EV18" s="816"/>
      <c r="EW18" s="823"/>
      <c r="EX18" s="824"/>
      <c r="EY18" s="825"/>
      <c r="EZ18" s="825"/>
      <c r="FA18" s="816"/>
      <c r="FC18" s="826"/>
      <c r="FD18" s="826"/>
      <c r="FE18" s="826"/>
      <c r="FF18" s="826"/>
    </row>
    <row r="19" spans="2:162" s="780" customFormat="1" ht="13.5" customHeight="1">
      <c r="B19" s="609"/>
      <c r="C19" s="609"/>
      <c r="D19" s="609"/>
      <c r="E19" s="609"/>
      <c r="F19" s="609"/>
      <c r="G19" s="609"/>
      <c r="H19" s="609"/>
      <c r="I19" s="609"/>
      <c r="J19" s="609"/>
      <c r="K19" s="609"/>
      <c r="L19" s="609"/>
      <c r="M19" s="609"/>
      <c r="N19" s="609"/>
      <c r="O19" s="609"/>
      <c r="P19" s="746">
        <v>125</v>
      </c>
      <c r="Q19" s="746">
        <f t="shared" si="40"/>
        <v>0</v>
      </c>
      <c r="R19" s="816"/>
      <c r="S19" s="816"/>
      <c r="T19" s="746">
        <v>125</v>
      </c>
      <c r="U19" s="746">
        <f t="shared" si="41"/>
        <v>0</v>
      </c>
      <c r="V19" s="816"/>
      <c r="W19" s="816"/>
      <c r="X19" s="746">
        <v>125</v>
      </c>
      <c r="Y19" s="746">
        <v>0</v>
      </c>
      <c r="Z19" s="816"/>
      <c r="AA19" s="816"/>
      <c r="AB19" s="746">
        <v>50</v>
      </c>
      <c r="AC19" s="746">
        <v>1</v>
      </c>
      <c r="AD19" s="816"/>
      <c r="AE19" s="816"/>
      <c r="AF19" s="609"/>
      <c r="AG19" s="609"/>
      <c r="AH19" s="816"/>
      <c r="AI19" s="816"/>
      <c r="AJ19" s="827">
        <v>6.3</v>
      </c>
      <c r="AK19" s="746">
        <f t="shared" si="42"/>
        <v>0</v>
      </c>
      <c r="AL19" s="609"/>
      <c r="AM19" s="816"/>
      <c r="AN19" s="816"/>
      <c r="AO19" s="1103">
        <v>6.3</v>
      </c>
      <c r="AP19" s="1105">
        <f t="shared" si="51"/>
        <v>0</v>
      </c>
      <c r="AQ19" s="816"/>
      <c r="AR19" s="816"/>
      <c r="AS19" s="816"/>
      <c r="AT19" s="831">
        <v>15</v>
      </c>
      <c r="AU19" s="746">
        <f t="shared" si="44"/>
        <v>0</v>
      </c>
      <c r="AV19" s="609"/>
      <c r="AW19" s="818"/>
      <c r="AX19" s="816"/>
      <c r="AY19" s="816"/>
      <c r="AZ19" s="829">
        <v>50</v>
      </c>
      <c r="BA19" s="746">
        <f t="shared" si="45"/>
        <v>0</v>
      </c>
      <c r="BB19" s="816"/>
      <c r="BC19" s="816"/>
      <c r="BD19" s="829">
        <v>50</v>
      </c>
      <c r="BE19" s="746">
        <f>BE11</f>
        <v>4</v>
      </c>
      <c r="BF19" s="816"/>
      <c r="BG19" s="816"/>
      <c r="BH19" s="816"/>
      <c r="BI19" s="816"/>
      <c r="BJ19" s="816"/>
      <c r="BK19" s="816"/>
      <c r="BL19" s="816"/>
      <c r="BM19" s="816"/>
      <c r="BN19" s="816"/>
      <c r="BO19" s="816"/>
      <c r="BP19" s="816"/>
      <c r="BQ19" s="816"/>
      <c r="BR19" s="816"/>
      <c r="BS19" s="816"/>
      <c r="BT19" s="829">
        <v>50</v>
      </c>
      <c r="BU19" s="829">
        <f t="shared" si="46"/>
        <v>0</v>
      </c>
      <c r="BV19" s="816"/>
      <c r="BW19" s="816"/>
      <c r="BX19" s="829">
        <v>50</v>
      </c>
      <c r="BY19" s="746">
        <f t="shared" si="47"/>
        <v>0</v>
      </c>
      <c r="BZ19" s="816"/>
      <c r="CA19" s="816"/>
      <c r="CB19" s="829">
        <v>50</v>
      </c>
      <c r="CC19" s="829">
        <f t="shared" si="48"/>
        <v>0</v>
      </c>
      <c r="CD19" s="816"/>
      <c r="CE19" s="816"/>
      <c r="CF19" s="829">
        <v>50</v>
      </c>
      <c r="CG19" s="829">
        <f t="shared" si="49"/>
        <v>4</v>
      </c>
      <c r="CH19" s="816"/>
      <c r="CI19" s="816"/>
      <c r="CJ19" s="816"/>
      <c r="CK19" s="829">
        <v>50</v>
      </c>
      <c r="CL19" s="830">
        <f t="shared" si="50"/>
        <v>0</v>
      </c>
      <c r="CM19" s="816"/>
      <c r="CN19" s="820"/>
      <c r="CO19" s="820"/>
      <c r="CP19" s="820"/>
      <c r="CQ19" s="820"/>
      <c r="CR19" s="609"/>
      <c r="CS19" s="609"/>
      <c r="CT19" s="816"/>
      <c r="CU19" s="816"/>
      <c r="CV19" s="829">
        <v>50</v>
      </c>
      <c r="CW19" s="749">
        <v>0</v>
      </c>
      <c r="CX19" s="816"/>
      <c r="CY19" s="816"/>
      <c r="CZ19" s="816"/>
      <c r="DA19" s="609"/>
      <c r="DB19" s="609"/>
      <c r="DC19" s="816"/>
      <c r="DD19" s="816"/>
      <c r="DE19" s="609"/>
      <c r="DF19" s="609"/>
      <c r="DG19" s="816"/>
      <c r="DH19" s="816"/>
      <c r="DI19" s="816"/>
      <c r="DJ19" s="816"/>
      <c r="DK19" s="816"/>
      <c r="DL19" s="816"/>
      <c r="DM19" s="609"/>
      <c r="DN19" s="609"/>
      <c r="DO19" s="816"/>
      <c r="DP19" s="816"/>
      <c r="DQ19" s="609"/>
      <c r="DR19" s="609"/>
      <c r="DS19" s="816"/>
      <c r="DT19" s="816"/>
      <c r="DU19" s="609"/>
      <c r="DV19" s="609"/>
      <c r="DW19" s="816"/>
      <c r="DX19" s="816"/>
      <c r="DY19" s="816"/>
      <c r="DZ19" s="816"/>
      <c r="EA19" s="816"/>
      <c r="EB19" s="816"/>
      <c r="EC19" s="821"/>
      <c r="ED19" s="609"/>
      <c r="EE19" s="816"/>
      <c r="EF19" s="816"/>
      <c r="EG19" s="822"/>
      <c r="EH19" s="609"/>
      <c r="EI19" s="816"/>
      <c r="EJ19" s="816"/>
      <c r="EK19" s="609"/>
      <c r="EL19" s="816"/>
      <c r="EM19" s="816"/>
      <c r="EN19" s="816"/>
      <c r="EO19" s="816"/>
      <c r="EP19" s="816"/>
      <c r="EQ19" s="816"/>
      <c r="ER19" s="816"/>
      <c r="ES19" s="816"/>
      <c r="ET19" s="816"/>
      <c r="EU19" s="816"/>
      <c r="EV19" s="816"/>
      <c r="EW19" s="823"/>
      <c r="EX19" s="824"/>
      <c r="EY19" s="825"/>
      <c r="EZ19" s="825"/>
      <c r="FA19" s="816"/>
      <c r="FC19" s="826"/>
      <c r="FD19" s="826"/>
      <c r="FE19" s="826"/>
      <c r="FF19" s="826"/>
    </row>
    <row r="20" spans="2:162" s="780" customFormat="1" ht="13.5" customHeight="1">
      <c r="B20" s="609"/>
      <c r="C20" s="609"/>
      <c r="D20" s="609"/>
      <c r="E20" s="609"/>
      <c r="F20" s="609"/>
      <c r="G20" s="609"/>
      <c r="H20" s="609"/>
      <c r="I20" s="609"/>
      <c r="J20" s="609"/>
      <c r="K20" s="609"/>
      <c r="L20" s="609"/>
      <c r="M20" s="609"/>
      <c r="N20" s="609"/>
      <c r="O20" s="609"/>
      <c r="P20" s="746">
        <v>150</v>
      </c>
      <c r="Q20" s="746">
        <f t="shared" si="40"/>
        <v>0</v>
      </c>
      <c r="R20" s="816"/>
      <c r="S20" s="816"/>
      <c r="T20" s="746">
        <v>150</v>
      </c>
      <c r="U20" s="746">
        <f t="shared" si="41"/>
        <v>0</v>
      </c>
      <c r="V20" s="816"/>
      <c r="W20" s="816"/>
      <c r="X20" s="746">
        <v>150</v>
      </c>
      <c r="Y20" s="746">
        <v>0</v>
      </c>
      <c r="Z20" s="816"/>
      <c r="AA20" s="816"/>
      <c r="AB20" s="746">
        <v>65</v>
      </c>
      <c r="AC20" s="746">
        <v>0</v>
      </c>
      <c r="AD20" s="816"/>
      <c r="AE20" s="816"/>
      <c r="AF20" s="609"/>
      <c r="AG20" s="609"/>
      <c r="AH20" s="816"/>
      <c r="AI20" s="816"/>
      <c r="AJ20" s="827">
        <v>10</v>
      </c>
      <c r="AK20" s="746">
        <f t="shared" si="42"/>
        <v>0</v>
      </c>
      <c r="AL20" s="609"/>
      <c r="AM20" s="816"/>
      <c r="AN20" s="816"/>
      <c r="AO20" s="1103">
        <v>8</v>
      </c>
      <c r="AP20" s="1105">
        <f t="shared" si="51"/>
        <v>0</v>
      </c>
      <c r="AQ20" s="816"/>
      <c r="AR20" s="816"/>
      <c r="AS20" s="816"/>
      <c r="AT20" s="828">
        <v>25</v>
      </c>
      <c r="AU20" s="746">
        <f t="shared" si="44"/>
        <v>0</v>
      </c>
      <c r="AV20" s="609"/>
      <c r="AW20" s="818"/>
      <c r="AX20" s="816"/>
      <c r="AY20" s="816"/>
      <c r="AZ20" s="829">
        <v>65</v>
      </c>
      <c r="BA20" s="746">
        <f t="shared" si="45"/>
        <v>4</v>
      </c>
      <c r="BB20" s="816"/>
      <c r="BC20" s="816"/>
      <c r="BD20" s="829">
        <v>65</v>
      </c>
      <c r="BE20" s="746">
        <v>0</v>
      </c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29">
        <v>65</v>
      </c>
      <c r="BU20" s="829">
        <f t="shared" si="46"/>
        <v>1</v>
      </c>
      <c r="BV20" s="816"/>
      <c r="BW20" s="816"/>
      <c r="BX20" s="829">
        <v>65</v>
      </c>
      <c r="BY20" s="746">
        <f t="shared" si="47"/>
        <v>1</v>
      </c>
      <c r="BZ20" s="816"/>
      <c r="CA20" s="816"/>
      <c r="CB20" s="829">
        <v>65</v>
      </c>
      <c r="CC20" s="829">
        <f t="shared" si="48"/>
        <v>2</v>
      </c>
      <c r="CD20" s="816"/>
      <c r="CE20" s="816"/>
      <c r="CF20" s="829">
        <v>65</v>
      </c>
      <c r="CG20" s="829">
        <f t="shared" si="49"/>
        <v>0</v>
      </c>
      <c r="CH20" s="816"/>
      <c r="CI20" s="816"/>
      <c r="CJ20" s="816"/>
      <c r="CK20" s="816"/>
      <c r="CL20" s="819"/>
      <c r="CM20" s="816"/>
      <c r="CN20" s="820"/>
      <c r="CO20" s="820"/>
      <c r="CP20" s="820"/>
      <c r="CQ20" s="820"/>
      <c r="CR20" s="609"/>
      <c r="CS20" s="609"/>
      <c r="CT20" s="816"/>
      <c r="CU20" s="816"/>
      <c r="CV20" s="829">
        <v>65</v>
      </c>
      <c r="CW20" s="749">
        <v>0</v>
      </c>
      <c r="CX20" s="816"/>
      <c r="CY20" s="816"/>
      <c r="CZ20" s="816"/>
      <c r="DA20" s="609"/>
      <c r="DB20" s="609"/>
      <c r="DC20" s="816"/>
      <c r="DD20" s="816"/>
      <c r="DE20" s="609"/>
      <c r="DF20" s="609"/>
      <c r="DG20" s="816"/>
      <c r="DH20" s="816"/>
      <c r="DI20" s="816"/>
      <c r="DJ20" s="816"/>
      <c r="DK20" s="816"/>
      <c r="DL20" s="816"/>
      <c r="DM20" s="609"/>
      <c r="DN20" s="609"/>
      <c r="DO20" s="816"/>
      <c r="DP20" s="816"/>
      <c r="DQ20" s="609"/>
      <c r="DR20" s="609"/>
      <c r="DS20" s="816"/>
      <c r="DT20" s="816"/>
      <c r="DU20" s="609"/>
      <c r="DV20" s="609"/>
      <c r="DW20" s="816"/>
      <c r="DX20" s="816"/>
      <c r="DY20" s="816"/>
      <c r="DZ20" s="816"/>
      <c r="EA20" s="816"/>
      <c r="EB20" s="816"/>
      <c r="EC20" s="821"/>
      <c r="ED20" s="609"/>
      <c r="EE20" s="816"/>
      <c r="EF20" s="816"/>
      <c r="EG20" s="822"/>
      <c r="EH20" s="609"/>
      <c r="EI20" s="816"/>
      <c r="EJ20" s="816"/>
      <c r="EK20" s="609"/>
      <c r="EL20" s="816"/>
      <c r="EM20" s="816"/>
      <c r="EN20" s="816"/>
      <c r="EO20" s="816"/>
      <c r="EP20" s="816"/>
      <c r="EQ20" s="816"/>
      <c r="ER20" s="816"/>
      <c r="ES20" s="816"/>
      <c r="ET20" s="816"/>
      <c r="EU20" s="816"/>
      <c r="EV20" s="816"/>
      <c r="EW20" s="823"/>
      <c r="EX20" s="824">
        <f>EX15+'Таблиця цін схема №2'!ID78+'Таблиця цін схема №1'!JP43</f>
        <v>90492.115774372622</v>
      </c>
      <c r="EY20" s="825"/>
      <c r="EZ20" s="825"/>
      <c r="FA20" s="816"/>
      <c r="FC20" s="826"/>
      <c r="FD20" s="826"/>
      <c r="FE20" s="826"/>
      <c r="FF20" s="826"/>
    </row>
    <row r="21" spans="2:162" s="780" customFormat="1" ht="13.5" customHeight="1">
      <c r="B21" s="609"/>
      <c r="C21" s="609"/>
      <c r="D21" s="609"/>
      <c r="E21" s="609"/>
      <c r="F21" s="609"/>
      <c r="G21" s="609"/>
      <c r="H21" s="609"/>
      <c r="I21" s="609"/>
      <c r="J21" s="609"/>
      <c r="K21" s="609"/>
      <c r="L21" s="609"/>
      <c r="M21" s="609"/>
      <c r="N21" s="609"/>
      <c r="O21" s="609"/>
      <c r="P21" s="609"/>
      <c r="Q21" s="609"/>
      <c r="R21" s="816"/>
      <c r="S21" s="816"/>
      <c r="T21" s="816"/>
      <c r="U21" s="816"/>
      <c r="V21" s="816"/>
      <c r="W21" s="816"/>
      <c r="X21" s="609"/>
      <c r="Y21" s="609"/>
      <c r="Z21" s="816"/>
      <c r="AA21" s="816"/>
      <c r="AB21" s="746">
        <v>80</v>
      </c>
      <c r="AC21" s="746">
        <v>0</v>
      </c>
      <c r="AD21" s="816"/>
      <c r="AE21" s="816"/>
      <c r="AF21" s="609"/>
      <c r="AG21" s="609"/>
      <c r="AH21" s="816"/>
      <c r="AI21" s="816"/>
      <c r="AJ21" s="827">
        <v>16</v>
      </c>
      <c r="AK21" s="746">
        <f t="shared" si="42"/>
        <v>1</v>
      </c>
      <c r="AL21" s="609"/>
      <c r="AM21" s="816"/>
      <c r="AN21" s="816"/>
      <c r="AO21" s="1103">
        <v>12.5</v>
      </c>
      <c r="AP21" s="1105">
        <f t="shared" si="51"/>
        <v>0</v>
      </c>
      <c r="AQ21" s="816"/>
      <c r="AR21" s="816"/>
      <c r="AS21" s="816"/>
      <c r="AT21" s="828">
        <v>40</v>
      </c>
      <c r="AU21" s="746">
        <f t="shared" si="44"/>
        <v>0</v>
      </c>
      <c r="AV21" s="609"/>
      <c r="AW21" s="818"/>
      <c r="AX21" s="816"/>
      <c r="AY21" s="816"/>
      <c r="AZ21" s="829">
        <v>80</v>
      </c>
      <c r="BA21" s="746">
        <f t="shared" si="45"/>
        <v>0</v>
      </c>
      <c r="BB21" s="816"/>
      <c r="BC21" s="816"/>
      <c r="BD21" s="829">
        <v>80</v>
      </c>
      <c r="BE21" s="746">
        <v>0</v>
      </c>
      <c r="BF21" s="816"/>
      <c r="BG21" s="816"/>
      <c r="BH21" s="816"/>
      <c r="BI21" s="816"/>
      <c r="BJ21" s="816"/>
      <c r="BK21" s="816"/>
      <c r="BL21" s="816"/>
      <c r="BM21" s="816"/>
      <c r="BN21" s="816"/>
      <c r="BO21" s="816"/>
      <c r="BP21" s="816"/>
      <c r="BQ21" s="816"/>
      <c r="BR21" s="816"/>
      <c r="BS21" s="816"/>
      <c r="BT21" s="829">
        <v>80</v>
      </c>
      <c r="BU21" s="829">
        <f t="shared" si="46"/>
        <v>0</v>
      </c>
      <c r="BV21" s="816"/>
      <c r="BW21" s="816"/>
      <c r="BX21" s="829">
        <v>80</v>
      </c>
      <c r="BY21" s="746">
        <f t="shared" si="47"/>
        <v>0</v>
      </c>
      <c r="BZ21" s="816"/>
      <c r="CA21" s="816"/>
      <c r="CB21" s="829">
        <v>80</v>
      </c>
      <c r="CC21" s="829">
        <f t="shared" si="48"/>
        <v>0</v>
      </c>
      <c r="CD21" s="816"/>
      <c r="CE21" s="816"/>
      <c r="CF21" s="829">
        <v>80</v>
      </c>
      <c r="CG21" s="829">
        <f t="shared" si="49"/>
        <v>0</v>
      </c>
      <c r="CH21" s="816"/>
      <c r="CI21" s="816"/>
      <c r="CJ21" s="816"/>
      <c r="CK21" s="816"/>
      <c r="CL21" s="819"/>
      <c r="CM21" s="816"/>
      <c r="CN21" s="820"/>
      <c r="CO21" s="820"/>
      <c r="CP21" s="820"/>
      <c r="CQ21" s="820"/>
      <c r="CR21" s="817"/>
      <c r="CS21" s="609"/>
      <c r="CT21" s="816"/>
      <c r="CU21" s="816"/>
      <c r="CV21" s="829">
        <v>80</v>
      </c>
      <c r="CW21" s="749">
        <v>0</v>
      </c>
      <c r="CX21" s="816"/>
      <c r="CY21" s="816"/>
      <c r="CZ21" s="816"/>
      <c r="DA21" s="609"/>
      <c r="DB21" s="609"/>
      <c r="DC21" s="816"/>
      <c r="DD21" s="816"/>
      <c r="DE21" s="609"/>
      <c r="DF21" s="609"/>
      <c r="DG21" s="816"/>
      <c r="DH21" s="816"/>
      <c r="DI21" s="816"/>
      <c r="DJ21" s="816"/>
      <c r="DK21" s="816"/>
      <c r="DL21" s="816"/>
      <c r="DM21" s="609"/>
      <c r="DN21" s="609"/>
      <c r="DO21" s="816"/>
      <c r="DP21" s="816"/>
      <c r="DQ21" s="609"/>
      <c r="DR21" s="609"/>
      <c r="DS21" s="816"/>
      <c r="DT21" s="816"/>
      <c r="DU21" s="609"/>
      <c r="DV21" s="609"/>
      <c r="DW21" s="816"/>
      <c r="DX21" s="816"/>
      <c r="DY21" s="816"/>
      <c r="DZ21" s="816"/>
      <c r="EA21" s="816"/>
      <c r="EB21" s="816"/>
      <c r="EC21" s="821"/>
      <c r="ED21" s="609"/>
      <c r="EE21" s="816"/>
      <c r="EF21" s="816"/>
      <c r="EG21" s="822"/>
      <c r="EH21" s="609"/>
      <c r="EI21" s="816"/>
      <c r="EJ21" s="816"/>
      <c r="EK21" s="609"/>
      <c r="EL21" s="816"/>
      <c r="EM21" s="816"/>
      <c r="EN21" s="816"/>
      <c r="EO21" s="816"/>
      <c r="EP21" s="816"/>
      <c r="EQ21" s="816"/>
      <c r="ER21" s="816"/>
      <c r="ES21" s="816"/>
      <c r="ET21" s="816"/>
      <c r="EU21" s="816"/>
      <c r="EV21" s="816"/>
      <c r="EW21" s="823"/>
      <c r="EX21" s="824"/>
      <c r="EY21" s="825"/>
      <c r="EZ21" s="825"/>
      <c r="FA21" s="816"/>
      <c r="FC21" s="826"/>
      <c r="FD21" s="826"/>
      <c r="FE21" s="826"/>
      <c r="FF21" s="826"/>
    </row>
    <row r="22" spans="2:162" s="780" customFormat="1" ht="13.5" customHeight="1">
      <c r="B22" s="609"/>
      <c r="C22" s="609"/>
      <c r="D22" s="609"/>
      <c r="E22" s="609"/>
      <c r="F22" s="609"/>
      <c r="G22" s="609"/>
      <c r="H22" s="609"/>
      <c r="I22" s="609"/>
      <c r="J22" s="609"/>
      <c r="K22" s="609"/>
      <c r="L22" s="609"/>
      <c r="M22" s="609"/>
      <c r="N22" s="609"/>
      <c r="O22" s="609"/>
      <c r="P22" s="609"/>
      <c r="Q22" s="609"/>
      <c r="R22" s="816"/>
      <c r="S22" s="816"/>
      <c r="T22" s="816"/>
      <c r="U22" s="816"/>
      <c r="V22" s="816"/>
      <c r="W22" s="816"/>
      <c r="X22" s="609"/>
      <c r="Y22" s="609"/>
      <c r="Z22" s="816"/>
      <c r="AA22" s="816"/>
      <c r="AB22" s="746">
        <v>100</v>
      </c>
      <c r="AC22" s="746">
        <v>0</v>
      </c>
      <c r="AD22" s="816"/>
      <c r="AE22" s="816"/>
      <c r="AF22" s="609"/>
      <c r="AG22" s="609"/>
      <c r="AH22" s="816"/>
      <c r="AI22" s="816"/>
      <c r="AJ22" s="827">
        <v>25</v>
      </c>
      <c r="AK22" s="746">
        <f t="shared" si="42"/>
        <v>0</v>
      </c>
      <c r="AL22" s="609"/>
      <c r="AM22" s="816"/>
      <c r="AN22" s="816"/>
      <c r="AO22" s="1103">
        <v>16</v>
      </c>
      <c r="AP22" s="1105">
        <f t="shared" si="51"/>
        <v>0</v>
      </c>
      <c r="AQ22" s="816"/>
      <c r="AR22" s="816"/>
      <c r="AS22" s="816"/>
      <c r="AT22" s="609"/>
      <c r="AU22" s="609"/>
      <c r="AV22" s="609"/>
      <c r="AW22" s="818"/>
      <c r="AX22" s="816"/>
      <c r="AY22" s="816"/>
      <c r="AZ22" s="829">
        <v>100</v>
      </c>
      <c r="BA22" s="746">
        <f t="shared" si="45"/>
        <v>0</v>
      </c>
      <c r="BB22" s="816"/>
      <c r="BC22" s="816"/>
      <c r="BD22" s="829">
        <v>100</v>
      </c>
      <c r="BE22" s="746">
        <v>0</v>
      </c>
      <c r="BF22" s="816"/>
      <c r="BG22" s="816"/>
      <c r="BH22" s="816"/>
      <c r="BI22" s="816"/>
      <c r="BJ22" s="816"/>
      <c r="BK22" s="816"/>
      <c r="BL22" s="816"/>
      <c r="BM22" s="816"/>
      <c r="BN22" s="816"/>
      <c r="BO22" s="816"/>
      <c r="BP22" s="816"/>
      <c r="BQ22" s="816"/>
      <c r="BR22" s="816"/>
      <c r="BS22" s="816"/>
      <c r="BT22" s="829">
        <v>100</v>
      </c>
      <c r="BU22" s="829">
        <f t="shared" si="46"/>
        <v>0</v>
      </c>
      <c r="BV22" s="816"/>
      <c r="BW22" s="816"/>
      <c r="BX22" s="829">
        <v>100</v>
      </c>
      <c r="BY22" s="746">
        <f t="shared" si="47"/>
        <v>0</v>
      </c>
      <c r="BZ22" s="816"/>
      <c r="CA22" s="816"/>
      <c r="CB22" s="829">
        <v>100</v>
      </c>
      <c r="CC22" s="829">
        <f t="shared" si="48"/>
        <v>0</v>
      </c>
      <c r="CD22" s="816"/>
      <c r="CE22" s="816"/>
      <c r="CF22" s="829">
        <v>100</v>
      </c>
      <c r="CG22" s="829">
        <f t="shared" si="49"/>
        <v>0</v>
      </c>
      <c r="CH22" s="816"/>
      <c r="CI22" s="816"/>
      <c r="CJ22" s="816"/>
      <c r="CK22" s="816"/>
      <c r="CL22" s="819"/>
      <c r="CM22" s="816"/>
      <c r="CN22" s="820"/>
      <c r="CO22" s="820"/>
      <c r="CP22" s="820"/>
      <c r="CQ22" s="820"/>
      <c r="CR22" s="609"/>
      <c r="CS22" s="609"/>
      <c r="CT22" s="816"/>
      <c r="CU22" s="816"/>
      <c r="CV22" s="829">
        <v>100</v>
      </c>
      <c r="CW22" s="749">
        <v>0</v>
      </c>
      <c r="CX22" s="816"/>
      <c r="CY22" s="816"/>
      <c r="CZ22" s="816"/>
      <c r="DA22" s="609"/>
      <c r="DB22" s="609"/>
      <c r="DC22" s="816"/>
      <c r="DD22" s="816"/>
      <c r="DE22" s="609"/>
      <c r="DF22" s="609"/>
      <c r="DG22" s="816"/>
      <c r="DH22" s="816"/>
      <c r="DI22" s="816"/>
      <c r="DJ22" s="816"/>
      <c r="DK22" s="816"/>
      <c r="DL22" s="816"/>
      <c r="DM22" s="609"/>
      <c r="DN22" s="609"/>
      <c r="DO22" s="816"/>
      <c r="DP22" s="816"/>
      <c r="DQ22" s="609"/>
      <c r="DR22" s="609"/>
      <c r="DS22" s="816"/>
      <c r="DT22" s="816"/>
      <c r="DU22" s="609"/>
      <c r="DV22" s="609"/>
      <c r="DW22" s="816"/>
      <c r="DX22" s="816"/>
      <c r="DY22" s="816"/>
      <c r="DZ22" s="816"/>
      <c r="EA22" s="816"/>
      <c r="EB22" s="816"/>
      <c r="EC22" s="821"/>
      <c r="ED22" s="609"/>
      <c r="EE22" s="816"/>
      <c r="EF22" s="816"/>
      <c r="EG22" s="822"/>
      <c r="EH22" s="609"/>
      <c r="EI22" s="816"/>
      <c r="EJ22" s="816"/>
      <c r="EK22" s="609"/>
      <c r="EL22" s="816"/>
      <c r="EM22" s="816"/>
      <c r="EN22" s="816"/>
      <c r="EO22" s="816"/>
      <c r="EP22" s="816"/>
      <c r="EQ22" s="816"/>
      <c r="ER22" s="816"/>
      <c r="ES22" s="816"/>
      <c r="ET22" s="816"/>
      <c r="EU22" s="816"/>
      <c r="EV22" s="816"/>
      <c r="EW22" s="823"/>
      <c r="EX22" s="824"/>
      <c r="EY22" s="825"/>
      <c r="EZ22" s="825"/>
      <c r="FA22" s="816"/>
      <c r="FC22" s="826"/>
      <c r="FD22" s="826"/>
      <c r="FE22" s="826"/>
      <c r="FF22" s="826"/>
    </row>
    <row r="23" spans="2:162" s="780" customFormat="1" ht="13.5" customHeight="1">
      <c r="B23" s="609"/>
      <c r="C23" s="609"/>
      <c r="D23" s="609"/>
      <c r="E23" s="609"/>
      <c r="F23" s="609"/>
      <c r="G23" s="609"/>
      <c r="H23" s="609"/>
      <c r="I23" s="609"/>
      <c r="J23" s="609"/>
      <c r="K23" s="609"/>
      <c r="L23" s="609"/>
      <c r="M23" s="609"/>
      <c r="N23" s="609"/>
      <c r="O23" s="609"/>
      <c r="P23" s="609"/>
      <c r="Q23" s="609"/>
      <c r="R23" s="816"/>
      <c r="S23" s="816"/>
      <c r="T23" s="816"/>
      <c r="U23" s="816"/>
      <c r="V23" s="816"/>
      <c r="W23" s="816"/>
      <c r="X23" s="609"/>
      <c r="Y23" s="609"/>
      <c r="Z23" s="816"/>
      <c r="AA23" s="816"/>
      <c r="AB23" s="746">
        <v>125</v>
      </c>
      <c r="AC23" s="746">
        <v>0</v>
      </c>
      <c r="AD23" s="816"/>
      <c r="AE23" s="816"/>
      <c r="AF23" s="609"/>
      <c r="AG23" s="609"/>
      <c r="AH23" s="816"/>
      <c r="AI23" s="816"/>
      <c r="AJ23" s="827">
        <v>40</v>
      </c>
      <c r="AK23" s="746">
        <f t="shared" si="42"/>
        <v>0</v>
      </c>
      <c r="AL23" s="609"/>
      <c r="AM23" s="816"/>
      <c r="AN23" s="816"/>
      <c r="AO23" s="1103">
        <v>20</v>
      </c>
      <c r="AP23" s="1105">
        <f t="shared" si="51"/>
        <v>0</v>
      </c>
      <c r="AQ23" s="816"/>
      <c r="AR23" s="816"/>
      <c r="AS23" s="816"/>
      <c r="AT23" s="609"/>
      <c r="AU23" s="609"/>
      <c r="AV23" s="609"/>
      <c r="AW23" s="818"/>
      <c r="AX23" s="816"/>
      <c r="AY23" s="816"/>
      <c r="AZ23" s="829">
        <v>125</v>
      </c>
      <c r="BA23" s="746">
        <f t="shared" si="45"/>
        <v>0</v>
      </c>
      <c r="BB23" s="816"/>
      <c r="BC23" s="816"/>
      <c r="BD23" s="829">
        <v>125</v>
      </c>
      <c r="BE23" s="746">
        <v>0</v>
      </c>
      <c r="BF23" s="816"/>
      <c r="BG23" s="816"/>
      <c r="BH23" s="816"/>
      <c r="BI23" s="816"/>
      <c r="BJ23" s="816"/>
      <c r="BK23" s="816"/>
      <c r="BL23" s="816"/>
      <c r="BM23" s="816"/>
      <c r="BN23" s="816"/>
      <c r="BO23" s="816"/>
      <c r="BP23" s="816"/>
      <c r="BQ23" s="816"/>
      <c r="BR23" s="816"/>
      <c r="BS23" s="816"/>
      <c r="BT23" s="829">
        <v>125</v>
      </c>
      <c r="BU23" s="829">
        <f t="shared" si="46"/>
        <v>0</v>
      </c>
      <c r="BV23" s="816"/>
      <c r="BW23" s="816"/>
      <c r="BX23" s="829">
        <v>125</v>
      </c>
      <c r="BY23" s="746">
        <f t="shared" si="47"/>
        <v>0</v>
      </c>
      <c r="BZ23" s="816"/>
      <c r="CA23" s="816"/>
      <c r="CB23" s="829">
        <v>125</v>
      </c>
      <c r="CC23" s="829">
        <f t="shared" si="48"/>
        <v>0</v>
      </c>
      <c r="CD23" s="816"/>
      <c r="CE23" s="816"/>
      <c r="CF23" s="829">
        <v>125</v>
      </c>
      <c r="CG23" s="829">
        <f t="shared" si="49"/>
        <v>0</v>
      </c>
      <c r="CH23" s="816"/>
      <c r="CI23" s="816"/>
      <c r="CJ23" s="816"/>
      <c r="CK23" s="816"/>
      <c r="CL23" s="819"/>
      <c r="CM23" s="816"/>
      <c r="CN23" s="820"/>
      <c r="CO23" s="820"/>
      <c r="CP23" s="820"/>
      <c r="CQ23" s="820"/>
      <c r="CR23" s="817"/>
      <c r="CS23" s="609"/>
      <c r="CT23" s="816"/>
      <c r="CU23" s="816"/>
      <c r="CV23" s="829">
        <v>125</v>
      </c>
      <c r="CW23" s="749">
        <v>0</v>
      </c>
      <c r="CX23" s="816"/>
      <c r="CY23" s="816"/>
      <c r="CZ23" s="816"/>
      <c r="DA23" s="609"/>
      <c r="DB23" s="609"/>
      <c r="DC23" s="816"/>
      <c r="DD23" s="816"/>
      <c r="DE23" s="609"/>
      <c r="DF23" s="609"/>
      <c r="DG23" s="816"/>
      <c r="DH23" s="816"/>
      <c r="DI23" s="816"/>
      <c r="DJ23" s="816"/>
      <c r="DK23" s="816"/>
      <c r="DL23" s="816"/>
      <c r="DM23" s="609"/>
      <c r="DN23" s="609"/>
      <c r="DO23" s="816"/>
      <c r="DP23" s="816"/>
      <c r="DQ23" s="609"/>
      <c r="DR23" s="609"/>
      <c r="DS23" s="816"/>
      <c r="DT23" s="816"/>
      <c r="DU23" s="609"/>
      <c r="DV23" s="609"/>
      <c r="DW23" s="816"/>
      <c r="DX23" s="816"/>
      <c r="DY23" s="816"/>
      <c r="DZ23" s="816"/>
      <c r="EA23" s="816"/>
      <c r="EB23" s="816"/>
      <c r="EC23" s="821"/>
      <c r="ED23" s="609"/>
      <c r="EE23" s="816"/>
      <c r="EF23" s="816"/>
      <c r="EG23" s="822"/>
      <c r="EH23" s="609"/>
      <c r="EI23" s="816"/>
      <c r="EJ23" s="816"/>
      <c r="EK23" s="609"/>
      <c r="EL23" s="816"/>
      <c r="EM23" s="816"/>
      <c r="EN23" s="816"/>
      <c r="EO23" s="816"/>
      <c r="EP23" s="816"/>
      <c r="EQ23" s="816"/>
      <c r="ER23" s="816"/>
      <c r="ES23" s="816"/>
      <c r="ET23" s="816"/>
      <c r="EU23" s="816"/>
      <c r="EV23" s="816"/>
      <c r="EW23" s="823"/>
      <c r="EX23" s="824"/>
      <c r="EY23" s="825"/>
      <c r="EZ23" s="825"/>
      <c r="FA23" s="816"/>
      <c r="FC23" s="826"/>
      <c r="FD23" s="826"/>
      <c r="FE23" s="826"/>
      <c r="FF23" s="826"/>
    </row>
    <row r="24" spans="2:162" s="780" customFormat="1" ht="13.5" customHeight="1">
      <c r="B24" s="609"/>
      <c r="C24" s="609"/>
      <c r="D24" s="609"/>
      <c r="E24" s="609"/>
      <c r="F24" s="609"/>
      <c r="G24" s="609"/>
      <c r="H24" s="609"/>
      <c r="I24" s="609"/>
      <c r="J24" s="609"/>
      <c r="K24" s="609"/>
      <c r="L24" s="609"/>
      <c r="M24" s="609"/>
      <c r="N24" s="609"/>
      <c r="O24" s="609"/>
      <c r="P24" s="609"/>
      <c r="Q24" s="609"/>
      <c r="R24" s="816"/>
      <c r="S24" s="816"/>
      <c r="T24" s="816"/>
      <c r="U24" s="816"/>
      <c r="V24" s="816"/>
      <c r="W24" s="816"/>
      <c r="X24" s="609"/>
      <c r="Y24" s="609"/>
      <c r="Z24" s="816"/>
      <c r="AA24" s="816"/>
      <c r="AB24" s="609"/>
      <c r="AC24" s="609"/>
      <c r="AD24" s="816"/>
      <c r="AE24" s="816"/>
      <c r="AF24" s="609"/>
      <c r="AG24" s="609"/>
      <c r="AH24" s="816"/>
      <c r="AI24" s="816"/>
      <c r="AJ24" s="832">
        <v>63</v>
      </c>
      <c r="AK24" s="746">
        <f t="shared" si="42"/>
        <v>0</v>
      </c>
      <c r="AL24" s="609"/>
      <c r="AM24" s="816"/>
      <c r="AN24" s="816"/>
      <c r="AO24" s="1103">
        <v>32</v>
      </c>
      <c r="AP24" s="1106">
        <f t="shared" si="51"/>
        <v>1</v>
      </c>
      <c r="AQ24" s="816"/>
      <c r="AR24" s="816"/>
      <c r="AS24" s="816"/>
      <c r="AT24" s="609"/>
      <c r="AU24" s="609"/>
      <c r="AV24" s="609"/>
      <c r="AW24" s="818"/>
      <c r="AX24" s="816"/>
      <c r="AY24" s="816"/>
      <c r="AZ24" s="609"/>
      <c r="BA24" s="609"/>
      <c r="BB24" s="816"/>
      <c r="BC24" s="816"/>
      <c r="BD24" s="609"/>
      <c r="BE24" s="609"/>
      <c r="BF24" s="816"/>
      <c r="BG24" s="816"/>
      <c r="BH24" s="816"/>
      <c r="BI24" s="816"/>
      <c r="BJ24" s="816"/>
      <c r="BK24" s="816"/>
      <c r="BL24" s="816"/>
      <c r="BM24" s="816"/>
      <c r="BN24" s="816"/>
      <c r="BO24" s="816"/>
      <c r="BP24" s="816"/>
      <c r="BQ24" s="816"/>
      <c r="BR24" s="816"/>
      <c r="BS24" s="816"/>
      <c r="BT24" s="816"/>
      <c r="BU24" s="816"/>
      <c r="BV24" s="816"/>
      <c r="BW24" s="816"/>
      <c r="BX24" s="609"/>
      <c r="BY24" s="609"/>
      <c r="BZ24" s="816"/>
      <c r="CA24" s="816"/>
      <c r="CB24" s="609"/>
      <c r="CC24" s="609"/>
      <c r="CD24" s="816"/>
      <c r="CE24" s="816"/>
      <c r="CF24" s="816"/>
      <c r="CG24" s="816"/>
      <c r="CH24" s="816"/>
      <c r="CI24" s="816"/>
      <c r="CJ24" s="816"/>
      <c r="CK24" s="816"/>
      <c r="CL24" s="819"/>
      <c r="CM24" s="816"/>
      <c r="CN24" s="820"/>
      <c r="CO24" s="820"/>
      <c r="CP24" s="820"/>
      <c r="CQ24" s="820"/>
      <c r="CR24" s="817"/>
      <c r="CS24" s="609"/>
      <c r="CT24" s="816"/>
      <c r="CU24" s="816"/>
      <c r="CV24" s="816"/>
      <c r="CW24" s="816"/>
      <c r="CX24" s="816"/>
      <c r="CY24" s="816"/>
      <c r="CZ24" s="816"/>
      <c r="DA24" s="609"/>
      <c r="DB24" s="609"/>
      <c r="DC24" s="816"/>
      <c r="DD24" s="816"/>
      <c r="DE24" s="609"/>
      <c r="DF24" s="609"/>
      <c r="DG24" s="816"/>
      <c r="DH24" s="816"/>
      <c r="DI24" s="816"/>
      <c r="DJ24" s="816"/>
      <c r="DK24" s="816"/>
      <c r="DL24" s="816"/>
      <c r="DM24" s="609"/>
      <c r="DN24" s="609"/>
      <c r="DO24" s="816"/>
      <c r="DP24" s="816"/>
      <c r="DQ24" s="609"/>
      <c r="DR24" s="609"/>
      <c r="DS24" s="816"/>
      <c r="DT24" s="816"/>
      <c r="DU24" s="609"/>
      <c r="DV24" s="609"/>
      <c r="DW24" s="816"/>
      <c r="DX24" s="816"/>
      <c r="DY24" s="816"/>
      <c r="DZ24" s="816"/>
      <c r="EA24" s="816"/>
      <c r="EB24" s="816"/>
      <c r="EC24" s="821"/>
      <c r="ED24" s="609"/>
      <c r="EE24" s="816"/>
      <c r="EF24" s="816"/>
      <c r="EG24" s="822"/>
      <c r="EH24" s="609"/>
      <c r="EI24" s="816"/>
      <c r="EJ24" s="816"/>
      <c r="EK24" s="609"/>
      <c r="EL24" s="816"/>
      <c r="EM24" s="816"/>
      <c r="EN24" s="816"/>
      <c r="EO24" s="816"/>
      <c r="EP24" s="816"/>
      <c r="EQ24" s="816"/>
      <c r="ER24" s="816"/>
      <c r="ES24" s="816"/>
      <c r="ET24" s="816"/>
      <c r="EU24" s="816"/>
      <c r="EV24" s="816"/>
      <c r="EW24" s="823"/>
      <c r="EX24" s="824"/>
      <c r="EY24" s="825"/>
      <c r="EZ24" s="825"/>
      <c r="FA24" s="816"/>
      <c r="FC24" s="826"/>
      <c r="FD24" s="826"/>
      <c r="FE24" s="826"/>
      <c r="FF24" s="826"/>
    </row>
    <row r="25" spans="2:162" s="780" customFormat="1" ht="15">
      <c r="B25" s="609"/>
      <c r="C25" s="609"/>
      <c r="D25" s="609"/>
      <c r="E25" s="609"/>
      <c r="F25" s="609"/>
      <c r="G25" s="609"/>
      <c r="H25" s="609"/>
      <c r="I25" s="609"/>
      <c r="J25" s="609"/>
      <c r="K25" s="609"/>
      <c r="L25" s="609"/>
      <c r="M25" s="609"/>
      <c r="N25" s="609"/>
      <c r="O25" s="609"/>
      <c r="P25" s="609"/>
      <c r="Q25" s="609"/>
      <c r="R25" s="816"/>
      <c r="S25" s="816"/>
      <c r="T25" s="816"/>
      <c r="U25" s="816"/>
      <c r="V25" s="816"/>
      <c r="W25" s="816"/>
      <c r="X25" s="609"/>
      <c r="Y25" s="609"/>
      <c r="Z25" s="816"/>
      <c r="AA25" s="816"/>
      <c r="AB25" s="609"/>
      <c r="AC25" s="609"/>
      <c r="AD25" s="816"/>
      <c r="AE25" s="816"/>
      <c r="AF25" s="609"/>
      <c r="AG25" s="609"/>
      <c r="AH25" s="816"/>
      <c r="AI25" s="816"/>
      <c r="AJ25" s="817"/>
      <c r="AK25" s="609"/>
      <c r="AL25" s="609"/>
      <c r="AM25" s="816"/>
      <c r="AN25" s="816"/>
      <c r="AO25" s="1104">
        <v>50</v>
      </c>
      <c r="AP25" s="1105">
        <f t="shared" si="51"/>
        <v>0</v>
      </c>
      <c r="AQ25" s="816"/>
      <c r="AR25" s="816"/>
      <c r="AS25" s="816"/>
      <c r="AT25" s="609"/>
      <c r="AU25" s="609"/>
      <c r="AV25" s="609"/>
      <c r="AW25" s="818"/>
      <c r="AX25" s="816"/>
      <c r="AY25" s="816"/>
      <c r="AZ25" s="609"/>
      <c r="BA25" s="609"/>
      <c r="BB25" s="816"/>
      <c r="BC25" s="816"/>
      <c r="BD25" s="609"/>
      <c r="BE25" s="609"/>
      <c r="BF25" s="816"/>
      <c r="BG25" s="816"/>
      <c r="BH25" s="816"/>
      <c r="BI25" s="816"/>
      <c r="BJ25" s="816"/>
      <c r="BK25" s="816"/>
      <c r="BL25" s="816"/>
      <c r="BM25" s="816"/>
      <c r="BN25" s="816"/>
      <c r="BO25" s="816"/>
      <c r="BP25" s="816"/>
      <c r="BQ25" s="816"/>
      <c r="BR25" s="816"/>
      <c r="BS25" s="816"/>
      <c r="BT25" s="816"/>
      <c r="BU25" s="816"/>
      <c r="BV25" s="816"/>
      <c r="BW25" s="816"/>
      <c r="BX25" s="609"/>
      <c r="BY25" s="609"/>
      <c r="BZ25" s="816"/>
      <c r="CA25" s="816"/>
      <c r="CB25" s="609"/>
      <c r="CC25" s="609"/>
      <c r="CD25" s="816"/>
      <c r="CE25" s="816"/>
      <c r="CF25" s="816"/>
      <c r="CG25" s="816"/>
      <c r="CH25" s="816"/>
      <c r="CI25" s="816"/>
      <c r="CJ25" s="816"/>
      <c r="CK25" s="816"/>
      <c r="CL25" s="819"/>
      <c r="CM25" s="816"/>
      <c r="CN25" s="820"/>
      <c r="CO25" s="820"/>
      <c r="CP25" s="820"/>
      <c r="CQ25" s="820"/>
      <c r="CR25" s="609"/>
      <c r="CS25" s="609"/>
      <c r="CT25" s="816"/>
      <c r="CU25" s="816"/>
      <c r="CV25" s="816"/>
      <c r="CW25" s="816"/>
      <c r="CX25" s="816"/>
      <c r="CY25" s="816"/>
      <c r="CZ25" s="816"/>
      <c r="DA25" s="609"/>
      <c r="DB25" s="609"/>
      <c r="DC25" s="816"/>
      <c r="DD25" s="816"/>
      <c r="DE25" s="609"/>
      <c r="DF25" s="609"/>
      <c r="DG25" s="816"/>
      <c r="DH25" s="816"/>
      <c r="DI25" s="816"/>
      <c r="DJ25" s="816"/>
      <c r="DK25" s="816"/>
      <c r="DL25" s="816"/>
      <c r="DM25" s="609"/>
      <c r="DN25" s="609"/>
      <c r="DO25" s="816"/>
      <c r="DP25" s="816"/>
      <c r="DQ25" s="609"/>
      <c r="DR25" s="609"/>
      <c r="DS25" s="816"/>
      <c r="DT25" s="816"/>
      <c r="DU25" s="609"/>
      <c r="DV25" s="609"/>
      <c r="DW25" s="816"/>
      <c r="DX25" s="816"/>
      <c r="DY25" s="816"/>
      <c r="DZ25" s="816"/>
      <c r="EA25" s="816"/>
      <c r="EB25" s="816"/>
      <c r="EC25" s="821"/>
      <c r="ED25" s="609"/>
      <c r="EE25" s="816"/>
      <c r="EF25" s="816"/>
      <c r="EG25" s="822"/>
      <c r="EH25" s="609"/>
      <c r="EI25" s="816"/>
      <c r="EJ25" s="816"/>
      <c r="EK25" s="609"/>
      <c r="EL25" s="816"/>
      <c r="EM25" s="816"/>
      <c r="EN25" s="816"/>
      <c r="EO25" s="816"/>
      <c r="EP25" s="816"/>
      <c r="EQ25" s="816"/>
      <c r="ER25" s="816"/>
      <c r="ES25" s="816"/>
      <c r="ET25" s="816"/>
      <c r="EU25" s="816"/>
      <c r="EV25" s="816"/>
      <c r="EW25" s="823"/>
      <c r="EX25" s="824"/>
      <c r="EY25" s="825"/>
      <c r="EZ25" s="825"/>
      <c r="FA25" s="816"/>
      <c r="FC25" s="826"/>
      <c r="FD25" s="826"/>
      <c r="FE25" s="826"/>
      <c r="FF25" s="826"/>
    </row>
    <row r="26" spans="2:162" s="780" customFormat="1">
      <c r="B26" s="609"/>
      <c r="C26" s="609"/>
      <c r="D26" s="609"/>
      <c r="E26" s="609"/>
      <c r="F26" s="609"/>
      <c r="G26" s="609"/>
      <c r="H26" s="609"/>
      <c r="I26" s="609"/>
      <c r="J26" s="609"/>
      <c r="K26" s="609"/>
      <c r="L26" s="609"/>
      <c r="M26" s="609"/>
      <c r="N26" s="609"/>
      <c r="O26" s="609"/>
      <c r="P26" s="609"/>
      <c r="Q26" s="609"/>
      <c r="R26" s="816"/>
      <c r="S26" s="816"/>
      <c r="T26" s="816"/>
      <c r="U26" s="816"/>
      <c r="V26" s="816"/>
      <c r="W26" s="816"/>
      <c r="X26" s="609"/>
      <c r="Y26" s="609"/>
      <c r="Z26" s="816"/>
      <c r="AA26" s="816"/>
      <c r="AB26" s="609"/>
      <c r="AC26" s="609"/>
      <c r="AD26" s="816"/>
      <c r="AE26" s="816"/>
      <c r="AF26" s="609"/>
      <c r="AG26" s="609"/>
      <c r="AH26" s="816"/>
      <c r="AI26" s="816"/>
      <c r="AJ26" s="817"/>
      <c r="AK26" s="609"/>
      <c r="AL26" s="609"/>
      <c r="AM26" s="816"/>
      <c r="AN26" s="816"/>
      <c r="AO26" s="816"/>
      <c r="AP26" s="816"/>
      <c r="AQ26" s="816"/>
      <c r="AR26" s="816"/>
      <c r="AS26" s="816"/>
      <c r="AT26" s="609"/>
      <c r="AU26" s="609"/>
      <c r="AV26" s="609"/>
      <c r="AW26" s="818"/>
      <c r="AX26" s="816"/>
      <c r="AY26" s="816"/>
      <c r="AZ26" s="609"/>
      <c r="BA26" s="609"/>
      <c r="BB26" s="816"/>
      <c r="BC26" s="816"/>
      <c r="BD26" s="609"/>
      <c r="BE26" s="609"/>
      <c r="BF26" s="816"/>
      <c r="BG26" s="816"/>
      <c r="BH26" s="816"/>
      <c r="BI26" s="816"/>
      <c r="BJ26" s="816"/>
      <c r="BK26" s="816"/>
      <c r="BL26" s="816"/>
      <c r="BM26" s="816"/>
      <c r="BN26" s="816"/>
      <c r="BO26" s="816"/>
      <c r="BP26" s="816"/>
      <c r="BQ26" s="816"/>
      <c r="BR26" s="816"/>
      <c r="BS26" s="816"/>
      <c r="BT26" s="816"/>
      <c r="BU26" s="816"/>
      <c r="BV26" s="816"/>
      <c r="BW26" s="816"/>
      <c r="BX26" s="609"/>
      <c r="BY26" s="609"/>
      <c r="BZ26" s="816"/>
      <c r="CA26" s="816"/>
      <c r="CB26" s="609"/>
      <c r="CC26" s="609"/>
      <c r="CD26" s="816"/>
      <c r="CE26" s="816"/>
      <c r="CF26" s="816"/>
      <c r="CG26" s="816"/>
      <c r="CH26" s="816"/>
      <c r="CI26" s="816"/>
      <c r="CJ26" s="816"/>
      <c r="CK26" s="816"/>
      <c r="CL26" s="819"/>
      <c r="CM26" s="816"/>
      <c r="CN26" s="820"/>
      <c r="CO26" s="820"/>
      <c r="CP26" s="820"/>
      <c r="CQ26" s="820"/>
      <c r="CR26" s="817"/>
      <c r="CS26" s="609"/>
      <c r="CT26" s="816"/>
      <c r="CU26" s="816"/>
      <c r="CV26" s="816"/>
      <c r="CW26" s="816"/>
      <c r="CX26" s="816"/>
      <c r="CY26" s="816"/>
      <c r="CZ26" s="816"/>
      <c r="DA26" s="609"/>
      <c r="DB26" s="609"/>
      <c r="DC26" s="816"/>
      <c r="DD26" s="816"/>
      <c r="DE26" s="609"/>
      <c r="DF26" s="609"/>
      <c r="DG26" s="816"/>
      <c r="DH26" s="816"/>
      <c r="DI26" s="816"/>
      <c r="DJ26" s="816"/>
      <c r="DK26" s="816"/>
      <c r="DL26" s="816"/>
      <c r="DM26" s="609"/>
      <c r="DN26" s="609"/>
      <c r="DO26" s="816"/>
      <c r="DP26" s="816"/>
      <c r="DQ26" s="609"/>
      <c r="DR26" s="609"/>
      <c r="DS26" s="816"/>
      <c r="DT26" s="816"/>
      <c r="DU26" s="609"/>
      <c r="DV26" s="609"/>
      <c r="DW26" s="816"/>
      <c r="DX26" s="816"/>
      <c r="DY26" s="816"/>
      <c r="DZ26" s="816"/>
      <c r="EA26" s="816"/>
      <c r="EB26" s="816"/>
      <c r="EC26" s="821"/>
      <c r="ED26" s="609"/>
      <c r="EE26" s="816"/>
      <c r="EF26" s="816"/>
      <c r="EG26" s="822"/>
      <c r="EH26" s="609"/>
      <c r="EI26" s="816"/>
      <c r="EJ26" s="816"/>
      <c r="EK26" s="609"/>
      <c r="EL26" s="816"/>
      <c r="EM26" s="816"/>
      <c r="EN26" s="816"/>
      <c r="EO26" s="816"/>
      <c r="EP26" s="816"/>
      <c r="EQ26" s="816"/>
      <c r="ER26" s="816"/>
      <c r="ES26" s="816"/>
      <c r="ET26" s="816"/>
      <c r="EU26" s="816"/>
      <c r="EV26" s="816"/>
      <c r="EW26" s="823"/>
      <c r="EX26" s="824"/>
      <c r="EY26" s="825"/>
      <c r="EZ26" s="825"/>
      <c r="FA26" s="816"/>
      <c r="FC26" s="826"/>
      <c r="FD26" s="826"/>
      <c r="FE26" s="826"/>
      <c r="FF26" s="826"/>
    </row>
    <row r="27" spans="2:162" s="780" customFormat="1">
      <c r="B27" s="609"/>
      <c r="C27" s="609"/>
      <c r="D27" s="609"/>
      <c r="E27" s="609"/>
      <c r="F27" s="609"/>
      <c r="G27" s="609"/>
      <c r="H27" s="609"/>
      <c r="I27" s="609"/>
      <c r="J27" s="609"/>
      <c r="K27" s="609"/>
      <c r="L27" s="609"/>
      <c r="M27" s="609"/>
      <c r="N27" s="609"/>
      <c r="O27" s="609"/>
      <c r="P27" s="609"/>
      <c r="Q27" s="609"/>
      <c r="R27" s="816"/>
      <c r="S27" s="816"/>
      <c r="T27" s="816"/>
      <c r="U27" s="816"/>
      <c r="V27" s="816"/>
      <c r="W27" s="816"/>
      <c r="X27" s="609"/>
      <c r="Y27" s="609"/>
      <c r="Z27" s="816"/>
      <c r="AA27" s="816"/>
      <c r="AB27" s="609"/>
      <c r="AC27" s="609"/>
      <c r="AD27" s="816"/>
      <c r="AE27" s="816"/>
      <c r="AF27" s="609"/>
      <c r="AG27" s="609"/>
      <c r="AH27" s="816"/>
      <c r="AI27" s="816"/>
      <c r="AJ27" s="817"/>
      <c r="AK27" s="609"/>
      <c r="AL27" s="609"/>
      <c r="AM27" s="816"/>
      <c r="AN27" s="816"/>
      <c r="AO27" s="816"/>
      <c r="AP27" s="816"/>
      <c r="AQ27" s="816"/>
      <c r="AR27" s="816"/>
      <c r="AS27" s="816"/>
      <c r="AT27" s="609"/>
      <c r="AU27" s="609"/>
      <c r="AV27" s="609"/>
      <c r="AW27" s="818"/>
      <c r="AX27" s="816"/>
      <c r="AY27" s="816"/>
      <c r="AZ27" s="609"/>
      <c r="BA27" s="609"/>
      <c r="BB27" s="816"/>
      <c r="BC27" s="816"/>
      <c r="BD27" s="609"/>
      <c r="BE27" s="609"/>
      <c r="BF27" s="816"/>
      <c r="BG27" s="816"/>
      <c r="BH27" s="816"/>
      <c r="BI27" s="816"/>
      <c r="BJ27" s="816"/>
      <c r="BK27" s="816"/>
      <c r="BL27" s="816"/>
      <c r="BM27" s="816"/>
      <c r="BN27" s="816"/>
      <c r="BO27" s="816"/>
      <c r="BP27" s="816"/>
      <c r="BQ27" s="816"/>
      <c r="BR27" s="816"/>
      <c r="BS27" s="816"/>
      <c r="BT27" s="816"/>
      <c r="BU27" s="816"/>
      <c r="BV27" s="816"/>
      <c r="BW27" s="816"/>
      <c r="BX27" s="609"/>
      <c r="BY27" s="609"/>
      <c r="BZ27" s="816"/>
      <c r="CA27" s="816"/>
      <c r="CB27" s="609"/>
      <c r="CC27" s="609"/>
      <c r="CD27" s="816"/>
      <c r="CE27" s="816"/>
      <c r="CF27" s="816"/>
      <c r="CG27" s="816"/>
      <c r="CH27" s="816"/>
      <c r="CI27" s="816"/>
      <c r="CJ27" s="816"/>
      <c r="CK27" s="816"/>
      <c r="CL27" s="819"/>
      <c r="CM27" s="816"/>
      <c r="CN27" s="820"/>
      <c r="CO27" s="820"/>
      <c r="CP27" s="820"/>
      <c r="CQ27" s="820"/>
      <c r="CR27" s="609"/>
      <c r="CS27" s="609"/>
      <c r="CT27" s="816"/>
      <c r="CU27" s="816"/>
      <c r="CV27" s="816"/>
      <c r="CW27" s="816"/>
      <c r="CX27" s="816"/>
      <c r="CY27" s="816"/>
      <c r="CZ27" s="816"/>
      <c r="DA27" s="609"/>
      <c r="DB27" s="609"/>
      <c r="DC27" s="816"/>
      <c r="DD27" s="816"/>
      <c r="DE27" s="609"/>
      <c r="DF27" s="609"/>
      <c r="DG27" s="816"/>
      <c r="DH27" s="816"/>
      <c r="DI27" s="816"/>
      <c r="DJ27" s="816"/>
      <c r="DK27" s="816"/>
      <c r="DL27" s="816"/>
      <c r="DM27" s="609"/>
      <c r="DN27" s="609"/>
      <c r="DO27" s="816"/>
      <c r="DP27" s="816"/>
      <c r="DQ27" s="609"/>
      <c r="DR27" s="609"/>
      <c r="DS27" s="816"/>
      <c r="DT27" s="816"/>
      <c r="DU27" s="609"/>
      <c r="DV27" s="609"/>
      <c r="DW27" s="816"/>
      <c r="DX27" s="816"/>
      <c r="DY27" s="816"/>
      <c r="DZ27" s="816"/>
      <c r="EA27" s="816"/>
      <c r="EB27" s="816"/>
      <c r="EC27" s="821"/>
      <c r="ED27" s="609"/>
      <c r="EE27" s="816"/>
      <c r="EF27" s="816"/>
      <c r="EG27" s="822"/>
      <c r="EH27" s="609"/>
      <c r="EI27" s="816"/>
      <c r="EJ27" s="816"/>
      <c r="EK27" s="609"/>
      <c r="EL27" s="816"/>
      <c r="EM27" s="816"/>
      <c r="EN27" s="816"/>
      <c r="EO27" s="816"/>
      <c r="EP27" s="816"/>
      <c r="EQ27" s="816"/>
      <c r="ER27" s="816"/>
      <c r="ES27" s="816"/>
      <c r="ET27" s="816"/>
      <c r="EU27" s="816"/>
      <c r="EV27" s="816"/>
      <c r="EW27" s="823"/>
      <c r="EX27" s="824"/>
      <c r="EY27" s="825"/>
      <c r="EZ27" s="825"/>
      <c r="FA27" s="816"/>
      <c r="FC27" s="826"/>
      <c r="FD27" s="826"/>
      <c r="FE27" s="826"/>
      <c r="FF27" s="826"/>
    </row>
    <row r="28" spans="2:162" s="780" customFormat="1">
      <c r="B28" s="609"/>
      <c r="C28" s="609"/>
      <c r="D28" s="609"/>
      <c r="E28" s="609"/>
      <c r="F28" s="609"/>
      <c r="G28" s="609"/>
      <c r="H28" s="609"/>
      <c r="I28" s="609"/>
      <c r="J28" s="609"/>
      <c r="K28" s="609"/>
      <c r="L28" s="609"/>
      <c r="M28" s="609"/>
      <c r="N28" s="609"/>
      <c r="O28" s="609"/>
      <c r="P28" s="609"/>
      <c r="Q28" s="609"/>
      <c r="R28" s="816"/>
      <c r="S28" s="816"/>
      <c r="T28" s="816"/>
      <c r="U28" s="816"/>
      <c r="V28" s="816"/>
      <c r="W28" s="816"/>
      <c r="X28" s="609"/>
      <c r="Y28" s="609"/>
      <c r="Z28" s="816"/>
      <c r="AA28" s="816"/>
      <c r="AB28" s="609"/>
      <c r="AC28" s="609"/>
      <c r="AD28" s="816"/>
      <c r="AE28" s="816"/>
      <c r="AF28" s="609"/>
      <c r="AG28" s="609"/>
      <c r="AH28" s="816"/>
      <c r="AI28" s="816"/>
      <c r="AJ28" s="817"/>
      <c r="AK28" s="609"/>
      <c r="AL28" s="609"/>
      <c r="AM28" s="816"/>
      <c r="AN28" s="816"/>
      <c r="AO28" s="816"/>
      <c r="AP28" s="816"/>
      <c r="AQ28" s="816"/>
      <c r="AR28" s="816"/>
      <c r="AS28" s="816"/>
      <c r="AT28" s="609"/>
      <c r="AU28" s="609"/>
      <c r="AV28" s="609"/>
      <c r="AW28" s="818"/>
      <c r="AX28" s="816"/>
      <c r="AY28" s="816"/>
      <c r="AZ28" s="609"/>
      <c r="BA28" s="609"/>
      <c r="BB28" s="816"/>
      <c r="BC28" s="816"/>
      <c r="BD28" s="609"/>
      <c r="BE28" s="609"/>
      <c r="BF28" s="816"/>
      <c r="BG28" s="816"/>
      <c r="BH28" s="816"/>
      <c r="BI28" s="816"/>
      <c r="BJ28" s="816"/>
      <c r="BK28" s="816"/>
      <c r="BL28" s="816"/>
      <c r="BM28" s="816"/>
      <c r="BN28" s="816"/>
      <c r="BO28" s="816"/>
      <c r="BP28" s="816"/>
      <c r="BQ28" s="816"/>
      <c r="BR28" s="816"/>
      <c r="BS28" s="816"/>
      <c r="BT28" s="816"/>
      <c r="BU28" s="816"/>
      <c r="BV28" s="816"/>
      <c r="BW28" s="816"/>
      <c r="BX28" s="609"/>
      <c r="BY28" s="609"/>
      <c r="BZ28" s="816"/>
      <c r="CA28" s="816"/>
      <c r="CB28" s="609"/>
      <c r="CC28" s="609"/>
      <c r="CD28" s="816"/>
      <c r="CE28" s="816"/>
      <c r="CF28" s="816"/>
      <c r="CG28" s="816"/>
      <c r="CH28" s="816"/>
      <c r="CI28" s="816"/>
      <c r="CJ28" s="816"/>
      <c r="CK28" s="816"/>
      <c r="CL28" s="819"/>
      <c r="CM28" s="816"/>
      <c r="CN28" s="820"/>
      <c r="CO28" s="820"/>
      <c r="CP28" s="820"/>
      <c r="CQ28" s="820"/>
      <c r="CR28" s="817"/>
      <c r="CS28" s="609"/>
      <c r="CT28" s="816"/>
      <c r="CU28" s="816"/>
      <c r="CV28" s="816"/>
      <c r="CW28" s="816"/>
      <c r="CX28" s="816"/>
      <c r="CY28" s="816"/>
      <c r="CZ28" s="816"/>
      <c r="DA28" s="609"/>
      <c r="DB28" s="609"/>
      <c r="DC28" s="816"/>
      <c r="DD28" s="816"/>
      <c r="DE28" s="609"/>
      <c r="DF28" s="609"/>
      <c r="DG28" s="816"/>
      <c r="DH28" s="816"/>
      <c r="DI28" s="816"/>
      <c r="DJ28" s="816"/>
      <c r="DK28" s="816"/>
      <c r="DL28" s="816"/>
      <c r="DM28" s="609"/>
      <c r="DN28" s="609"/>
      <c r="DO28" s="816"/>
      <c r="DP28" s="816"/>
      <c r="DQ28" s="609"/>
      <c r="DR28" s="609"/>
      <c r="DS28" s="816"/>
      <c r="DT28" s="816"/>
      <c r="DU28" s="609"/>
      <c r="DV28" s="609"/>
      <c r="DW28" s="816"/>
      <c r="DX28" s="816"/>
      <c r="DY28" s="816"/>
      <c r="DZ28" s="816"/>
      <c r="EA28" s="816"/>
      <c r="EB28" s="816"/>
      <c r="EC28" s="821"/>
      <c r="ED28" s="609"/>
      <c r="EE28" s="816"/>
      <c r="EF28" s="816"/>
      <c r="EG28" s="822"/>
      <c r="EH28" s="609"/>
      <c r="EI28" s="816"/>
      <c r="EJ28" s="816"/>
      <c r="EK28" s="609"/>
      <c r="EL28" s="816"/>
      <c r="EM28" s="816"/>
      <c r="EN28" s="816"/>
      <c r="EO28" s="816"/>
      <c r="EP28" s="816"/>
      <c r="EQ28" s="816"/>
      <c r="ER28" s="816"/>
      <c r="ES28" s="816"/>
      <c r="ET28" s="816"/>
      <c r="EU28" s="816"/>
      <c r="EV28" s="816"/>
      <c r="EW28" s="823"/>
      <c r="EX28" s="824"/>
      <c r="EY28" s="825"/>
      <c r="EZ28" s="825"/>
      <c r="FA28" s="816"/>
      <c r="FC28" s="826"/>
      <c r="FD28" s="826"/>
      <c r="FE28" s="826"/>
      <c r="FF28" s="826"/>
    </row>
    <row r="29" spans="2:162" s="780" customFormat="1">
      <c r="B29" s="609"/>
      <c r="C29" s="609"/>
      <c r="D29" s="609"/>
      <c r="E29" s="609"/>
      <c r="F29" s="609"/>
      <c r="G29" s="609"/>
      <c r="H29" s="609"/>
      <c r="I29" s="609"/>
      <c r="J29" s="609"/>
      <c r="K29" s="609"/>
      <c r="L29" s="609"/>
      <c r="M29" s="609"/>
      <c r="N29" s="609"/>
      <c r="O29" s="609"/>
      <c r="P29" s="609"/>
      <c r="Q29" s="609"/>
      <c r="R29" s="816"/>
      <c r="S29" s="816"/>
      <c r="T29" s="816"/>
      <c r="U29" s="816"/>
      <c r="V29" s="816"/>
      <c r="W29" s="816"/>
      <c r="X29" s="609"/>
      <c r="Y29" s="609"/>
      <c r="Z29" s="816"/>
      <c r="AA29" s="816"/>
      <c r="AB29" s="609"/>
      <c r="AC29" s="609"/>
      <c r="AD29" s="816"/>
      <c r="AE29" s="816"/>
      <c r="AF29" s="609"/>
      <c r="AG29" s="609"/>
      <c r="AH29" s="816"/>
      <c r="AI29" s="816"/>
      <c r="AJ29" s="817"/>
      <c r="AK29" s="609"/>
      <c r="AL29" s="609"/>
      <c r="AM29" s="816"/>
      <c r="AN29" s="816"/>
      <c r="AO29" s="816"/>
      <c r="AP29" s="816"/>
      <c r="AQ29" s="816"/>
      <c r="AR29" s="816"/>
      <c r="AS29" s="816"/>
      <c r="AT29" s="609"/>
      <c r="AU29" s="609"/>
      <c r="AV29" s="609"/>
      <c r="AW29" s="818"/>
      <c r="AX29" s="816"/>
      <c r="AY29" s="816"/>
      <c r="AZ29" s="609"/>
      <c r="BA29" s="609"/>
      <c r="BB29" s="816"/>
      <c r="BC29" s="816"/>
      <c r="BD29" s="609"/>
      <c r="BE29" s="609"/>
      <c r="BF29" s="816"/>
      <c r="BG29" s="816"/>
      <c r="BH29" s="816"/>
      <c r="BI29" s="816"/>
      <c r="BJ29" s="816"/>
      <c r="BK29" s="816"/>
      <c r="BL29" s="816"/>
      <c r="BM29" s="816"/>
      <c r="BN29" s="816"/>
      <c r="BO29" s="816"/>
      <c r="BP29" s="816"/>
      <c r="BQ29" s="816"/>
      <c r="BR29" s="816"/>
      <c r="BS29" s="816"/>
      <c r="BT29" s="816"/>
      <c r="BU29" s="816"/>
      <c r="BV29" s="816"/>
      <c r="BW29" s="816"/>
      <c r="BX29" s="609"/>
      <c r="BY29" s="609"/>
      <c r="BZ29" s="816"/>
      <c r="CA29" s="816"/>
      <c r="CB29" s="609"/>
      <c r="CC29" s="609"/>
      <c r="CD29" s="816"/>
      <c r="CE29" s="816"/>
      <c r="CF29" s="816"/>
      <c r="CG29" s="816"/>
      <c r="CH29" s="816"/>
      <c r="CI29" s="816"/>
      <c r="CJ29" s="816"/>
      <c r="CK29" s="816"/>
      <c r="CL29" s="819"/>
      <c r="CM29" s="816"/>
      <c r="CN29" s="820"/>
      <c r="CO29" s="820"/>
      <c r="CP29" s="820"/>
      <c r="CQ29" s="820"/>
      <c r="CR29" s="609"/>
      <c r="CS29" s="609"/>
      <c r="CT29" s="816"/>
      <c r="CU29" s="816"/>
      <c r="CV29" s="816"/>
      <c r="CW29" s="816"/>
      <c r="CX29" s="816"/>
      <c r="CY29" s="816"/>
      <c r="CZ29" s="816"/>
      <c r="DA29" s="609"/>
      <c r="DB29" s="609"/>
      <c r="DC29" s="816"/>
      <c r="DD29" s="816"/>
      <c r="DE29" s="609"/>
      <c r="DF29" s="609"/>
      <c r="DG29" s="816"/>
      <c r="DH29" s="816"/>
      <c r="DI29" s="816"/>
      <c r="DJ29" s="816"/>
      <c r="DK29" s="816"/>
      <c r="DL29" s="816"/>
      <c r="DM29" s="609"/>
      <c r="DN29" s="609"/>
      <c r="DO29" s="816"/>
      <c r="DP29" s="816"/>
      <c r="DQ29" s="609"/>
      <c r="DR29" s="609"/>
      <c r="DS29" s="816"/>
      <c r="DT29" s="816"/>
      <c r="DU29" s="609"/>
      <c r="DV29" s="609"/>
      <c r="DW29" s="816"/>
      <c r="DX29" s="816"/>
      <c r="DY29" s="816"/>
      <c r="DZ29" s="816"/>
      <c r="EA29" s="816"/>
      <c r="EB29" s="816"/>
      <c r="EC29" s="821"/>
      <c r="ED29" s="609"/>
      <c r="EE29" s="816"/>
      <c r="EF29" s="816"/>
      <c r="EG29" s="822"/>
      <c r="EH29" s="609"/>
      <c r="EI29" s="816"/>
      <c r="EJ29" s="816"/>
      <c r="EK29" s="609"/>
      <c r="EL29" s="816"/>
      <c r="EM29" s="816"/>
      <c r="EN29" s="816"/>
      <c r="EO29" s="816"/>
      <c r="EP29" s="816"/>
      <c r="EQ29" s="816"/>
      <c r="ER29" s="816"/>
      <c r="ES29" s="816"/>
      <c r="ET29" s="816"/>
      <c r="EU29" s="816"/>
      <c r="EV29" s="816"/>
      <c r="EW29" s="823"/>
      <c r="EX29" s="824"/>
      <c r="EY29" s="825"/>
      <c r="EZ29" s="825"/>
      <c r="FA29" s="816"/>
      <c r="FC29" s="826"/>
      <c r="FD29" s="826"/>
      <c r="FE29" s="826"/>
      <c r="FF29" s="826"/>
    </row>
    <row r="30" spans="2:162" s="780" customFormat="1">
      <c r="B30" s="609"/>
      <c r="C30" s="609"/>
      <c r="D30" s="609"/>
      <c r="E30" s="609"/>
      <c r="F30" s="609"/>
      <c r="G30" s="609"/>
      <c r="H30" s="609"/>
      <c r="I30" s="609"/>
      <c r="J30" s="609"/>
      <c r="K30" s="609"/>
      <c r="L30" s="609"/>
      <c r="M30" s="609"/>
      <c r="N30" s="609"/>
      <c r="O30" s="609"/>
      <c r="P30" s="609"/>
      <c r="Q30" s="609"/>
      <c r="R30" s="816"/>
      <c r="S30" s="816"/>
      <c r="T30" s="816"/>
      <c r="U30" s="816"/>
      <c r="V30" s="816"/>
      <c r="W30" s="816"/>
      <c r="X30" s="609"/>
      <c r="Y30" s="609"/>
      <c r="Z30" s="816"/>
      <c r="AA30" s="816"/>
      <c r="AB30" s="609"/>
      <c r="AC30" s="609"/>
      <c r="AD30" s="816"/>
      <c r="AE30" s="816"/>
      <c r="AF30" s="609"/>
      <c r="AG30" s="609"/>
      <c r="AH30" s="816"/>
      <c r="AI30" s="816"/>
      <c r="AJ30" s="817"/>
      <c r="AK30" s="609"/>
      <c r="AL30" s="609"/>
      <c r="AM30" s="816"/>
      <c r="AN30" s="816"/>
      <c r="AO30" s="816"/>
      <c r="AP30" s="816"/>
      <c r="AQ30" s="816"/>
      <c r="AR30" s="816"/>
      <c r="AS30" s="816"/>
      <c r="AT30" s="609"/>
      <c r="AU30" s="609"/>
      <c r="AV30" s="609"/>
      <c r="AW30" s="818"/>
      <c r="AX30" s="816"/>
      <c r="AY30" s="816"/>
      <c r="AZ30" s="609"/>
      <c r="BA30" s="609"/>
      <c r="BB30" s="816"/>
      <c r="BC30" s="816"/>
      <c r="BD30" s="609"/>
      <c r="BE30" s="609"/>
      <c r="BF30" s="816"/>
      <c r="BG30" s="816"/>
      <c r="BH30" s="816"/>
      <c r="BI30" s="816"/>
      <c r="BJ30" s="816"/>
      <c r="BK30" s="816"/>
      <c r="BL30" s="816"/>
      <c r="BM30" s="816"/>
      <c r="BN30" s="816"/>
      <c r="BO30" s="816"/>
      <c r="BP30" s="816"/>
      <c r="BQ30" s="816"/>
      <c r="BR30" s="816"/>
      <c r="BS30" s="816"/>
      <c r="BT30" s="816"/>
      <c r="BU30" s="816"/>
      <c r="BV30" s="816"/>
      <c r="BW30" s="816"/>
      <c r="BX30" s="609"/>
      <c r="BY30" s="609"/>
      <c r="BZ30" s="816"/>
      <c r="CA30" s="816"/>
      <c r="CB30" s="609"/>
      <c r="CC30" s="609"/>
      <c r="CD30" s="816"/>
      <c r="CE30" s="816"/>
      <c r="CF30" s="816"/>
      <c r="CG30" s="816"/>
      <c r="CH30" s="816"/>
      <c r="CI30" s="816"/>
      <c r="CJ30" s="816"/>
      <c r="CK30" s="816"/>
      <c r="CL30" s="819"/>
      <c r="CM30" s="816"/>
      <c r="CN30" s="820"/>
      <c r="CO30" s="820"/>
      <c r="CP30" s="820"/>
      <c r="CQ30" s="820"/>
      <c r="CR30" s="609"/>
      <c r="CS30" s="609"/>
      <c r="CT30" s="816"/>
      <c r="CU30" s="816"/>
      <c r="CV30" s="816"/>
      <c r="CW30" s="816"/>
      <c r="CX30" s="816"/>
      <c r="CY30" s="816"/>
      <c r="CZ30" s="816"/>
      <c r="DA30" s="609"/>
      <c r="DB30" s="609"/>
      <c r="DC30" s="816"/>
      <c r="DD30" s="816"/>
      <c r="DE30" s="609"/>
      <c r="DF30" s="609"/>
      <c r="DG30" s="816"/>
      <c r="DH30" s="816"/>
      <c r="DI30" s="816"/>
      <c r="DJ30" s="816"/>
      <c r="DK30" s="816"/>
      <c r="DL30" s="816"/>
      <c r="DM30" s="609"/>
      <c r="DN30" s="609"/>
      <c r="DO30" s="816"/>
      <c r="DP30" s="816"/>
      <c r="DQ30" s="609"/>
      <c r="DR30" s="609"/>
      <c r="DS30" s="816"/>
      <c r="DT30" s="816"/>
      <c r="DU30" s="609"/>
      <c r="DV30" s="609"/>
      <c r="DW30" s="816"/>
      <c r="DX30" s="816"/>
      <c r="DY30" s="816"/>
      <c r="DZ30" s="816"/>
      <c r="EA30" s="816"/>
      <c r="EB30" s="816"/>
      <c r="EC30" s="821"/>
      <c r="ED30" s="609"/>
      <c r="EE30" s="816"/>
      <c r="EF30" s="816"/>
      <c r="EG30" s="822"/>
      <c r="EH30" s="609"/>
      <c r="EI30" s="816"/>
      <c r="EJ30" s="816"/>
      <c r="EK30" s="609"/>
      <c r="EL30" s="816"/>
      <c r="EM30" s="816"/>
      <c r="EN30" s="816"/>
      <c r="EO30" s="816"/>
      <c r="EP30" s="816"/>
      <c r="EQ30" s="816"/>
      <c r="ER30" s="816"/>
      <c r="ES30" s="816"/>
      <c r="ET30" s="816"/>
      <c r="EU30" s="816"/>
      <c r="EV30" s="816"/>
      <c r="EW30" s="823"/>
      <c r="EX30" s="824"/>
      <c r="EY30" s="825"/>
      <c r="EZ30" s="825"/>
      <c r="FA30" s="816"/>
      <c r="FC30" s="826"/>
      <c r="FD30" s="826"/>
      <c r="FE30" s="826"/>
      <c r="FF30" s="826"/>
    </row>
    <row r="31" spans="2:162" s="780" customFormat="1">
      <c r="B31" s="609"/>
      <c r="C31" s="609"/>
      <c r="D31" s="609"/>
      <c r="E31" s="609"/>
      <c r="F31" s="609"/>
      <c r="G31" s="609"/>
      <c r="H31" s="609"/>
      <c r="I31" s="609"/>
      <c r="J31" s="609"/>
      <c r="K31" s="609"/>
      <c r="L31" s="609"/>
      <c r="M31" s="609"/>
      <c r="N31" s="609"/>
      <c r="O31" s="609"/>
      <c r="P31" s="609"/>
      <c r="Q31" s="609"/>
      <c r="R31" s="816"/>
      <c r="S31" s="816"/>
      <c r="T31" s="816"/>
      <c r="U31" s="816"/>
      <c r="V31" s="816"/>
      <c r="W31" s="816"/>
      <c r="X31" s="609"/>
      <c r="Y31" s="609"/>
      <c r="Z31" s="816"/>
      <c r="AA31" s="816"/>
      <c r="AB31" s="609"/>
      <c r="AC31" s="609"/>
      <c r="AD31" s="816"/>
      <c r="AE31" s="816"/>
      <c r="AF31" s="609"/>
      <c r="AG31" s="609"/>
      <c r="AH31" s="816"/>
      <c r="AI31" s="816"/>
      <c r="AJ31" s="817"/>
      <c r="AK31" s="609"/>
      <c r="AL31" s="609"/>
      <c r="AM31" s="816"/>
      <c r="AN31" s="816"/>
      <c r="AO31" s="816"/>
      <c r="AP31" s="816"/>
      <c r="AQ31" s="816"/>
      <c r="AR31" s="816"/>
      <c r="AS31" s="816"/>
      <c r="AT31" s="609"/>
      <c r="AU31" s="609"/>
      <c r="AV31" s="609"/>
      <c r="AW31" s="818"/>
      <c r="AX31" s="816"/>
      <c r="AY31" s="816"/>
      <c r="AZ31" s="609"/>
      <c r="BA31" s="609"/>
      <c r="BB31" s="816"/>
      <c r="BC31" s="816"/>
      <c r="BD31" s="609"/>
      <c r="BE31" s="609"/>
      <c r="BF31" s="816"/>
      <c r="BG31" s="816"/>
      <c r="BH31" s="816"/>
      <c r="BI31" s="816"/>
      <c r="BJ31" s="816"/>
      <c r="BK31" s="816"/>
      <c r="BL31" s="816"/>
      <c r="BM31" s="816"/>
      <c r="BN31" s="816"/>
      <c r="BO31" s="816"/>
      <c r="BP31" s="816"/>
      <c r="BQ31" s="816"/>
      <c r="BR31" s="816"/>
      <c r="BS31" s="816"/>
      <c r="BT31" s="816"/>
      <c r="BU31" s="816"/>
      <c r="BV31" s="816"/>
      <c r="BW31" s="816"/>
      <c r="BX31" s="609"/>
      <c r="BY31" s="609"/>
      <c r="BZ31" s="816"/>
      <c r="CA31" s="816"/>
      <c r="CB31" s="609"/>
      <c r="CC31" s="609"/>
      <c r="CD31" s="816"/>
      <c r="CE31" s="816"/>
      <c r="CF31" s="816"/>
      <c r="CG31" s="816"/>
      <c r="CH31" s="816"/>
      <c r="CI31" s="816"/>
      <c r="CJ31" s="816"/>
      <c r="CK31" s="816"/>
      <c r="CL31" s="819"/>
      <c r="CM31" s="816"/>
      <c r="CN31" s="820"/>
      <c r="CO31" s="820"/>
      <c r="CP31" s="820"/>
      <c r="CQ31" s="820"/>
      <c r="CR31" s="609"/>
      <c r="CS31" s="609"/>
      <c r="CT31" s="816"/>
      <c r="CU31" s="816"/>
      <c r="CV31" s="816"/>
      <c r="CW31" s="816"/>
      <c r="CX31" s="816"/>
      <c r="CY31" s="816"/>
      <c r="CZ31" s="816"/>
      <c r="DA31" s="609"/>
      <c r="DB31" s="609"/>
      <c r="DC31" s="816"/>
      <c r="DD31" s="816"/>
      <c r="DE31" s="609"/>
      <c r="DF31" s="609"/>
      <c r="DG31" s="816"/>
      <c r="DH31" s="816"/>
      <c r="DI31" s="816"/>
      <c r="DJ31" s="816"/>
      <c r="DK31" s="816"/>
      <c r="DL31" s="816"/>
      <c r="DM31" s="609"/>
      <c r="DN31" s="609"/>
      <c r="DO31" s="816"/>
      <c r="DP31" s="816"/>
      <c r="DQ31" s="609"/>
      <c r="DR31" s="609"/>
      <c r="DS31" s="816"/>
      <c r="DT31" s="816"/>
      <c r="DU31" s="609"/>
      <c r="DV31" s="609"/>
      <c r="DW31" s="816"/>
      <c r="DX31" s="816"/>
      <c r="DY31" s="816"/>
      <c r="DZ31" s="816"/>
      <c r="EA31" s="816"/>
      <c r="EB31" s="816"/>
      <c r="EC31" s="821"/>
      <c r="ED31" s="609"/>
      <c r="EE31" s="816"/>
      <c r="EF31" s="816"/>
      <c r="EG31" s="822"/>
      <c r="EH31" s="609"/>
      <c r="EI31" s="816"/>
      <c r="EJ31" s="816"/>
      <c r="EK31" s="609"/>
      <c r="EL31" s="816"/>
      <c r="EM31" s="816"/>
      <c r="EN31" s="816"/>
      <c r="EO31" s="816"/>
      <c r="EP31" s="816"/>
      <c r="EQ31" s="816"/>
      <c r="ER31" s="816"/>
      <c r="ES31" s="816"/>
      <c r="ET31" s="816"/>
      <c r="EU31" s="816"/>
      <c r="EV31" s="816"/>
      <c r="EW31" s="823"/>
      <c r="EX31" s="824"/>
      <c r="EY31" s="825"/>
      <c r="EZ31" s="825"/>
      <c r="FA31" s="816"/>
      <c r="FC31" s="826"/>
      <c r="FD31" s="826"/>
      <c r="FE31" s="826"/>
      <c r="FF31" s="826"/>
    </row>
    <row r="32" spans="2:162" s="780" customFormat="1">
      <c r="B32" s="609"/>
      <c r="C32" s="609"/>
      <c r="D32" s="609"/>
      <c r="E32" s="609"/>
      <c r="F32" s="609"/>
      <c r="G32" s="609"/>
      <c r="H32" s="609"/>
      <c r="I32" s="609"/>
      <c r="J32" s="609"/>
      <c r="K32" s="609"/>
      <c r="L32" s="609"/>
      <c r="M32" s="609"/>
      <c r="N32" s="609"/>
      <c r="O32" s="609"/>
      <c r="P32" s="609"/>
      <c r="Q32" s="609"/>
      <c r="R32" s="816"/>
      <c r="S32" s="816"/>
      <c r="T32" s="816"/>
      <c r="U32" s="816"/>
      <c r="V32" s="816"/>
      <c r="W32" s="816"/>
      <c r="X32" s="609"/>
      <c r="Y32" s="609"/>
      <c r="Z32" s="816"/>
      <c r="AA32" s="816"/>
      <c r="AB32" s="609"/>
      <c r="AC32" s="609"/>
      <c r="AD32" s="816"/>
      <c r="AE32" s="816"/>
      <c r="AF32" s="609"/>
      <c r="AG32" s="609"/>
      <c r="AH32" s="816"/>
      <c r="AI32" s="816"/>
      <c r="AJ32" s="817"/>
      <c r="AK32" s="609"/>
      <c r="AL32" s="609"/>
      <c r="AM32" s="816"/>
      <c r="AN32" s="816"/>
      <c r="AO32" s="816"/>
      <c r="AP32" s="816"/>
      <c r="AQ32" s="816"/>
      <c r="AR32" s="816"/>
      <c r="AS32" s="816"/>
      <c r="AT32" s="609"/>
      <c r="AU32" s="609"/>
      <c r="AV32" s="609"/>
      <c r="AW32" s="818"/>
      <c r="AX32" s="816"/>
      <c r="AY32" s="816"/>
      <c r="AZ32" s="609"/>
      <c r="BA32" s="609"/>
      <c r="BB32" s="816"/>
      <c r="BC32" s="816"/>
      <c r="BD32" s="609"/>
      <c r="BE32" s="609"/>
      <c r="BF32" s="816"/>
      <c r="BG32" s="816"/>
      <c r="BH32" s="816"/>
      <c r="BI32" s="816"/>
      <c r="BJ32" s="816"/>
      <c r="BK32" s="816"/>
      <c r="BL32" s="816"/>
      <c r="BM32" s="816"/>
      <c r="BN32" s="816"/>
      <c r="BO32" s="816"/>
      <c r="BP32" s="816"/>
      <c r="BQ32" s="816"/>
      <c r="BR32" s="816"/>
      <c r="BS32" s="816"/>
      <c r="BT32" s="816"/>
      <c r="BU32" s="816"/>
      <c r="BV32" s="816"/>
      <c r="BW32" s="816"/>
      <c r="BX32" s="609"/>
      <c r="BY32" s="609"/>
      <c r="BZ32" s="816"/>
      <c r="CA32" s="816"/>
      <c r="CB32" s="609"/>
      <c r="CC32" s="609"/>
      <c r="CD32" s="816"/>
      <c r="CE32" s="816"/>
      <c r="CF32" s="816"/>
      <c r="CG32" s="816"/>
      <c r="CH32" s="816"/>
      <c r="CI32" s="816"/>
      <c r="CJ32" s="816"/>
      <c r="CK32" s="816"/>
      <c r="CL32" s="819"/>
      <c r="CM32" s="816"/>
      <c r="CN32" s="820"/>
      <c r="CO32" s="820"/>
      <c r="CP32" s="820"/>
      <c r="CQ32" s="820"/>
      <c r="CR32" s="817"/>
      <c r="CS32" s="609"/>
      <c r="CT32" s="816"/>
      <c r="CU32" s="816"/>
      <c r="CV32" s="816"/>
      <c r="CW32" s="816"/>
      <c r="CX32" s="816"/>
      <c r="CY32" s="816"/>
      <c r="CZ32" s="816"/>
      <c r="DA32" s="609"/>
      <c r="DB32" s="609"/>
      <c r="DC32" s="816"/>
      <c r="DD32" s="816"/>
      <c r="DE32" s="609"/>
      <c r="DF32" s="609"/>
      <c r="DG32" s="816"/>
      <c r="DH32" s="816"/>
      <c r="DI32" s="816"/>
      <c r="DJ32" s="816"/>
      <c r="DK32" s="816"/>
      <c r="DL32" s="816"/>
      <c r="DM32" s="609"/>
      <c r="DN32" s="609"/>
      <c r="DO32" s="816"/>
      <c r="DP32" s="816"/>
      <c r="DQ32" s="609"/>
      <c r="DR32" s="609"/>
      <c r="DS32" s="816"/>
      <c r="DT32" s="816"/>
      <c r="DU32" s="609"/>
      <c r="DV32" s="609"/>
      <c r="DW32" s="816"/>
      <c r="DX32" s="816"/>
      <c r="DY32" s="816"/>
      <c r="DZ32" s="816"/>
      <c r="EA32" s="816"/>
      <c r="EB32" s="816"/>
      <c r="EC32" s="821"/>
      <c r="ED32" s="609"/>
      <c r="EE32" s="816"/>
      <c r="EF32" s="816"/>
      <c r="EG32" s="822"/>
      <c r="EH32" s="609"/>
      <c r="EI32" s="816"/>
      <c r="EJ32" s="816"/>
      <c r="EK32" s="609"/>
      <c r="EL32" s="816"/>
      <c r="EM32" s="816"/>
      <c r="EN32" s="816"/>
      <c r="EO32" s="816"/>
      <c r="EP32" s="816"/>
      <c r="EQ32" s="816"/>
      <c r="ER32" s="816"/>
      <c r="ES32" s="816"/>
      <c r="ET32" s="816"/>
      <c r="EU32" s="816"/>
      <c r="EV32" s="816"/>
      <c r="EW32" s="823"/>
      <c r="EX32" s="824"/>
      <c r="EY32" s="825"/>
      <c r="EZ32" s="825"/>
      <c r="FA32" s="816"/>
      <c r="FC32" s="826"/>
      <c r="FD32" s="826"/>
      <c r="FE32" s="826"/>
      <c r="FF32" s="826"/>
    </row>
    <row r="33" spans="2:162" s="780" customFormat="1">
      <c r="B33" s="609"/>
      <c r="C33" s="609"/>
      <c r="D33" s="609"/>
      <c r="E33" s="609"/>
      <c r="F33" s="609"/>
      <c r="G33" s="609"/>
      <c r="H33" s="609"/>
      <c r="I33" s="609"/>
      <c r="J33" s="609"/>
      <c r="K33" s="609"/>
      <c r="L33" s="609"/>
      <c r="M33" s="609"/>
      <c r="N33" s="609"/>
      <c r="O33" s="609"/>
      <c r="P33" s="609"/>
      <c r="Q33" s="609"/>
      <c r="R33" s="816"/>
      <c r="S33" s="816"/>
      <c r="T33" s="816"/>
      <c r="U33" s="816"/>
      <c r="V33" s="816"/>
      <c r="W33" s="816"/>
      <c r="X33" s="609"/>
      <c r="Y33" s="609"/>
      <c r="Z33" s="816"/>
      <c r="AA33" s="816"/>
      <c r="AB33" s="609"/>
      <c r="AC33" s="609"/>
      <c r="AD33" s="816"/>
      <c r="AE33" s="816"/>
      <c r="AF33" s="609"/>
      <c r="AG33" s="609"/>
      <c r="AH33" s="816"/>
      <c r="AI33" s="816"/>
      <c r="AJ33" s="817"/>
      <c r="AK33" s="609"/>
      <c r="AL33" s="609"/>
      <c r="AM33" s="816"/>
      <c r="AN33" s="816"/>
      <c r="AO33" s="816"/>
      <c r="AP33" s="816"/>
      <c r="AQ33" s="816"/>
      <c r="AR33" s="816"/>
      <c r="AS33" s="816"/>
      <c r="AT33" s="609"/>
      <c r="AU33" s="609"/>
      <c r="AV33" s="609"/>
      <c r="AW33" s="818"/>
      <c r="AX33" s="816"/>
      <c r="AY33" s="816"/>
      <c r="AZ33" s="609"/>
      <c r="BA33" s="609"/>
      <c r="BB33" s="816"/>
      <c r="BC33" s="816"/>
      <c r="BD33" s="609"/>
      <c r="BE33" s="609"/>
      <c r="BF33" s="816"/>
      <c r="BG33" s="816"/>
      <c r="BH33" s="816"/>
      <c r="BI33" s="816"/>
      <c r="BJ33" s="816"/>
      <c r="BK33" s="816"/>
      <c r="BL33" s="816"/>
      <c r="BM33" s="816"/>
      <c r="BN33" s="816"/>
      <c r="BO33" s="816"/>
      <c r="BP33" s="816"/>
      <c r="BQ33" s="816"/>
      <c r="BR33" s="816"/>
      <c r="BS33" s="816"/>
      <c r="BT33" s="816"/>
      <c r="BU33" s="816"/>
      <c r="BV33" s="816"/>
      <c r="BW33" s="816"/>
      <c r="BX33" s="609"/>
      <c r="BY33" s="609"/>
      <c r="BZ33" s="816"/>
      <c r="CA33" s="816"/>
      <c r="CB33" s="609"/>
      <c r="CC33" s="609"/>
      <c r="CD33" s="816"/>
      <c r="CE33" s="816"/>
      <c r="CF33" s="816"/>
      <c r="CG33" s="816"/>
      <c r="CH33" s="816"/>
      <c r="CI33" s="816"/>
      <c r="CJ33" s="816"/>
      <c r="CK33" s="816"/>
      <c r="CL33" s="819"/>
      <c r="CM33" s="816"/>
      <c r="CN33" s="820"/>
      <c r="CO33" s="820"/>
      <c r="CP33" s="820"/>
      <c r="CQ33" s="820"/>
      <c r="CR33" s="609"/>
      <c r="CS33" s="609"/>
      <c r="CT33" s="816"/>
      <c r="CU33" s="816"/>
      <c r="CV33" s="816"/>
      <c r="CW33" s="816"/>
      <c r="CX33" s="816"/>
      <c r="CY33" s="816"/>
      <c r="CZ33" s="816"/>
      <c r="DA33" s="609"/>
      <c r="DB33" s="609"/>
      <c r="DC33" s="816"/>
      <c r="DD33" s="816"/>
      <c r="DE33" s="609"/>
      <c r="DF33" s="609"/>
      <c r="DG33" s="816"/>
      <c r="DH33" s="816"/>
      <c r="DI33" s="816"/>
      <c r="DJ33" s="816"/>
      <c r="DK33" s="816"/>
      <c r="DL33" s="816"/>
      <c r="DM33" s="609"/>
      <c r="DN33" s="609"/>
      <c r="DO33" s="816"/>
      <c r="DP33" s="816"/>
      <c r="DQ33" s="609"/>
      <c r="DR33" s="609"/>
      <c r="DS33" s="816"/>
      <c r="DT33" s="816"/>
      <c r="DU33" s="609"/>
      <c r="DV33" s="609"/>
      <c r="DW33" s="816"/>
      <c r="DX33" s="816"/>
      <c r="DY33" s="816"/>
      <c r="DZ33" s="816"/>
      <c r="EA33" s="816"/>
      <c r="EB33" s="816"/>
      <c r="EC33" s="821"/>
      <c r="ED33" s="609"/>
      <c r="EE33" s="816"/>
      <c r="EF33" s="816"/>
      <c r="EG33" s="822"/>
      <c r="EH33" s="609"/>
      <c r="EI33" s="816"/>
      <c r="EJ33" s="816"/>
      <c r="EK33" s="609"/>
      <c r="EL33" s="816"/>
      <c r="EM33" s="816"/>
      <c r="EN33" s="816"/>
      <c r="EO33" s="816"/>
      <c r="EP33" s="816"/>
      <c r="EQ33" s="816"/>
      <c r="ER33" s="816"/>
      <c r="ES33" s="816"/>
      <c r="ET33" s="816"/>
      <c r="EU33" s="816"/>
      <c r="EV33" s="816"/>
      <c r="EW33" s="823"/>
      <c r="EX33" s="824"/>
      <c r="EY33" s="825"/>
      <c r="EZ33" s="825"/>
      <c r="FA33" s="816"/>
      <c r="FC33" s="826"/>
      <c r="FD33" s="826"/>
      <c r="FE33" s="826"/>
      <c r="FF33" s="826"/>
    </row>
    <row r="34" spans="2:162" s="780" customFormat="1">
      <c r="B34" s="609"/>
      <c r="C34" s="609"/>
      <c r="D34" s="609"/>
      <c r="E34" s="609"/>
      <c r="F34" s="609"/>
      <c r="G34" s="609"/>
      <c r="H34" s="609"/>
      <c r="I34" s="609"/>
      <c r="J34" s="609"/>
      <c r="K34" s="609"/>
      <c r="L34" s="609"/>
      <c r="M34" s="609"/>
      <c r="N34" s="609"/>
      <c r="O34" s="609"/>
      <c r="P34" s="609"/>
      <c r="Q34" s="609"/>
      <c r="R34" s="816"/>
      <c r="S34" s="816"/>
      <c r="T34" s="816"/>
      <c r="U34" s="816"/>
      <c r="V34" s="816"/>
      <c r="W34" s="816"/>
      <c r="X34" s="609"/>
      <c r="Y34" s="609"/>
      <c r="Z34" s="816"/>
      <c r="AA34" s="816"/>
      <c r="AB34" s="609"/>
      <c r="AC34" s="609"/>
      <c r="AD34" s="816"/>
      <c r="AE34" s="816"/>
      <c r="AF34" s="609"/>
      <c r="AG34" s="609"/>
      <c r="AH34" s="816"/>
      <c r="AI34" s="816"/>
      <c r="AJ34" s="817"/>
      <c r="AK34" s="609"/>
      <c r="AL34" s="609"/>
      <c r="AM34" s="816"/>
      <c r="AN34" s="816"/>
      <c r="AO34" s="816"/>
      <c r="AP34" s="816"/>
      <c r="AQ34" s="816"/>
      <c r="AR34" s="816"/>
      <c r="AS34" s="816"/>
      <c r="AT34" s="609"/>
      <c r="AU34" s="609"/>
      <c r="AV34" s="609"/>
      <c r="AW34" s="818"/>
      <c r="AX34" s="816"/>
      <c r="AY34" s="816"/>
      <c r="AZ34" s="609"/>
      <c r="BA34" s="609"/>
      <c r="BB34" s="816"/>
      <c r="BC34" s="816"/>
      <c r="BD34" s="609"/>
      <c r="BE34" s="609"/>
      <c r="BF34" s="816"/>
      <c r="BG34" s="816"/>
      <c r="BH34" s="816"/>
      <c r="BI34" s="816"/>
      <c r="BJ34" s="816"/>
      <c r="BK34" s="816"/>
      <c r="BL34" s="816"/>
      <c r="BM34" s="816"/>
      <c r="BN34" s="816"/>
      <c r="BO34" s="816"/>
      <c r="BP34" s="816"/>
      <c r="BQ34" s="816"/>
      <c r="BR34" s="816"/>
      <c r="BS34" s="816"/>
      <c r="BT34" s="816"/>
      <c r="BU34" s="816"/>
      <c r="BV34" s="816"/>
      <c r="BW34" s="816"/>
      <c r="BX34" s="609"/>
      <c r="BY34" s="609"/>
      <c r="BZ34" s="816"/>
      <c r="CA34" s="816"/>
      <c r="CB34" s="609"/>
      <c r="CC34" s="609"/>
      <c r="CD34" s="816"/>
      <c r="CE34" s="816"/>
      <c r="CF34" s="816"/>
      <c r="CG34" s="816"/>
      <c r="CH34" s="816"/>
      <c r="CI34" s="816"/>
      <c r="CJ34" s="816"/>
      <c r="CK34" s="816"/>
      <c r="CL34" s="819"/>
      <c r="CM34" s="816"/>
      <c r="CN34" s="820"/>
      <c r="CO34" s="820"/>
      <c r="CP34" s="820"/>
      <c r="CQ34" s="820"/>
      <c r="CR34" s="609"/>
      <c r="CS34" s="609"/>
      <c r="CT34" s="816"/>
      <c r="CU34" s="816"/>
      <c r="CV34" s="816"/>
      <c r="CW34" s="816"/>
      <c r="CX34" s="816"/>
      <c r="CY34" s="816"/>
      <c r="CZ34" s="816"/>
      <c r="DA34" s="609"/>
      <c r="DB34" s="609"/>
      <c r="DC34" s="816"/>
      <c r="DD34" s="816"/>
      <c r="DE34" s="609"/>
      <c r="DF34" s="609"/>
      <c r="DG34" s="816"/>
      <c r="DH34" s="816"/>
      <c r="DI34" s="816"/>
      <c r="DJ34" s="816"/>
      <c r="DK34" s="816"/>
      <c r="DL34" s="816"/>
      <c r="DM34" s="609"/>
      <c r="DN34" s="609"/>
      <c r="DO34" s="816"/>
      <c r="DP34" s="816"/>
      <c r="DQ34" s="609"/>
      <c r="DR34" s="609"/>
      <c r="DS34" s="816"/>
      <c r="DT34" s="816"/>
      <c r="DU34" s="609"/>
      <c r="DV34" s="609"/>
      <c r="DW34" s="816"/>
      <c r="DX34" s="816"/>
      <c r="DY34" s="816"/>
      <c r="DZ34" s="816"/>
      <c r="EA34" s="816"/>
      <c r="EB34" s="816"/>
      <c r="EC34" s="821"/>
      <c r="ED34" s="609"/>
      <c r="EE34" s="816"/>
      <c r="EF34" s="816"/>
      <c r="EG34" s="822"/>
      <c r="EH34" s="609"/>
      <c r="EI34" s="816"/>
      <c r="EJ34" s="816"/>
      <c r="EK34" s="609"/>
      <c r="EL34" s="816"/>
      <c r="EM34" s="816"/>
      <c r="EN34" s="816"/>
      <c r="EO34" s="816"/>
      <c r="EP34" s="816"/>
      <c r="EQ34" s="816"/>
      <c r="ER34" s="816"/>
      <c r="ES34" s="816"/>
      <c r="ET34" s="816"/>
      <c r="EU34" s="816"/>
      <c r="EV34" s="816"/>
      <c r="EW34" s="823"/>
      <c r="EX34" s="824"/>
      <c r="EY34" s="825"/>
      <c r="EZ34" s="825"/>
      <c r="FA34" s="816"/>
      <c r="FC34" s="826"/>
      <c r="FD34" s="826"/>
      <c r="FE34" s="826"/>
      <c r="FF34" s="826"/>
    </row>
    <row r="35" spans="2:162" s="780" customFormat="1">
      <c r="B35" s="609"/>
      <c r="C35" s="609"/>
      <c r="D35" s="609"/>
      <c r="E35" s="609"/>
      <c r="F35" s="609"/>
      <c r="G35" s="609"/>
      <c r="H35" s="609"/>
      <c r="I35" s="609"/>
      <c r="J35" s="609"/>
      <c r="K35" s="609"/>
      <c r="L35" s="609"/>
      <c r="M35" s="609"/>
      <c r="N35" s="609"/>
      <c r="O35" s="609"/>
      <c r="P35" s="609"/>
      <c r="Q35" s="609"/>
      <c r="R35" s="816"/>
      <c r="S35" s="816"/>
      <c r="T35" s="816"/>
      <c r="U35" s="816"/>
      <c r="V35" s="816"/>
      <c r="W35" s="816"/>
      <c r="X35" s="609"/>
      <c r="Y35" s="609"/>
      <c r="Z35" s="816"/>
      <c r="AA35" s="816"/>
      <c r="AB35" s="609"/>
      <c r="AC35" s="609"/>
      <c r="AD35" s="816"/>
      <c r="AE35" s="816"/>
      <c r="AF35" s="609"/>
      <c r="AG35" s="609"/>
      <c r="AH35" s="816"/>
      <c r="AI35" s="816"/>
      <c r="AJ35" s="817"/>
      <c r="AK35" s="609"/>
      <c r="AL35" s="609"/>
      <c r="AM35" s="816"/>
      <c r="AN35" s="816"/>
      <c r="AO35" s="816"/>
      <c r="AP35" s="816"/>
      <c r="AQ35" s="816"/>
      <c r="AR35" s="816"/>
      <c r="AS35" s="816"/>
      <c r="AT35" s="609"/>
      <c r="AU35" s="609"/>
      <c r="AV35" s="609"/>
      <c r="AW35" s="818"/>
      <c r="AX35" s="816"/>
      <c r="AY35" s="816"/>
      <c r="AZ35" s="609"/>
      <c r="BA35" s="609"/>
      <c r="BB35" s="816"/>
      <c r="BC35" s="816"/>
      <c r="BD35" s="609"/>
      <c r="BE35" s="609"/>
      <c r="BF35" s="816"/>
      <c r="BG35" s="816"/>
      <c r="BH35" s="816"/>
      <c r="BI35" s="816"/>
      <c r="BJ35" s="816"/>
      <c r="BK35" s="816"/>
      <c r="BL35" s="816"/>
      <c r="BM35" s="816"/>
      <c r="BN35" s="816"/>
      <c r="BO35" s="816"/>
      <c r="BP35" s="816"/>
      <c r="BQ35" s="816"/>
      <c r="BR35" s="816"/>
      <c r="BS35" s="816"/>
      <c r="BT35" s="816"/>
      <c r="BU35" s="816"/>
      <c r="BV35" s="816"/>
      <c r="BW35" s="816"/>
      <c r="BX35" s="609"/>
      <c r="BY35" s="609"/>
      <c r="BZ35" s="816"/>
      <c r="CA35" s="816"/>
      <c r="CB35" s="609"/>
      <c r="CC35" s="609"/>
      <c r="CD35" s="816"/>
      <c r="CE35" s="816"/>
      <c r="CF35" s="816"/>
      <c r="CG35" s="816"/>
      <c r="CH35" s="816"/>
      <c r="CI35" s="816"/>
      <c r="CJ35" s="816"/>
      <c r="CK35" s="816"/>
      <c r="CL35" s="819"/>
      <c r="CM35" s="816"/>
      <c r="CN35" s="820"/>
      <c r="CO35" s="820"/>
      <c r="CP35" s="820"/>
      <c r="CQ35" s="820"/>
      <c r="CR35" s="817"/>
      <c r="CS35" s="609"/>
      <c r="CT35" s="816"/>
      <c r="CU35" s="816"/>
      <c r="CV35" s="816"/>
      <c r="CW35" s="816"/>
      <c r="CX35" s="816"/>
      <c r="CY35" s="816"/>
      <c r="CZ35" s="816"/>
      <c r="DA35" s="609"/>
      <c r="DB35" s="609"/>
      <c r="DC35" s="816"/>
      <c r="DD35" s="816"/>
      <c r="DE35" s="609"/>
      <c r="DF35" s="609"/>
      <c r="DG35" s="816"/>
      <c r="DH35" s="816"/>
      <c r="DI35" s="816"/>
      <c r="DJ35" s="816"/>
      <c r="DK35" s="816"/>
      <c r="DL35" s="816"/>
      <c r="DM35" s="609"/>
      <c r="DN35" s="609"/>
      <c r="DO35" s="816"/>
      <c r="DP35" s="816"/>
      <c r="DQ35" s="609"/>
      <c r="DR35" s="609"/>
      <c r="DS35" s="816"/>
      <c r="DT35" s="816"/>
      <c r="DU35" s="609"/>
      <c r="DV35" s="609"/>
      <c r="DW35" s="816"/>
      <c r="DX35" s="816"/>
      <c r="DY35" s="816"/>
      <c r="DZ35" s="816"/>
      <c r="EA35" s="816"/>
      <c r="EB35" s="816"/>
      <c r="EC35" s="821"/>
      <c r="ED35" s="609"/>
      <c r="EE35" s="816"/>
      <c r="EF35" s="816"/>
      <c r="EG35" s="822"/>
      <c r="EH35" s="609"/>
      <c r="EI35" s="816"/>
      <c r="EJ35" s="816"/>
      <c r="EK35" s="609"/>
      <c r="EL35" s="816"/>
      <c r="EM35" s="816"/>
      <c r="EN35" s="816"/>
      <c r="EO35" s="816"/>
      <c r="EP35" s="816"/>
      <c r="EQ35" s="816"/>
      <c r="ER35" s="816"/>
      <c r="ES35" s="816"/>
      <c r="ET35" s="816"/>
      <c r="EU35" s="816"/>
      <c r="EV35" s="816"/>
      <c r="EW35" s="823"/>
      <c r="EX35" s="824"/>
      <c r="EY35" s="825"/>
      <c r="EZ35" s="825"/>
      <c r="FA35" s="816"/>
      <c r="FC35" s="826"/>
      <c r="FD35" s="826"/>
      <c r="FE35" s="826"/>
      <c r="FF35" s="826"/>
    </row>
    <row r="36" spans="2:162" s="780" customFormat="1">
      <c r="B36" s="609"/>
      <c r="C36" s="609"/>
      <c r="D36" s="609"/>
      <c r="E36" s="609"/>
      <c r="F36" s="609"/>
      <c r="G36" s="609"/>
      <c r="H36" s="609"/>
      <c r="I36" s="609"/>
      <c r="J36" s="609"/>
      <c r="K36" s="609"/>
      <c r="L36" s="609"/>
      <c r="M36" s="609"/>
      <c r="N36" s="609"/>
      <c r="O36" s="609"/>
      <c r="P36" s="609"/>
      <c r="Q36" s="609"/>
      <c r="R36" s="816"/>
      <c r="S36" s="816"/>
      <c r="T36" s="816"/>
      <c r="U36" s="816"/>
      <c r="V36" s="816"/>
      <c r="W36" s="816"/>
      <c r="X36" s="609"/>
      <c r="Y36" s="609"/>
      <c r="Z36" s="816"/>
      <c r="AA36" s="816"/>
      <c r="AB36" s="609"/>
      <c r="AC36" s="609"/>
      <c r="AD36" s="816"/>
      <c r="AE36" s="816"/>
      <c r="AF36" s="609"/>
      <c r="AG36" s="609"/>
      <c r="AH36" s="816"/>
      <c r="AI36" s="816"/>
      <c r="AJ36" s="817"/>
      <c r="AK36" s="609"/>
      <c r="AL36" s="609"/>
      <c r="AM36" s="816"/>
      <c r="AN36" s="816"/>
      <c r="AO36" s="816"/>
      <c r="AP36" s="816"/>
      <c r="AQ36" s="816"/>
      <c r="AR36" s="816"/>
      <c r="AS36" s="816"/>
      <c r="AT36" s="609"/>
      <c r="AU36" s="609"/>
      <c r="AV36" s="609"/>
      <c r="AW36" s="818"/>
      <c r="AX36" s="816"/>
      <c r="AY36" s="816"/>
      <c r="AZ36" s="609"/>
      <c r="BA36" s="609"/>
      <c r="BB36" s="816"/>
      <c r="BC36" s="816"/>
      <c r="BD36" s="609"/>
      <c r="BE36" s="609"/>
      <c r="BF36" s="816"/>
      <c r="BG36" s="816"/>
      <c r="BH36" s="816"/>
      <c r="BI36" s="816"/>
      <c r="BJ36" s="816"/>
      <c r="BK36" s="816"/>
      <c r="BL36" s="816"/>
      <c r="BM36" s="816"/>
      <c r="BN36" s="816"/>
      <c r="BO36" s="816"/>
      <c r="BP36" s="816"/>
      <c r="BQ36" s="816"/>
      <c r="BR36" s="816"/>
      <c r="BS36" s="816"/>
      <c r="BT36" s="816"/>
      <c r="BU36" s="816"/>
      <c r="BV36" s="816"/>
      <c r="BW36" s="816"/>
      <c r="BX36" s="609"/>
      <c r="BY36" s="609"/>
      <c r="BZ36" s="816"/>
      <c r="CA36" s="816"/>
      <c r="CB36" s="609"/>
      <c r="CC36" s="609"/>
      <c r="CD36" s="816"/>
      <c r="CE36" s="816"/>
      <c r="CF36" s="816"/>
      <c r="CG36" s="816"/>
      <c r="CH36" s="816"/>
      <c r="CI36" s="816"/>
      <c r="CJ36" s="816"/>
      <c r="CK36" s="816"/>
      <c r="CL36" s="819"/>
      <c r="CM36" s="816"/>
      <c r="CN36" s="820"/>
      <c r="CO36" s="820"/>
      <c r="CP36" s="820"/>
      <c r="CQ36" s="820"/>
      <c r="CR36" s="817"/>
      <c r="CS36" s="609"/>
      <c r="CT36" s="816"/>
      <c r="CU36" s="816"/>
      <c r="CV36" s="816"/>
      <c r="CW36" s="816"/>
      <c r="CX36" s="816"/>
      <c r="CY36" s="816"/>
      <c r="CZ36" s="816"/>
      <c r="DA36" s="609"/>
      <c r="DB36" s="609"/>
      <c r="DC36" s="816"/>
      <c r="DD36" s="816"/>
      <c r="DE36" s="609"/>
      <c r="DF36" s="609"/>
      <c r="DG36" s="816"/>
      <c r="DH36" s="816"/>
      <c r="DI36" s="816"/>
      <c r="DJ36" s="816"/>
      <c r="DK36" s="816"/>
      <c r="DL36" s="816"/>
      <c r="DM36" s="609"/>
      <c r="DN36" s="609"/>
      <c r="DO36" s="816"/>
      <c r="DP36" s="816"/>
      <c r="DQ36" s="609"/>
      <c r="DR36" s="609"/>
      <c r="DS36" s="816"/>
      <c r="DT36" s="816"/>
      <c r="DU36" s="609"/>
      <c r="DV36" s="609"/>
      <c r="DW36" s="816"/>
      <c r="DX36" s="816"/>
      <c r="DY36" s="816"/>
      <c r="DZ36" s="816"/>
      <c r="EA36" s="816"/>
      <c r="EB36" s="816"/>
      <c r="EC36" s="821"/>
      <c r="ED36" s="609"/>
      <c r="EE36" s="816"/>
      <c r="EF36" s="816"/>
      <c r="EG36" s="822"/>
      <c r="EH36" s="609"/>
      <c r="EI36" s="816"/>
      <c r="EJ36" s="816"/>
      <c r="EK36" s="609"/>
      <c r="EL36" s="816"/>
      <c r="EM36" s="816"/>
      <c r="EN36" s="816"/>
      <c r="EO36" s="816"/>
      <c r="EP36" s="816"/>
      <c r="EQ36" s="816"/>
      <c r="ER36" s="816"/>
      <c r="ES36" s="816"/>
      <c r="ET36" s="816"/>
      <c r="EU36" s="816"/>
      <c r="EV36" s="816"/>
      <c r="EW36" s="823"/>
      <c r="EX36" s="824"/>
      <c r="EY36" s="825"/>
      <c r="EZ36" s="825"/>
      <c r="FA36" s="816"/>
      <c r="FC36" s="826"/>
      <c r="FD36" s="826"/>
      <c r="FE36" s="826"/>
      <c r="FF36" s="826"/>
    </row>
    <row r="37" spans="2:162" s="780" customFormat="1">
      <c r="B37" s="609"/>
      <c r="C37" s="609"/>
      <c r="D37" s="609"/>
      <c r="E37" s="609"/>
      <c r="F37" s="609"/>
      <c r="G37" s="609"/>
      <c r="H37" s="609"/>
      <c r="I37" s="609"/>
      <c r="J37" s="609"/>
      <c r="K37" s="609"/>
      <c r="L37" s="609"/>
      <c r="M37" s="609"/>
      <c r="N37" s="609"/>
      <c r="O37" s="609"/>
      <c r="P37" s="609"/>
      <c r="Q37" s="609"/>
      <c r="R37" s="816"/>
      <c r="S37" s="816"/>
      <c r="T37" s="816"/>
      <c r="U37" s="816"/>
      <c r="V37" s="816"/>
      <c r="W37" s="816"/>
      <c r="X37" s="609"/>
      <c r="Y37" s="609"/>
      <c r="Z37" s="816"/>
      <c r="AA37" s="816"/>
      <c r="AB37" s="609"/>
      <c r="AC37" s="609"/>
      <c r="AD37" s="816"/>
      <c r="AE37" s="816"/>
      <c r="AF37" s="609"/>
      <c r="AG37" s="609"/>
      <c r="AH37" s="816"/>
      <c r="AI37" s="816"/>
      <c r="AJ37" s="817"/>
      <c r="AK37" s="609"/>
      <c r="AL37" s="609"/>
      <c r="AM37" s="816"/>
      <c r="AN37" s="816"/>
      <c r="AO37" s="816"/>
      <c r="AP37" s="816"/>
      <c r="AQ37" s="816"/>
      <c r="AR37" s="816"/>
      <c r="AS37" s="816"/>
      <c r="AT37" s="609"/>
      <c r="AU37" s="609"/>
      <c r="AV37" s="609"/>
      <c r="AW37" s="818"/>
      <c r="AX37" s="816"/>
      <c r="AY37" s="816"/>
      <c r="AZ37" s="609"/>
      <c r="BA37" s="609"/>
      <c r="BB37" s="816"/>
      <c r="BC37" s="816"/>
      <c r="BD37" s="609"/>
      <c r="BE37" s="609"/>
      <c r="BF37" s="816"/>
      <c r="BG37" s="816"/>
      <c r="BH37" s="816"/>
      <c r="BI37" s="816"/>
      <c r="BJ37" s="816"/>
      <c r="BK37" s="816"/>
      <c r="BL37" s="816"/>
      <c r="BM37" s="816"/>
      <c r="BN37" s="816"/>
      <c r="BO37" s="816"/>
      <c r="BP37" s="816"/>
      <c r="BQ37" s="816"/>
      <c r="BR37" s="816"/>
      <c r="BS37" s="816"/>
      <c r="BT37" s="816"/>
      <c r="BU37" s="816"/>
      <c r="BV37" s="816"/>
      <c r="BW37" s="816"/>
      <c r="BX37" s="609"/>
      <c r="BY37" s="609"/>
      <c r="BZ37" s="816"/>
      <c r="CA37" s="816"/>
      <c r="CB37" s="609"/>
      <c r="CC37" s="609"/>
      <c r="CD37" s="816"/>
      <c r="CE37" s="816"/>
      <c r="CF37" s="816"/>
      <c r="CG37" s="816"/>
      <c r="CH37" s="816"/>
      <c r="CI37" s="816"/>
      <c r="CJ37" s="816"/>
      <c r="CK37" s="816"/>
      <c r="CL37" s="819"/>
      <c r="CM37" s="816"/>
      <c r="CN37" s="820"/>
      <c r="CO37" s="820"/>
      <c r="CP37" s="820"/>
      <c r="CQ37" s="820"/>
      <c r="CR37" s="817"/>
      <c r="CS37" s="609"/>
      <c r="CT37" s="816"/>
      <c r="CU37" s="816"/>
      <c r="CV37" s="816"/>
      <c r="CW37" s="816"/>
      <c r="CX37" s="816"/>
      <c r="CY37" s="816"/>
      <c r="CZ37" s="816"/>
      <c r="DA37" s="609"/>
      <c r="DB37" s="609"/>
      <c r="DC37" s="816"/>
      <c r="DD37" s="816"/>
      <c r="DE37" s="609"/>
      <c r="DF37" s="609"/>
      <c r="DG37" s="816"/>
      <c r="DH37" s="816"/>
      <c r="DI37" s="816"/>
      <c r="DJ37" s="816"/>
      <c r="DK37" s="816"/>
      <c r="DL37" s="816"/>
      <c r="DM37" s="609"/>
      <c r="DN37" s="609"/>
      <c r="DO37" s="816"/>
      <c r="DP37" s="816"/>
      <c r="DQ37" s="609"/>
      <c r="DR37" s="609"/>
      <c r="DS37" s="816"/>
      <c r="DT37" s="816"/>
      <c r="DU37" s="609"/>
      <c r="DV37" s="609"/>
      <c r="DW37" s="816"/>
      <c r="DX37" s="816"/>
      <c r="DY37" s="816"/>
      <c r="DZ37" s="816"/>
      <c r="EA37" s="816"/>
      <c r="EB37" s="816"/>
      <c r="EC37" s="821"/>
      <c r="ED37" s="609"/>
      <c r="EE37" s="816"/>
      <c r="EF37" s="816"/>
      <c r="EG37" s="822"/>
      <c r="EH37" s="609"/>
      <c r="EI37" s="816"/>
      <c r="EJ37" s="816"/>
      <c r="EK37" s="609"/>
      <c r="EL37" s="816"/>
      <c r="EM37" s="816"/>
      <c r="EN37" s="816"/>
      <c r="EO37" s="816"/>
      <c r="EP37" s="816"/>
      <c r="EQ37" s="816"/>
      <c r="ER37" s="816"/>
      <c r="ES37" s="816"/>
      <c r="ET37" s="816"/>
      <c r="EU37" s="816"/>
      <c r="EV37" s="816"/>
      <c r="EW37" s="823"/>
      <c r="EX37" s="824"/>
      <c r="EY37" s="825"/>
      <c r="EZ37" s="825"/>
      <c r="FA37" s="816"/>
      <c r="FC37" s="826"/>
      <c r="FD37" s="826"/>
      <c r="FE37" s="826"/>
      <c r="FF37" s="826"/>
    </row>
    <row r="38" spans="2:162" s="780" customFormat="1">
      <c r="B38" s="609"/>
      <c r="C38" s="609"/>
      <c r="D38" s="609"/>
      <c r="E38" s="609"/>
      <c r="F38" s="609"/>
      <c r="G38" s="609"/>
      <c r="H38" s="609"/>
      <c r="I38" s="609"/>
      <c r="J38" s="609"/>
      <c r="K38" s="609"/>
      <c r="L38" s="609"/>
      <c r="M38" s="609"/>
      <c r="N38" s="609"/>
      <c r="O38" s="609"/>
      <c r="P38" s="609"/>
      <c r="Q38" s="609"/>
      <c r="R38" s="816"/>
      <c r="S38" s="816"/>
      <c r="T38" s="816"/>
      <c r="U38" s="816"/>
      <c r="V38" s="816"/>
      <c r="W38" s="816"/>
      <c r="X38" s="609"/>
      <c r="Y38" s="609"/>
      <c r="Z38" s="816"/>
      <c r="AA38" s="816"/>
      <c r="AB38" s="609"/>
      <c r="AC38" s="609"/>
      <c r="AD38" s="816"/>
      <c r="AE38" s="816"/>
      <c r="AF38" s="609"/>
      <c r="AG38" s="609"/>
      <c r="AH38" s="816"/>
      <c r="AI38" s="816"/>
      <c r="AJ38" s="817"/>
      <c r="AK38" s="609"/>
      <c r="AL38" s="609"/>
      <c r="AM38" s="816"/>
      <c r="AN38" s="816"/>
      <c r="AO38" s="816"/>
      <c r="AP38" s="816"/>
      <c r="AQ38" s="816"/>
      <c r="AR38" s="816"/>
      <c r="AS38" s="816"/>
      <c r="AT38" s="609"/>
      <c r="AU38" s="609"/>
      <c r="AV38" s="609"/>
      <c r="AW38" s="818"/>
      <c r="AX38" s="816"/>
      <c r="AY38" s="816"/>
      <c r="AZ38" s="609"/>
      <c r="BA38" s="609"/>
      <c r="BB38" s="816"/>
      <c r="BC38" s="816"/>
      <c r="BD38" s="609"/>
      <c r="BE38" s="609"/>
      <c r="BF38" s="816"/>
      <c r="BG38" s="816"/>
      <c r="BH38" s="816"/>
      <c r="BI38" s="816"/>
      <c r="BJ38" s="816"/>
      <c r="BK38" s="816"/>
      <c r="BL38" s="816"/>
      <c r="BM38" s="816"/>
      <c r="BN38" s="816"/>
      <c r="BO38" s="816"/>
      <c r="BP38" s="816"/>
      <c r="BQ38" s="816"/>
      <c r="BR38" s="816"/>
      <c r="BS38" s="816"/>
      <c r="BT38" s="816"/>
      <c r="BU38" s="816"/>
      <c r="BV38" s="816"/>
      <c r="BW38" s="816"/>
      <c r="BX38" s="609"/>
      <c r="BY38" s="609"/>
      <c r="BZ38" s="816"/>
      <c r="CA38" s="816"/>
      <c r="CB38" s="609"/>
      <c r="CC38" s="609"/>
      <c r="CD38" s="816"/>
      <c r="CE38" s="816"/>
      <c r="CF38" s="816"/>
      <c r="CG38" s="816"/>
      <c r="CH38" s="816"/>
      <c r="CI38" s="816"/>
      <c r="CJ38" s="816"/>
      <c r="CK38" s="816"/>
      <c r="CL38" s="819"/>
      <c r="CM38" s="816"/>
      <c r="CN38" s="820"/>
      <c r="CO38" s="820"/>
      <c r="CP38" s="820"/>
      <c r="CQ38" s="820"/>
      <c r="CR38" s="817"/>
      <c r="CS38" s="609"/>
      <c r="CT38" s="816"/>
      <c r="CU38" s="816"/>
      <c r="CV38" s="816"/>
      <c r="CW38" s="816"/>
      <c r="CX38" s="816"/>
      <c r="CY38" s="816"/>
      <c r="CZ38" s="816"/>
      <c r="DA38" s="609"/>
      <c r="DB38" s="609"/>
      <c r="DC38" s="816"/>
      <c r="DD38" s="816"/>
      <c r="DE38" s="609"/>
      <c r="DF38" s="609"/>
      <c r="DG38" s="816"/>
      <c r="DH38" s="816"/>
      <c r="DI38" s="816"/>
      <c r="DJ38" s="816"/>
      <c r="DK38" s="816"/>
      <c r="DL38" s="816"/>
      <c r="DM38" s="609"/>
      <c r="DN38" s="609"/>
      <c r="DO38" s="816"/>
      <c r="DP38" s="816"/>
      <c r="DQ38" s="609"/>
      <c r="DR38" s="609"/>
      <c r="DS38" s="816"/>
      <c r="DT38" s="816"/>
      <c r="DU38" s="609"/>
      <c r="DV38" s="609"/>
      <c r="DW38" s="816"/>
      <c r="DX38" s="816"/>
      <c r="DY38" s="816"/>
      <c r="DZ38" s="816"/>
      <c r="EA38" s="816"/>
      <c r="EB38" s="816"/>
      <c r="EC38" s="821"/>
      <c r="ED38" s="609"/>
      <c r="EE38" s="816"/>
      <c r="EF38" s="816"/>
      <c r="EG38" s="822"/>
      <c r="EH38" s="609"/>
      <c r="EI38" s="816"/>
      <c r="EJ38" s="816"/>
      <c r="EK38" s="609"/>
      <c r="EL38" s="816"/>
      <c r="EM38" s="816"/>
      <c r="EN38" s="816"/>
      <c r="EO38" s="816"/>
      <c r="EP38" s="816"/>
      <c r="EQ38" s="816"/>
      <c r="ER38" s="816"/>
      <c r="ES38" s="816"/>
      <c r="ET38" s="816"/>
      <c r="EU38" s="816"/>
      <c r="EV38" s="816"/>
      <c r="EW38" s="823"/>
      <c r="EX38" s="824"/>
      <c r="EY38" s="825"/>
      <c r="EZ38" s="825"/>
      <c r="FA38" s="816"/>
      <c r="FC38" s="826"/>
      <c r="FD38" s="826"/>
      <c r="FE38" s="826"/>
      <c r="FF38" s="826"/>
    </row>
    <row r="39" spans="2:162" s="780" customFormat="1">
      <c r="B39" s="609"/>
      <c r="C39" s="609"/>
      <c r="D39" s="609"/>
      <c r="E39" s="609"/>
      <c r="F39" s="609"/>
      <c r="G39" s="609"/>
      <c r="H39" s="609"/>
      <c r="I39" s="609"/>
      <c r="J39" s="609"/>
      <c r="K39" s="609"/>
      <c r="L39" s="609"/>
      <c r="M39" s="609"/>
      <c r="N39" s="609"/>
      <c r="O39" s="609"/>
      <c r="P39" s="609"/>
      <c r="Q39" s="609"/>
      <c r="R39" s="816"/>
      <c r="S39" s="816"/>
      <c r="T39" s="816"/>
      <c r="U39" s="816"/>
      <c r="V39" s="816"/>
      <c r="W39" s="816"/>
      <c r="X39" s="609"/>
      <c r="Y39" s="609"/>
      <c r="Z39" s="816"/>
      <c r="AA39" s="816"/>
      <c r="AB39" s="609"/>
      <c r="AC39" s="609"/>
      <c r="AD39" s="816"/>
      <c r="AE39" s="816"/>
      <c r="AF39" s="609"/>
      <c r="AG39" s="609"/>
      <c r="AH39" s="816"/>
      <c r="AI39" s="816"/>
      <c r="AJ39" s="817"/>
      <c r="AK39" s="609"/>
      <c r="AL39" s="609"/>
      <c r="AM39" s="816"/>
      <c r="AN39" s="816"/>
      <c r="AO39" s="816"/>
      <c r="AP39" s="816"/>
      <c r="AQ39" s="816"/>
      <c r="AR39" s="816"/>
      <c r="AS39" s="816"/>
      <c r="AT39" s="609"/>
      <c r="AU39" s="609"/>
      <c r="AV39" s="609"/>
      <c r="AW39" s="818"/>
      <c r="AX39" s="816"/>
      <c r="AY39" s="816"/>
      <c r="AZ39" s="609"/>
      <c r="BA39" s="609"/>
      <c r="BB39" s="816"/>
      <c r="BC39" s="816"/>
      <c r="BD39" s="609"/>
      <c r="BE39" s="609"/>
      <c r="BF39" s="816"/>
      <c r="BG39" s="816"/>
      <c r="BH39" s="816"/>
      <c r="BI39" s="816"/>
      <c r="BJ39" s="816"/>
      <c r="BK39" s="816"/>
      <c r="BL39" s="816"/>
      <c r="BM39" s="816"/>
      <c r="BN39" s="816"/>
      <c r="BO39" s="816"/>
      <c r="BP39" s="816"/>
      <c r="BQ39" s="816"/>
      <c r="BR39" s="816"/>
      <c r="BS39" s="816"/>
      <c r="BT39" s="816"/>
      <c r="BU39" s="816"/>
      <c r="BV39" s="816"/>
      <c r="BW39" s="816"/>
      <c r="BX39" s="609"/>
      <c r="BY39" s="609"/>
      <c r="BZ39" s="816"/>
      <c r="CA39" s="816"/>
      <c r="CB39" s="609"/>
      <c r="CC39" s="609"/>
      <c r="CD39" s="816"/>
      <c r="CE39" s="816"/>
      <c r="CF39" s="816"/>
      <c r="CG39" s="816"/>
      <c r="CH39" s="816"/>
      <c r="CI39" s="816"/>
      <c r="CJ39" s="816"/>
      <c r="CK39" s="816"/>
      <c r="CL39" s="819"/>
      <c r="CM39" s="816"/>
      <c r="CN39" s="820"/>
      <c r="CO39" s="820"/>
      <c r="CP39" s="820"/>
      <c r="CQ39" s="820"/>
      <c r="CR39" s="609"/>
      <c r="CS39" s="609"/>
      <c r="CT39" s="816"/>
      <c r="CU39" s="816"/>
      <c r="CV39" s="816"/>
      <c r="CW39" s="816"/>
      <c r="CX39" s="816"/>
      <c r="CY39" s="816"/>
      <c r="CZ39" s="816"/>
      <c r="DA39" s="609"/>
      <c r="DB39" s="609"/>
      <c r="DC39" s="816"/>
      <c r="DD39" s="816"/>
      <c r="DE39" s="609"/>
      <c r="DF39" s="609"/>
      <c r="DG39" s="816"/>
      <c r="DH39" s="816"/>
      <c r="DI39" s="816"/>
      <c r="DJ39" s="816"/>
      <c r="DK39" s="816"/>
      <c r="DL39" s="816"/>
      <c r="DM39" s="609"/>
      <c r="DN39" s="609"/>
      <c r="DO39" s="816"/>
      <c r="DP39" s="816"/>
      <c r="DQ39" s="609"/>
      <c r="DR39" s="609"/>
      <c r="DS39" s="816"/>
      <c r="DT39" s="816"/>
      <c r="DU39" s="609"/>
      <c r="DV39" s="609"/>
      <c r="DW39" s="816"/>
      <c r="DX39" s="816"/>
      <c r="DY39" s="816"/>
      <c r="DZ39" s="816"/>
      <c r="EA39" s="816"/>
      <c r="EB39" s="816"/>
      <c r="EC39" s="821"/>
      <c r="ED39" s="609"/>
      <c r="EE39" s="816"/>
      <c r="EF39" s="816"/>
      <c r="EG39" s="822"/>
      <c r="EH39" s="609"/>
      <c r="EI39" s="816"/>
      <c r="EJ39" s="816"/>
      <c r="EK39" s="609"/>
      <c r="EL39" s="816"/>
      <c r="EM39" s="816"/>
      <c r="EN39" s="816"/>
      <c r="EO39" s="816"/>
      <c r="EP39" s="816"/>
      <c r="EQ39" s="816"/>
      <c r="ER39" s="816"/>
      <c r="ES39" s="816"/>
      <c r="ET39" s="816"/>
      <c r="EU39" s="816"/>
      <c r="EV39" s="816"/>
      <c r="EW39" s="823"/>
      <c r="EX39" s="824"/>
      <c r="EY39" s="825"/>
      <c r="EZ39" s="825"/>
      <c r="FA39" s="816"/>
      <c r="FC39" s="826"/>
      <c r="FD39" s="826"/>
      <c r="FE39" s="826"/>
      <c r="FF39" s="826"/>
    </row>
    <row r="40" spans="2:162" s="780" customFormat="1">
      <c r="B40" s="609"/>
      <c r="C40" s="609"/>
      <c r="D40" s="609"/>
      <c r="E40" s="609"/>
      <c r="F40" s="609"/>
      <c r="G40" s="609"/>
      <c r="H40" s="609"/>
      <c r="I40" s="609"/>
      <c r="J40" s="609"/>
      <c r="K40" s="609"/>
      <c r="L40" s="609"/>
      <c r="M40" s="609"/>
      <c r="N40" s="609"/>
      <c r="O40" s="609"/>
      <c r="P40" s="609"/>
      <c r="Q40" s="609"/>
      <c r="R40" s="816"/>
      <c r="S40" s="816"/>
      <c r="T40" s="816"/>
      <c r="U40" s="816"/>
      <c r="V40" s="816"/>
      <c r="W40" s="816"/>
      <c r="X40" s="609"/>
      <c r="Y40" s="609"/>
      <c r="Z40" s="816"/>
      <c r="AA40" s="816"/>
      <c r="AB40" s="609"/>
      <c r="AC40" s="609"/>
      <c r="AD40" s="816"/>
      <c r="AE40" s="816"/>
      <c r="AF40" s="609"/>
      <c r="AG40" s="609"/>
      <c r="AH40" s="816"/>
      <c r="AI40" s="816"/>
      <c r="AJ40" s="817"/>
      <c r="AK40" s="609"/>
      <c r="AL40" s="609"/>
      <c r="AM40" s="816"/>
      <c r="AN40" s="816"/>
      <c r="AO40" s="816"/>
      <c r="AP40" s="816"/>
      <c r="AQ40" s="816"/>
      <c r="AR40" s="816"/>
      <c r="AS40" s="816"/>
      <c r="AT40" s="609"/>
      <c r="AU40" s="609"/>
      <c r="AV40" s="609"/>
      <c r="AW40" s="818"/>
      <c r="AX40" s="816"/>
      <c r="AY40" s="816"/>
      <c r="AZ40" s="609"/>
      <c r="BA40" s="609"/>
      <c r="BB40" s="816"/>
      <c r="BC40" s="816"/>
      <c r="BD40" s="609"/>
      <c r="BE40" s="609"/>
      <c r="BF40" s="816"/>
      <c r="BG40" s="816"/>
      <c r="BH40" s="816"/>
      <c r="BI40" s="816"/>
      <c r="BJ40" s="816"/>
      <c r="BK40" s="816"/>
      <c r="BL40" s="816"/>
      <c r="BM40" s="816"/>
      <c r="BN40" s="816"/>
      <c r="BO40" s="816"/>
      <c r="BP40" s="816"/>
      <c r="BQ40" s="816"/>
      <c r="BR40" s="816"/>
      <c r="BS40" s="816"/>
      <c r="BT40" s="816"/>
      <c r="BU40" s="816"/>
      <c r="BV40" s="816"/>
      <c r="BW40" s="816"/>
      <c r="BX40" s="609"/>
      <c r="BY40" s="609"/>
      <c r="BZ40" s="816"/>
      <c r="CA40" s="816"/>
      <c r="CB40" s="609"/>
      <c r="CC40" s="609"/>
      <c r="CD40" s="816"/>
      <c r="CE40" s="816"/>
      <c r="CF40" s="816"/>
      <c r="CG40" s="816"/>
      <c r="CH40" s="816"/>
      <c r="CI40" s="816"/>
      <c r="CJ40" s="816"/>
      <c r="CK40" s="816"/>
      <c r="CL40" s="819"/>
      <c r="CM40" s="816"/>
      <c r="CN40" s="820"/>
      <c r="CO40" s="820"/>
      <c r="CP40" s="820"/>
      <c r="CQ40" s="820"/>
      <c r="CR40" s="817"/>
      <c r="CS40" s="609"/>
      <c r="CT40" s="816"/>
      <c r="CU40" s="816"/>
      <c r="CV40" s="816"/>
      <c r="CW40" s="816"/>
      <c r="CX40" s="816"/>
      <c r="CY40" s="816"/>
      <c r="CZ40" s="816"/>
      <c r="DA40" s="609"/>
      <c r="DB40" s="609"/>
      <c r="DC40" s="816"/>
      <c r="DD40" s="816"/>
      <c r="DE40" s="609"/>
      <c r="DF40" s="609"/>
      <c r="DG40" s="816"/>
      <c r="DH40" s="816"/>
      <c r="DI40" s="816"/>
      <c r="DJ40" s="816"/>
      <c r="DK40" s="816"/>
      <c r="DL40" s="816"/>
      <c r="DM40" s="609"/>
      <c r="DN40" s="609"/>
      <c r="DO40" s="816"/>
      <c r="DP40" s="816"/>
      <c r="DQ40" s="609"/>
      <c r="DR40" s="609"/>
      <c r="DS40" s="816"/>
      <c r="DT40" s="816"/>
      <c r="DU40" s="609"/>
      <c r="DV40" s="609"/>
      <c r="DW40" s="816"/>
      <c r="DX40" s="816"/>
      <c r="DY40" s="816"/>
      <c r="DZ40" s="816"/>
      <c r="EA40" s="816"/>
      <c r="EB40" s="816"/>
      <c r="EC40" s="821"/>
      <c r="ED40" s="609"/>
      <c r="EE40" s="816"/>
      <c r="EF40" s="816"/>
      <c r="EG40" s="822"/>
      <c r="EH40" s="609"/>
      <c r="EI40" s="816"/>
      <c r="EJ40" s="816"/>
      <c r="EK40" s="609"/>
      <c r="EL40" s="816"/>
      <c r="EM40" s="816"/>
      <c r="EN40" s="816"/>
      <c r="EO40" s="816"/>
      <c r="EP40" s="816"/>
      <c r="EQ40" s="816"/>
      <c r="ER40" s="816"/>
      <c r="ES40" s="816"/>
      <c r="ET40" s="816"/>
      <c r="EU40" s="816"/>
      <c r="EV40" s="816"/>
      <c r="EW40" s="823"/>
      <c r="EX40" s="824"/>
      <c r="EY40" s="825"/>
      <c r="EZ40" s="825"/>
      <c r="FA40" s="816"/>
      <c r="FC40" s="826"/>
      <c r="FD40" s="826"/>
      <c r="FE40" s="826"/>
      <c r="FF40" s="826"/>
    </row>
    <row r="41" spans="2:162" s="780" customFormat="1">
      <c r="B41" s="609"/>
      <c r="C41" s="609"/>
      <c r="D41" s="609"/>
      <c r="E41" s="609"/>
      <c r="F41" s="609"/>
      <c r="G41" s="609"/>
      <c r="H41" s="609"/>
      <c r="I41" s="609"/>
      <c r="J41" s="609"/>
      <c r="K41" s="609"/>
      <c r="L41" s="609"/>
      <c r="M41" s="609"/>
      <c r="N41" s="609"/>
      <c r="O41" s="609"/>
      <c r="P41" s="609"/>
      <c r="Q41" s="609"/>
      <c r="R41" s="816"/>
      <c r="S41" s="816"/>
      <c r="T41" s="816"/>
      <c r="U41" s="816"/>
      <c r="V41" s="816"/>
      <c r="W41" s="816"/>
      <c r="X41" s="609"/>
      <c r="Y41" s="609"/>
      <c r="Z41" s="816"/>
      <c r="AA41" s="816"/>
      <c r="AB41" s="609"/>
      <c r="AC41" s="609"/>
      <c r="AD41" s="816"/>
      <c r="AE41" s="816"/>
      <c r="AF41" s="609"/>
      <c r="AG41" s="609"/>
      <c r="AH41" s="816"/>
      <c r="AI41" s="816"/>
      <c r="AJ41" s="817"/>
      <c r="AK41" s="609"/>
      <c r="AL41" s="609"/>
      <c r="AM41" s="816"/>
      <c r="AN41" s="816"/>
      <c r="AO41" s="816"/>
      <c r="AP41" s="816"/>
      <c r="AQ41" s="816"/>
      <c r="AR41" s="816"/>
      <c r="AS41" s="816"/>
      <c r="AT41" s="609"/>
      <c r="AU41" s="609"/>
      <c r="AV41" s="609"/>
      <c r="AW41" s="818"/>
      <c r="AX41" s="816"/>
      <c r="AY41" s="816"/>
      <c r="AZ41" s="609"/>
      <c r="BA41" s="609"/>
      <c r="BB41" s="816"/>
      <c r="BC41" s="816"/>
      <c r="BD41" s="609"/>
      <c r="BE41" s="609"/>
      <c r="BF41" s="816"/>
      <c r="BG41" s="816"/>
      <c r="BH41" s="816"/>
      <c r="BI41" s="816"/>
      <c r="BJ41" s="816"/>
      <c r="BK41" s="816"/>
      <c r="BL41" s="816"/>
      <c r="BM41" s="816"/>
      <c r="BN41" s="816"/>
      <c r="BO41" s="816"/>
      <c r="BP41" s="816"/>
      <c r="BQ41" s="816"/>
      <c r="BR41" s="816"/>
      <c r="BS41" s="816"/>
      <c r="BT41" s="816"/>
      <c r="BU41" s="816"/>
      <c r="BV41" s="816"/>
      <c r="BW41" s="816"/>
      <c r="BX41" s="609"/>
      <c r="BY41" s="609"/>
      <c r="BZ41" s="816"/>
      <c r="CA41" s="816"/>
      <c r="CB41" s="609"/>
      <c r="CC41" s="609"/>
      <c r="CD41" s="816"/>
      <c r="CE41" s="816"/>
      <c r="CF41" s="816"/>
      <c r="CG41" s="816"/>
      <c r="CH41" s="816"/>
      <c r="CI41" s="816"/>
      <c r="CJ41" s="816"/>
      <c r="CK41" s="816"/>
      <c r="CL41" s="819"/>
      <c r="CM41" s="816"/>
      <c r="CN41" s="820"/>
      <c r="CO41" s="820"/>
      <c r="CP41" s="820"/>
      <c r="CQ41" s="820"/>
      <c r="CR41" s="817"/>
      <c r="CS41" s="609"/>
      <c r="CT41" s="816"/>
      <c r="CU41" s="816"/>
      <c r="CV41" s="816"/>
      <c r="CW41" s="816"/>
      <c r="CX41" s="816"/>
      <c r="CY41" s="816"/>
      <c r="CZ41" s="816"/>
      <c r="DA41" s="609"/>
      <c r="DB41" s="609"/>
      <c r="DC41" s="816"/>
      <c r="DD41" s="816"/>
      <c r="DE41" s="609"/>
      <c r="DF41" s="609"/>
      <c r="DG41" s="816"/>
      <c r="DH41" s="816"/>
      <c r="DI41" s="816"/>
      <c r="DJ41" s="816"/>
      <c r="DK41" s="816"/>
      <c r="DL41" s="816"/>
      <c r="DM41" s="609"/>
      <c r="DN41" s="609"/>
      <c r="DO41" s="816"/>
      <c r="DP41" s="816"/>
      <c r="DQ41" s="609"/>
      <c r="DR41" s="609"/>
      <c r="DS41" s="816"/>
      <c r="DT41" s="816"/>
      <c r="DU41" s="609"/>
      <c r="DV41" s="609"/>
      <c r="DW41" s="816"/>
      <c r="DX41" s="816"/>
      <c r="DY41" s="816"/>
      <c r="DZ41" s="816"/>
      <c r="EA41" s="816"/>
      <c r="EB41" s="816"/>
      <c r="EC41" s="821"/>
      <c r="ED41" s="609"/>
      <c r="EE41" s="816"/>
      <c r="EF41" s="816"/>
      <c r="EG41" s="822"/>
      <c r="EH41" s="609"/>
      <c r="EI41" s="816"/>
      <c r="EJ41" s="816"/>
      <c r="EK41" s="609"/>
      <c r="EL41" s="816"/>
      <c r="EM41" s="816"/>
      <c r="EN41" s="816"/>
      <c r="EO41" s="816"/>
      <c r="EP41" s="816"/>
      <c r="EQ41" s="816"/>
      <c r="ER41" s="816"/>
      <c r="ES41" s="816"/>
      <c r="ET41" s="816"/>
      <c r="EU41" s="816"/>
      <c r="EV41" s="816"/>
      <c r="EW41" s="823"/>
      <c r="EX41" s="824"/>
      <c r="EY41" s="825"/>
      <c r="EZ41" s="825"/>
      <c r="FA41" s="816"/>
      <c r="FC41" s="826"/>
      <c r="FD41" s="826"/>
      <c r="FE41" s="826"/>
      <c r="FF41" s="826"/>
    </row>
    <row r="42" spans="2:162" s="780" customFormat="1">
      <c r="B42" s="609"/>
      <c r="C42" s="609"/>
      <c r="D42" s="609"/>
      <c r="E42" s="609"/>
      <c r="F42" s="609"/>
      <c r="G42" s="609"/>
      <c r="H42" s="609"/>
      <c r="I42" s="609"/>
      <c r="J42" s="609"/>
      <c r="K42" s="609"/>
      <c r="L42" s="609"/>
      <c r="M42" s="609"/>
      <c r="N42" s="609"/>
      <c r="O42" s="609"/>
      <c r="P42" s="609"/>
      <c r="Q42" s="609"/>
      <c r="R42" s="816"/>
      <c r="S42" s="816"/>
      <c r="T42" s="816"/>
      <c r="U42" s="816"/>
      <c r="V42" s="816"/>
      <c r="W42" s="816"/>
      <c r="X42" s="609"/>
      <c r="Y42" s="609"/>
      <c r="Z42" s="816"/>
      <c r="AA42" s="816"/>
      <c r="AB42" s="609"/>
      <c r="AC42" s="609"/>
      <c r="AD42" s="816"/>
      <c r="AE42" s="816"/>
      <c r="AF42" s="609"/>
      <c r="AG42" s="609"/>
      <c r="AH42" s="816"/>
      <c r="AI42" s="816"/>
      <c r="AJ42" s="817"/>
      <c r="AK42" s="609"/>
      <c r="AL42" s="609"/>
      <c r="AM42" s="816"/>
      <c r="AN42" s="816"/>
      <c r="AO42" s="816"/>
      <c r="AP42" s="816"/>
      <c r="AQ42" s="816"/>
      <c r="AR42" s="816"/>
      <c r="AS42" s="816"/>
      <c r="AT42" s="609"/>
      <c r="AU42" s="609"/>
      <c r="AV42" s="609"/>
      <c r="AW42" s="818"/>
      <c r="AX42" s="816"/>
      <c r="AY42" s="816"/>
      <c r="AZ42" s="609"/>
      <c r="BA42" s="609"/>
      <c r="BB42" s="816"/>
      <c r="BC42" s="816"/>
      <c r="BD42" s="609"/>
      <c r="BE42" s="609"/>
      <c r="BF42" s="816"/>
      <c r="BG42" s="816"/>
      <c r="BH42" s="816"/>
      <c r="BI42" s="816"/>
      <c r="BJ42" s="816"/>
      <c r="BK42" s="816"/>
      <c r="BL42" s="816"/>
      <c r="BM42" s="816"/>
      <c r="BN42" s="816"/>
      <c r="BO42" s="816"/>
      <c r="BP42" s="816"/>
      <c r="BQ42" s="816"/>
      <c r="BR42" s="816"/>
      <c r="BS42" s="816"/>
      <c r="BT42" s="816"/>
      <c r="BU42" s="816"/>
      <c r="BV42" s="816"/>
      <c r="BW42" s="816"/>
      <c r="BX42" s="609"/>
      <c r="BY42" s="609"/>
      <c r="BZ42" s="816"/>
      <c r="CA42" s="816"/>
      <c r="CB42" s="609"/>
      <c r="CC42" s="609"/>
      <c r="CD42" s="816"/>
      <c r="CE42" s="816"/>
      <c r="CF42" s="816"/>
      <c r="CG42" s="816"/>
      <c r="CH42" s="816"/>
      <c r="CI42" s="816"/>
      <c r="CJ42" s="816"/>
      <c r="CK42" s="816"/>
      <c r="CL42" s="819"/>
      <c r="CM42" s="816"/>
      <c r="CN42" s="820"/>
      <c r="CO42" s="820"/>
      <c r="CP42" s="820"/>
      <c r="CQ42" s="820"/>
      <c r="CR42" s="817"/>
      <c r="CS42" s="609"/>
      <c r="CT42" s="816"/>
      <c r="CU42" s="816"/>
      <c r="CV42" s="816"/>
      <c r="CW42" s="816"/>
      <c r="CX42" s="816"/>
      <c r="CY42" s="816"/>
      <c r="CZ42" s="816"/>
      <c r="DA42" s="609"/>
      <c r="DB42" s="609"/>
      <c r="DC42" s="816"/>
      <c r="DD42" s="816"/>
      <c r="DE42" s="609"/>
      <c r="DF42" s="609"/>
      <c r="DG42" s="816"/>
      <c r="DH42" s="816"/>
      <c r="DI42" s="816"/>
      <c r="DJ42" s="816"/>
      <c r="DK42" s="816"/>
      <c r="DL42" s="816"/>
      <c r="DM42" s="609"/>
      <c r="DN42" s="609"/>
      <c r="DO42" s="816"/>
      <c r="DP42" s="816"/>
      <c r="DQ42" s="609"/>
      <c r="DR42" s="609"/>
      <c r="DS42" s="816"/>
      <c r="DT42" s="816"/>
      <c r="DU42" s="609"/>
      <c r="DV42" s="609"/>
      <c r="DW42" s="816"/>
      <c r="DX42" s="816"/>
      <c r="DY42" s="816"/>
      <c r="DZ42" s="816"/>
      <c r="EA42" s="816"/>
      <c r="EB42" s="816"/>
      <c r="EC42" s="821"/>
      <c r="ED42" s="609"/>
      <c r="EE42" s="816"/>
      <c r="EF42" s="816"/>
      <c r="EG42" s="822"/>
      <c r="EH42" s="609"/>
      <c r="EI42" s="816"/>
      <c r="EJ42" s="816"/>
      <c r="EK42" s="609"/>
      <c r="EL42" s="816"/>
      <c r="EM42" s="816"/>
      <c r="EN42" s="816"/>
      <c r="EO42" s="816"/>
      <c r="EP42" s="816"/>
      <c r="EQ42" s="816"/>
      <c r="ER42" s="816"/>
      <c r="ES42" s="816"/>
      <c r="ET42" s="816"/>
      <c r="EU42" s="816"/>
      <c r="EV42" s="816"/>
      <c r="EW42" s="823"/>
      <c r="EX42" s="824"/>
      <c r="EY42" s="825"/>
      <c r="EZ42" s="825"/>
      <c r="FA42" s="816"/>
      <c r="FC42" s="826"/>
      <c r="FD42" s="826"/>
      <c r="FE42" s="826"/>
      <c r="FF42" s="826"/>
    </row>
    <row r="43" spans="2:162" s="780" customFormat="1">
      <c r="B43" s="609"/>
      <c r="C43" s="609"/>
      <c r="D43" s="609"/>
      <c r="E43" s="609"/>
      <c r="F43" s="609"/>
      <c r="G43" s="609"/>
      <c r="H43" s="609"/>
      <c r="I43" s="609"/>
      <c r="J43" s="609"/>
      <c r="K43" s="609"/>
      <c r="L43" s="609"/>
      <c r="M43" s="609"/>
      <c r="N43" s="609"/>
      <c r="O43" s="609"/>
      <c r="P43" s="609"/>
      <c r="Q43" s="609"/>
      <c r="R43" s="816"/>
      <c r="S43" s="816"/>
      <c r="T43" s="816"/>
      <c r="U43" s="816"/>
      <c r="V43" s="816"/>
      <c r="W43" s="816"/>
      <c r="X43" s="609"/>
      <c r="Y43" s="609"/>
      <c r="Z43" s="816"/>
      <c r="AA43" s="816"/>
      <c r="AB43" s="609"/>
      <c r="AC43" s="609"/>
      <c r="AD43" s="816"/>
      <c r="AE43" s="816"/>
      <c r="AF43" s="609"/>
      <c r="AG43" s="609"/>
      <c r="AH43" s="816"/>
      <c r="AI43" s="816"/>
      <c r="AJ43" s="817"/>
      <c r="AK43" s="609"/>
      <c r="AL43" s="609"/>
      <c r="AM43" s="816"/>
      <c r="AN43" s="816"/>
      <c r="AO43" s="816"/>
      <c r="AP43" s="816"/>
      <c r="AQ43" s="816"/>
      <c r="AR43" s="816"/>
      <c r="AS43" s="816"/>
      <c r="AT43" s="609"/>
      <c r="AU43" s="609"/>
      <c r="AV43" s="609"/>
      <c r="AW43" s="818"/>
      <c r="AX43" s="816"/>
      <c r="AY43" s="816"/>
      <c r="AZ43" s="609"/>
      <c r="BA43" s="609"/>
      <c r="BB43" s="816"/>
      <c r="BC43" s="816"/>
      <c r="BD43" s="609"/>
      <c r="BE43" s="609"/>
      <c r="BF43" s="816"/>
      <c r="BG43" s="816"/>
      <c r="BH43" s="816"/>
      <c r="BI43" s="816"/>
      <c r="BJ43" s="816"/>
      <c r="BK43" s="816"/>
      <c r="BL43" s="816"/>
      <c r="BM43" s="816"/>
      <c r="BN43" s="816"/>
      <c r="BO43" s="816"/>
      <c r="BP43" s="816"/>
      <c r="BQ43" s="816"/>
      <c r="BR43" s="816"/>
      <c r="BS43" s="816"/>
      <c r="BT43" s="816"/>
      <c r="BU43" s="816"/>
      <c r="BV43" s="816"/>
      <c r="BW43" s="816"/>
      <c r="BX43" s="609"/>
      <c r="BY43" s="609"/>
      <c r="BZ43" s="816"/>
      <c r="CA43" s="816"/>
      <c r="CB43" s="609"/>
      <c r="CC43" s="609"/>
      <c r="CD43" s="816"/>
      <c r="CE43" s="816"/>
      <c r="CF43" s="816"/>
      <c r="CG43" s="816"/>
      <c r="CH43" s="816"/>
      <c r="CI43" s="816"/>
      <c r="CJ43" s="816"/>
      <c r="CK43" s="816"/>
      <c r="CL43" s="819"/>
      <c r="CM43" s="816"/>
      <c r="CN43" s="820"/>
      <c r="CO43" s="820"/>
      <c r="CP43" s="820"/>
      <c r="CQ43" s="820"/>
      <c r="CR43" s="609"/>
      <c r="CS43" s="609"/>
      <c r="CT43" s="816"/>
      <c r="CU43" s="816"/>
      <c r="CV43" s="816"/>
      <c r="CW43" s="816"/>
      <c r="CX43" s="816"/>
      <c r="CY43" s="816"/>
      <c r="CZ43" s="816"/>
      <c r="DA43" s="609"/>
      <c r="DB43" s="609"/>
      <c r="DC43" s="816"/>
      <c r="DD43" s="816"/>
      <c r="DE43" s="609"/>
      <c r="DF43" s="609"/>
      <c r="DG43" s="816"/>
      <c r="DH43" s="816"/>
      <c r="DI43" s="816"/>
      <c r="DJ43" s="816"/>
      <c r="DK43" s="816"/>
      <c r="DL43" s="816"/>
      <c r="DM43" s="609"/>
      <c r="DN43" s="609"/>
      <c r="DO43" s="816"/>
      <c r="DP43" s="816"/>
      <c r="DQ43" s="609"/>
      <c r="DR43" s="609"/>
      <c r="DS43" s="816"/>
      <c r="DT43" s="816"/>
      <c r="DU43" s="609"/>
      <c r="DV43" s="609"/>
      <c r="DW43" s="816"/>
      <c r="DX43" s="816"/>
      <c r="DY43" s="816"/>
      <c r="DZ43" s="816"/>
      <c r="EA43" s="816"/>
      <c r="EB43" s="816"/>
      <c r="EC43" s="821"/>
      <c r="ED43" s="609"/>
      <c r="EE43" s="816"/>
      <c r="EF43" s="816"/>
      <c r="EG43" s="822"/>
      <c r="EH43" s="609"/>
      <c r="EI43" s="816"/>
      <c r="EJ43" s="816"/>
      <c r="EK43" s="609"/>
      <c r="EL43" s="816"/>
      <c r="EM43" s="816"/>
      <c r="EN43" s="816"/>
      <c r="EO43" s="816"/>
      <c r="EP43" s="816"/>
      <c r="EQ43" s="816"/>
      <c r="ER43" s="816"/>
      <c r="ES43" s="816"/>
      <c r="ET43" s="816"/>
      <c r="EU43" s="816"/>
      <c r="EV43" s="816"/>
      <c r="EW43" s="823"/>
      <c r="EX43" s="824"/>
      <c r="EY43" s="825"/>
      <c r="EZ43" s="825"/>
      <c r="FA43" s="816"/>
      <c r="FC43" s="826"/>
      <c r="FD43" s="826"/>
      <c r="FE43" s="826"/>
      <c r="FF43" s="826"/>
    </row>
    <row r="44" spans="2:162" s="780" customFormat="1">
      <c r="B44" s="609"/>
      <c r="C44" s="609"/>
      <c r="D44" s="609"/>
      <c r="E44" s="609"/>
      <c r="F44" s="609"/>
      <c r="G44" s="609"/>
      <c r="H44" s="609"/>
      <c r="I44" s="609"/>
      <c r="J44" s="609"/>
      <c r="K44" s="609"/>
      <c r="L44" s="609"/>
      <c r="M44" s="609"/>
      <c r="N44" s="609"/>
      <c r="O44" s="609"/>
      <c r="P44" s="609"/>
      <c r="Q44" s="609"/>
      <c r="R44" s="816"/>
      <c r="S44" s="816"/>
      <c r="T44" s="816"/>
      <c r="U44" s="816"/>
      <c r="V44" s="816"/>
      <c r="W44" s="816"/>
      <c r="X44" s="609"/>
      <c r="Y44" s="609"/>
      <c r="Z44" s="816"/>
      <c r="AA44" s="816"/>
      <c r="AB44" s="609"/>
      <c r="AC44" s="609"/>
      <c r="AD44" s="816"/>
      <c r="AE44" s="816"/>
      <c r="AF44" s="609"/>
      <c r="AG44" s="609"/>
      <c r="AH44" s="816"/>
      <c r="AI44" s="816"/>
      <c r="AJ44" s="817"/>
      <c r="AK44" s="609"/>
      <c r="AL44" s="609"/>
      <c r="AM44" s="816"/>
      <c r="AN44" s="816"/>
      <c r="AO44" s="816"/>
      <c r="AP44" s="816"/>
      <c r="AQ44" s="816"/>
      <c r="AR44" s="816"/>
      <c r="AS44" s="816"/>
      <c r="AT44" s="609"/>
      <c r="AU44" s="609"/>
      <c r="AV44" s="609"/>
      <c r="AW44" s="818"/>
      <c r="AX44" s="816"/>
      <c r="AY44" s="816"/>
      <c r="AZ44" s="609"/>
      <c r="BA44" s="609"/>
      <c r="BB44" s="816"/>
      <c r="BC44" s="816"/>
      <c r="BD44" s="609"/>
      <c r="BE44" s="609"/>
      <c r="BF44" s="816"/>
      <c r="BG44" s="816"/>
      <c r="BH44" s="816"/>
      <c r="BI44" s="816"/>
      <c r="BJ44" s="816"/>
      <c r="BK44" s="816"/>
      <c r="BL44" s="816"/>
      <c r="BM44" s="816"/>
      <c r="BN44" s="816"/>
      <c r="BO44" s="816"/>
      <c r="BP44" s="816"/>
      <c r="BQ44" s="816"/>
      <c r="BR44" s="816"/>
      <c r="BS44" s="816"/>
      <c r="BT44" s="816"/>
      <c r="BU44" s="816"/>
      <c r="BV44" s="816"/>
      <c r="BW44" s="816"/>
      <c r="BX44" s="609"/>
      <c r="BY44" s="609"/>
      <c r="BZ44" s="816"/>
      <c r="CA44" s="816"/>
      <c r="CB44" s="609"/>
      <c r="CC44" s="609"/>
      <c r="CD44" s="816"/>
      <c r="CE44" s="816"/>
      <c r="CF44" s="816"/>
      <c r="CG44" s="816"/>
      <c r="CH44" s="816"/>
      <c r="CI44" s="816"/>
      <c r="CJ44" s="816"/>
      <c r="CK44" s="816"/>
      <c r="CL44" s="819"/>
      <c r="CM44" s="816"/>
      <c r="CN44" s="820"/>
      <c r="CO44" s="820"/>
      <c r="CP44" s="820"/>
      <c r="CQ44" s="820"/>
      <c r="CR44" s="817"/>
      <c r="CS44" s="609"/>
      <c r="CT44" s="816"/>
      <c r="CU44" s="816"/>
      <c r="CV44" s="816"/>
      <c r="CW44" s="816"/>
      <c r="CX44" s="816"/>
      <c r="CY44" s="816"/>
      <c r="CZ44" s="816"/>
      <c r="DA44" s="609"/>
      <c r="DB44" s="609"/>
      <c r="DC44" s="816"/>
      <c r="DD44" s="816"/>
      <c r="DE44" s="609"/>
      <c r="DF44" s="609"/>
      <c r="DG44" s="816"/>
      <c r="DH44" s="816"/>
      <c r="DI44" s="816"/>
      <c r="DJ44" s="816"/>
      <c r="DK44" s="816"/>
      <c r="DL44" s="816"/>
      <c r="DM44" s="609"/>
      <c r="DN44" s="609"/>
      <c r="DO44" s="816"/>
      <c r="DP44" s="816"/>
      <c r="DQ44" s="609"/>
      <c r="DR44" s="609"/>
      <c r="DS44" s="816"/>
      <c r="DT44" s="816"/>
      <c r="DU44" s="609"/>
      <c r="DV44" s="609"/>
      <c r="DW44" s="816"/>
      <c r="DX44" s="816"/>
      <c r="DY44" s="816"/>
      <c r="DZ44" s="816"/>
      <c r="EA44" s="816"/>
      <c r="EB44" s="816"/>
      <c r="EC44" s="821"/>
      <c r="ED44" s="609"/>
      <c r="EE44" s="816"/>
      <c r="EF44" s="816"/>
      <c r="EG44" s="822"/>
      <c r="EH44" s="609"/>
      <c r="EI44" s="816"/>
      <c r="EJ44" s="816"/>
      <c r="EK44" s="609"/>
      <c r="EL44" s="816"/>
      <c r="EM44" s="816"/>
      <c r="EN44" s="816"/>
      <c r="EO44" s="816"/>
      <c r="EP44" s="816"/>
      <c r="EQ44" s="816"/>
      <c r="ER44" s="816"/>
      <c r="ES44" s="816"/>
      <c r="ET44" s="816"/>
      <c r="EU44" s="816"/>
      <c r="EV44" s="816"/>
      <c r="EW44" s="823"/>
      <c r="EX44" s="824"/>
      <c r="EY44" s="825"/>
      <c r="EZ44" s="825"/>
      <c r="FA44" s="816"/>
      <c r="FC44" s="826"/>
      <c r="FD44" s="826"/>
      <c r="FE44" s="826"/>
      <c r="FF44" s="826"/>
    </row>
    <row r="45" spans="2:162" s="780" customFormat="1">
      <c r="B45" s="609"/>
      <c r="C45" s="609"/>
      <c r="D45" s="609"/>
      <c r="E45" s="609"/>
      <c r="F45" s="609"/>
      <c r="G45" s="609"/>
      <c r="H45" s="609"/>
      <c r="I45" s="609"/>
      <c r="J45" s="609"/>
      <c r="K45" s="609"/>
      <c r="L45" s="609"/>
      <c r="M45" s="609"/>
      <c r="N45" s="609"/>
      <c r="O45" s="609"/>
      <c r="P45" s="609"/>
      <c r="Q45" s="609"/>
      <c r="R45" s="816"/>
      <c r="S45" s="816"/>
      <c r="T45" s="816"/>
      <c r="U45" s="816"/>
      <c r="V45" s="816"/>
      <c r="W45" s="816"/>
      <c r="X45" s="609"/>
      <c r="Y45" s="609"/>
      <c r="Z45" s="816"/>
      <c r="AA45" s="816"/>
      <c r="AB45" s="609"/>
      <c r="AC45" s="609"/>
      <c r="AD45" s="816"/>
      <c r="AE45" s="816"/>
      <c r="AF45" s="609"/>
      <c r="AG45" s="609"/>
      <c r="AH45" s="816"/>
      <c r="AI45" s="816"/>
      <c r="AJ45" s="817"/>
      <c r="AK45" s="609"/>
      <c r="AL45" s="609"/>
      <c r="AM45" s="816"/>
      <c r="AN45" s="816"/>
      <c r="AO45" s="816"/>
      <c r="AP45" s="816"/>
      <c r="AQ45" s="816"/>
      <c r="AR45" s="816"/>
      <c r="AS45" s="816"/>
      <c r="AT45" s="609"/>
      <c r="AU45" s="609"/>
      <c r="AV45" s="609"/>
      <c r="AW45" s="818"/>
      <c r="AX45" s="816"/>
      <c r="AY45" s="816"/>
      <c r="AZ45" s="609"/>
      <c r="BA45" s="609"/>
      <c r="BB45" s="816"/>
      <c r="BC45" s="816"/>
      <c r="BD45" s="609"/>
      <c r="BE45" s="609"/>
      <c r="BF45" s="816"/>
      <c r="BG45" s="816"/>
      <c r="BH45" s="816"/>
      <c r="BI45" s="816"/>
      <c r="BJ45" s="816"/>
      <c r="BK45" s="816"/>
      <c r="BL45" s="816"/>
      <c r="BM45" s="816"/>
      <c r="BN45" s="816"/>
      <c r="BO45" s="816"/>
      <c r="BP45" s="816"/>
      <c r="BQ45" s="816"/>
      <c r="BR45" s="816"/>
      <c r="BS45" s="816"/>
      <c r="BT45" s="816"/>
      <c r="BU45" s="816"/>
      <c r="BV45" s="816"/>
      <c r="BW45" s="816"/>
      <c r="BX45" s="609"/>
      <c r="BY45" s="609"/>
      <c r="BZ45" s="816"/>
      <c r="CA45" s="816"/>
      <c r="CB45" s="609"/>
      <c r="CC45" s="609"/>
      <c r="CD45" s="816"/>
      <c r="CE45" s="816"/>
      <c r="CF45" s="816"/>
      <c r="CG45" s="816"/>
      <c r="CH45" s="816"/>
      <c r="CI45" s="816"/>
      <c r="CJ45" s="816"/>
      <c r="CK45" s="816"/>
      <c r="CL45" s="819"/>
      <c r="CM45" s="816"/>
      <c r="CN45" s="820"/>
      <c r="CO45" s="820"/>
      <c r="CP45" s="820"/>
      <c r="CQ45" s="820"/>
      <c r="CR45" s="817"/>
      <c r="CS45" s="609"/>
      <c r="CT45" s="816"/>
      <c r="CU45" s="816"/>
      <c r="CV45" s="816"/>
      <c r="CW45" s="816"/>
      <c r="CX45" s="816"/>
      <c r="CY45" s="816"/>
      <c r="CZ45" s="816"/>
      <c r="DA45" s="609"/>
      <c r="DB45" s="609"/>
      <c r="DC45" s="816"/>
      <c r="DD45" s="816"/>
      <c r="DE45" s="609"/>
      <c r="DF45" s="609"/>
      <c r="DG45" s="816"/>
      <c r="DH45" s="816"/>
      <c r="DI45" s="816"/>
      <c r="DJ45" s="816"/>
      <c r="DK45" s="816"/>
      <c r="DL45" s="816"/>
      <c r="DM45" s="609"/>
      <c r="DN45" s="609"/>
      <c r="DO45" s="816"/>
      <c r="DP45" s="816"/>
      <c r="DQ45" s="609"/>
      <c r="DR45" s="609"/>
      <c r="DS45" s="816"/>
      <c r="DT45" s="816"/>
      <c r="DU45" s="609"/>
      <c r="DV45" s="609"/>
      <c r="DW45" s="816"/>
      <c r="DX45" s="816"/>
      <c r="DY45" s="816"/>
      <c r="DZ45" s="816"/>
      <c r="EA45" s="816"/>
      <c r="EB45" s="816"/>
      <c r="EC45" s="821"/>
      <c r="ED45" s="609"/>
      <c r="EE45" s="816"/>
      <c r="EF45" s="816"/>
      <c r="EG45" s="822"/>
      <c r="EH45" s="609"/>
      <c r="EI45" s="816"/>
      <c r="EJ45" s="816"/>
      <c r="EK45" s="609"/>
      <c r="EL45" s="816"/>
      <c r="EM45" s="816"/>
      <c r="EN45" s="816"/>
      <c r="EO45" s="816"/>
      <c r="EP45" s="816"/>
      <c r="EQ45" s="816"/>
      <c r="ER45" s="816"/>
      <c r="ES45" s="816"/>
      <c r="ET45" s="816"/>
      <c r="EU45" s="816"/>
      <c r="EV45" s="816"/>
      <c r="EW45" s="823"/>
      <c r="EX45" s="824"/>
      <c r="EY45" s="825"/>
      <c r="EZ45" s="825"/>
      <c r="FA45" s="816"/>
      <c r="FC45" s="826"/>
      <c r="FD45" s="826"/>
      <c r="FE45" s="826"/>
      <c r="FF45" s="826"/>
    </row>
    <row r="46" spans="2:162" s="780" customFormat="1">
      <c r="B46" s="609"/>
      <c r="C46" s="609"/>
      <c r="D46" s="609"/>
      <c r="E46" s="609"/>
      <c r="F46" s="609"/>
      <c r="G46" s="609"/>
      <c r="H46" s="609"/>
      <c r="I46" s="609"/>
      <c r="J46" s="609"/>
      <c r="K46" s="609"/>
      <c r="L46" s="609"/>
      <c r="M46" s="609"/>
      <c r="N46" s="609"/>
      <c r="O46" s="609"/>
      <c r="P46" s="609"/>
      <c r="Q46" s="609"/>
      <c r="R46" s="816"/>
      <c r="S46" s="816"/>
      <c r="T46" s="816"/>
      <c r="U46" s="816"/>
      <c r="V46" s="816"/>
      <c r="W46" s="816"/>
      <c r="X46" s="609"/>
      <c r="Y46" s="609"/>
      <c r="Z46" s="816"/>
      <c r="AA46" s="816"/>
      <c r="AB46" s="609"/>
      <c r="AC46" s="609"/>
      <c r="AD46" s="816"/>
      <c r="AE46" s="816"/>
      <c r="AF46" s="609"/>
      <c r="AG46" s="609"/>
      <c r="AH46" s="816"/>
      <c r="AI46" s="816"/>
      <c r="AJ46" s="817"/>
      <c r="AK46" s="609"/>
      <c r="AL46" s="609"/>
      <c r="AM46" s="816"/>
      <c r="AN46" s="816"/>
      <c r="AO46" s="816"/>
      <c r="AP46" s="816"/>
      <c r="AQ46" s="816"/>
      <c r="AR46" s="816"/>
      <c r="AS46" s="816"/>
      <c r="AT46" s="609"/>
      <c r="AU46" s="609"/>
      <c r="AV46" s="609"/>
      <c r="AW46" s="818"/>
      <c r="AX46" s="816"/>
      <c r="AY46" s="816"/>
      <c r="AZ46" s="609"/>
      <c r="BA46" s="609"/>
      <c r="BB46" s="816"/>
      <c r="BC46" s="816"/>
      <c r="BD46" s="609"/>
      <c r="BE46" s="609"/>
      <c r="BF46" s="816"/>
      <c r="BG46" s="816"/>
      <c r="BH46" s="816"/>
      <c r="BI46" s="816"/>
      <c r="BJ46" s="816"/>
      <c r="BK46" s="816"/>
      <c r="BL46" s="816"/>
      <c r="BM46" s="816"/>
      <c r="BN46" s="816"/>
      <c r="BO46" s="816"/>
      <c r="BP46" s="816"/>
      <c r="BQ46" s="816"/>
      <c r="BR46" s="816"/>
      <c r="BS46" s="816"/>
      <c r="BT46" s="816"/>
      <c r="BU46" s="816"/>
      <c r="BV46" s="816"/>
      <c r="BW46" s="816"/>
      <c r="BX46" s="609"/>
      <c r="BY46" s="609"/>
      <c r="BZ46" s="816"/>
      <c r="CA46" s="816"/>
      <c r="CB46" s="609"/>
      <c r="CC46" s="609"/>
      <c r="CD46" s="816"/>
      <c r="CE46" s="816"/>
      <c r="CF46" s="816"/>
      <c r="CG46" s="816"/>
      <c r="CH46" s="816"/>
      <c r="CI46" s="816"/>
      <c r="CJ46" s="816"/>
      <c r="CK46" s="816"/>
      <c r="CL46" s="819"/>
      <c r="CM46" s="816"/>
      <c r="CN46" s="820"/>
      <c r="CO46" s="820"/>
      <c r="CP46" s="820"/>
      <c r="CQ46" s="820"/>
      <c r="CR46" s="609"/>
      <c r="CS46" s="609"/>
      <c r="CT46" s="816"/>
      <c r="CU46" s="816"/>
      <c r="CV46" s="816"/>
      <c r="CW46" s="816"/>
      <c r="CX46" s="816"/>
      <c r="CY46" s="816"/>
      <c r="CZ46" s="816"/>
      <c r="DA46" s="609"/>
      <c r="DB46" s="609"/>
      <c r="DC46" s="816"/>
      <c r="DD46" s="816"/>
      <c r="DE46" s="609"/>
      <c r="DF46" s="609"/>
      <c r="DG46" s="816"/>
      <c r="DH46" s="816"/>
      <c r="DI46" s="816"/>
      <c r="DJ46" s="816"/>
      <c r="DK46" s="816"/>
      <c r="DL46" s="816"/>
      <c r="DM46" s="609"/>
      <c r="DN46" s="609"/>
      <c r="DO46" s="816"/>
      <c r="DP46" s="816"/>
      <c r="DQ46" s="609"/>
      <c r="DR46" s="609"/>
      <c r="DS46" s="816"/>
      <c r="DT46" s="816"/>
      <c r="DU46" s="609"/>
      <c r="DV46" s="609"/>
      <c r="DW46" s="816"/>
      <c r="DX46" s="816"/>
      <c r="DY46" s="816"/>
      <c r="DZ46" s="816"/>
      <c r="EA46" s="816"/>
      <c r="EB46" s="816"/>
      <c r="EC46" s="821"/>
      <c r="ED46" s="609"/>
      <c r="EE46" s="816"/>
      <c r="EF46" s="816"/>
      <c r="EG46" s="822"/>
      <c r="EH46" s="609"/>
      <c r="EI46" s="816"/>
      <c r="EJ46" s="816"/>
      <c r="EK46" s="609"/>
      <c r="EL46" s="816"/>
      <c r="EM46" s="816"/>
      <c r="EN46" s="816"/>
      <c r="EO46" s="816"/>
      <c r="EP46" s="816"/>
      <c r="EQ46" s="816"/>
      <c r="ER46" s="816"/>
      <c r="ES46" s="816"/>
      <c r="ET46" s="816"/>
      <c r="EU46" s="816"/>
      <c r="EV46" s="816"/>
      <c r="EW46" s="823"/>
      <c r="EX46" s="824"/>
      <c r="EY46" s="825"/>
      <c r="EZ46" s="825"/>
      <c r="FA46" s="816"/>
      <c r="FC46" s="826"/>
      <c r="FD46" s="826"/>
      <c r="FE46" s="826"/>
      <c r="FF46" s="826"/>
    </row>
    <row r="47" spans="2:162" s="780" customFormat="1">
      <c r="B47" s="609"/>
      <c r="C47" s="609"/>
      <c r="D47" s="609"/>
      <c r="E47" s="609"/>
      <c r="F47" s="609"/>
      <c r="G47" s="609"/>
      <c r="H47" s="609"/>
      <c r="I47" s="609"/>
      <c r="J47" s="609"/>
      <c r="K47" s="609"/>
      <c r="L47" s="609"/>
      <c r="M47" s="609"/>
      <c r="N47" s="609"/>
      <c r="O47" s="609"/>
      <c r="P47" s="609"/>
      <c r="Q47" s="609"/>
      <c r="R47" s="816"/>
      <c r="S47" s="816"/>
      <c r="T47" s="816"/>
      <c r="U47" s="816"/>
      <c r="V47" s="816"/>
      <c r="W47" s="816"/>
      <c r="X47" s="609"/>
      <c r="Y47" s="609"/>
      <c r="Z47" s="816"/>
      <c r="AA47" s="816"/>
      <c r="AB47" s="609"/>
      <c r="AC47" s="609"/>
      <c r="AD47" s="816"/>
      <c r="AE47" s="816"/>
      <c r="AF47" s="609"/>
      <c r="AG47" s="609"/>
      <c r="AH47" s="816"/>
      <c r="AI47" s="816"/>
      <c r="AJ47" s="817"/>
      <c r="AK47" s="609"/>
      <c r="AL47" s="609"/>
      <c r="AM47" s="816"/>
      <c r="AN47" s="816"/>
      <c r="AO47" s="816"/>
      <c r="AP47" s="816"/>
      <c r="AQ47" s="816"/>
      <c r="AR47" s="816"/>
      <c r="AS47" s="816"/>
      <c r="AT47" s="609"/>
      <c r="AU47" s="609"/>
      <c r="AV47" s="609"/>
      <c r="AW47" s="818"/>
      <c r="AX47" s="816"/>
      <c r="AY47" s="816"/>
      <c r="AZ47" s="609"/>
      <c r="BA47" s="609"/>
      <c r="BB47" s="816"/>
      <c r="BC47" s="816"/>
      <c r="BD47" s="609"/>
      <c r="BE47" s="609"/>
      <c r="BF47" s="816"/>
      <c r="BG47" s="816"/>
      <c r="BH47" s="816"/>
      <c r="BI47" s="816"/>
      <c r="BJ47" s="816"/>
      <c r="BK47" s="816"/>
      <c r="BL47" s="816"/>
      <c r="BM47" s="816"/>
      <c r="BN47" s="816"/>
      <c r="BO47" s="816"/>
      <c r="BP47" s="816"/>
      <c r="BQ47" s="816"/>
      <c r="BR47" s="816"/>
      <c r="BS47" s="816"/>
      <c r="BT47" s="816"/>
      <c r="BU47" s="816"/>
      <c r="BV47" s="816"/>
      <c r="BW47" s="816"/>
      <c r="BX47" s="609"/>
      <c r="BY47" s="609"/>
      <c r="BZ47" s="816"/>
      <c r="CA47" s="816"/>
      <c r="CB47" s="609"/>
      <c r="CC47" s="609"/>
      <c r="CD47" s="816"/>
      <c r="CE47" s="816"/>
      <c r="CF47" s="816"/>
      <c r="CG47" s="816"/>
      <c r="CH47" s="816"/>
      <c r="CI47" s="816"/>
      <c r="CJ47" s="816"/>
      <c r="CK47" s="816"/>
      <c r="CL47" s="819"/>
      <c r="CM47" s="816"/>
      <c r="CN47" s="820"/>
      <c r="CO47" s="820"/>
      <c r="CP47" s="820"/>
      <c r="CQ47" s="820"/>
      <c r="CR47" s="817"/>
      <c r="CS47" s="609"/>
      <c r="CT47" s="816"/>
      <c r="CU47" s="816"/>
      <c r="CV47" s="816"/>
      <c r="CW47" s="816"/>
      <c r="CX47" s="816"/>
      <c r="CY47" s="816"/>
      <c r="CZ47" s="816"/>
      <c r="DA47" s="609"/>
      <c r="DB47" s="609"/>
      <c r="DC47" s="816"/>
      <c r="DD47" s="816"/>
      <c r="DE47" s="609"/>
      <c r="DF47" s="609"/>
      <c r="DG47" s="816"/>
      <c r="DH47" s="816"/>
      <c r="DI47" s="816"/>
      <c r="DJ47" s="816"/>
      <c r="DK47" s="816"/>
      <c r="DL47" s="816"/>
      <c r="DM47" s="609"/>
      <c r="DN47" s="609"/>
      <c r="DO47" s="816"/>
      <c r="DP47" s="816"/>
      <c r="DQ47" s="609"/>
      <c r="DR47" s="609"/>
      <c r="DS47" s="816"/>
      <c r="DT47" s="816"/>
      <c r="DU47" s="609"/>
      <c r="DV47" s="609"/>
      <c r="DW47" s="816"/>
      <c r="DX47" s="816"/>
      <c r="DY47" s="816"/>
      <c r="DZ47" s="816"/>
      <c r="EA47" s="816"/>
      <c r="EB47" s="816"/>
      <c r="EC47" s="821"/>
      <c r="ED47" s="609"/>
      <c r="EE47" s="816"/>
      <c r="EF47" s="816"/>
      <c r="EG47" s="822"/>
      <c r="EH47" s="609"/>
      <c r="EI47" s="816"/>
      <c r="EJ47" s="816"/>
      <c r="EK47" s="609"/>
      <c r="EL47" s="816"/>
      <c r="EM47" s="816"/>
      <c r="EN47" s="816"/>
      <c r="EO47" s="816"/>
      <c r="EP47" s="816"/>
      <c r="EQ47" s="816"/>
      <c r="ER47" s="816"/>
      <c r="ES47" s="816"/>
      <c r="ET47" s="816"/>
      <c r="EU47" s="816"/>
      <c r="EV47" s="816"/>
      <c r="EW47" s="823"/>
      <c r="EX47" s="824"/>
      <c r="EY47" s="825"/>
      <c r="EZ47" s="825"/>
      <c r="FA47" s="816"/>
      <c r="FC47" s="826"/>
      <c r="FD47" s="826"/>
      <c r="FE47" s="826"/>
      <c r="FF47" s="826"/>
    </row>
    <row r="48" spans="2:162" s="780" customFormat="1">
      <c r="B48" s="609"/>
      <c r="C48" s="609"/>
      <c r="D48" s="609"/>
      <c r="E48" s="609"/>
      <c r="F48" s="609"/>
      <c r="G48" s="609"/>
      <c r="H48" s="609"/>
      <c r="I48" s="609"/>
      <c r="J48" s="609"/>
      <c r="K48" s="609"/>
      <c r="L48" s="609"/>
      <c r="M48" s="609"/>
      <c r="N48" s="609"/>
      <c r="O48" s="609"/>
      <c r="P48" s="609"/>
      <c r="Q48" s="609"/>
      <c r="R48" s="816"/>
      <c r="S48" s="816"/>
      <c r="T48" s="816"/>
      <c r="U48" s="816"/>
      <c r="V48" s="816"/>
      <c r="W48" s="816"/>
      <c r="X48" s="609"/>
      <c r="Y48" s="609"/>
      <c r="Z48" s="816"/>
      <c r="AA48" s="816"/>
      <c r="AB48" s="609"/>
      <c r="AC48" s="609"/>
      <c r="AD48" s="816"/>
      <c r="AE48" s="816"/>
      <c r="AF48" s="609"/>
      <c r="AG48" s="609"/>
      <c r="AH48" s="816"/>
      <c r="AI48" s="816"/>
      <c r="AJ48" s="817"/>
      <c r="AK48" s="609"/>
      <c r="AL48" s="609"/>
      <c r="AM48" s="816"/>
      <c r="AN48" s="816"/>
      <c r="AO48" s="816"/>
      <c r="AP48" s="816"/>
      <c r="AQ48" s="816"/>
      <c r="AR48" s="816"/>
      <c r="AS48" s="816"/>
      <c r="AT48" s="609"/>
      <c r="AU48" s="609"/>
      <c r="AV48" s="609"/>
      <c r="AW48" s="818"/>
      <c r="AX48" s="816"/>
      <c r="AY48" s="816"/>
      <c r="AZ48" s="609"/>
      <c r="BA48" s="609"/>
      <c r="BB48" s="816"/>
      <c r="BC48" s="816"/>
      <c r="BD48" s="609"/>
      <c r="BE48" s="609"/>
      <c r="BF48" s="816"/>
      <c r="BG48" s="816"/>
      <c r="BH48" s="816"/>
      <c r="BI48" s="816"/>
      <c r="BJ48" s="816"/>
      <c r="BK48" s="816"/>
      <c r="BL48" s="816"/>
      <c r="BM48" s="816"/>
      <c r="BN48" s="816"/>
      <c r="BO48" s="816"/>
      <c r="BP48" s="816"/>
      <c r="BQ48" s="816"/>
      <c r="BR48" s="816"/>
      <c r="BS48" s="816"/>
      <c r="BT48" s="816"/>
      <c r="BU48" s="816"/>
      <c r="BV48" s="816"/>
      <c r="BW48" s="816"/>
      <c r="BX48" s="609"/>
      <c r="BY48" s="609"/>
      <c r="BZ48" s="816"/>
      <c r="CA48" s="816"/>
      <c r="CB48" s="609"/>
      <c r="CC48" s="609"/>
      <c r="CD48" s="816"/>
      <c r="CE48" s="816"/>
      <c r="CF48" s="816"/>
      <c r="CG48" s="816"/>
      <c r="CH48" s="816"/>
      <c r="CI48" s="816"/>
      <c r="CJ48" s="816"/>
      <c r="CK48" s="816"/>
      <c r="CL48" s="819"/>
      <c r="CM48" s="816"/>
      <c r="CN48" s="820"/>
      <c r="CO48" s="820"/>
      <c r="CP48" s="820"/>
      <c r="CQ48" s="820"/>
      <c r="CR48" s="817"/>
      <c r="CS48" s="609"/>
      <c r="CT48" s="816"/>
      <c r="CU48" s="816"/>
      <c r="CV48" s="816"/>
      <c r="CW48" s="816"/>
      <c r="CX48" s="816"/>
      <c r="CY48" s="816"/>
      <c r="CZ48" s="816"/>
      <c r="DA48" s="609"/>
      <c r="DB48" s="609"/>
      <c r="DC48" s="816"/>
      <c r="DD48" s="816"/>
      <c r="DE48" s="609"/>
      <c r="DF48" s="609"/>
      <c r="DG48" s="816"/>
      <c r="DH48" s="816"/>
      <c r="DI48" s="816"/>
      <c r="DJ48" s="816"/>
      <c r="DK48" s="816"/>
      <c r="DL48" s="816"/>
      <c r="DM48" s="609"/>
      <c r="DN48" s="609"/>
      <c r="DO48" s="816"/>
      <c r="DP48" s="816"/>
      <c r="DQ48" s="609"/>
      <c r="DR48" s="609"/>
      <c r="DS48" s="816"/>
      <c r="DT48" s="816"/>
      <c r="DU48" s="609"/>
      <c r="DV48" s="609"/>
      <c r="DW48" s="816"/>
      <c r="DX48" s="816"/>
      <c r="DY48" s="816"/>
      <c r="DZ48" s="816"/>
      <c r="EA48" s="816"/>
      <c r="EB48" s="816"/>
      <c r="EC48" s="821"/>
      <c r="ED48" s="609"/>
      <c r="EE48" s="816"/>
      <c r="EF48" s="816"/>
      <c r="EG48" s="822"/>
      <c r="EH48" s="609"/>
      <c r="EI48" s="816"/>
      <c r="EJ48" s="816"/>
      <c r="EK48" s="609"/>
      <c r="EL48" s="816"/>
      <c r="EM48" s="816"/>
      <c r="EN48" s="816"/>
      <c r="EO48" s="816"/>
      <c r="EP48" s="816"/>
      <c r="EQ48" s="816"/>
      <c r="ER48" s="816"/>
      <c r="ES48" s="816"/>
      <c r="ET48" s="816"/>
      <c r="EU48" s="816"/>
      <c r="EV48" s="816"/>
      <c r="EW48" s="823"/>
      <c r="EX48" s="824"/>
      <c r="EY48" s="825"/>
      <c r="EZ48" s="825"/>
      <c r="FA48" s="816"/>
      <c r="FC48" s="826"/>
      <c r="FD48" s="826"/>
      <c r="FE48" s="826"/>
      <c r="FF48" s="826"/>
    </row>
    <row r="49" spans="2:162" s="780" customFormat="1">
      <c r="B49" s="609"/>
      <c r="C49" s="609"/>
      <c r="D49" s="609"/>
      <c r="E49" s="609"/>
      <c r="F49" s="609"/>
      <c r="G49" s="609"/>
      <c r="H49" s="609"/>
      <c r="I49" s="609"/>
      <c r="J49" s="609"/>
      <c r="K49" s="609"/>
      <c r="L49" s="609"/>
      <c r="M49" s="609"/>
      <c r="N49" s="609"/>
      <c r="O49" s="609"/>
      <c r="P49" s="609"/>
      <c r="Q49" s="609"/>
      <c r="R49" s="816"/>
      <c r="S49" s="816"/>
      <c r="T49" s="816"/>
      <c r="U49" s="816"/>
      <c r="V49" s="816"/>
      <c r="W49" s="816"/>
      <c r="X49" s="609"/>
      <c r="Y49" s="609"/>
      <c r="Z49" s="816"/>
      <c r="AA49" s="816"/>
      <c r="AB49" s="609"/>
      <c r="AC49" s="609"/>
      <c r="AD49" s="816"/>
      <c r="AE49" s="816"/>
      <c r="AF49" s="609"/>
      <c r="AG49" s="609"/>
      <c r="AH49" s="816"/>
      <c r="AI49" s="816"/>
      <c r="AJ49" s="817"/>
      <c r="AK49" s="609"/>
      <c r="AL49" s="609"/>
      <c r="AM49" s="816"/>
      <c r="AN49" s="816"/>
      <c r="AO49" s="816"/>
      <c r="AP49" s="816"/>
      <c r="AQ49" s="816"/>
      <c r="AR49" s="816"/>
      <c r="AS49" s="816"/>
      <c r="AT49" s="609"/>
      <c r="AU49" s="609"/>
      <c r="AV49" s="609"/>
      <c r="AW49" s="818"/>
      <c r="AX49" s="816"/>
      <c r="AY49" s="816"/>
      <c r="AZ49" s="609"/>
      <c r="BA49" s="609"/>
      <c r="BB49" s="816"/>
      <c r="BC49" s="816"/>
      <c r="BD49" s="609"/>
      <c r="BE49" s="609"/>
      <c r="BF49" s="816"/>
      <c r="BG49" s="816"/>
      <c r="BH49" s="816"/>
      <c r="BI49" s="816"/>
      <c r="BJ49" s="816"/>
      <c r="BK49" s="816"/>
      <c r="BL49" s="816"/>
      <c r="BM49" s="816"/>
      <c r="BN49" s="816"/>
      <c r="BO49" s="816"/>
      <c r="BP49" s="816"/>
      <c r="BQ49" s="816"/>
      <c r="BR49" s="816"/>
      <c r="BS49" s="816"/>
      <c r="BT49" s="816"/>
      <c r="BU49" s="816"/>
      <c r="BV49" s="816"/>
      <c r="BW49" s="816"/>
      <c r="BX49" s="609"/>
      <c r="BY49" s="609"/>
      <c r="BZ49" s="816"/>
      <c r="CA49" s="816"/>
      <c r="CB49" s="609"/>
      <c r="CC49" s="609"/>
      <c r="CD49" s="816"/>
      <c r="CE49" s="816"/>
      <c r="CF49" s="816"/>
      <c r="CG49" s="816"/>
      <c r="CH49" s="816"/>
      <c r="CI49" s="816"/>
      <c r="CJ49" s="816"/>
      <c r="CK49" s="816"/>
      <c r="CL49" s="819"/>
      <c r="CM49" s="816"/>
      <c r="CN49" s="820"/>
      <c r="CO49" s="820"/>
      <c r="CP49" s="820"/>
      <c r="CQ49" s="820"/>
      <c r="CR49" s="817"/>
      <c r="CS49" s="609"/>
      <c r="CT49" s="816"/>
      <c r="CU49" s="816"/>
      <c r="CV49" s="816"/>
      <c r="CW49" s="816"/>
      <c r="CX49" s="816"/>
      <c r="CY49" s="816"/>
      <c r="CZ49" s="816"/>
      <c r="DA49" s="609"/>
      <c r="DB49" s="609"/>
      <c r="DC49" s="816"/>
      <c r="DD49" s="816"/>
      <c r="DE49" s="609"/>
      <c r="DF49" s="609"/>
      <c r="DG49" s="816"/>
      <c r="DH49" s="816"/>
      <c r="DI49" s="816"/>
      <c r="DJ49" s="816"/>
      <c r="DK49" s="816"/>
      <c r="DL49" s="816"/>
      <c r="DM49" s="609"/>
      <c r="DN49" s="609"/>
      <c r="DO49" s="816"/>
      <c r="DP49" s="816"/>
      <c r="DQ49" s="609"/>
      <c r="DR49" s="609"/>
      <c r="DS49" s="816"/>
      <c r="DT49" s="816"/>
      <c r="DU49" s="609"/>
      <c r="DV49" s="609"/>
      <c r="DW49" s="816"/>
      <c r="DX49" s="816"/>
      <c r="DY49" s="816"/>
      <c r="DZ49" s="816"/>
      <c r="EA49" s="816"/>
      <c r="EB49" s="816"/>
      <c r="EC49" s="821"/>
      <c r="ED49" s="609"/>
      <c r="EE49" s="816"/>
      <c r="EF49" s="816"/>
      <c r="EG49" s="822"/>
      <c r="EH49" s="609"/>
      <c r="EI49" s="816"/>
      <c r="EJ49" s="816"/>
      <c r="EK49" s="609"/>
      <c r="EL49" s="816"/>
      <c r="EM49" s="816"/>
      <c r="EN49" s="816"/>
      <c r="EO49" s="816"/>
      <c r="EP49" s="816"/>
      <c r="EQ49" s="816"/>
      <c r="ER49" s="816"/>
      <c r="ES49" s="816"/>
      <c r="ET49" s="816"/>
      <c r="EU49" s="816"/>
      <c r="EV49" s="816"/>
      <c r="EW49" s="823"/>
      <c r="EX49" s="824"/>
      <c r="EY49" s="825"/>
      <c r="EZ49" s="825"/>
      <c r="FA49" s="816"/>
      <c r="FC49" s="826"/>
      <c r="FD49" s="826"/>
      <c r="FE49" s="826"/>
      <c r="FF49" s="826"/>
    </row>
    <row r="50" spans="2:162" s="780" customFormat="1">
      <c r="B50" s="609"/>
      <c r="C50" s="609"/>
      <c r="D50" s="609"/>
      <c r="E50" s="609"/>
      <c r="F50" s="609"/>
      <c r="G50" s="609"/>
      <c r="H50" s="609"/>
      <c r="I50" s="609"/>
      <c r="J50" s="609"/>
      <c r="K50" s="609"/>
      <c r="L50" s="609"/>
      <c r="M50" s="609"/>
      <c r="N50" s="609"/>
      <c r="O50" s="609"/>
      <c r="P50" s="609"/>
      <c r="Q50" s="609"/>
      <c r="R50" s="816"/>
      <c r="S50" s="816"/>
      <c r="T50" s="816"/>
      <c r="U50" s="816"/>
      <c r="V50" s="816"/>
      <c r="W50" s="816"/>
      <c r="X50" s="609"/>
      <c r="Y50" s="609"/>
      <c r="Z50" s="816"/>
      <c r="AA50" s="816"/>
      <c r="AB50" s="609"/>
      <c r="AC50" s="609"/>
      <c r="AD50" s="816"/>
      <c r="AE50" s="816"/>
      <c r="AF50" s="609"/>
      <c r="AG50" s="609"/>
      <c r="AH50" s="816"/>
      <c r="AI50" s="816"/>
      <c r="AJ50" s="817"/>
      <c r="AK50" s="609"/>
      <c r="AL50" s="609"/>
      <c r="AM50" s="816"/>
      <c r="AN50" s="816"/>
      <c r="AO50" s="816"/>
      <c r="AP50" s="816"/>
      <c r="AQ50" s="816"/>
      <c r="AR50" s="816"/>
      <c r="AS50" s="816"/>
      <c r="AT50" s="609"/>
      <c r="AU50" s="609"/>
      <c r="AV50" s="609"/>
      <c r="AW50" s="818"/>
      <c r="AX50" s="816"/>
      <c r="AY50" s="816"/>
      <c r="AZ50" s="609"/>
      <c r="BA50" s="609"/>
      <c r="BB50" s="816"/>
      <c r="BC50" s="816"/>
      <c r="BD50" s="609"/>
      <c r="BE50" s="609"/>
      <c r="BF50" s="816"/>
      <c r="BG50" s="816"/>
      <c r="BH50" s="816"/>
      <c r="BI50" s="816"/>
      <c r="BJ50" s="816"/>
      <c r="BK50" s="816"/>
      <c r="BL50" s="816"/>
      <c r="BM50" s="816"/>
      <c r="BN50" s="816"/>
      <c r="BO50" s="816"/>
      <c r="BP50" s="816"/>
      <c r="BQ50" s="816"/>
      <c r="BR50" s="816"/>
      <c r="BS50" s="816"/>
      <c r="BT50" s="816"/>
      <c r="BU50" s="816"/>
      <c r="BV50" s="816"/>
      <c r="BW50" s="816"/>
      <c r="BX50" s="609"/>
      <c r="BY50" s="609"/>
      <c r="BZ50" s="816"/>
      <c r="CA50" s="816"/>
      <c r="CB50" s="609"/>
      <c r="CC50" s="609"/>
      <c r="CD50" s="816"/>
      <c r="CE50" s="816"/>
      <c r="CF50" s="816"/>
      <c r="CG50" s="816"/>
      <c r="CH50" s="816"/>
      <c r="CI50" s="816"/>
      <c r="CJ50" s="816"/>
      <c r="CK50" s="816"/>
      <c r="CL50" s="819"/>
      <c r="CM50" s="816"/>
      <c r="CN50" s="820"/>
      <c r="CO50" s="820"/>
      <c r="CP50" s="820"/>
      <c r="CQ50" s="820"/>
      <c r="CR50" s="609"/>
      <c r="CS50" s="609"/>
      <c r="CT50" s="816"/>
      <c r="CU50" s="816"/>
      <c r="CV50" s="816"/>
      <c r="CW50" s="816"/>
      <c r="CX50" s="816"/>
      <c r="CY50" s="816"/>
      <c r="CZ50" s="816"/>
      <c r="DA50" s="609"/>
      <c r="DB50" s="609"/>
      <c r="DC50" s="816"/>
      <c r="DD50" s="816"/>
      <c r="DE50" s="609"/>
      <c r="DF50" s="609"/>
      <c r="DG50" s="816"/>
      <c r="DH50" s="816"/>
      <c r="DI50" s="816"/>
      <c r="DJ50" s="816"/>
      <c r="DK50" s="816"/>
      <c r="DL50" s="816"/>
      <c r="DM50" s="609"/>
      <c r="DN50" s="609"/>
      <c r="DO50" s="816"/>
      <c r="DP50" s="816"/>
      <c r="DQ50" s="609"/>
      <c r="DR50" s="609"/>
      <c r="DS50" s="816"/>
      <c r="DT50" s="816"/>
      <c r="DU50" s="609"/>
      <c r="DV50" s="609"/>
      <c r="DW50" s="816"/>
      <c r="DX50" s="816"/>
      <c r="DY50" s="816"/>
      <c r="DZ50" s="816"/>
      <c r="EA50" s="816"/>
      <c r="EB50" s="816"/>
      <c r="EC50" s="821"/>
      <c r="ED50" s="609"/>
      <c r="EE50" s="816"/>
      <c r="EF50" s="816"/>
      <c r="EG50" s="822"/>
      <c r="EH50" s="609"/>
      <c r="EI50" s="816"/>
      <c r="EJ50" s="816"/>
      <c r="EK50" s="609"/>
      <c r="EL50" s="816"/>
      <c r="EM50" s="816"/>
      <c r="EN50" s="816"/>
      <c r="EO50" s="816"/>
      <c r="EP50" s="816"/>
      <c r="EQ50" s="816"/>
      <c r="ER50" s="816"/>
      <c r="ES50" s="816"/>
      <c r="ET50" s="816"/>
      <c r="EU50" s="816"/>
      <c r="EV50" s="816"/>
      <c r="EW50" s="823"/>
      <c r="EX50" s="824"/>
      <c r="EY50" s="825"/>
      <c r="EZ50" s="825"/>
      <c r="FA50" s="816"/>
      <c r="FC50" s="826"/>
      <c r="FD50" s="826"/>
      <c r="FE50" s="826"/>
      <c r="FF50" s="826"/>
    </row>
    <row r="51" spans="2:162" s="780" customFormat="1">
      <c r="B51" s="609"/>
      <c r="C51" s="609"/>
      <c r="D51" s="609"/>
      <c r="E51" s="609"/>
      <c r="F51" s="609"/>
      <c r="G51" s="609"/>
      <c r="H51" s="609"/>
      <c r="I51" s="609"/>
      <c r="J51" s="609"/>
      <c r="K51" s="609"/>
      <c r="L51" s="609"/>
      <c r="M51" s="609"/>
      <c r="N51" s="609"/>
      <c r="O51" s="609"/>
      <c r="P51" s="609"/>
      <c r="Q51" s="609"/>
      <c r="R51" s="816"/>
      <c r="S51" s="816"/>
      <c r="T51" s="816"/>
      <c r="U51" s="816"/>
      <c r="V51" s="816"/>
      <c r="W51" s="816"/>
      <c r="X51" s="609"/>
      <c r="Y51" s="609"/>
      <c r="Z51" s="816"/>
      <c r="AA51" s="816"/>
      <c r="AB51" s="609"/>
      <c r="AC51" s="609"/>
      <c r="AD51" s="816"/>
      <c r="AE51" s="816"/>
      <c r="AF51" s="609"/>
      <c r="AG51" s="609"/>
      <c r="AH51" s="816"/>
      <c r="AI51" s="816"/>
      <c r="AJ51" s="817"/>
      <c r="AK51" s="609"/>
      <c r="AL51" s="609"/>
      <c r="AM51" s="816"/>
      <c r="AN51" s="816"/>
      <c r="AO51" s="816"/>
      <c r="AP51" s="816"/>
      <c r="AQ51" s="816"/>
      <c r="AR51" s="816"/>
      <c r="AS51" s="816"/>
      <c r="AT51" s="609"/>
      <c r="AU51" s="609"/>
      <c r="AV51" s="609"/>
      <c r="AW51" s="818"/>
      <c r="AX51" s="816"/>
      <c r="AY51" s="816"/>
      <c r="AZ51" s="609"/>
      <c r="BA51" s="609"/>
      <c r="BB51" s="816"/>
      <c r="BC51" s="816"/>
      <c r="BD51" s="609"/>
      <c r="BE51" s="609"/>
      <c r="BF51" s="816"/>
      <c r="BG51" s="816"/>
      <c r="BH51" s="816"/>
      <c r="BI51" s="816"/>
      <c r="BJ51" s="816"/>
      <c r="BK51" s="816"/>
      <c r="BL51" s="816"/>
      <c r="BM51" s="816"/>
      <c r="BN51" s="816"/>
      <c r="BO51" s="816"/>
      <c r="BP51" s="816"/>
      <c r="BQ51" s="816"/>
      <c r="BR51" s="816"/>
      <c r="BS51" s="816"/>
      <c r="BT51" s="816"/>
      <c r="BU51" s="816"/>
      <c r="BV51" s="816"/>
      <c r="BW51" s="816"/>
      <c r="BX51" s="609"/>
      <c r="BY51" s="609"/>
      <c r="BZ51" s="816"/>
      <c r="CA51" s="816"/>
      <c r="CB51" s="609"/>
      <c r="CC51" s="609"/>
      <c r="CD51" s="816"/>
      <c r="CE51" s="816"/>
      <c r="CF51" s="816"/>
      <c r="CG51" s="816"/>
      <c r="CH51" s="816"/>
      <c r="CI51" s="816"/>
      <c r="CJ51" s="816"/>
      <c r="CK51" s="816"/>
      <c r="CL51" s="819"/>
      <c r="CM51" s="816"/>
      <c r="CN51" s="820"/>
      <c r="CO51" s="820"/>
      <c r="CP51" s="820"/>
      <c r="CQ51" s="820"/>
      <c r="CR51" s="609"/>
      <c r="CS51" s="609"/>
      <c r="CT51" s="816"/>
      <c r="CU51" s="816"/>
      <c r="CV51" s="816"/>
      <c r="CW51" s="816"/>
      <c r="CX51" s="816"/>
      <c r="CY51" s="816"/>
      <c r="CZ51" s="816"/>
      <c r="DA51" s="609"/>
      <c r="DB51" s="609"/>
      <c r="DC51" s="816"/>
      <c r="DD51" s="816"/>
      <c r="DE51" s="609"/>
      <c r="DF51" s="609"/>
      <c r="DG51" s="816"/>
      <c r="DH51" s="816"/>
      <c r="DI51" s="816"/>
      <c r="DJ51" s="816"/>
      <c r="DK51" s="816"/>
      <c r="DL51" s="816"/>
      <c r="DM51" s="609"/>
      <c r="DN51" s="609"/>
      <c r="DO51" s="816"/>
      <c r="DP51" s="816"/>
      <c r="DQ51" s="609"/>
      <c r="DR51" s="609"/>
      <c r="DS51" s="816"/>
      <c r="DT51" s="816"/>
      <c r="DU51" s="609"/>
      <c r="DV51" s="609"/>
      <c r="DW51" s="816"/>
      <c r="DX51" s="816"/>
      <c r="DY51" s="816"/>
      <c r="DZ51" s="816"/>
      <c r="EA51" s="816"/>
      <c r="EB51" s="816"/>
      <c r="EC51" s="821"/>
      <c r="ED51" s="609"/>
      <c r="EE51" s="816"/>
      <c r="EF51" s="816"/>
      <c r="EG51" s="822"/>
      <c r="EH51" s="609"/>
      <c r="EI51" s="816"/>
      <c r="EJ51" s="816"/>
      <c r="EK51" s="609"/>
      <c r="EL51" s="816"/>
      <c r="EM51" s="816"/>
      <c r="EN51" s="816"/>
      <c r="EO51" s="816"/>
      <c r="EP51" s="816"/>
      <c r="EQ51" s="816"/>
      <c r="ER51" s="816"/>
      <c r="ES51" s="816"/>
      <c r="ET51" s="816"/>
      <c r="EU51" s="816"/>
      <c r="EV51" s="816"/>
      <c r="EW51" s="823"/>
      <c r="EX51" s="824"/>
      <c r="EY51" s="825"/>
      <c r="EZ51" s="825"/>
      <c r="FA51" s="816"/>
      <c r="FC51" s="826"/>
      <c r="FD51" s="826"/>
      <c r="FE51" s="826"/>
      <c r="FF51" s="826"/>
    </row>
    <row r="52" spans="2:162" s="780" customFormat="1">
      <c r="B52" s="609"/>
      <c r="C52" s="609"/>
      <c r="D52" s="609"/>
      <c r="E52" s="609"/>
      <c r="F52" s="609"/>
      <c r="G52" s="609"/>
      <c r="H52" s="609"/>
      <c r="I52" s="609"/>
      <c r="J52" s="609"/>
      <c r="K52" s="609"/>
      <c r="L52" s="609"/>
      <c r="M52" s="609"/>
      <c r="N52" s="609"/>
      <c r="O52" s="609"/>
      <c r="P52" s="609"/>
      <c r="Q52" s="609"/>
      <c r="R52" s="816"/>
      <c r="S52" s="816"/>
      <c r="T52" s="816"/>
      <c r="U52" s="816"/>
      <c r="V52" s="816"/>
      <c r="W52" s="816"/>
      <c r="X52" s="609"/>
      <c r="Y52" s="609"/>
      <c r="Z52" s="816"/>
      <c r="AA52" s="816"/>
      <c r="AB52" s="609"/>
      <c r="AC52" s="609"/>
      <c r="AD52" s="816"/>
      <c r="AE52" s="816"/>
      <c r="AF52" s="609"/>
      <c r="AG52" s="609"/>
      <c r="AH52" s="816"/>
      <c r="AI52" s="816"/>
      <c r="AJ52" s="817"/>
      <c r="AK52" s="609"/>
      <c r="AL52" s="609"/>
      <c r="AM52" s="816"/>
      <c r="AN52" s="816"/>
      <c r="AO52" s="816"/>
      <c r="AP52" s="816"/>
      <c r="AQ52" s="816"/>
      <c r="AR52" s="816"/>
      <c r="AS52" s="816"/>
      <c r="AT52" s="609"/>
      <c r="AU52" s="609"/>
      <c r="AV52" s="609"/>
      <c r="AW52" s="818"/>
      <c r="AX52" s="816"/>
      <c r="AY52" s="816"/>
      <c r="AZ52" s="609"/>
      <c r="BA52" s="609"/>
      <c r="BB52" s="816"/>
      <c r="BC52" s="816"/>
      <c r="BD52" s="609"/>
      <c r="BE52" s="609"/>
      <c r="BF52" s="816"/>
      <c r="BG52" s="816"/>
      <c r="BH52" s="816"/>
      <c r="BI52" s="816"/>
      <c r="BJ52" s="816"/>
      <c r="BK52" s="816"/>
      <c r="BL52" s="816"/>
      <c r="BM52" s="816"/>
      <c r="BN52" s="816"/>
      <c r="BO52" s="816"/>
      <c r="BP52" s="816"/>
      <c r="BQ52" s="816"/>
      <c r="BR52" s="816"/>
      <c r="BS52" s="816"/>
      <c r="BT52" s="816"/>
      <c r="BU52" s="816"/>
      <c r="BV52" s="816"/>
      <c r="BW52" s="816"/>
      <c r="BX52" s="609"/>
      <c r="BY52" s="609"/>
      <c r="BZ52" s="816"/>
      <c r="CA52" s="816"/>
      <c r="CB52" s="609"/>
      <c r="CC52" s="609"/>
      <c r="CD52" s="816"/>
      <c r="CE52" s="816"/>
      <c r="CF52" s="816"/>
      <c r="CG52" s="816"/>
      <c r="CH52" s="816"/>
      <c r="CI52" s="816"/>
      <c r="CJ52" s="816"/>
      <c r="CK52" s="816"/>
      <c r="CL52" s="819"/>
      <c r="CM52" s="816"/>
      <c r="CN52" s="820"/>
      <c r="CO52" s="820"/>
      <c r="CP52" s="820"/>
      <c r="CQ52" s="820"/>
      <c r="CR52" s="609"/>
      <c r="CS52" s="609"/>
      <c r="CT52" s="816"/>
      <c r="CU52" s="816"/>
      <c r="CV52" s="816"/>
      <c r="CW52" s="816"/>
      <c r="CX52" s="816"/>
      <c r="CY52" s="816"/>
      <c r="CZ52" s="816"/>
      <c r="DA52" s="609"/>
      <c r="DB52" s="609"/>
      <c r="DC52" s="816"/>
      <c r="DD52" s="816"/>
      <c r="DE52" s="609"/>
      <c r="DF52" s="609"/>
      <c r="DG52" s="816"/>
      <c r="DH52" s="816"/>
      <c r="DI52" s="816"/>
      <c r="DJ52" s="816"/>
      <c r="DK52" s="816"/>
      <c r="DL52" s="816"/>
      <c r="DM52" s="609"/>
      <c r="DN52" s="609"/>
      <c r="DO52" s="816"/>
      <c r="DP52" s="816"/>
      <c r="DQ52" s="609"/>
      <c r="DR52" s="609"/>
      <c r="DS52" s="816"/>
      <c r="DT52" s="816"/>
      <c r="DU52" s="609"/>
      <c r="DV52" s="609"/>
      <c r="DW52" s="816"/>
      <c r="DX52" s="816"/>
      <c r="DY52" s="816"/>
      <c r="DZ52" s="816"/>
      <c r="EA52" s="816"/>
      <c r="EB52" s="816"/>
      <c r="EC52" s="821"/>
      <c r="ED52" s="609"/>
      <c r="EE52" s="816"/>
      <c r="EF52" s="816"/>
      <c r="EG52" s="822"/>
      <c r="EH52" s="609"/>
      <c r="EI52" s="816"/>
      <c r="EJ52" s="816"/>
      <c r="EK52" s="609"/>
      <c r="EL52" s="816"/>
      <c r="EM52" s="816"/>
      <c r="EN52" s="816"/>
      <c r="EO52" s="816"/>
      <c r="EP52" s="816"/>
      <c r="EQ52" s="816"/>
      <c r="ER52" s="816"/>
      <c r="ES52" s="816"/>
      <c r="ET52" s="816"/>
      <c r="EU52" s="816"/>
      <c r="EV52" s="816"/>
      <c r="EW52" s="823"/>
      <c r="EX52" s="824"/>
      <c r="EY52" s="825"/>
      <c r="EZ52" s="825"/>
      <c r="FA52" s="816"/>
      <c r="FC52" s="826"/>
      <c r="FD52" s="826"/>
      <c r="FE52" s="826"/>
      <c r="FF52" s="826"/>
    </row>
    <row r="53" spans="2:162" s="780" customFormat="1">
      <c r="B53" s="609"/>
      <c r="C53" s="609"/>
      <c r="D53" s="609"/>
      <c r="E53" s="609"/>
      <c r="F53" s="609"/>
      <c r="G53" s="609"/>
      <c r="H53" s="609"/>
      <c r="I53" s="609"/>
      <c r="J53" s="609"/>
      <c r="K53" s="609"/>
      <c r="L53" s="609"/>
      <c r="M53" s="609"/>
      <c r="N53" s="609"/>
      <c r="O53" s="609"/>
      <c r="P53" s="609"/>
      <c r="Q53" s="609"/>
      <c r="R53" s="816"/>
      <c r="S53" s="816"/>
      <c r="T53" s="816"/>
      <c r="U53" s="816"/>
      <c r="V53" s="816"/>
      <c r="W53" s="816"/>
      <c r="X53" s="609"/>
      <c r="Y53" s="609"/>
      <c r="Z53" s="816"/>
      <c r="AA53" s="816"/>
      <c r="AB53" s="609"/>
      <c r="AC53" s="609"/>
      <c r="AD53" s="816"/>
      <c r="AE53" s="816"/>
      <c r="AF53" s="609"/>
      <c r="AG53" s="609"/>
      <c r="AH53" s="816"/>
      <c r="AI53" s="816"/>
      <c r="AJ53" s="817"/>
      <c r="AK53" s="609"/>
      <c r="AL53" s="609"/>
      <c r="AM53" s="816"/>
      <c r="AN53" s="816"/>
      <c r="AO53" s="816"/>
      <c r="AP53" s="816"/>
      <c r="AQ53" s="816"/>
      <c r="AR53" s="816"/>
      <c r="AS53" s="816"/>
      <c r="AT53" s="609"/>
      <c r="AU53" s="609"/>
      <c r="AV53" s="609"/>
      <c r="AW53" s="818"/>
      <c r="AX53" s="816"/>
      <c r="AY53" s="816"/>
      <c r="AZ53" s="609"/>
      <c r="BA53" s="609"/>
      <c r="BB53" s="816"/>
      <c r="BC53" s="816"/>
      <c r="BD53" s="609"/>
      <c r="BE53" s="609"/>
      <c r="BF53" s="816"/>
      <c r="BG53" s="816"/>
      <c r="BH53" s="816"/>
      <c r="BI53" s="816"/>
      <c r="BJ53" s="816"/>
      <c r="BK53" s="816"/>
      <c r="BL53" s="816"/>
      <c r="BM53" s="816"/>
      <c r="BN53" s="816"/>
      <c r="BO53" s="816"/>
      <c r="BP53" s="816"/>
      <c r="BQ53" s="816"/>
      <c r="BR53" s="816"/>
      <c r="BS53" s="816"/>
      <c r="BT53" s="816"/>
      <c r="BU53" s="816"/>
      <c r="BV53" s="816"/>
      <c r="BW53" s="816"/>
      <c r="BX53" s="609"/>
      <c r="BY53" s="609"/>
      <c r="BZ53" s="816"/>
      <c r="CA53" s="816"/>
      <c r="CB53" s="609"/>
      <c r="CC53" s="609"/>
      <c r="CD53" s="816"/>
      <c r="CE53" s="816"/>
      <c r="CF53" s="816"/>
      <c r="CG53" s="816"/>
      <c r="CH53" s="816"/>
      <c r="CI53" s="816"/>
      <c r="CJ53" s="816"/>
      <c r="CK53" s="816"/>
      <c r="CL53" s="819"/>
      <c r="CM53" s="816"/>
      <c r="CN53" s="820"/>
      <c r="CO53" s="820"/>
      <c r="CP53" s="820"/>
      <c r="CQ53" s="820"/>
      <c r="CR53" s="609"/>
      <c r="CS53" s="609"/>
      <c r="CT53" s="816"/>
      <c r="CU53" s="816"/>
      <c r="CV53" s="816"/>
      <c r="CW53" s="816"/>
      <c r="CX53" s="816"/>
      <c r="CY53" s="816"/>
      <c r="CZ53" s="816"/>
      <c r="DA53" s="609"/>
      <c r="DB53" s="609"/>
      <c r="DC53" s="816"/>
      <c r="DD53" s="816"/>
      <c r="DE53" s="609"/>
      <c r="DF53" s="609"/>
      <c r="DG53" s="816"/>
      <c r="DH53" s="816"/>
      <c r="DI53" s="816"/>
      <c r="DJ53" s="816"/>
      <c r="DK53" s="816"/>
      <c r="DL53" s="816"/>
      <c r="DM53" s="609"/>
      <c r="DN53" s="609"/>
      <c r="DO53" s="816"/>
      <c r="DP53" s="816"/>
      <c r="DQ53" s="609"/>
      <c r="DR53" s="609"/>
      <c r="DS53" s="816"/>
      <c r="DT53" s="816"/>
      <c r="DU53" s="609"/>
      <c r="DV53" s="609"/>
      <c r="DW53" s="816"/>
      <c r="DX53" s="816"/>
      <c r="DY53" s="816"/>
      <c r="DZ53" s="816"/>
      <c r="EA53" s="816"/>
      <c r="EB53" s="816"/>
      <c r="EC53" s="821"/>
      <c r="ED53" s="609"/>
      <c r="EE53" s="816"/>
      <c r="EF53" s="816"/>
      <c r="EG53" s="822"/>
      <c r="EH53" s="609"/>
      <c r="EI53" s="816"/>
      <c r="EJ53" s="816"/>
      <c r="EK53" s="609"/>
      <c r="EL53" s="816"/>
      <c r="EM53" s="816"/>
      <c r="EN53" s="816"/>
      <c r="EO53" s="816"/>
      <c r="EP53" s="816"/>
      <c r="EQ53" s="816"/>
      <c r="ER53" s="816"/>
      <c r="ES53" s="816"/>
      <c r="ET53" s="816"/>
      <c r="EU53" s="816"/>
      <c r="EV53" s="816"/>
      <c r="EW53" s="823"/>
      <c r="EX53" s="824"/>
      <c r="EY53" s="825"/>
      <c r="EZ53" s="825"/>
      <c r="FA53" s="816"/>
      <c r="FC53" s="826"/>
      <c r="FD53" s="826"/>
      <c r="FE53" s="826"/>
      <c r="FF53" s="826"/>
    </row>
    <row r="54" spans="2:162" s="780" customFormat="1">
      <c r="B54" s="609"/>
      <c r="C54" s="609"/>
      <c r="D54" s="609"/>
      <c r="E54" s="609"/>
      <c r="F54" s="609"/>
      <c r="G54" s="609"/>
      <c r="H54" s="609"/>
      <c r="I54" s="609"/>
      <c r="J54" s="609"/>
      <c r="K54" s="609"/>
      <c r="L54" s="609"/>
      <c r="M54" s="609"/>
      <c r="N54" s="609"/>
      <c r="O54" s="609"/>
      <c r="P54" s="609"/>
      <c r="Q54" s="609"/>
      <c r="R54" s="816"/>
      <c r="S54" s="816"/>
      <c r="T54" s="816"/>
      <c r="U54" s="816"/>
      <c r="V54" s="816"/>
      <c r="W54" s="816"/>
      <c r="X54" s="609"/>
      <c r="Y54" s="609"/>
      <c r="Z54" s="816"/>
      <c r="AA54" s="816"/>
      <c r="AB54" s="609"/>
      <c r="AC54" s="609"/>
      <c r="AD54" s="816"/>
      <c r="AE54" s="816"/>
      <c r="AF54" s="609"/>
      <c r="AG54" s="609"/>
      <c r="AH54" s="816"/>
      <c r="AI54" s="816"/>
      <c r="AJ54" s="817"/>
      <c r="AK54" s="609"/>
      <c r="AL54" s="609"/>
      <c r="AM54" s="816"/>
      <c r="AN54" s="816"/>
      <c r="AO54" s="816"/>
      <c r="AP54" s="816"/>
      <c r="AQ54" s="816"/>
      <c r="AR54" s="816"/>
      <c r="AS54" s="816"/>
      <c r="AT54" s="609"/>
      <c r="AU54" s="609"/>
      <c r="AV54" s="609"/>
      <c r="AW54" s="818"/>
      <c r="AX54" s="816"/>
      <c r="AY54" s="816"/>
      <c r="AZ54" s="609"/>
      <c r="BA54" s="609"/>
      <c r="BB54" s="816"/>
      <c r="BC54" s="816"/>
      <c r="BD54" s="609"/>
      <c r="BE54" s="609"/>
      <c r="BF54" s="816"/>
      <c r="BG54" s="816"/>
      <c r="BH54" s="816"/>
      <c r="BI54" s="816"/>
      <c r="BJ54" s="816"/>
      <c r="BK54" s="816"/>
      <c r="BL54" s="816"/>
      <c r="BM54" s="816"/>
      <c r="BN54" s="816"/>
      <c r="BO54" s="816"/>
      <c r="BP54" s="816"/>
      <c r="BQ54" s="816"/>
      <c r="BR54" s="816"/>
      <c r="BS54" s="816"/>
      <c r="BT54" s="816"/>
      <c r="BU54" s="816"/>
      <c r="BV54" s="816"/>
      <c r="BW54" s="816"/>
      <c r="BX54" s="609"/>
      <c r="BY54" s="609"/>
      <c r="BZ54" s="816"/>
      <c r="CA54" s="816"/>
      <c r="CB54" s="609"/>
      <c r="CC54" s="609"/>
      <c r="CD54" s="816"/>
      <c r="CE54" s="816"/>
      <c r="CF54" s="816"/>
      <c r="CG54" s="816"/>
      <c r="CH54" s="816"/>
      <c r="CI54" s="816"/>
      <c r="CJ54" s="816"/>
      <c r="CK54" s="816"/>
      <c r="CL54" s="819"/>
      <c r="CM54" s="816"/>
      <c r="CN54" s="820"/>
      <c r="CO54" s="820"/>
      <c r="CP54" s="820"/>
      <c r="CQ54" s="820"/>
      <c r="CR54" s="609"/>
      <c r="CS54" s="609"/>
      <c r="CT54" s="816"/>
      <c r="CU54" s="816"/>
      <c r="CV54" s="816"/>
      <c r="CW54" s="816"/>
      <c r="CX54" s="816"/>
      <c r="CY54" s="816"/>
      <c r="CZ54" s="816"/>
      <c r="DA54" s="609"/>
      <c r="DB54" s="609"/>
      <c r="DC54" s="816"/>
      <c r="DD54" s="816"/>
      <c r="DE54" s="609"/>
      <c r="DF54" s="609"/>
      <c r="DG54" s="816"/>
      <c r="DH54" s="816"/>
      <c r="DI54" s="816"/>
      <c r="DJ54" s="816"/>
      <c r="DK54" s="816"/>
      <c r="DL54" s="816"/>
      <c r="DM54" s="609"/>
      <c r="DN54" s="609"/>
      <c r="DO54" s="816"/>
      <c r="DP54" s="816"/>
      <c r="DQ54" s="609"/>
      <c r="DR54" s="609"/>
      <c r="DS54" s="816"/>
      <c r="DT54" s="816"/>
      <c r="DU54" s="609"/>
      <c r="DV54" s="609"/>
      <c r="DW54" s="816"/>
      <c r="DX54" s="816"/>
      <c r="DY54" s="816"/>
      <c r="DZ54" s="816"/>
      <c r="EA54" s="816"/>
      <c r="EB54" s="816"/>
      <c r="EC54" s="821"/>
      <c r="ED54" s="609"/>
      <c r="EE54" s="816"/>
      <c r="EF54" s="816"/>
      <c r="EG54" s="822"/>
      <c r="EH54" s="609"/>
      <c r="EI54" s="816"/>
      <c r="EJ54" s="816"/>
      <c r="EK54" s="609"/>
      <c r="EL54" s="816"/>
      <c r="EM54" s="816"/>
      <c r="EN54" s="816"/>
      <c r="EO54" s="816"/>
      <c r="EP54" s="816"/>
      <c r="EQ54" s="816"/>
      <c r="ER54" s="816"/>
      <c r="ES54" s="816"/>
      <c r="ET54" s="816"/>
      <c r="EU54" s="816"/>
      <c r="EV54" s="816"/>
      <c r="EW54" s="823"/>
      <c r="EX54" s="824"/>
      <c r="EY54" s="825"/>
      <c r="EZ54" s="825"/>
      <c r="FA54" s="816"/>
      <c r="FC54" s="826"/>
      <c r="FD54" s="826"/>
      <c r="FE54" s="826"/>
      <c r="FF54" s="826"/>
    </row>
    <row r="55" spans="2:162" s="780" customFormat="1">
      <c r="B55" s="609"/>
      <c r="C55" s="609"/>
      <c r="D55" s="609"/>
      <c r="E55" s="609"/>
      <c r="F55" s="609"/>
      <c r="G55" s="609"/>
      <c r="H55" s="609"/>
      <c r="I55" s="609"/>
      <c r="J55" s="609"/>
      <c r="K55" s="609"/>
      <c r="L55" s="609"/>
      <c r="M55" s="609"/>
      <c r="N55" s="609"/>
      <c r="O55" s="609"/>
      <c r="P55" s="609"/>
      <c r="Q55" s="609"/>
      <c r="R55" s="816"/>
      <c r="S55" s="816"/>
      <c r="T55" s="816"/>
      <c r="U55" s="816"/>
      <c r="V55" s="816"/>
      <c r="W55" s="816"/>
      <c r="X55" s="609"/>
      <c r="Y55" s="609"/>
      <c r="Z55" s="816"/>
      <c r="AA55" s="816"/>
      <c r="AB55" s="609"/>
      <c r="AC55" s="609"/>
      <c r="AD55" s="816"/>
      <c r="AE55" s="816"/>
      <c r="AF55" s="609"/>
      <c r="AG55" s="609"/>
      <c r="AH55" s="816"/>
      <c r="AI55" s="816"/>
      <c r="AJ55" s="817"/>
      <c r="AK55" s="609"/>
      <c r="AL55" s="609"/>
      <c r="AM55" s="816"/>
      <c r="AN55" s="816"/>
      <c r="AO55" s="816"/>
      <c r="AP55" s="816"/>
      <c r="AQ55" s="816"/>
      <c r="AR55" s="816"/>
      <c r="AS55" s="816"/>
      <c r="AT55" s="609"/>
      <c r="AU55" s="609"/>
      <c r="AV55" s="609"/>
      <c r="AW55" s="818"/>
      <c r="AX55" s="816"/>
      <c r="AY55" s="816"/>
      <c r="AZ55" s="609"/>
      <c r="BA55" s="609"/>
      <c r="BB55" s="816"/>
      <c r="BC55" s="816"/>
      <c r="BD55" s="609"/>
      <c r="BE55" s="609"/>
      <c r="BF55" s="816"/>
      <c r="BG55" s="816"/>
      <c r="BH55" s="816"/>
      <c r="BI55" s="816"/>
      <c r="BJ55" s="816"/>
      <c r="BK55" s="816"/>
      <c r="BL55" s="816"/>
      <c r="BM55" s="816"/>
      <c r="BN55" s="816"/>
      <c r="BO55" s="816"/>
      <c r="BP55" s="816"/>
      <c r="BQ55" s="816"/>
      <c r="BR55" s="816"/>
      <c r="BS55" s="816"/>
      <c r="BT55" s="816"/>
      <c r="BU55" s="816"/>
      <c r="BV55" s="816"/>
      <c r="BW55" s="816"/>
      <c r="BX55" s="609"/>
      <c r="BY55" s="609"/>
      <c r="BZ55" s="816"/>
      <c r="CA55" s="816"/>
      <c r="CB55" s="609"/>
      <c r="CC55" s="609"/>
      <c r="CD55" s="816"/>
      <c r="CE55" s="816"/>
      <c r="CF55" s="816"/>
      <c r="CG55" s="816"/>
      <c r="CH55" s="816"/>
      <c r="CI55" s="816"/>
      <c r="CJ55" s="816"/>
      <c r="CK55" s="816"/>
      <c r="CL55" s="819"/>
      <c r="CM55" s="816"/>
      <c r="CN55" s="820"/>
      <c r="CO55" s="820"/>
      <c r="CP55" s="820"/>
      <c r="CQ55" s="820"/>
      <c r="CR55" s="817"/>
      <c r="CS55" s="609"/>
      <c r="CT55" s="816"/>
      <c r="CU55" s="816"/>
      <c r="CV55" s="816"/>
      <c r="CW55" s="816"/>
      <c r="CX55" s="816"/>
      <c r="CY55" s="816"/>
      <c r="CZ55" s="816"/>
      <c r="DA55" s="609"/>
      <c r="DB55" s="609"/>
      <c r="DC55" s="816"/>
      <c r="DD55" s="816"/>
      <c r="DE55" s="609"/>
      <c r="DF55" s="609"/>
      <c r="DG55" s="816"/>
      <c r="DH55" s="816"/>
      <c r="DI55" s="816"/>
      <c r="DJ55" s="816"/>
      <c r="DK55" s="816"/>
      <c r="DL55" s="816"/>
      <c r="DM55" s="609"/>
      <c r="DN55" s="609"/>
      <c r="DO55" s="816"/>
      <c r="DP55" s="816"/>
      <c r="DQ55" s="609"/>
      <c r="DR55" s="609"/>
      <c r="DS55" s="816"/>
      <c r="DT55" s="816"/>
      <c r="DU55" s="609"/>
      <c r="DV55" s="609"/>
      <c r="DW55" s="816"/>
      <c r="DX55" s="816"/>
      <c r="DY55" s="816"/>
      <c r="DZ55" s="816"/>
      <c r="EA55" s="816"/>
      <c r="EB55" s="816"/>
      <c r="EC55" s="821"/>
      <c r="ED55" s="609"/>
      <c r="EE55" s="816"/>
      <c r="EF55" s="816"/>
      <c r="EG55" s="822"/>
      <c r="EH55" s="609"/>
      <c r="EI55" s="816"/>
      <c r="EJ55" s="816"/>
      <c r="EK55" s="609"/>
      <c r="EL55" s="816"/>
      <c r="EM55" s="816"/>
      <c r="EN55" s="816"/>
      <c r="EO55" s="816"/>
      <c r="EP55" s="816"/>
      <c r="EQ55" s="816"/>
      <c r="ER55" s="816"/>
      <c r="ES55" s="816"/>
      <c r="ET55" s="816"/>
      <c r="EU55" s="816"/>
      <c r="EV55" s="816"/>
      <c r="EW55" s="823"/>
      <c r="EX55" s="824"/>
      <c r="EY55" s="825"/>
      <c r="EZ55" s="825"/>
      <c r="FA55" s="816"/>
      <c r="FC55" s="826"/>
      <c r="FD55" s="826"/>
      <c r="FE55" s="826"/>
      <c r="FF55" s="826"/>
    </row>
    <row r="56" spans="2:162" s="780" customFormat="1">
      <c r="B56" s="609"/>
      <c r="C56" s="609"/>
      <c r="D56" s="609"/>
      <c r="E56" s="609"/>
      <c r="F56" s="609"/>
      <c r="G56" s="609"/>
      <c r="H56" s="609"/>
      <c r="I56" s="609"/>
      <c r="J56" s="609"/>
      <c r="K56" s="609"/>
      <c r="L56" s="609"/>
      <c r="M56" s="609"/>
      <c r="N56" s="609"/>
      <c r="O56" s="609"/>
      <c r="P56" s="609"/>
      <c r="Q56" s="609"/>
      <c r="R56" s="816"/>
      <c r="S56" s="816"/>
      <c r="T56" s="816"/>
      <c r="U56" s="816"/>
      <c r="V56" s="816"/>
      <c r="W56" s="816"/>
      <c r="X56" s="609"/>
      <c r="Y56" s="609"/>
      <c r="Z56" s="816"/>
      <c r="AA56" s="816"/>
      <c r="AB56" s="609"/>
      <c r="AC56" s="609"/>
      <c r="AD56" s="816"/>
      <c r="AE56" s="816"/>
      <c r="AF56" s="609"/>
      <c r="AG56" s="609"/>
      <c r="AH56" s="816"/>
      <c r="AI56" s="816"/>
      <c r="AJ56" s="817"/>
      <c r="AK56" s="609"/>
      <c r="AL56" s="609"/>
      <c r="AM56" s="816"/>
      <c r="AN56" s="816"/>
      <c r="AO56" s="816"/>
      <c r="AP56" s="816"/>
      <c r="AQ56" s="816"/>
      <c r="AR56" s="816"/>
      <c r="AS56" s="816"/>
      <c r="AT56" s="609"/>
      <c r="AU56" s="609"/>
      <c r="AV56" s="609"/>
      <c r="AW56" s="818"/>
      <c r="AX56" s="816"/>
      <c r="AY56" s="816"/>
      <c r="AZ56" s="609"/>
      <c r="BA56" s="609"/>
      <c r="BB56" s="816"/>
      <c r="BC56" s="816"/>
      <c r="BD56" s="609"/>
      <c r="BE56" s="609"/>
      <c r="BF56" s="816"/>
      <c r="BG56" s="816"/>
      <c r="BH56" s="816"/>
      <c r="BI56" s="816"/>
      <c r="BJ56" s="816"/>
      <c r="BK56" s="816"/>
      <c r="BL56" s="816"/>
      <c r="BM56" s="816"/>
      <c r="BN56" s="816"/>
      <c r="BO56" s="816"/>
      <c r="BP56" s="816"/>
      <c r="BQ56" s="816"/>
      <c r="BR56" s="816"/>
      <c r="BS56" s="816"/>
      <c r="BT56" s="816"/>
      <c r="BU56" s="816"/>
      <c r="BV56" s="816"/>
      <c r="BW56" s="816"/>
      <c r="BX56" s="609"/>
      <c r="BY56" s="609"/>
      <c r="BZ56" s="816"/>
      <c r="CA56" s="816"/>
      <c r="CB56" s="609"/>
      <c r="CC56" s="609"/>
      <c r="CD56" s="816"/>
      <c r="CE56" s="816"/>
      <c r="CF56" s="816"/>
      <c r="CG56" s="816"/>
      <c r="CH56" s="816"/>
      <c r="CI56" s="816"/>
      <c r="CJ56" s="816"/>
      <c r="CK56" s="816"/>
      <c r="CL56" s="819"/>
      <c r="CM56" s="816"/>
      <c r="CN56" s="820"/>
      <c r="CO56" s="820"/>
      <c r="CP56" s="820"/>
      <c r="CQ56" s="820"/>
      <c r="CR56" s="817"/>
      <c r="CS56" s="609"/>
      <c r="CT56" s="816"/>
      <c r="CU56" s="816"/>
      <c r="CV56" s="816"/>
      <c r="CW56" s="816"/>
      <c r="CX56" s="816"/>
      <c r="CY56" s="816"/>
      <c r="CZ56" s="816"/>
      <c r="DA56" s="609"/>
      <c r="DB56" s="609"/>
      <c r="DC56" s="816"/>
      <c r="DD56" s="816"/>
      <c r="DE56" s="609"/>
      <c r="DF56" s="609"/>
      <c r="DG56" s="816"/>
      <c r="DH56" s="816"/>
      <c r="DI56" s="816"/>
      <c r="DJ56" s="816"/>
      <c r="DK56" s="816"/>
      <c r="DL56" s="816"/>
      <c r="DM56" s="609"/>
      <c r="DN56" s="609"/>
      <c r="DO56" s="816"/>
      <c r="DP56" s="816"/>
      <c r="DQ56" s="609"/>
      <c r="DR56" s="609"/>
      <c r="DS56" s="816"/>
      <c r="DT56" s="816"/>
      <c r="DU56" s="609"/>
      <c r="DV56" s="609"/>
      <c r="DW56" s="816"/>
      <c r="DX56" s="816"/>
      <c r="DY56" s="816"/>
      <c r="DZ56" s="816"/>
      <c r="EA56" s="816"/>
      <c r="EB56" s="816"/>
      <c r="EC56" s="821"/>
      <c r="ED56" s="609"/>
      <c r="EE56" s="816"/>
      <c r="EF56" s="816"/>
      <c r="EG56" s="822"/>
      <c r="EH56" s="609"/>
      <c r="EI56" s="816"/>
      <c r="EJ56" s="816"/>
      <c r="EK56" s="609"/>
      <c r="EL56" s="816"/>
      <c r="EM56" s="816"/>
      <c r="EN56" s="816"/>
      <c r="EO56" s="816"/>
      <c r="EP56" s="816"/>
      <c r="EQ56" s="816"/>
      <c r="ER56" s="816"/>
      <c r="ES56" s="816"/>
      <c r="ET56" s="816"/>
      <c r="EU56" s="816"/>
      <c r="EV56" s="816"/>
      <c r="EW56" s="823"/>
      <c r="EX56" s="824"/>
      <c r="EY56" s="825"/>
      <c r="EZ56" s="825"/>
      <c r="FA56" s="816"/>
      <c r="FC56" s="826"/>
      <c r="FD56" s="826"/>
      <c r="FE56" s="826"/>
      <c r="FF56" s="826"/>
    </row>
    <row r="57" spans="2:162" s="780" customFormat="1">
      <c r="B57" s="609"/>
      <c r="C57" s="609"/>
      <c r="D57" s="609"/>
      <c r="E57" s="609"/>
      <c r="F57" s="609"/>
      <c r="G57" s="609"/>
      <c r="H57" s="609"/>
      <c r="I57" s="609"/>
      <c r="J57" s="609"/>
      <c r="K57" s="609"/>
      <c r="L57" s="609"/>
      <c r="M57" s="609"/>
      <c r="N57" s="609"/>
      <c r="O57" s="609"/>
      <c r="P57" s="609"/>
      <c r="Q57" s="609"/>
      <c r="R57" s="816"/>
      <c r="S57" s="816"/>
      <c r="T57" s="816"/>
      <c r="U57" s="816"/>
      <c r="V57" s="816"/>
      <c r="W57" s="816"/>
      <c r="X57" s="609"/>
      <c r="Y57" s="609"/>
      <c r="Z57" s="816"/>
      <c r="AA57" s="816"/>
      <c r="AB57" s="609"/>
      <c r="AC57" s="609"/>
      <c r="AD57" s="816"/>
      <c r="AE57" s="816"/>
      <c r="AF57" s="609"/>
      <c r="AG57" s="609"/>
      <c r="AH57" s="816"/>
      <c r="AI57" s="816"/>
      <c r="AJ57" s="817"/>
      <c r="AK57" s="609"/>
      <c r="AL57" s="609"/>
      <c r="AM57" s="816"/>
      <c r="AN57" s="816"/>
      <c r="AO57" s="816"/>
      <c r="AP57" s="816"/>
      <c r="AQ57" s="816"/>
      <c r="AR57" s="816"/>
      <c r="AS57" s="816"/>
      <c r="AT57" s="609"/>
      <c r="AU57" s="609"/>
      <c r="AV57" s="609"/>
      <c r="AW57" s="818"/>
      <c r="AX57" s="816"/>
      <c r="AY57" s="816"/>
      <c r="AZ57" s="609"/>
      <c r="BA57" s="609"/>
      <c r="BB57" s="816"/>
      <c r="BC57" s="816"/>
      <c r="BD57" s="609"/>
      <c r="BE57" s="609"/>
      <c r="BF57" s="816"/>
      <c r="BG57" s="816"/>
      <c r="BH57" s="816"/>
      <c r="BI57" s="816"/>
      <c r="BJ57" s="816"/>
      <c r="BK57" s="816"/>
      <c r="BL57" s="816"/>
      <c r="BM57" s="816"/>
      <c r="BN57" s="816"/>
      <c r="BO57" s="816"/>
      <c r="BP57" s="816"/>
      <c r="BQ57" s="816"/>
      <c r="BR57" s="816"/>
      <c r="BS57" s="816"/>
      <c r="BT57" s="816"/>
      <c r="BU57" s="816"/>
      <c r="BV57" s="816"/>
      <c r="BW57" s="816"/>
      <c r="BX57" s="609"/>
      <c r="BY57" s="609"/>
      <c r="BZ57" s="816"/>
      <c r="CA57" s="816"/>
      <c r="CB57" s="609"/>
      <c r="CC57" s="609"/>
      <c r="CD57" s="816"/>
      <c r="CE57" s="816"/>
      <c r="CF57" s="816"/>
      <c r="CG57" s="816"/>
      <c r="CH57" s="816"/>
      <c r="CI57" s="816"/>
      <c r="CJ57" s="816"/>
      <c r="CK57" s="816"/>
      <c r="CL57" s="819"/>
      <c r="CM57" s="816"/>
      <c r="CN57" s="820"/>
      <c r="CO57" s="820"/>
      <c r="CP57" s="820"/>
      <c r="CQ57" s="820"/>
      <c r="CR57" s="817"/>
      <c r="CS57" s="609"/>
      <c r="CT57" s="816"/>
      <c r="CU57" s="816"/>
      <c r="CV57" s="816"/>
      <c r="CW57" s="816"/>
      <c r="CX57" s="816"/>
      <c r="CY57" s="816"/>
      <c r="CZ57" s="816"/>
      <c r="DA57" s="609"/>
      <c r="DB57" s="609"/>
      <c r="DC57" s="816"/>
      <c r="DD57" s="816"/>
      <c r="DE57" s="609"/>
      <c r="DF57" s="609"/>
      <c r="DG57" s="816"/>
      <c r="DH57" s="816"/>
      <c r="DI57" s="816"/>
      <c r="DJ57" s="816"/>
      <c r="DK57" s="816"/>
      <c r="DL57" s="816"/>
      <c r="DM57" s="609"/>
      <c r="DN57" s="609"/>
      <c r="DO57" s="816"/>
      <c r="DP57" s="816"/>
      <c r="DQ57" s="609"/>
      <c r="DR57" s="609"/>
      <c r="DS57" s="816"/>
      <c r="DT57" s="816"/>
      <c r="DU57" s="609"/>
      <c r="DV57" s="609"/>
      <c r="DW57" s="816"/>
      <c r="DX57" s="816"/>
      <c r="DY57" s="816"/>
      <c r="DZ57" s="816"/>
      <c r="EA57" s="816"/>
      <c r="EB57" s="816"/>
      <c r="EC57" s="821"/>
      <c r="ED57" s="609"/>
      <c r="EE57" s="816"/>
      <c r="EF57" s="816"/>
      <c r="EG57" s="822"/>
      <c r="EH57" s="609"/>
      <c r="EI57" s="816"/>
      <c r="EJ57" s="816"/>
      <c r="EK57" s="609"/>
      <c r="EL57" s="816"/>
      <c r="EM57" s="816"/>
      <c r="EN57" s="816"/>
      <c r="EO57" s="816"/>
      <c r="EP57" s="816"/>
      <c r="EQ57" s="816"/>
      <c r="ER57" s="816"/>
      <c r="ES57" s="816"/>
      <c r="ET57" s="816"/>
      <c r="EU57" s="816"/>
      <c r="EV57" s="816"/>
      <c r="EW57" s="823"/>
      <c r="EX57" s="824"/>
      <c r="EY57" s="825"/>
      <c r="EZ57" s="825"/>
      <c r="FA57" s="816"/>
      <c r="FC57" s="826"/>
      <c r="FD57" s="826"/>
      <c r="FE57" s="826"/>
      <c r="FF57" s="826"/>
    </row>
    <row r="58" spans="2:162" s="780" customFormat="1">
      <c r="B58" s="609"/>
      <c r="C58" s="609"/>
      <c r="D58" s="609"/>
      <c r="E58" s="609"/>
      <c r="F58" s="609"/>
      <c r="G58" s="609"/>
      <c r="H58" s="609"/>
      <c r="I58" s="609"/>
      <c r="J58" s="609"/>
      <c r="K58" s="609"/>
      <c r="L58" s="609"/>
      <c r="M58" s="609"/>
      <c r="N58" s="609"/>
      <c r="O58" s="609"/>
      <c r="P58" s="609"/>
      <c r="Q58" s="609"/>
      <c r="R58" s="816"/>
      <c r="S58" s="816"/>
      <c r="T58" s="816"/>
      <c r="U58" s="816"/>
      <c r="V58" s="816"/>
      <c r="W58" s="816"/>
      <c r="X58" s="609"/>
      <c r="Y58" s="609"/>
      <c r="Z58" s="816"/>
      <c r="AA58" s="816"/>
      <c r="AB58" s="609"/>
      <c r="AC58" s="609"/>
      <c r="AD58" s="816"/>
      <c r="AE58" s="816"/>
      <c r="AF58" s="609"/>
      <c r="AG58" s="609"/>
      <c r="AH58" s="816"/>
      <c r="AI58" s="816"/>
      <c r="AJ58" s="817"/>
      <c r="AK58" s="609"/>
      <c r="AL58" s="609"/>
      <c r="AM58" s="816"/>
      <c r="AN58" s="816"/>
      <c r="AO58" s="816"/>
      <c r="AP58" s="816"/>
      <c r="AQ58" s="816"/>
      <c r="AR58" s="816"/>
      <c r="AS58" s="816"/>
      <c r="AT58" s="609"/>
      <c r="AU58" s="609"/>
      <c r="AV58" s="609"/>
      <c r="AW58" s="818"/>
      <c r="AX58" s="816"/>
      <c r="AY58" s="816"/>
      <c r="AZ58" s="609"/>
      <c r="BA58" s="609"/>
      <c r="BB58" s="816"/>
      <c r="BC58" s="816"/>
      <c r="BD58" s="609"/>
      <c r="BE58" s="609"/>
      <c r="BF58" s="816"/>
      <c r="BG58" s="816"/>
      <c r="BH58" s="816"/>
      <c r="BI58" s="816"/>
      <c r="BJ58" s="816"/>
      <c r="BK58" s="816"/>
      <c r="BL58" s="816"/>
      <c r="BM58" s="816"/>
      <c r="BN58" s="816"/>
      <c r="BO58" s="816"/>
      <c r="BP58" s="816"/>
      <c r="BQ58" s="816"/>
      <c r="BR58" s="816"/>
      <c r="BS58" s="816"/>
      <c r="BT58" s="816"/>
      <c r="BU58" s="816"/>
      <c r="BV58" s="816"/>
      <c r="BW58" s="816"/>
      <c r="BX58" s="609"/>
      <c r="BY58" s="609"/>
      <c r="BZ58" s="816"/>
      <c r="CA58" s="816"/>
      <c r="CB58" s="609"/>
      <c r="CC58" s="609"/>
      <c r="CD58" s="816"/>
      <c r="CE58" s="816"/>
      <c r="CF58" s="816"/>
      <c r="CG58" s="816"/>
      <c r="CH58" s="816"/>
      <c r="CI58" s="816"/>
      <c r="CJ58" s="816"/>
      <c r="CK58" s="816"/>
      <c r="CL58" s="819"/>
      <c r="CM58" s="816"/>
      <c r="CN58" s="820"/>
      <c r="CO58" s="820"/>
      <c r="CP58" s="820"/>
      <c r="CQ58" s="820"/>
      <c r="CR58" s="817"/>
      <c r="CS58" s="609"/>
      <c r="CT58" s="816"/>
      <c r="CU58" s="816"/>
      <c r="CV58" s="816"/>
      <c r="CW58" s="816"/>
      <c r="CX58" s="816"/>
      <c r="CY58" s="816"/>
      <c r="CZ58" s="816"/>
      <c r="DA58" s="609"/>
      <c r="DB58" s="609"/>
      <c r="DC58" s="816"/>
      <c r="DD58" s="816"/>
      <c r="DE58" s="609"/>
      <c r="DF58" s="609"/>
      <c r="DG58" s="816"/>
      <c r="DH58" s="816"/>
      <c r="DI58" s="816"/>
      <c r="DJ58" s="816"/>
      <c r="DK58" s="816"/>
      <c r="DL58" s="816"/>
      <c r="DM58" s="609"/>
      <c r="DN58" s="609"/>
      <c r="DO58" s="816"/>
      <c r="DP58" s="816"/>
      <c r="DQ58" s="609"/>
      <c r="DR58" s="609"/>
      <c r="DS58" s="816"/>
      <c r="DT58" s="816"/>
      <c r="DU58" s="609"/>
      <c r="DV58" s="609"/>
      <c r="DW58" s="816"/>
      <c r="DX58" s="816"/>
      <c r="DY58" s="816"/>
      <c r="DZ58" s="816"/>
      <c r="EA58" s="816"/>
      <c r="EB58" s="816"/>
      <c r="EC58" s="821"/>
      <c r="ED58" s="609"/>
      <c r="EE58" s="816"/>
      <c r="EF58" s="816"/>
      <c r="EG58" s="822"/>
      <c r="EH58" s="609"/>
      <c r="EI58" s="816"/>
      <c r="EJ58" s="816"/>
      <c r="EK58" s="609"/>
      <c r="EL58" s="816"/>
      <c r="EM58" s="816"/>
      <c r="EN58" s="816"/>
      <c r="EO58" s="816"/>
      <c r="EP58" s="816"/>
      <c r="EQ58" s="816"/>
      <c r="ER58" s="816"/>
      <c r="ES58" s="816"/>
      <c r="ET58" s="816"/>
      <c r="EU58" s="816"/>
      <c r="EV58" s="816"/>
      <c r="EW58" s="823"/>
      <c r="EX58" s="824"/>
      <c r="EY58" s="825"/>
      <c r="EZ58" s="825"/>
      <c r="FA58" s="816"/>
      <c r="FC58" s="826"/>
      <c r="FD58" s="826"/>
      <c r="FE58" s="826"/>
      <c r="FF58" s="826"/>
    </row>
    <row r="59" spans="2:162" s="780" customFormat="1">
      <c r="B59" s="609"/>
      <c r="C59" s="609"/>
      <c r="D59" s="609"/>
      <c r="E59" s="609"/>
      <c r="F59" s="609"/>
      <c r="G59" s="609"/>
      <c r="H59" s="609"/>
      <c r="I59" s="609"/>
      <c r="J59" s="609"/>
      <c r="K59" s="609"/>
      <c r="L59" s="609"/>
      <c r="M59" s="609"/>
      <c r="N59" s="609"/>
      <c r="O59" s="609"/>
      <c r="P59" s="609"/>
      <c r="Q59" s="609"/>
      <c r="R59" s="816"/>
      <c r="S59" s="816"/>
      <c r="T59" s="816"/>
      <c r="U59" s="816"/>
      <c r="V59" s="816"/>
      <c r="W59" s="816"/>
      <c r="X59" s="609"/>
      <c r="Y59" s="609"/>
      <c r="Z59" s="816"/>
      <c r="AA59" s="816"/>
      <c r="AB59" s="609"/>
      <c r="AC59" s="609"/>
      <c r="AD59" s="816"/>
      <c r="AE59" s="816"/>
      <c r="AF59" s="609"/>
      <c r="AG59" s="609"/>
      <c r="AH59" s="816"/>
      <c r="AI59" s="816"/>
      <c r="AJ59" s="817"/>
      <c r="AK59" s="609"/>
      <c r="AL59" s="609"/>
      <c r="AM59" s="816"/>
      <c r="AN59" s="816"/>
      <c r="AO59" s="816"/>
      <c r="AP59" s="816"/>
      <c r="AQ59" s="816"/>
      <c r="AR59" s="816"/>
      <c r="AS59" s="816"/>
      <c r="AT59" s="609"/>
      <c r="AU59" s="609"/>
      <c r="AV59" s="609"/>
      <c r="AW59" s="818"/>
      <c r="AX59" s="816"/>
      <c r="AY59" s="816"/>
      <c r="AZ59" s="609"/>
      <c r="BA59" s="609"/>
      <c r="BB59" s="816"/>
      <c r="BC59" s="816"/>
      <c r="BD59" s="609"/>
      <c r="BE59" s="609"/>
      <c r="BF59" s="816"/>
      <c r="BG59" s="816"/>
      <c r="BH59" s="816"/>
      <c r="BI59" s="816"/>
      <c r="BJ59" s="816"/>
      <c r="BK59" s="816"/>
      <c r="BL59" s="816"/>
      <c r="BM59" s="816"/>
      <c r="BN59" s="816"/>
      <c r="BO59" s="816"/>
      <c r="BP59" s="816"/>
      <c r="BQ59" s="816"/>
      <c r="BR59" s="816"/>
      <c r="BS59" s="816"/>
      <c r="BT59" s="816"/>
      <c r="BU59" s="816"/>
      <c r="BV59" s="816"/>
      <c r="BW59" s="816"/>
      <c r="BX59" s="609"/>
      <c r="BY59" s="609"/>
      <c r="BZ59" s="816"/>
      <c r="CA59" s="816"/>
      <c r="CB59" s="609"/>
      <c r="CC59" s="609"/>
      <c r="CD59" s="816"/>
      <c r="CE59" s="816"/>
      <c r="CF59" s="816"/>
      <c r="CG59" s="816"/>
      <c r="CH59" s="816"/>
      <c r="CI59" s="816"/>
      <c r="CJ59" s="816"/>
      <c r="CK59" s="816"/>
      <c r="CL59" s="819"/>
      <c r="CM59" s="816"/>
      <c r="CN59" s="820"/>
      <c r="CO59" s="820"/>
      <c r="CP59" s="820"/>
      <c r="CQ59" s="820"/>
      <c r="CR59" s="609"/>
      <c r="CS59" s="609"/>
      <c r="CT59" s="816"/>
      <c r="CU59" s="816"/>
      <c r="CV59" s="816"/>
      <c r="CW59" s="816"/>
      <c r="CX59" s="816"/>
      <c r="CY59" s="816"/>
      <c r="CZ59" s="816"/>
      <c r="DA59" s="609"/>
      <c r="DB59" s="609"/>
      <c r="DC59" s="816"/>
      <c r="DD59" s="816"/>
      <c r="DE59" s="609"/>
      <c r="DF59" s="609"/>
      <c r="DG59" s="816"/>
      <c r="DH59" s="816"/>
      <c r="DI59" s="816"/>
      <c r="DJ59" s="816"/>
      <c r="DK59" s="816"/>
      <c r="DL59" s="816"/>
      <c r="DM59" s="609"/>
      <c r="DN59" s="609"/>
      <c r="DO59" s="816"/>
      <c r="DP59" s="816"/>
      <c r="DQ59" s="609"/>
      <c r="DR59" s="609"/>
      <c r="DS59" s="816"/>
      <c r="DT59" s="816"/>
      <c r="DU59" s="609"/>
      <c r="DV59" s="609"/>
      <c r="DW59" s="816"/>
      <c r="DX59" s="816"/>
      <c r="DY59" s="816"/>
      <c r="DZ59" s="816"/>
      <c r="EA59" s="816"/>
      <c r="EB59" s="816"/>
      <c r="EC59" s="821"/>
      <c r="ED59" s="609"/>
      <c r="EE59" s="816"/>
      <c r="EF59" s="816"/>
      <c r="EG59" s="822"/>
      <c r="EH59" s="609"/>
      <c r="EI59" s="816"/>
      <c r="EJ59" s="816"/>
      <c r="EK59" s="609"/>
      <c r="EL59" s="816"/>
      <c r="EM59" s="816"/>
      <c r="EN59" s="816"/>
      <c r="EO59" s="816"/>
      <c r="EP59" s="816"/>
      <c r="EQ59" s="816"/>
      <c r="ER59" s="816"/>
      <c r="ES59" s="816"/>
      <c r="ET59" s="816"/>
      <c r="EU59" s="816"/>
      <c r="EV59" s="816"/>
      <c r="EW59" s="823"/>
      <c r="EX59" s="824"/>
      <c r="EY59" s="825"/>
      <c r="EZ59" s="825"/>
      <c r="FA59" s="816"/>
      <c r="FC59" s="826"/>
      <c r="FD59" s="826"/>
      <c r="FE59" s="826"/>
      <c r="FF59" s="826"/>
    </row>
    <row r="60" spans="2:162" s="780" customFormat="1">
      <c r="B60" s="609"/>
      <c r="C60" s="609"/>
      <c r="D60" s="609"/>
      <c r="E60" s="609"/>
      <c r="F60" s="609"/>
      <c r="G60" s="609"/>
      <c r="H60" s="609"/>
      <c r="I60" s="609"/>
      <c r="J60" s="609"/>
      <c r="K60" s="609"/>
      <c r="L60" s="609"/>
      <c r="M60" s="609"/>
      <c r="N60" s="609"/>
      <c r="O60" s="609"/>
      <c r="P60" s="609"/>
      <c r="Q60" s="609"/>
      <c r="R60" s="816"/>
      <c r="S60" s="816"/>
      <c r="T60" s="816"/>
      <c r="U60" s="816"/>
      <c r="V60" s="816"/>
      <c r="W60" s="816"/>
      <c r="X60" s="609"/>
      <c r="Y60" s="609"/>
      <c r="Z60" s="816"/>
      <c r="AA60" s="816"/>
      <c r="AB60" s="609"/>
      <c r="AC60" s="609"/>
      <c r="AD60" s="816"/>
      <c r="AE60" s="816"/>
      <c r="AF60" s="609"/>
      <c r="AG60" s="609"/>
      <c r="AH60" s="816"/>
      <c r="AI60" s="816"/>
      <c r="AJ60" s="817"/>
      <c r="AK60" s="609"/>
      <c r="AL60" s="609"/>
      <c r="AM60" s="816"/>
      <c r="AN60" s="816"/>
      <c r="AO60" s="816"/>
      <c r="AP60" s="816"/>
      <c r="AQ60" s="816"/>
      <c r="AR60" s="816"/>
      <c r="AS60" s="816"/>
      <c r="AT60" s="609"/>
      <c r="AU60" s="609"/>
      <c r="AV60" s="609"/>
      <c r="AW60" s="818"/>
      <c r="AX60" s="816"/>
      <c r="AY60" s="816"/>
      <c r="AZ60" s="609"/>
      <c r="BA60" s="609"/>
      <c r="BB60" s="816"/>
      <c r="BC60" s="816"/>
      <c r="BD60" s="609"/>
      <c r="BE60" s="609"/>
      <c r="BF60" s="816"/>
      <c r="BG60" s="816"/>
      <c r="BH60" s="816"/>
      <c r="BI60" s="816"/>
      <c r="BJ60" s="816"/>
      <c r="BK60" s="816"/>
      <c r="BL60" s="816"/>
      <c r="BM60" s="816"/>
      <c r="BN60" s="816"/>
      <c r="BO60" s="816"/>
      <c r="BP60" s="816"/>
      <c r="BQ60" s="816"/>
      <c r="BR60" s="816"/>
      <c r="BS60" s="816"/>
      <c r="BT60" s="816"/>
      <c r="BU60" s="816"/>
      <c r="BV60" s="816"/>
      <c r="BW60" s="816"/>
      <c r="BX60" s="609"/>
      <c r="BY60" s="609"/>
      <c r="BZ60" s="816"/>
      <c r="CA60" s="816"/>
      <c r="CB60" s="609"/>
      <c r="CC60" s="609"/>
      <c r="CD60" s="816"/>
      <c r="CE60" s="816"/>
      <c r="CF60" s="816"/>
      <c r="CG60" s="816"/>
      <c r="CH60" s="816"/>
      <c r="CI60" s="816"/>
      <c r="CJ60" s="816"/>
      <c r="CK60" s="816"/>
      <c r="CL60" s="819"/>
      <c r="CM60" s="816"/>
      <c r="CN60" s="820"/>
      <c r="CO60" s="820"/>
      <c r="CP60" s="820"/>
      <c r="CQ60" s="820"/>
      <c r="CR60" s="817"/>
      <c r="CS60" s="609"/>
      <c r="CT60" s="816"/>
      <c r="CU60" s="816"/>
      <c r="CV60" s="816"/>
      <c r="CW60" s="816"/>
      <c r="CX60" s="816"/>
      <c r="CY60" s="816"/>
      <c r="CZ60" s="816"/>
      <c r="DA60" s="609"/>
      <c r="DB60" s="609"/>
      <c r="DC60" s="816"/>
      <c r="DD60" s="816"/>
      <c r="DE60" s="609"/>
      <c r="DF60" s="609"/>
      <c r="DG60" s="816"/>
      <c r="DH60" s="816"/>
      <c r="DI60" s="816"/>
      <c r="DJ60" s="816"/>
      <c r="DK60" s="816"/>
      <c r="DL60" s="816"/>
      <c r="DM60" s="609"/>
      <c r="DN60" s="609"/>
      <c r="DO60" s="816"/>
      <c r="DP60" s="816"/>
      <c r="DQ60" s="609"/>
      <c r="DR60" s="609"/>
      <c r="DS60" s="816"/>
      <c r="DT60" s="816"/>
      <c r="DU60" s="609"/>
      <c r="DV60" s="609"/>
      <c r="DW60" s="816"/>
      <c r="DX60" s="816"/>
      <c r="DY60" s="816"/>
      <c r="DZ60" s="816"/>
      <c r="EA60" s="816"/>
      <c r="EB60" s="816"/>
      <c r="EC60" s="821"/>
      <c r="ED60" s="609"/>
      <c r="EE60" s="816"/>
      <c r="EF60" s="816"/>
      <c r="EG60" s="822"/>
      <c r="EH60" s="609"/>
      <c r="EI60" s="816"/>
      <c r="EJ60" s="816"/>
      <c r="EK60" s="609"/>
      <c r="EL60" s="816"/>
      <c r="EM60" s="816"/>
      <c r="EN60" s="816"/>
      <c r="EO60" s="816"/>
      <c r="EP60" s="816"/>
      <c r="EQ60" s="816"/>
      <c r="ER60" s="816"/>
      <c r="ES60" s="816"/>
      <c r="ET60" s="816"/>
      <c r="EU60" s="816"/>
      <c r="EV60" s="816"/>
      <c r="EW60" s="823"/>
      <c r="EX60" s="824"/>
      <c r="EY60" s="825"/>
      <c r="EZ60" s="825"/>
      <c r="FA60" s="816"/>
      <c r="FC60" s="826"/>
      <c r="FD60" s="826"/>
      <c r="FE60" s="826"/>
      <c r="FF60" s="826"/>
    </row>
    <row r="61" spans="2:162" s="780" customFormat="1">
      <c r="B61" s="609"/>
      <c r="C61" s="609"/>
      <c r="D61" s="609"/>
      <c r="E61" s="609"/>
      <c r="F61" s="609"/>
      <c r="G61" s="609"/>
      <c r="H61" s="609"/>
      <c r="I61" s="609"/>
      <c r="J61" s="609"/>
      <c r="K61" s="609"/>
      <c r="L61" s="609"/>
      <c r="M61" s="609"/>
      <c r="N61" s="609"/>
      <c r="O61" s="609"/>
      <c r="P61" s="609"/>
      <c r="Q61" s="609"/>
      <c r="R61" s="816"/>
      <c r="S61" s="816"/>
      <c r="T61" s="816"/>
      <c r="U61" s="816"/>
      <c r="V61" s="816"/>
      <c r="W61" s="816"/>
      <c r="X61" s="609"/>
      <c r="Y61" s="609"/>
      <c r="Z61" s="816"/>
      <c r="AA61" s="816"/>
      <c r="AB61" s="609"/>
      <c r="AC61" s="609"/>
      <c r="AD61" s="816"/>
      <c r="AE61" s="816"/>
      <c r="AF61" s="609"/>
      <c r="AG61" s="609"/>
      <c r="AH61" s="816"/>
      <c r="AI61" s="816"/>
      <c r="AJ61" s="817"/>
      <c r="AK61" s="609"/>
      <c r="AL61" s="609"/>
      <c r="AM61" s="816"/>
      <c r="AN61" s="816"/>
      <c r="AO61" s="816"/>
      <c r="AP61" s="816"/>
      <c r="AQ61" s="816"/>
      <c r="AR61" s="816"/>
      <c r="AS61" s="816"/>
      <c r="AT61" s="609"/>
      <c r="AU61" s="609"/>
      <c r="AV61" s="609"/>
      <c r="AW61" s="818"/>
      <c r="AX61" s="816"/>
      <c r="AY61" s="816"/>
      <c r="AZ61" s="609"/>
      <c r="BA61" s="609"/>
      <c r="BB61" s="816"/>
      <c r="BC61" s="816"/>
      <c r="BD61" s="609"/>
      <c r="BE61" s="609"/>
      <c r="BF61" s="816"/>
      <c r="BG61" s="816"/>
      <c r="BH61" s="816"/>
      <c r="BI61" s="816"/>
      <c r="BJ61" s="816"/>
      <c r="BK61" s="816"/>
      <c r="BL61" s="816"/>
      <c r="BM61" s="816"/>
      <c r="BN61" s="816"/>
      <c r="BO61" s="816"/>
      <c r="BP61" s="816"/>
      <c r="BQ61" s="816"/>
      <c r="BR61" s="816"/>
      <c r="BS61" s="816"/>
      <c r="BT61" s="816"/>
      <c r="BU61" s="816"/>
      <c r="BV61" s="816"/>
      <c r="BW61" s="816"/>
      <c r="BX61" s="609"/>
      <c r="BY61" s="609"/>
      <c r="BZ61" s="816"/>
      <c r="CA61" s="816"/>
      <c r="CB61" s="609"/>
      <c r="CC61" s="609"/>
      <c r="CD61" s="816"/>
      <c r="CE61" s="816"/>
      <c r="CF61" s="816"/>
      <c r="CG61" s="816"/>
      <c r="CH61" s="816"/>
      <c r="CI61" s="816"/>
      <c r="CJ61" s="816"/>
      <c r="CK61" s="816"/>
      <c r="CL61" s="819"/>
      <c r="CM61" s="816"/>
      <c r="CN61" s="820"/>
      <c r="CO61" s="820"/>
      <c r="CP61" s="820"/>
      <c r="CQ61" s="820"/>
      <c r="CR61" s="817"/>
      <c r="CS61" s="609"/>
      <c r="CT61" s="816"/>
      <c r="CU61" s="816"/>
      <c r="CV61" s="816"/>
      <c r="CW61" s="816"/>
      <c r="CX61" s="816"/>
      <c r="CY61" s="816"/>
      <c r="CZ61" s="816"/>
      <c r="DA61" s="609"/>
      <c r="DB61" s="609"/>
      <c r="DC61" s="816"/>
      <c r="DD61" s="816"/>
      <c r="DE61" s="609"/>
      <c r="DF61" s="609"/>
      <c r="DG61" s="816"/>
      <c r="DH61" s="816"/>
      <c r="DI61" s="816"/>
      <c r="DJ61" s="816"/>
      <c r="DK61" s="816"/>
      <c r="DL61" s="816"/>
      <c r="DM61" s="609"/>
      <c r="DN61" s="609"/>
      <c r="DO61" s="816"/>
      <c r="DP61" s="816"/>
      <c r="DQ61" s="609"/>
      <c r="DR61" s="609"/>
      <c r="DS61" s="816"/>
      <c r="DT61" s="816"/>
      <c r="DU61" s="609"/>
      <c r="DV61" s="609"/>
      <c r="DW61" s="816"/>
      <c r="DX61" s="816"/>
      <c r="DY61" s="816"/>
      <c r="DZ61" s="816"/>
      <c r="EA61" s="816"/>
      <c r="EB61" s="816"/>
      <c r="EC61" s="821"/>
      <c r="ED61" s="609"/>
      <c r="EE61" s="816"/>
      <c r="EF61" s="816"/>
      <c r="EG61" s="822"/>
      <c r="EH61" s="609"/>
      <c r="EI61" s="816"/>
      <c r="EJ61" s="816"/>
      <c r="EK61" s="609"/>
      <c r="EL61" s="816"/>
      <c r="EM61" s="816"/>
      <c r="EN61" s="816"/>
      <c r="EO61" s="816"/>
      <c r="EP61" s="816"/>
      <c r="EQ61" s="816"/>
      <c r="ER61" s="816"/>
      <c r="ES61" s="816"/>
      <c r="ET61" s="816"/>
      <c r="EU61" s="816"/>
      <c r="EV61" s="816"/>
      <c r="EW61" s="823"/>
      <c r="EX61" s="824"/>
      <c r="EY61" s="825"/>
      <c r="EZ61" s="825"/>
      <c r="FA61" s="816"/>
      <c r="FC61" s="826"/>
      <c r="FD61" s="826"/>
      <c r="FE61" s="826"/>
      <c r="FF61" s="826"/>
    </row>
    <row r="62" spans="2:162" s="780" customFormat="1">
      <c r="B62" s="609"/>
      <c r="C62" s="609"/>
      <c r="D62" s="609"/>
      <c r="E62" s="609"/>
      <c r="F62" s="609"/>
      <c r="G62" s="609"/>
      <c r="H62" s="609"/>
      <c r="I62" s="609"/>
      <c r="J62" s="609"/>
      <c r="K62" s="609"/>
      <c r="L62" s="609"/>
      <c r="M62" s="609"/>
      <c r="N62" s="609"/>
      <c r="O62" s="609"/>
      <c r="P62" s="609"/>
      <c r="Q62" s="609"/>
      <c r="R62" s="816"/>
      <c r="S62" s="816"/>
      <c r="T62" s="816"/>
      <c r="U62" s="816"/>
      <c r="V62" s="816"/>
      <c r="W62" s="816"/>
      <c r="X62" s="609"/>
      <c r="Y62" s="609"/>
      <c r="Z62" s="816"/>
      <c r="AA62" s="816"/>
      <c r="AB62" s="609"/>
      <c r="AC62" s="609"/>
      <c r="AD62" s="816"/>
      <c r="AE62" s="816"/>
      <c r="AF62" s="609"/>
      <c r="AG62" s="609"/>
      <c r="AH62" s="816"/>
      <c r="AI62" s="816"/>
      <c r="AJ62" s="817"/>
      <c r="AK62" s="609"/>
      <c r="AL62" s="609"/>
      <c r="AM62" s="816"/>
      <c r="AN62" s="816"/>
      <c r="AO62" s="816"/>
      <c r="AP62" s="816"/>
      <c r="AQ62" s="816"/>
      <c r="AR62" s="816"/>
      <c r="AS62" s="816"/>
      <c r="AT62" s="609"/>
      <c r="AU62" s="609"/>
      <c r="AV62" s="609"/>
      <c r="AW62" s="818"/>
      <c r="AX62" s="816"/>
      <c r="AY62" s="816"/>
      <c r="AZ62" s="609"/>
      <c r="BA62" s="609"/>
      <c r="BB62" s="816"/>
      <c r="BC62" s="816"/>
      <c r="BD62" s="609"/>
      <c r="BE62" s="609"/>
      <c r="BF62" s="816"/>
      <c r="BG62" s="816"/>
      <c r="BH62" s="816"/>
      <c r="BI62" s="816"/>
      <c r="BJ62" s="816"/>
      <c r="BK62" s="816"/>
      <c r="BL62" s="816"/>
      <c r="BM62" s="816"/>
      <c r="BN62" s="816"/>
      <c r="BO62" s="816"/>
      <c r="BP62" s="816"/>
      <c r="BQ62" s="816"/>
      <c r="BR62" s="816"/>
      <c r="BS62" s="816"/>
      <c r="BT62" s="816"/>
      <c r="BU62" s="816"/>
      <c r="BV62" s="816"/>
      <c r="BW62" s="816"/>
      <c r="BX62" s="609"/>
      <c r="BY62" s="609"/>
      <c r="BZ62" s="816"/>
      <c r="CA62" s="816"/>
      <c r="CB62" s="609"/>
      <c r="CC62" s="609"/>
      <c r="CD62" s="816"/>
      <c r="CE62" s="816"/>
      <c r="CF62" s="816"/>
      <c r="CG62" s="816"/>
      <c r="CH62" s="816"/>
      <c r="CI62" s="816"/>
      <c r="CJ62" s="816"/>
      <c r="CK62" s="816"/>
      <c r="CL62" s="819"/>
      <c r="CM62" s="816"/>
      <c r="CN62" s="820"/>
      <c r="CO62" s="820"/>
      <c r="CP62" s="820"/>
      <c r="CQ62" s="820"/>
      <c r="CR62" s="817"/>
      <c r="CS62" s="609"/>
      <c r="CT62" s="816"/>
      <c r="CU62" s="816"/>
      <c r="CV62" s="816"/>
      <c r="CW62" s="816"/>
      <c r="CX62" s="816"/>
      <c r="CY62" s="816"/>
      <c r="CZ62" s="816"/>
      <c r="DA62" s="609"/>
      <c r="DB62" s="609"/>
      <c r="DC62" s="816"/>
      <c r="DD62" s="816"/>
      <c r="DE62" s="609"/>
      <c r="DF62" s="609"/>
      <c r="DG62" s="816"/>
      <c r="DH62" s="816"/>
      <c r="DI62" s="816"/>
      <c r="DJ62" s="816"/>
      <c r="DK62" s="816"/>
      <c r="DL62" s="816"/>
      <c r="DM62" s="609"/>
      <c r="DN62" s="609"/>
      <c r="DO62" s="816"/>
      <c r="DP62" s="816"/>
      <c r="DQ62" s="609"/>
      <c r="DR62" s="609"/>
      <c r="DS62" s="816"/>
      <c r="DT62" s="816"/>
      <c r="DU62" s="609"/>
      <c r="DV62" s="609"/>
      <c r="DW62" s="816"/>
      <c r="DX62" s="816"/>
      <c r="DY62" s="816"/>
      <c r="DZ62" s="816"/>
      <c r="EA62" s="816"/>
      <c r="EB62" s="816"/>
      <c r="EC62" s="821"/>
      <c r="ED62" s="609"/>
      <c r="EE62" s="816"/>
      <c r="EF62" s="816"/>
      <c r="EG62" s="822"/>
      <c r="EH62" s="609"/>
      <c r="EI62" s="816"/>
      <c r="EJ62" s="816"/>
      <c r="EK62" s="609"/>
      <c r="EL62" s="816"/>
      <c r="EM62" s="816"/>
      <c r="EN62" s="816"/>
      <c r="EO62" s="816"/>
      <c r="EP62" s="816"/>
      <c r="EQ62" s="816"/>
      <c r="ER62" s="816"/>
      <c r="ES62" s="816"/>
      <c r="ET62" s="816"/>
      <c r="EU62" s="816"/>
      <c r="EV62" s="816"/>
      <c r="EW62" s="823"/>
      <c r="EX62" s="824"/>
      <c r="EY62" s="825"/>
      <c r="EZ62" s="825"/>
      <c r="FA62" s="816"/>
      <c r="FC62" s="826"/>
      <c r="FD62" s="826"/>
      <c r="FE62" s="826"/>
      <c r="FF62" s="826"/>
    </row>
    <row r="63" spans="2:162" s="780" customFormat="1">
      <c r="B63" s="609"/>
      <c r="C63" s="609"/>
      <c r="D63" s="609"/>
      <c r="E63" s="609"/>
      <c r="F63" s="609"/>
      <c r="G63" s="609"/>
      <c r="H63" s="609"/>
      <c r="I63" s="609"/>
      <c r="J63" s="609"/>
      <c r="K63" s="609"/>
      <c r="L63" s="609"/>
      <c r="M63" s="609"/>
      <c r="N63" s="609"/>
      <c r="O63" s="609"/>
      <c r="P63" s="609"/>
      <c r="Q63" s="609"/>
      <c r="R63" s="816"/>
      <c r="S63" s="816"/>
      <c r="T63" s="816"/>
      <c r="U63" s="816"/>
      <c r="V63" s="816"/>
      <c r="W63" s="816"/>
      <c r="X63" s="609"/>
      <c r="Y63" s="609"/>
      <c r="Z63" s="816"/>
      <c r="AA63" s="816"/>
      <c r="AB63" s="609"/>
      <c r="AC63" s="609"/>
      <c r="AD63" s="816"/>
      <c r="AE63" s="816"/>
      <c r="AF63" s="609"/>
      <c r="AG63" s="609"/>
      <c r="AH63" s="816"/>
      <c r="AI63" s="816"/>
      <c r="AJ63" s="817"/>
      <c r="AK63" s="609"/>
      <c r="AL63" s="609"/>
      <c r="AM63" s="816"/>
      <c r="AN63" s="816"/>
      <c r="AO63" s="816"/>
      <c r="AP63" s="816"/>
      <c r="AQ63" s="816"/>
      <c r="AR63" s="816"/>
      <c r="AS63" s="816"/>
      <c r="AT63" s="609"/>
      <c r="AU63" s="609"/>
      <c r="AV63" s="609"/>
      <c r="AW63" s="818"/>
      <c r="AX63" s="816"/>
      <c r="AY63" s="816"/>
      <c r="AZ63" s="609"/>
      <c r="BA63" s="609"/>
      <c r="BB63" s="816"/>
      <c r="BC63" s="816"/>
      <c r="BD63" s="609"/>
      <c r="BE63" s="609"/>
      <c r="BF63" s="816"/>
      <c r="BG63" s="816"/>
      <c r="BH63" s="816"/>
      <c r="BI63" s="816"/>
      <c r="BJ63" s="816"/>
      <c r="BK63" s="816"/>
      <c r="BL63" s="816"/>
      <c r="BM63" s="816"/>
      <c r="BN63" s="816"/>
      <c r="BO63" s="816"/>
      <c r="BP63" s="816"/>
      <c r="BQ63" s="816"/>
      <c r="BR63" s="816"/>
      <c r="BS63" s="816"/>
      <c r="BT63" s="816"/>
      <c r="BU63" s="816"/>
      <c r="BV63" s="816"/>
      <c r="BW63" s="816"/>
      <c r="BX63" s="609"/>
      <c r="BY63" s="609"/>
      <c r="BZ63" s="816"/>
      <c r="CA63" s="816"/>
      <c r="CB63" s="609"/>
      <c r="CC63" s="609"/>
      <c r="CD63" s="816"/>
      <c r="CE63" s="816"/>
      <c r="CF63" s="816"/>
      <c r="CG63" s="816"/>
      <c r="CH63" s="816"/>
      <c r="CI63" s="816"/>
      <c r="CJ63" s="816"/>
      <c r="CK63" s="816"/>
      <c r="CL63" s="819"/>
      <c r="CM63" s="816"/>
      <c r="CN63" s="820"/>
      <c r="CO63" s="820"/>
      <c r="CP63" s="820"/>
      <c r="CQ63" s="820"/>
      <c r="CR63" s="817"/>
      <c r="CS63" s="609"/>
      <c r="CT63" s="816"/>
      <c r="CU63" s="816"/>
      <c r="CV63" s="816"/>
      <c r="CW63" s="816"/>
      <c r="CX63" s="816"/>
      <c r="CY63" s="816"/>
      <c r="CZ63" s="816"/>
      <c r="DA63" s="609"/>
      <c r="DB63" s="609"/>
      <c r="DC63" s="816"/>
      <c r="DD63" s="816"/>
      <c r="DE63" s="609"/>
      <c r="DF63" s="609"/>
      <c r="DG63" s="816"/>
      <c r="DH63" s="816"/>
      <c r="DI63" s="816"/>
      <c r="DJ63" s="816"/>
      <c r="DK63" s="816"/>
      <c r="DL63" s="816"/>
      <c r="DM63" s="609"/>
      <c r="DN63" s="609"/>
      <c r="DO63" s="816"/>
      <c r="DP63" s="816"/>
      <c r="DQ63" s="609"/>
      <c r="DR63" s="609"/>
      <c r="DS63" s="816"/>
      <c r="DT63" s="816"/>
      <c r="DU63" s="609"/>
      <c r="DV63" s="609"/>
      <c r="DW63" s="816"/>
      <c r="DX63" s="816"/>
      <c r="DY63" s="816"/>
      <c r="DZ63" s="816"/>
      <c r="EA63" s="816"/>
      <c r="EB63" s="816"/>
      <c r="EC63" s="821"/>
      <c r="ED63" s="609"/>
      <c r="EE63" s="816"/>
      <c r="EF63" s="816"/>
      <c r="EG63" s="822"/>
      <c r="EH63" s="609"/>
      <c r="EI63" s="816"/>
      <c r="EJ63" s="816"/>
      <c r="EK63" s="609"/>
      <c r="EL63" s="816"/>
      <c r="EM63" s="816"/>
      <c r="EN63" s="816"/>
      <c r="EO63" s="816"/>
      <c r="EP63" s="816"/>
      <c r="EQ63" s="816"/>
      <c r="ER63" s="816"/>
      <c r="ES63" s="816"/>
      <c r="ET63" s="816"/>
      <c r="EU63" s="816"/>
      <c r="EV63" s="816"/>
      <c r="EW63" s="823"/>
      <c r="EX63" s="824"/>
      <c r="EY63" s="825"/>
      <c r="EZ63" s="825"/>
      <c r="FA63" s="816"/>
      <c r="FC63" s="826"/>
      <c r="FD63" s="826"/>
      <c r="FE63" s="826"/>
      <c r="FF63" s="826"/>
    </row>
    <row r="64" spans="2:162" s="780" customFormat="1">
      <c r="B64" s="609"/>
      <c r="C64" s="609"/>
      <c r="D64" s="609"/>
      <c r="E64" s="609"/>
      <c r="F64" s="609"/>
      <c r="G64" s="609"/>
      <c r="H64" s="609"/>
      <c r="I64" s="609"/>
      <c r="J64" s="609"/>
      <c r="K64" s="609"/>
      <c r="L64" s="609"/>
      <c r="M64" s="609"/>
      <c r="N64" s="609"/>
      <c r="O64" s="609"/>
      <c r="P64" s="609"/>
      <c r="Q64" s="609"/>
      <c r="R64" s="816"/>
      <c r="S64" s="816"/>
      <c r="T64" s="816"/>
      <c r="U64" s="816"/>
      <c r="V64" s="816"/>
      <c r="W64" s="816"/>
      <c r="X64" s="609"/>
      <c r="Y64" s="609"/>
      <c r="Z64" s="816"/>
      <c r="AA64" s="816"/>
      <c r="AB64" s="609"/>
      <c r="AC64" s="609"/>
      <c r="AD64" s="816"/>
      <c r="AE64" s="816"/>
      <c r="AF64" s="609"/>
      <c r="AG64" s="609"/>
      <c r="AH64" s="816"/>
      <c r="AI64" s="816"/>
      <c r="AJ64" s="817"/>
      <c r="AK64" s="609"/>
      <c r="AL64" s="609"/>
      <c r="AM64" s="816"/>
      <c r="AN64" s="816"/>
      <c r="AO64" s="816"/>
      <c r="AP64" s="816"/>
      <c r="AQ64" s="816"/>
      <c r="AR64" s="816"/>
      <c r="AS64" s="816"/>
      <c r="AT64" s="609"/>
      <c r="AU64" s="609"/>
      <c r="AV64" s="609"/>
      <c r="AW64" s="818"/>
      <c r="AX64" s="816"/>
      <c r="AY64" s="816"/>
      <c r="AZ64" s="609"/>
      <c r="BA64" s="609"/>
      <c r="BB64" s="816"/>
      <c r="BC64" s="816"/>
      <c r="BD64" s="609"/>
      <c r="BE64" s="609"/>
      <c r="BF64" s="816"/>
      <c r="BG64" s="816"/>
      <c r="BH64" s="816"/>
      <c r="BI64" s="816"/>
      <c r="BJ64" s="816"/>
      <c r="BK64" s="816"/>
      <c r="BL64" s="816"/>
      <c r="BM64" s="816"/>
      <c r="BN64" s="816"/>
      <c r="BO64" s="816"/>
      <c r="BP64" s="816"/>
      <c r="BQ64" s="816"/>
      <c r="BR64" s="816"/>
      <c r="BS64" s="816"/>
      <c r="BT64" s="816"/>
      <c r="BU64" s="816"/>
      <c r="BV64" s="816"/>
      <c r="BW64" s="816"/>
      <c r="BX64" s="609"/>
      <c r="BY64" s="609"/>
      <c r="BZ64" s="816"/>
      <c r="CA64" s="816"/>
      <c r="CB64" s="609"/>
      <c r="CC64" s="609"/>
      <c r="CD64" s="816"/>
      <c r="CE64" s="816"/>
      <c r="CF64" s="816"/>
      <c r="CG64" s="816"/>
      <c r="CH64" s="816"/>
      <c r="CI64" s="816"/>
      <c r="CJ64" s="816"/>
      <c r="CK64" s="816"/>
      <c r="CL64" s="819"/>
      <c r="CM64" s="816"/>
      <c r="CN64" s="820"/>
      <c r="CO64" s="820"/>
      <c r="CP64" s="820"/>
      <c r="CQ64" s="820"/>
      <c r="CR64" s="609"/>
      <c r="CS64" s="609"/>
      <c r="CT64" s="816"/>
      <c r="CU64" s="816"/>
      <c r="CV64" s="816"/>
      <c r="CW64" s="816"/>
      <c r="CX64" s="816"/>
      <c r="CY64" s="816"/>
      <c r="CZ64" s="816"/>
      <c r="DA64" s="609"/>
      <c r="DB64" s="609"/>
      <c r="DC64" s="816"/>
      <c r="DD64" s="816"/>
      <c r="DE64" s="609"/>
      <c r="DF64" s="609"/>
      <c r="DG64" s="816"/>
      <c r="DH64" s="816"/>
      <c r="DI64" s="816"/>
      <c r="DJ64" s="816"/>
      <c r="DK64" s="816"/>
      <c r="DL64" s="816"/>
      <c r="DM64" s="609"/>
      <c r="DN64" s="609"/>
      <c r="DO64" s="816"/>
      <c r="DP64" s="816"/>
      <c r="DQ64" s="609"/>
      <c r="DR64" s="609"/>
      <c r="DS64" s="816"/>
      <c r="DT64" s="816"/>
      <c r="DU64" s="609"/>
      <c r="DV64" s="609"/>
      <c r="DW64" s="816"/>
      <c r="DX64" s="816"/>
      <c r="DY64" s="816"/>
      <c r="DZ64" s="816"/>
      <c r="EA64" s="816"/>
      <c r="EB64" s="816"/>
      <c r="EC64" s="821"/>
      <c r="ED64" s="609"/>
      <c r="EE64" s="816"/>
      <c r="EF64" s="816"/>
      <c r="EG64" s="822"/>
      <c r="EH64" s="609"/>
      <c r="EI64" s="816"/>
      <c r="EJ64" s="816"/>
      <c r="EK64" s="609"/>
      <c r="EL64" s="816"/>
      <c r="EM64" s="816"/>
      <c r="EN64" s="816"/>
      <c r="EO64" s="816"/>
      <c r="EP64" s="816"/>
      <c r="EQ64" s="816"/>
      <c r="ER64" s="816"/>
      <c r="ES64" s="816"/>
      <c r="ET64" s="816"/>
      <c r="EU64" s="816"/>
      <c r="EV64" s="816"/>
      <c r="EW64" s="823"/>
      <c r="EX64" s="824"/>
      <c r="EY64" s="825"/>
      <c r="EZ64" s="825"/>
      <c r="FA64" s="816"/>
      <c r="FC64" s="826"/>
      <c r="FD64" s="826"/>
      <c r="FE64" s="826"/>
      <c r="FF64" s="826"/>
    </row>
    <row r="65" spans="2:162" s="780" customFormat="1">
      <c r="B65" s="609"/>
      <c r="C65" s="609"/>
      <c r="D65" s="609"/>
      <c r="E65" s="609"/>
      <c r="F65" s="609"/>
      <c r="G65" s="609"/>
      <c r="H65" s="609"/>
      <c r="I65" s="609"/>
      <c r="J65" s="609"/>
      <c r="K65" s="609"/>
      <c r="L65" s="609"/>
      <c r="M65" s="609"/>
      <c r="N65" s="609"/>
      <c r="O65" s="609"/>
      <c r="P65" s="609"/>
      <c r="Q65" s="609"/>
      <c r="R65" s="816"/>
      <c r="S65" s="816"/>
      <c r="T65" s="816"/>
      <c r="U65" s="816"/>
      <c r="V65" s="816"/>
      <c r="W65" s="816"/>
      <c r="X65" s="609"/>
      <c r="Y65" s="609"/>
      <c r="Z65" s="816"/>
      <c r="AA65" s="816"/>
      <c r="AB65" s="609"/>
      <c r="AC65" s="609"/>
      <c r="AD65" s="816"/>
      <c r="AE65" s="816"/>
      <c r="AF65" s="609"/>
      <c r="AG65" s="609"/>
      <c r="AH65" s="816"/>
      <c r="AI65" s="816"/>
      <c r="AJ65" s="817"/>
      <c r="AK65" s="609"/>
      <c r="AL65" s="609"/>
      <c r="AM65" s="816"/>
      <c r="AN65" s="816"/>
      <c r="AO65" s="816"/>
      <c r="AP65" s="816"/>
      <c r="AQ65" s="816"/>
      <c r="AR65" s="816"/>
      <c r="AS65" s="816"/>
      <c r="AT65" s="609"/>
      <c r="AU65" s="609"/>
      <c r="AV65" s="609"/>
      <c r="AW65" s="818"/>
      <c r="AX65" s="816"/>
      <c r="AY65" s="816"/>
      <c r="AZ65" s="609"/>
      <c r="BA65" s="609"/>
      <c r="BB65" s="816"/>
      <c r="BC65" s="816"/>
      <c r="BD65" s="609"/>
      <c r="BE65" s="609"/>
      <c r="BF65" s="816"/>
      <c r="BG65" s="816"/>
      <c r="BH65" s="816"/>
      <c r="BI65" s="816"/>
      <c r="BJ65" s="816"/>
      <c r="BK65" s="816"/>
      <c r="BL65" s="816"/>
      <c r="BM65" s="816"/>
      <c r="BN65" s="816"/>
      <c r="BO65" s="816"/>
      <c r="BP65" s="816"/>
      <c r="BQ65" s="816"/>
      <c r="BR65" s="816"/>
      <c r="BS65" s="816"/>
      <c r="BT65" s="816"/>
      <c r="BU65" s="816"/>
      <c r="BV65" s="816"/>
      <c r="BW65" s="816"/>
      <c r="BX65" s="609"/>
      <c r="BY65" s="609"/>
      <c r="BZ65" s="816"/>
      <c r="CA65" s="816"/>
      <c r="CB65" s="609"/>
      <c r="CC65" s="609"/>
      <c r="CD65" s="816"/>
      <c r="CE65" s="816"/>
      <c r="CF65" s="816"/>
      <c r="CG65" s="816"/>
      <c r="CH65" s="816"/>
      <c r="CI65" s="816"/>
      <c r="CJ65" s="816"/>
      <c r="CK65" s="816"/>
      <c r="CL65" s="819"/>
      <c r="CM65" s="816"/>
      <c r="CN65" s="820"/>
      <c r="CO65" s="820"/>
      <c r="CP65" s="820"/>
      <c r="CQ65" s="820"/>
      <c r="CR65" s="609"/>
      <c r="CS65" s="609"/>
      <c r="CT65" s="816"/>
      <c r="CU65" s="816"/>
      <c r="CV65" s="816"/>
      <c r="CW65" s="816"/>
      <c r="CX65" s="816"/>
      <c r="CY65" s="816"/>
      <c r="CZ65" s="816"/>
      <c r="DA65" s="609"/>
      <c r="DB65" s="609"/>
      <c r="DC65" s="816"/>
      <c r="DD65" s="816"/>
      <c r="DE65" s="609"/>
      <c r="DF65" s="609"/>
      <c r="DG65" s="816"/>
      <c r="DH65" s="816"/>
      <c r="DI65" s="816"/>
      <c r="DJ65" s="816"/>
      <c r="DK65" s="816"/>
      <c r="DL65" s="816"/>
      <c r="DM65" s="609"/>
      <c r="DN65" s="609"/>
      <c r="DO65" s="816"/>
      <c r="DP65" s="816"/>
      <c r="DQ65" s="609"/>
      <c r="DR65" s="609"/>
      <c r="DS65" s="816"/>
      <c r="DT65" s="816"/>
      <c r="DU65" s="609"/>
      <c r="DV65" s="609"/>
      <c r="DW65" s="816"/>
      <c r="DX65" s="816"/>
      <c r="DY65" s="816"/>
      <c r="DZ65" s="816"/>
      <c r="EA65" s="816"/>
      <c r="EB65" s="816"/>
      <c r="EC65" s="821"/>
      <c r="ED65" s="609"/>
      <c r="EE65" s="816"/>
      <c r="EF65" s="816"/>
      <c r="EG65" s="822"/>
      <c r="EH65" s="609"/>
      <c r="EI65" s="816"/>
      <c r="EJ65" s="816"/>
      <c r="EK65" s="609"/>
      <c r="EL65" s="816"/>
      <c r="EM65" s="816"/>
      <c r="EN65" s="816"/>
      <c r="EO65" s="816"/>
      <c r="EP65" s="816"/>
      <c r="EQ65" s="816"/>
      <c r="ER65" s="816"/>
      <c r="ES65" s="816"/>
      <c r="ET65" s="816"/>
      <c r="EU65" s="816"/>
      <c r="EV65" s="816"/>
      <c r="EW65" s="823"/>
      <c r="EX65" s="824"/>
      <c r="EY65" s="825"/>
      <c r="EZ65" s="825"/>
      <c r="FA65" s="816"/>
      <c r="FC65" s="826"/>
      <c r="FD65" s="826"/>
      <c r="FE65" s="826"/>
      <c r="FF65" s="826"/>
    </row>
    <row r="66" spans="2:162" s="780" customFormat="1">
      <c r="B66" s="609"/>
      <c r="C66" s="609"/>
      <c r="D66" s="609"/>
      <c r="E66" s="609"/>
      <c r="F66" s="609"/>
      <c r="G66" s="609"/>
      <c r="H66" s="609"/>
      <c r="I66" s="609"/>
      <c r="J66" s="609"/>
      <c r="K66" s="609"/>
      <c r="L66" s="609"/>
      <c r="M66" s="609"/>
      <c r="N66" s="609"/>
      <c r="O66" s="609"/>
      <c r="P66" s="609"/>
      <c r="Q66" s="609"/>
      <c r="R66" s="816"/>
      <c r="S66" s="816"/>
      <c r="T66" s="816"/>
      <c r="U66" s="816"/>
      <c r="V66" s="816"/>
      <c r="W66" s="816"/>
      <c r="X66" s="609"/>
      <c r="Y66" s="609"/>
      <c r="Z66" s="816"/>
      <c r="AA66" s="816"/>
      <c r="AB66" s="609"/>
      <c r="AC66" s="609"/>
      <c r="AD66" s="816"/>
      <c r="AE66" s="816"/>
      <c r="AF66" s="609"/>
      <c r="AG66" s="609"/>
      <c r="AH66" s="816"/>
      <c r="AI66" s="816"/>
      <c r="AJ66" s="817"/>
      <c r="AK66" s="609"/>
      <c r="AL66" s="609"/>
      <c r="AM66" s="816"/>
      <c r="AN66" s="816"/>
      <c r="AO66" s="816"/>
      <c r="AP66" s="816"/>
      <c r="AQ66" s="816"/>
      <c r="AR66" s="816"/>
      <c r="AS66" s="816"/>
      <c r="AT66" s="609"/>
      <c r="AU66" s="609"/>
      <c r="AV66" s="609"/>
      <c r="AW66" s="818"/>
      <c r="AX66" s="816"/>
      <c r="AY66" s="816"/>
      <c r="AZ66" s="609"/>
      <c r="BA66" s="609"/>
      <c r="BB66" s="816"/>
      <c r="BC66" s="816"/>
      <c r="BD66" s="609"/>
      <c r="BE66" s="609"/>
      <c r="BF66" s="816"/>
      <c r="BG66" s="816"/>
      <c r="BH66" s="816"/>
      <c r="BI66" s="816"/>
      <c r="BJ66" s="816"/>
      <c r="BK66" s="816"/>
      <c r="BL66" s="816"/>
      <c r="BM66" s="816"/>
      <c r="BN66" s="816"/>
      <c r="BO66" s="816"/>
      <c r="BP66" s="816"/>
      <c r="BQ66" s="816"/>
      <c r="BR66" s="816"/>
      <c r="BS66" s="816"/>
      <c r="BT66" s="816"/>
      <c r="BU66" s="816"/>
      <c r="BV66" s="816"/>
      <c r="BW66" s="816"/>
      <c r="BX66" s="609"/>
      <c r="BY66" s="609"/>
      <c r="BZ66" s="816"/>
      <c r="CA66" s="816"/>
      <c r="CB66" s="609"/>
      <c r="CC66" s="609"/>
      <c r="CD66" s="816"/>
      <c r="CE66" s="816"/>
      <c r="CF66" s="816"/>
      <c r="CG66" s="816"/>
      <c r="CH66" s="816"/>
      <c r="CI66" s="816"/>
      <c r="CJ66" s="816"/>
      <c r="CK66" s="816"/>
      <c r="CL66" s="819"/>
      <c r="CM66" s="816"/>
      <c r="CN66" s="820"/>
      <c r="CO66" s="820"/>
      <c r="CP66" s="820"/>
      <c r="CQ66" s="820"/>
      <c r="CR66" s="609"/>
      <c r="CS66" s="609"/>
      <c r="CT66" s="816"/>
      <c r="CU66" s="816"/>
      <c r="CV66" s="816"/>
      <c r="CW66" s="816"/>
      <c r="CX66" s="816"/>
      <c r="CY66" s="816"/>
      <c r="CZ66" s="816"/>
      <c r="DA66" s="609"/>
      <c r="DB66" s="609"/>
      <c r="DC66" s="816"/>
      <c r="DD66" s="816"/>
      <c r="DE66" s="609"/>
      <c r="DF66" s="609"/>
      <c r="DG66" s="816"/>
      <c r="DH66" s="816"/>
      <c r="DI66" s="816"/>
      <c r="DJ66" s="816"/>
      <c r="DK66" s="816"/>
      <c r="DL66" s="816"/>
      <c r="DM66" s="609"/>
      <c r="DN66" s="609"/>
      <c r="DO66" s="816"/>
      <c r="DP66" s="816"/>
      <c r="DQ66" s="609"/>
      <c r="DR66" s="609"/>
      <c r="DS66" s="816"/>
      <c r="DT66" s="816"/>
      <c r="DU66" s="609"/>
      <c r="DV66" s="609"/>
      <c r="DW66" s="816"/>
      <c r="DX66" s="816"/>
      <c r="DY66" s="816"/>
      <c r="DZ66" s="816"/>
      <c r="EA66" s="816"/>
      <c r="EB66" s="816"/>
      <c r="EC66" s="821"/>
      <c r="ED66" s="609"/>
      <c r="EE66" s="816"/>
      <c r="EF66" s="816"/>
      <c r="EG66" s="822"/>
      <c r="EH66" s="609"/>
      <c r="EI66" s="816"/>
      <c r="EJ66" s="816"/>
      <c r="EK66" s="609"/>
      <c r="EL66" s="816"/>
      <c r="EM66" s="816"/>
      <c r="EN66" s="816"/>
      <c r="EO66" s="816"/>
      <c r="EP66" s="816"/>
      <c r="EQ66" s="816"/>
      <c r="ER66" s="816"/>
      <c r="ES66" s="816"/>
      <c r="ET66" s="816"/>
      <c r="EU66" s="816"/>
      <c r="EV66" s="816"/>
      <c r="EW66" s="823"/>
      <c r="EX66" s="824"/>
      <c r="EY66" s="825"/>
      <c r="EZ66" s="825"/>
      <c r="FA66" s="816"/>
      <c r="FC66" s="826"/>
      <c r="FD66" s="826"/>
      <c r="FE66" s="826"/>
      <c r="FF66" s="826"/>
    </row>
    <row r="67" spans="2:162" s="780" customFormat="1">
      <c r="B67" s="609"/>
      <c r="C67" s="609"/>
      <c r="D67" s="609"/>
      <c r="E67" s="609"/>
      <c r="F67" s="609"/>
      <c r="G67" s="609"/>
      <c r="H67" s="609"/>
      <c r="I67" s="609"/>
      <c r="J67" s="609"/>
      <c r="K67" s="609"/>
      <c r="L67" s="609"/>
      <c r="M67" s="609"/>
      <c r="N67" s="609"/>
      <c r="O67" s="609"/>
      <c r="P67" s="609"/>
      <c r="Q67" s="609"/>
      <c r="R67" s="816"/>
      <c r="S67" s="816"/>
      <c r="T67" s="816"/>
      <c r="U67" s="816"/>
      <c r="V67" s="816"/>
      <c r="W67" s="816"/>
      <c r="X67" s="609"/>
      <c r="Y67" s="609"/>
      <c r="Z67" s="816"/>
      <c r="AA67" s="816"/>
      <c r="AB67" s="609"/>
      <c r="AC67" s="609"/>
      <c r="AD67" s="816"/>
      <c r="AE67" s="816"/>
      <c r="AF67" s="609"/>
      <c r="AG67" s="609"/>
      <c r="AH67" s="816"/>
      <c r="AI67" s="816"/>
      <c r="AJ67" s="817"/>
      <c r="AK67" s="609"/>
      <c r="AL67" s="609"/>
      <c r="AM67" s="816"/>
      <c r="AN67" s="816"/>
      <c r="AO67" s="816"/>
      <c r="AP67" s="816"/>
      <c r="AQ67" s="816"/>
      <c r="AR67" s="816"/>
      <c r="AS67" s="816"/>
      <c r="AT67" s="609"/>
      <c r="AU67" s="609"/>
      <c r="AV67" s="609"/>
      <c r="AW67" s="818"/>
      <c r="AX67" s="816"/>
      <c r="AY67" s="816"/>
      <c r="AZ67" s="609"/>
      <c r="BA67" s="609"/>
      <c r="BB67" s="816"/>
      <c r="BC67" s="816"/>
      <c r="BD67" s="609"/>
      <c r="BE67" s="609"/>
      <c r="BF67" s="816"/>
      <c r="BG67" s="816"/>
      <c r="BH67" s="816"/>
      <c r="BI67" s="816"/>
      <c r="BJ67" s="816"/>
      <c r="BK67" s="816"/>
      <c r="BL67" s="816"/>
      <c r="BM67" s="816"/>
      <c r="BN67" s="816"/>
      <c r="BO67" s="816"/>
      <c r="BP67" s="816"/>
      <c r="BQ67" s="816"/>
      <c r="BR67" s="816"/>
      <c r="BS67" s="816"/>
      <c r="BT67" s="816"/>
      <c r="BU67" s="816"/>
      <c r="BV67" s="816"/>
      <c r="BW67" s="816"/>
      <c r="BX67" s="609"/>
      <c r="BY67" s="609"/>
      <c r="BZ67" s="816"/>
      <c r="CA67" s="816"/>
      <c r="CB67" s="609"/>
      <c r="CC67" s="609"/>
      <c r="CD67" s="816"/>
      <c r="CE67" s="816"/>
      <c r="CF67" s="816"/>
      <c r="CG67" s="816"/>
      <c r="CH67" s="816"/>
      <c r="CI67" s="816"/>
      <c r="CJ67" s="816"/>
      <c r="CK67" s="816"/>
      <c r="CL67" s="819"/>
      <c r="CM67" s="816"/>
      <c r="CN67" s="820"/>
      <c r="CO67" s="820"/>
      <c r="CP67" s="820"/>
      <c r="CQ67" s="820"/>
      <c r="CR67" s="817"/>
      <c r="CS67" s="609"/>
      <c r="CT67" s="816"/>
      <c r="CU67" s="816"/>
      <c r="CV67" s="816"/>
      <c r="CW67" s="816"/>
      <c r="CX67" s="816"/>
      <c r="CY67" s="816"/>
      <c r="CZ67" s="816"/>
      <c r="DA67" s="609"/>
      <c r="DB67" s="609"/>
      <c r="DC67" s="816"/>
      <c r="DD67" s="816"/>
      <c r="DE67" s="609"/>
      <c r="DF67" s="609"/>
      <c r="DG67" s="816"/>
      <c r="DH67" s="816"/>
      <c r="DI67" s="816"/>
      <c r="DJ67" s="816"/>
      <c r="DK67" s="816"/>
      <c r="DL67" s="816"/>
      <c r="DM67" s="609"/>
      <c r="DN67" s="609"/>
      <c r="DO67" s="816"/>
      <c r="DP67" s="816"/>
      <c r="DQ67" s="609"/>
      <c r="DR67" s="609"/>
      <c r="DS67" s="816"/>
      <c r="DT67" s="816"/>
      <c r="DU67" s="609"/>
      <c r="DV67" s="609"/>
      <c r="DW67" s="816"/>
      <c r="DX67" s="816"/>
      <c r="DY67" s="816"/>
      <c r="DZ67" s="816"/>
      <c r="EA67" s="816"/>
      <c r="EB67" s="816"/>
      <c r="EC67" s="821"/>
      <c r="ED67" s="609"/>
      <c r="EE67" s="816"/>
      <c r="EF67" s="816"/>
      <c r="EG67" s="822"/>
      <c r="EH67" s="609"/>
      <c r="EI67" s="816"/>
      <c r="EJ67" s="816"/>
      <c r="EK67" s="609"/>
      <c r="EL67" s="816"/>
      <c r="EM67" s="816"/>
      <c r="EN67" s="816"/>
      <c r="EO67" s="816"/>
      <c r="EP67" s="816"/>
      <c r="EQ67" s="816"/>
      <c r="ER67" s="816"/>
      <c r="ES67" s="816"/>
      <c r="ET67" s="816"/>
      <c r="EU67" s="816"/>
      <c r="EV67" s="816"/>
      <c r="EW67" s="823"/>
      <c r="EX67" s="824"/>
      <c r="EY67" s="825"/>
      <c r="EZ67" s="825"/>
      <c r="FA67" s="816"/>
      <c r="FC67" s="826"/>
      <c r="FD67" s="826"/>
      <c r="FE67" s="826"/>
      <c r="FF67" s="826"/>
    </row>
    <row r="68" spans="2:162" s="780" customFormat="1">
      <c r="B68" s="609"/>
      <c r="C68" s="609"/>
      <c r="D68" s="609"/>
      <c r="E68" s="609"/>
      <c r="F68" s="609"/>
      <c r="G68" s="609"/>
      <c r="H68" s="609"/>
      <c r="I68" s="609"/>
      <c r="J68" s="609"/>
      <c r="K68" s="609"/>
      <c r="L68" s="609"/>
      <c r="M68" s="609"/>
      <c r="N68" s="609"/>
      <c r="O68" s="609"/>
      <c r="P68" s="609"/>
      <c r="Q68" s="609"/>
      <c r="R68" s="816"/>
      <c r="S68" s="816"/>
      <c r="T68" s="816"/>
      <c r="U68" s="816"/>
      <c r="V68" s="816"/>
      <c r="W68" s="816"/>
      <c r="X68" s="609"/>
      <c r="Y68" s="609"/>
      <c r="Z68" s="816"/>
      <c r="AA68" s="816"/>
      <c r="AB68" s="609"/>
      <c r="AC68" s="609"/>
      <c r="AD68" s="816"/>
      <c r="AE68" s="816"/>
      <c r="AF68" s="609"/>
      <c r="AG68" s="609"/>
      <c r="AH68" s="816"/>
      <c r="AI68" s="816"/>
      <c r="AJ68" s="817"/>
      <c r="AK68" s="609"/>
      <c r="AL68" s="609"/>
      <c r="AM68" s="816"/>
      <c r="AN68" s="816"/>
      <c r="AO68" s="816"/>
      <c r="AP68" s="816"/>
      <c r="AQ68" s="816"/>
      <c r="AR68" s="816"/>
      <c r="AS68" s="816"/>
      <c r="AT68" s="609"/>
      <c r="AU68" s="609"/>
      <c r="AV68" s="609"/>
      <c r="AW68" s="818"/>
      <c r="AX68" s="816"/>
      <c r="AY68" s="816"/>
      <c r="AZ68" s="609"/>
      <c r="BA68" s="609"/>
      <c r="BB68" s="816"/>
      <c r="BC68" s="816"/>
      <c r="BD68" s="609"/>
      <c r="BE68" s="609"/>
      <c r="BF68" s="816"/>
      <c r="BG68" s="816"/>
      <c r="BH68" s="816"/>
      <c r="BI68" s="816"/>
      <c r="BJ68" s="816"/>
      <c r="BK68" s="816"/>
      <c r="BL68" s="816"/>
      <c r="BM68" s="816"/>
      <c r="BN68" s="816"/>
      <c r="BO68" s="816"/>
      <c r="BP68" s="816"/>
      <c r="BQ68" s="816"/>
      <c r="BR68" s="816"/>
      <c r="BS68" s="816"/>
      <c r="BT68" s="816"/>
      <c r="BU68" s="816"/>
      <c r="BV68" s="816"/>
      <c r="BW68" s="816"/>
      <c r="BX68" s="609"/>
      <c r="BY68" s="609"/>
      <c r="BZ68" s="816"/>
      <c r="CA68" s="816"/>
      <c r="CB68" s="609"/>
      <c r="CC68" s="609"/>
      <c r="CD68" s="816"/>
      <c r="CE68" s="816"/>
      <c r="CF68" s="816"/>
      <c r="CG68" s="816"/>
      <c r="CH68" s="816"/>
      <c r="CI68" s="816"/>
      <c r="CJ68" s="816"/>
      <c r="CK68" s="816"/>
      <c r="CL68" s="819"/>
      <c r="CM68" s="816"/>
      <c r="CN68" s="820"/>
      <c r="CO68" s="820"/>
      <c r="CP68" s="820"/>
      <c r="CQ68" s="820"/>
      <c r="CR68" s="817"/>
      <c r="CS68" s="609"/>
      <c r="CT68" s="816"/>
      <c r="CU68" s="816"/>
      <c r="CV68" s="816"/>
      <c r="CW68" s="816"/>
      <c r="CX68" s="816"/>
      <c r="CY68" s="816"/>
      <c r="CZ68" s="816"/>
      <c r="DA68" s="609"/>
      <c r="DB68" s="609"/>
      <c r="DC68" s="816"/>
      <c r="DD68" s="816"/>
      <c r="DE68" s="609"/>
      <c r="DF68" s="609"/>
      <c r="DG68" s="816"/>
      <c r="DH68" s="816"/>
      <c r="DI68" s="816"/>
      <c r="DJ68" s="816"/>
      <c r="DK68" s="816"/>
      <c r="DL68" s="816"/>
      <c r="DM68" s="609"/>
      <c r="DN68" s="609"/>
      <c r="DO68" s="816"/>
      <c r="DP68" s="816"/>
      <c r="DQ68" s="609"/>
      <c r="DR68" s="609"/>
      <c r="DS68" s="816"/>
      <c r="DT68" s="816"/>
      <c r="DU68" s="609"/>
      <c r="DV68" s="609"/>
      <c r="DW68" s="816"/>
      <c r="DX68" s="816"/>
      <c r="DY68" s="816"/>
      <c r="DZ68" s="816"/>
      <c r="EA68" s="816"/>
      <c r="EB68" s="816"/>
      <c r="EC68" s="821"/>
      <c r="ED68" s="609"/>
      <c r="EE68" s="816"/>
      <c r="EF68" s="816"/>
      <c r="EG68" s="822"/>
      <c r="EH68" s="609"/>
      <c r="EI68" s="816"/>
      <c r="EJ68" s="816"/>
      <c r="EK68" s="609"/>
      <c r="EL68" s="816"/>
      <c r="EM68" s="816"/>
      <c r="EN68" s="816"/>
      <c r="EO68" s="816"/>
      <c r="EP68" s="816"/>
      <c r="EQ68" s="816"/>
      <c r="ER68" s="816"/>
      <c r="ES68" s="816"/>
      <c r="ET68" s="816"/>
      <c r="EU68" s="816"/>
      <c r="EV68" s="816"/>
      <c r="EW68" s="823"/>
      <c r="EX68" s="824"/>
      <c r="EY68" s="825"/>
      <c r="EZ68" s="825"/>
      <c r="FA68" s="816"/>
      <c r="FC68" s="826"/>
      <c r="FD68" s="826"/>
      <c r="FE68" s="826"/>
      <c r="FF68" s="826"/>
    </row>
    <row r="69" spans="2:162" s="780" customFormat="1">
      <c r="B69" s="609"/>
      <c r="C69" s="609"/>
      <c r="D69" s="609"/>
      <c r="E69" s="609"/>
      <c r="F69" s="609"/>
      <c r="G69" s="609"/>
      <c r="H69" s="609"/>
      <c r="I69" s="609"/>
      <c r="J69" s="609"/>
      <c r="K69" s="609"/>
      <c r="L69" s="609"/>
      <c r="M69" s="609"/>
      <c r="N69" s="609"/>
      <c r="O69" s="609"/>
      <c r="P69" s="609"/>
      <c r="Q69" s="609"/>
      <c r="R69" s="816"/>
      <c r="S69" s="816"/>
      <c r="T69" s="816"/>
      <c r="U69" s="816"/>
      <c r="V69" s="816"/>
      <c r="W69" s="816"/>
      <c r="X69" s="609"/>
      <c r="Y69" s="609"/>
      <c r="Z69" s="816"/>
      <c r="AA69" s="816"/>
      <c r="AB69" s="609"/>
      <c r="AC69" s="609"/>
      <c r="AD69" s="816"/>
      <c r="AE69" s="816"/>
      <c r="AF69" s="609"/>
      <c r="AG69" s="609"/>
      <c r="AH69" s="816"/>
      <c r="AI69" s="816"/>
      <c r="AJ69" s="817"/>
      <c r="AK69" s="609"/>
      <c r="AL69" s="609"/>
      <c r="AM69" s="816"/>
      <c r="AN69" s="816"/>
      <c r="AO69" s="816"/>
      <c r="AP69" s="816"/>
      <c r="AQ69" s="816"/>
      <c r="AR69" s="816"/>
      <c r="AS69" s="816"/>
      <c r="AT69" s="609"/>
      <c r="AU69" s="609"/>
      <c r="AV69" s="609"/>
      <c r="AW69" s="818"/>
      <c r="AX69" s="816"/>
      <c r="AY69" s="816"/>
      <c r="AZ69" s="609"/>
      <c r="BA69" s="609"/>
      <c r="BB69" s="816"/>
      <c r="BC69" s="816"/>
      <c r="BD69" s="609"/>
      <c r="BE69" s="609"/>
      <c r="BF69" s="816"/>
      <c r="BG69" s="816"/>
      <c r="BH69" s="816"/>
      <c r="BI69" s="816"/>
      <c r="BJ69" s="816"/>
      <c r="BK69" s="816"/>
      <c r="BL69" s="816"/>
      <c r="BM69" s="816"/>
      <c r="BN69" s="816"/>
      <c r="BO69" s="816"/>
      <c r="BP69" s="816"/>
      <c r="BQ69" s="816"/>
      <c r="BR69" s="816"/>
      <c r="BS69" s="816"/>
      <c r="BT69" s="816"/>
      <c r="BU69" s="816"/>
      <c r="BV69" s="816"/>
      <c r="BW69" s="816"/>
      <c r="BX69" s="609"/>
      <c r="BY69" s="609"/>
      <c r="BZ69" s="816"/>
      <c r="CA69" s="816"/>
      <c r="CB69" s="609"/>
      <c r="CC69" s="609"/>
      <c r="CD69" s="816"/>
      <c r="CE69" s="816"/>
      <c r="CF69" s="816"/>
      <c r="CG69" s="816"/>
      <c r="CH69" s="816"/>
      <c r="CI69" s="816"/>
      <c r="CJ69" s="816"/>
      <c r="CK69" s="816"/>
      <c r="CL69" s="819"/>
      <c r="CM69" s="816"/>
      <c r="CN69" s="820"/>
      <c r="CO69" s="820"/>
      <c r="CP69" s="820"/>
      <c r="CQ69" s="820"/>
      <c r="CR69" s="609"/>
      <c r="CS69" s="609"/>
      <c r="CT69" s="816"/>
      <c r="CU69" s="816"/>
      <c r="CV69" s="816"/>
      <c r="CW69" s="816"/>
      <c r="CX69" s="816"/>
      <c r="CY69" s="816"/>
      <c r="CZ69" s="816"/>
      <c r="DA69" s="609"/>
      <c r="DB69" s="609"/>
      <c r="DC69" s="816"/>
      <c r="DD69" s="816"/>
      <c r="DE69" s="609"/>
      <c r="DF69" s="609"/>
      <c r="DG69" s="816"/>
      <c r="DH69" s="816"/>
      <c r="DI69" s="816"/>
      <c r="DJ69" s="816"/>
      <c r="DK69" s="816"/>
      <c r="DL69" s="816"/>
      <c r="DM69" s="609"/>
      <c r="DN69" s="609"/>
      <c r="DO69" s="816"/>
      <c r="DP69" s="816"/>
      <c r="DQ69" s="609"/>
      <c r="DR69" s="609"/>
      <c r="DS69" s="816"/>
      <c r="DT69" s="816"/>
      <c r="DU69" s="609"/>
      <c r="DV69" s="609"/>
      <c r="DW69" s="816"/>
      <c r="DX69" s="816"/>
      <c r="DY69" s="816"/>
      <c r="DZ69" s="816"/>
      <c r="EA69" s="816"/>
      <c r="EB69" s="816"/>
      <c r="EC69" s="821"/>
      <c r="ED69" s="609"/>
      <c r="EE69" s="816"/>
      <c r="EF69" s="816"/>
      <c r="EG69" s="822"/>
      <c r="EH69" s="609"/>
      <c r="EI69" s="816"/>
      <c r="EJ69" s="816"/>
      <c r="EK69" s="609"/>
      <c r="EL69" s="816"/>
      <c r="EM69" s="816"/>
      <c r="EN69" s="816"/>
      <c r="EO69" s="816"/>
      <c r="EP69" s="816"/>
      <c r="EQ69" s="816"/>
      <c r="ER69" s="816"/>
      <c r="ES69" s="816"/>
      <c r="ET69" s="816"/>
      <c r="EU69" s="816"/>
      <c r="EV69" s="816"/>
      <c r="EW69" s="823"/>
      <c r="EX69" s="824"/>
      <c r="EY69" s="825"/>
      <c r="EZ69" s="825"/>
      <c r="FA69" s="816"/>
      <c r="FC69" s="826"/>
      <c r="FD69" s="826"/>
      <c r="FE69" s="826"/>
      <c r="FF69" s="826"/>
    </row>
    <row r="70" spans="2:162" s="780" customFormat="1">
      <c r="B70" s="609"/>
      <c r="C70" s="609"/>
      <c r="D70" s="609"/>
      <c r="E70" s="609"/>
      <c r="F70" s="609"/>
      <c r="G70" s="609"/>
      <c r="H70" s="609"/>
      <c r="I70" s="609"/>
      <c r="J70" s="609"/>
      <c r="K70" s="609"/>
      <c r="L70" s="609"/>
      <c r="M70" s="609"/>
      <c r="N70" s="609"/>
      <c r="O70" s="609"/>
      <c r="P70" s="609"/>
      <c r="Q70" s="609"/>
      <c r="R70" s="816"/>
      <c r="S70" s="816"/>
      <c r="T70" s="816"/>
      <c r="U70" s="816"/>
      <c r="V70" s="816"/>
      <c r="W70" s="816"/>
      <c r="X70" s="609"/>
      <c r="Y70" s="609"/>
      <c r="Z70" s="816"/>
      <c r="AA70" s="816"/>
      <c r="AB70" s="609"/>
      <c r="AC70" s="609"/>
      <c r="AD70" s="816"/>
      <c r="AE70" s="816"/>
      <c r="AF70" s="609"/>
      <c r="AG70" s="609"/>
      <c r="AH70" s="816"/>
      <c r="AI70" s="816"/>
      <c r="AJ70" s="817"/>
      <c r="AK70" s="609"/>
      <c r="AL70" s="609"/>
      <c r="AM70" s="816"/>
      <c r="AN70" s="816"/>
      <c r="AO70" s="816"/>
      <c r="AP70" s="816"/>
      <c r="AQ70" s="816"/>
      <c r="AR70" s="816"/>
      <c r="AS70" s="816"/>
      <c r="AT70" s="609"/>
      <c r="AU70" s="609"/>
      <c r="AV70" s="609"/>
      <c r="AW70" s="818"/>
      <c r="AX70" s="816"/>
      <c r="AY70" s="816"/>
      <c r="AZ70" s="609"/>
      <c r="BA70" s="609"/>
      <c r="BB70" s="816"/>
      <c r="BC70" s="816"/>
      <c r="BD70" s="609"/>
      <c r="BE70" s="609"/>
      <c r="BF70" s="816"/>
      <c r="BG70" s="816"/>
      <c r="BH70" s="816"/>
      <c r="BI70" s="816"/>
      <c r="BJ70" s="816"/>
      <c r="BK70" s="816"/>
      <c r="BL70" s="816"/>
      <c r="BM70" s="816"/>
      <c r="BN70" s="816"/>
      <c r="BO70" s="816"/>
      <c r="BP70" s="816"/>
      <c r="BQ70" s="816"/>
      <c r="BR70" s="816"/>
      <c r="BS70" s="816"/>
      <c r="BT70" s="816"/>
      <c r="BU70" s="816"/>
      <c r="BV70" s="816"/>
      <c r="BW70" s="816"/>
      <c r="BX70" s="609"/>
      <c r="BY70" s="609"/>
      <c r="BZ70" s="816"/>
      <c r="CA70" s="816"/>
      <c r="CB70" s="609"/>
      <c r="CC70" s="609"/>
      <c r="CD70" s="816"/>
      <c r="CE70" s="816"/>
      <c r="CF70" s="816"/>
      <c r="CG70" s="816"/>
      <c r="CH70" s="816"/>
      <c r="CI70" s="816"/>
      <c r="CJ70" s="816"/>
      <c r="CK70" s="816"/>
      <c r="CL70" s="819"/>
      <c r="CM70" s="816"/>
      <c r="CN70" s="820"/>
      <c r="CO70" s="820"/>
      <c r="CP70" s="820"/>
      <c r="CQ70" s="820"/>
      <c r="CR70" s="609"/>
      <c r="CS70" s="609"/>
      <c r="CT70" s="816"/>
      <c r="CU70" s="816"/>
      <c r="CV70" s="816"/>
      <c r="CW70" s="816"/>
      <c r="CX70" s="816"/>
      <c r="CY70" s="816"/>
      <c r="CZ70" s="816"/>
      <c r="DA70" s="609"/>
      <c r="DB70" s="609"/>
      <c r="DC70" s="816"/>
      <c r="DD70" s="816"/>
      <c r="DE70" s="609"/>
      <c r="DF70" s="609"/>
      <c r="DG70" s="816"/>
      <c r="DH70" s="816"/>
      <c r="DI70" s="816"/>
      <c r="DJ70" s="816"/>
      <c r="DK70" s="816"/>
      <c r="DL70" s="816"/>
      <c r="DM70" s="609"/>
      <c r="DN70" s="609"/>
      <c r="DO70" s="816"/>
      <c r="DP70" s="816"/>
      <c r="DQ70" s="609"/>
      <c r="DR70" s="609"/>
      <c r="DS70" s="816"/>
      <c r="DT70" s="816"/>
      <c r="DU70" s="609"/>
      <c r="DV70" s="609"/>
      <c r="DW70" s="816"/>
      <c r="DX70" s="816"/>
      <c r="DY70" s="816"/>
      <c r="DZ70" s="816"/>
      <c r="EA70" s="816"/>
      <c r="EB70" s="816"/>
      <c r="EC70" s="821"/>
      <c r="ED70" s="609"/>
      <c r="EE70" s="816"/>
      <c r="EF70" s="816"/>
      <c r="EG70" s="822"/>
      <c r="EH70" s="609"/>
      <c r="EI70" s="816"/>
      <c r="EJ70" s="816"/>
      <c r="EK70" s="609"/>
      <c r="EL70" s="816"/>
      <c r="EM70" s="816"/>
      <c r="EN70" s="816"/>
      <c r="EO70" s="816"/>
      <c r="EP70" s="816"/>
      <c r="EQ70" s="816"/>
      <c r="ER70" s="816"/>
      <c r="ES70" s="816"/>
      <c r="ET70" s="816"/>
      <c r="EU70" s="816"/>
      <c r="EV70" s="816"/>
      <c r="EW70" s="823"/>
      <c r="EX70" s="824"/>
      <c r="EY70" s="825"/>
      <c r="EZ70" s="825"/>
      <c r="FA70" s="816"/>
      <c r="FC70" s="826"/>
      <c r="FD70" s="826"/>
      <c r="FE70" s="826"/>
      <c r="FF70" s="826"/>
    </row>
    <row r="71" spans="2:162" s="780" customFormat="1">
      <c r="B71" s="609"/>
      <c r="C71" s="609"/>
      <c r="D71" s="609"/>
      <c r="E71" s="609"/>
      <c r="F71" s="609"/>
      <c r="G71" s="609"/>
      <c r="H71" s="609"/>
      <c r="I71" s="609"/>
      <c r="J71" s="609"/>
      <c r="K71" s="609"/>
      <c r="L71" s="609"/>
      <c r="M71" s="609"/>
      <c r="N71" s="609"/>
      <c r="O71" s="609"/>
      <c r="P71" s="609"/>
      <c r="Q71" s="609"/>
      <c r="R71" s="816"/>
      <c r="S71" s="816"/>
      <c r="T71" s="816"/>
      <c r="U71" s="816"/>
      <c r="V71" s="816"/>
      <c r="W71" s="816"/>
      <c r="X71" s="609"/>
      <c r="Y71" s="609"/>
      <c r="Z71" s="816"/>
      <c r="AA71" s="816"/>
      <c r="AB71" s="609"/>
      <c r="AC71" s="609"/>
      <c r="AD71" s="816"/>
      <c r="AE71" s="816"/>
      <c r="AF71" s="609"/>
      <c r="AG71" s="609"/>
      <c r="AH71" s="816"/>
      <c r="AI71" s="816"/>
      <c r="AJ71" s="817"/>
      <c r="AK71" s="609"/>
      <c r="AL71" s="609"/>
      <c r="AM71" s="816"/>
      <c r="AN71" s="816"/>
      <c r="AO71" s="816"/>
      <c r="AP71" s="816"/>
      <c r="AQ71" s="816"/>
      <c r="AR71" s="816"/>
      <c r="AS71" s="816"/>
      <c r="AT71" s="609"/>
      <c r="AU71" s="609"/>
      <c r="AV71" s="609"/>
      <c r="AW71" s="818"/>
      <c r="AX71" s="816"/>
      <c r="AY71" s="816"/>
      <c r="AZ71" s="609"/>
      <c r="BA71" s="609"/>
      <c r="BB71" s="816"/>
      <c r="BC71" s="816"/>
      <c r="BD71" s="609"/>
      <c r="BE71" s="609"/>
      <c r="BF71" s="816"/>
      <c r="BG71" s="816"/>
      <c r="BH71" s="816"/>
      <c r="BI71" s="816"/>
      <c r="BJ71" s="816"/>
      <c r="BK71" s="816"/>
      <c r="BL71" s="816"/>
      <c r="BM71" s="816"/>
      <c r="BN71" s="816"/>
      <c r="BO71" s="816"/>
      <c r="BP71" s="816"/>
      <c r="BQ71" s="816"/>
      <c r="BR71" s="816"/>
      <c r="BS71" s="816"/>
      <c r="BT71" s="816"/>
      <c r="BU71" s="816"/>
      <c r="BV71" s="816"/>
      <c r="BW71" s="816"/>
      <c r="BX71" s="609"/>
      <c r="BY71" s="609"/>
      <c r="BZ71" s="816"/>
      <c r="CA71" s="816"/>
      <c r="CB71" s="609"/>
      <c r="CC71" s="609"/>
      <c r="CD71" s="816"/>
      <c r="CE71" s="816"/>
      <c r="CF71" s="816"/>
      <c r="CG71" s="816"/>
      <c r="CH71" s="816"/>
      <c r="CI71" s="816"/>
      <c r="CJ71" s="816"/>
      <c r="CK71" s="816"/>
      <c r="CL71" s="819"/>
      <c r="CM71" s="816"/>
      <c r="CN71" s="820"/>
      <c r="CO71" s="820"/>
      <c r="CP71" s="820"/>
      <c r="CQ71" s="820"/>
      <c r="CR71" s="609"/>
      <c r="CS71" s="609"/>
      <c r="CT71" s="816"/>
      <c r="CU71" s="816"/>
      <c r="CV71" s="816"/>
      <c r="CW71" s="816"/>
      <c r="CX71" s="816"/>
      <c r="CY71" s="816"/>
      <c r="CZ71" s="816"/>
      <c r="DA71" s="609"/>
      <c r="DB71" s="609"/>
      <c r="DC71" s="816"/>
      <c r="DD71" s="816"/>
      <c r="DE71" s="609"/>
      <c r="DF71" s="609"/>
      <c r="DG71" s="816"/>
      <c r="DH71" s="816"/>
      <c r="DI71" s="816"/>
      <c r="DJ71" s="816"/>
      <c r="DK71" s="816"/>
      <c r="DL71" s="816"/>
      <c r="DM71" s="609"/>
      <c r="DN71" s="609"/>
      <c r="DO71" s="816"/>
      <c r="DP71" s="816"/>
      <c r="DQ71" s="609"/>
      <c r="DR71" s="609"/>
      <c r="DS71" s="816"/>
      <c r="DT71" s="816"/>
      <c r="DU71" s="609"/>
      <c r="DV71" s="609"/>
      <c r="DW71" s="816"/>
      <c r="DX71" s="816"/>
      <c r="DY71" s="816"/>
      <c r="DZ71" s="816"/>
      <c r="EA71" s="816"/>
      <c r="EB71" s="816"/>
      <c r="EC71" s="821"/>
      <c r="ED71" s="609"/>
      <c r="EE71" s="816"/>
      <c r="EF71" s="816"/>
      <c r="EG71" s="822"/>
      <c r="EH71" s="609"/>
      <c r="EI71" s="816"/>
      <c r="EJ71" s="816"/>
      <c r="EK71" s="609"/>
      <c r="EL71" s="816"/>
      <c r="EM71" s="816"/>
      <c r="EN71" s="816"/>
      <c r="EO71" s="816"/>
      <c r="EP71" s="816"/>
      <c r="EQ71" s="816"/>
      <c r="ER71" s="816"/>
      <c r="ES71" s="816"/>
      <c r="ET71" s="816"/>
      <c r="EU71" s="816"/>
      <c r="EV71" s="816"/>
      <c r="EW71" s="823"/>
      <c r="EX71" s="824"/>
      <c r="EY71" s="825"/>
      <c r="EZ71" s="825"/>
      <c r="FA71" s="816"/>
      <c r="FC71" s="826"/>
      <c r="FD71" s="826"/>
      <c r="FE71" s="826"/>
      <c r="FF71" s="826"/>
    </row>
    <row r="72" spans="2:162" s="780" customFormat="1">
      <c r="B72" s="609"/>
      <c r="C72" s="609"/>
      <c r="D72" s="609"/>
      <c r="E72" s="609"/>
      <c r="F72" s="609"/>
      <c r="G72" s="609"/>
      <c r="H72" s="609"/>
      <c r="I72" s="609"/>
      <c r="J72" s="609"/>
      <c r="K72" s="609"/>
      <c r="L72" s="609"/>
      <c r="M72" s="609"/>
      <c r="N72" s="609"/>
      <c r="O72" s="609"/>
      <c r="P72" s="609"/>
      <c r="Q72" s="609"/>
      <c r="R72" s="816"/>
      <c r="S72" s="816"/>
      <c r="T72" s="816"/>
      <c r="U72" s="816"/>
      <c r="V72" s="816"/>
      <c r="W72" s="816"/>
      <c r="X72" s="609"/>
      <c r="Y72" s="609"/>
      <c r="Z72" s="816"/>
      <c r="AA72" s="816"/>
      <c r="AB72" s="609"/>
      <c r="AC72" s="609"/>
      <c r="AD72" s="816"/>
      <c r="AE72" s="816"/>
      <c r="AF72" s="609"/>
      <c r="AG72" s="609"/>
      <c r="AH72" s="816"/>
      <c r="AI72" s="816"/>
      <c r="AJ72" s="817"/>
      <c r="AK72" s="609"/>
      <c r="AL72" s="609"/>
      <c r="AM72" s="816"/>
      <c r="AN72" s="816"/>
      <c r="AO72" s="816"/>
      <c r="AP72" s="816"/>
      <c r="AQ72" s="816"/>
      <c r="AR72" s="816"/>
      <c r="AS72" s="816"/>
      <c r="AT72" s="609"/>
      <c r="AU72" s="609"/>
      <c r="AV72" s="609"/>
      <c r="AW72" s="818"/>
      <c r="AX72" s="816"/>
      <c r="AY72" s="816"/>
      <c r="AZ72" s="609"/>
      <c r="BA72" s="609"/>
      <c r="BB72" s="816"/>
      <c r="BC72" s="816"/>
      <c r="BD72" s="609"/>
      <c r="BE72" s="609"/>
      <c r="BF72" s="816"/>
      <c r="BG72" s="816"/>
      <c r="BH72" s="816"/>
      <c r="BI72" s="816"/>
      <c r="BJ72" s="816"/>
      <c r="BK72" s="816"/>
      <c r="BL72" s="816"/>
      <c r="BM72" s="816"/>
      <c r="BN72" s="816"/>
      <c r="BO72" s="816"/>
      <c r="BP72" s="816"/>
      <c r="BQ72" s="816"/>
      <c r="BR72" s="816"/>
      <c r="BS72" s="816"/>
      <c r="BT72" s="816"/>
      <c r="BU72" s="816"/>
      <c r="BV72" s="816"/>
      <c r="BW72" s="816"/>
      <c r="BX72" s="609"/>
      <c r="BY72" s="609"/>
      <c r="BZ72" s="816"/>
      <c r="CA72" s="816"/>
      <c r="CB72" s="609"/>
      <c r="CC72" s="609"/>
      <c r="CD72" s="816"/>
      <c r="CE72" s="816"/>
      <c r="CF72" s="816"/>
      <c r="CG72" s="816"/>
      <c r="CH72" s="816"/>
      <c r="CI72" s="816"/>
      <c r="CJ72" s="816"/>
      <c r="CK72" s="816"/>
      <c r="CL72" s="819"/>
      <c r="CM72" s="816"/>
      <c r="CN72" s="820"/>
      <c r="CO72" s="820"/>
      <c r="CP72" s="820"/>
      <c r="CQ72" s="820"/>
      <c r="CR72" s="609"/>
      <c r="CS72" s="609"/>
      <c r="CT72" s="816"/>
      <c r="CU72" s="816"/>
      <c r="CV72" s="816"/>
      <c r="CW72" s="816"/>
      <c r="CX72" s="816"/>
      <c r="CY72" s="816"/>
      <c r="CZ72" s="816"/>
      <c r="DA72" s="609"/>
      <c r="DB72" s="609"/>
      <c r="DC72" s="816"/>
      <c r="DD72" s="816"/>
      <c r="DE72" s="609"/>
      <c r="DF72" s="609"/>
      <c r="DG72" s="816"/>
      <c r="DH72" s="816"/>
      <c r="DI72" s="816"/>
      <c r="DJ72" s="816"/>
      <c r="DK72" s="816"/>
      <c r="DL72" s="816"/>
      <c r="DM72" s="609"/>
      <c r="DN72" s="609"/>
      <c r="DO72" s="816"/>
      <c r="DP72" s="816"/>
      <c r="DQ72" s="609"/>
      <c r="DR72" s="609"/>
      <c r="DS72" s="816"/>
      <c r="DT72" s="816"/>
      <c r="DU72" s="609"/>
      <c r="DV72" s="609"/>
      <c r="DW72" s="816"/>
      <c r="DX72" s="816"/>
      <c r="DY72" s="816"/>
      <c r="DZ72" s="816"/>
      <c r="EA72" s="816"/>
      <c r="EB72" s="816"/>
      <c r="EC72" s="821"/>
      <c r="ED72" s="609"/>
      <c r="EE72" s="816"/>
      <c r="EF72" s="816"/>
      <c r="EG72" s="822"/>
      <c r="EH72" s="609"/>
      <c r="EI72" s="816"/>
      <c r="EJ72" s="816"/>
      <c r="EK72" s="609"/>
      <c r="EL72" s="816"/>
      <c r="EM72" s="816"/>
      <c r="EN72" s="816"/>
      <c r="EO72" s="816"/>
      <c r="EP72" s="816"/>
      <c r="EQ72" s="816"/>
      <c r="ER72" s="816"/>
      <c r="ES72" s="816"/>
      <c r="ET72" s="816"/>
      <c r="EU72" s="816"/>
      <c r="EV72" s="816"/>
      <c r="EW72" s="823"/>
      <c r="EX72" s="824"/>
      <c r="EY72" s="825"/>
      <c r="EZ72" s="825"/>
      <c r="FA72" s="816"/>
      <c r="FC72" s="826"/>
      <c r="FD72" s="826"/>
      <c r="FE72" s="826"/>
      <c r="FF72" s="826"/>
    </row>
    <row r="73" spans="2:162" s="780" customFormat="1"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816"/>
      <c r="S73" s="816"/>
      <c r="T73" s="816"/>
      <c r="U73" s="816"/>
      <c r="V73" s="816"/>
      <c r="W73" s="816"/>
      <c r="X73" s="609"/>
      <c r="Y73" s="609"/>
      <c r="Z73" s="816"/>
      <c r="AA73" s="816"/>
      <c r="AB73" s="609"/>
      <c r="AC73" s="609"/>
      <c r="AD73" s="816"/>
      <c r="AE73" s="816"/>
      <c r="AF73" s="609"/>
      <c r="AG73" s="609"/>
      <c r="AH73" s="816"/>
      <c r="AI73" s="816"/>
      <c r="AJ73" s="817"/>
      <c r="AK73" s="609"/>
      <c r="AL73" s="609"/>
      <c r="AM73" s="816"/>
      <c r="AN73" s="816"/>
      <c r="AO73" s="816"/>
      <c r="AP73" s="816"/>
      <c r="AQ73" s="816"/>
      <c r="AR73" s="816"/>
      <c r="AS73" s="816"/>
      <c r="AT73" s="609"/>
      <c r="AU73" s="609"/>
      <c r="AV73" s="609"/>
      <c r="AW73" s="818"/>
      <c r="AX73" s="816"/>
      <c r="AY73" s="816"/>
      <c r="AZ73" s="609"/>
      <c r="BA73" s="609"/>
      <c r="BB73" s="816"/>
      <c r="BC73" s="816"/>
      <c r="BD73" s="609"/>
      <c r="BE73" s="609"/>
      <c r="BF73" s="816"/>
      <c r="BG73" s="816"/>
      <c r="BH73" s="816"/>
      <c r="BI73" s="816"/>
      <c r="BJ73" s="816"/>
      <c r="BK73" s="816"/>
      <c r="BL73" s="816"/>
      <c r="BM73" s="816"/>
      <c r="BN73" s="816"/>
      <c r="BO73" s="816"/>
      <c r="BP73" s="816"/>
      <c r="BQ73" s="816"/>
      <c r="BR73" s="816"/>
      <c r="BS73" s="816"/>
      <c r="BT73" s="816"/>
      <c r="BU73" s="816"/>
      <c r="BV73" s="816"/>
      <c r="BW73" s="816"/>
      <c r="BX73" s="609"/>
      <c r="BY73" s="609"/>
      <c r="BZ73" s="816"/>
      <c r="CA73" s="816"/>
      <c r="CB73" s="609"/>
      <c r="CC73" s="609"/>
      <c r="CD73" s="816"/>
      <c r="CE73" s="816"/>
      <c r="CF73" s="816"/>
      <c r="CG73" s="816"/>
      <c r="CH73" s="816"/>
      <c r="CI73" s="816"/>
      <c r="CJ73" s="816"/>
      <c r="CK73" s="816"/>
      <c r="CL73" s="819"/>
      <c r="CM73" s="816"/>
      <c r="CN73" s="820"/>
      <c r="CO73" s="820"/>
      <c r="CP73" s="820"/>
      <c r="CQ73" s="820"/>
      <c r="CR73" s="609"/>
      <c r="CS73" s="609"/>
      <c r="CT73" s="816"/>
      <c r="CU73" s="816"/>
      <c r="CV73" s="816"/>
      <c r="CW73" s="816"/>
      <c r="CX73" s="816"/>
      <c r="CY73" s="816"/>
      <c r="CZ73" s="816"/>
      <c r="DA73" s="609"/>
      <c r="DB73" s="609"/>
      <c r="DC73" s="816"/>
      <c r="DD73" s="816"/>
      <c r="DE73" s="609"/>
      <c r="DF73" s="609"/>
      <c r="DG73" s="816"/>
      <c r="DH73" s="816"/>
      <c r="DI73" s="816"/>
      <c r="DJ73" s="816"/>
      <c r="DK73" s="816"/>
      <c r="DL73" s="816"/>
      <c r="DM73" s="609"/>
      <c r="DN73" s="609"/>
      <c r="DO73" s="816"/>
      <c r="DP73" s="816"/>
      <c r="DQ73" s="609"/>
      <c r="DR73" s="609"/>
      <c r="DS73" s="816"/>
      <c r="DT73" s="816"/>
      <c r="DU73" s="609"/>
      <c r="DV73" s="609"/>
      <c r="DW73" s="816"/>
      <c r="DX73" s="816"/>
      <c r="DY73" s="816"/>
      <c r="DZ73" s="816"/>
      <c r="EA73" s="816"/>
      <c r="EB73" s="816"/>
      <c r="EC73" s="821"/>
      <c r="ED73" s="609"/>
      <c r="EE73" s="816"/>
      <c r="EF73" s="816"/>
      <c r="EG73" s="822"/>
      <c r="EH73" s="609"/>
      <c r="EI73" s="816"/>
      <c r="EJ73" s="816"/>
      <c r="EK73" s="609"/>
      <c r="EL73" s="816"/>
      <c r="EM73" s="816"/>
      <c r="EN73" s="816"/>
      <c r="EO73" s="816"/>
      <c r="EP73" s="816"/>
      <c r="EQ73" s="816"/>
      <c r="ER73" s="816"/>
      <c r="ES73" s="816"/>
      <c r="ET73" s="816"/>
      <c r="EU73" s="816"/>
      <c r="EV73" s="816"/>
      <c r="EW73" s="823"/>
      <c r="EX73" s="824"/>
      <c r="EY73" s="825"/>
      <c r="EZ73" s="825"/>
      <c r="FA73" s="816"/>
      <c r="FC73" s="826"/>
      <c r="FD73" s="826"/>
      <c r="FE73" s="826"/>
      <c r="FF73" s="826"/>
    </row>
    <row r="74" spans="2:162" s="780" customFormat="1"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816"/>
      <c r="S74" s="816"/>
      <c r="T74" s="816"/>
      <c r="U74" s="816"/>
      <c r="V74" s="816"/>
      <c r="W74" s="816"/>
      <c r="X74" s="609"/>
      <c r="Y74" s="609"/>
      <c r="Z74" s="816"/>
      <c r="AA74" s="816"/>
      <c r="AB74" s="609"/>
      <c r="AC74" s="609"/>
      <c r="AD74" s="816"/>
      <c r="AE74" s="816"/>
      <c r="AF74" s="609"/>
      <c r="AG74" s="609"/>
      <c r="AH74" s="816"/>
      <c r="AI74" s="816"/>
      <c r="AJ74" s="817"/>
      <c r="AK74" s="609"/>
      <c r="AL74" s="609"/>
      <c r="AM74" s="816"/>
      <c r="AN74" s="816"/>
      <c r="AO74" s="816"/>
      <c r="AP74" s="816"/>
      <c r="AQ74" s="816"/>
      <c r="AR74" s="816"/>
      <c r="AS74" s="816"/>
      <c r="AT74" s="609"/>
      <c r="AU74" s="609"/>
      <c r="AV74" s="609"/>
      <c r="AW74" s="818"/>
      <c r="AX74" s="816"/>
      <c r="AY74" s="816"/>
      <c r="AZ74" s="609"/>
      <c r="BA74" s="609"/>
      <c r="BB74" s="816"/>
      <c r="BC74" s="816"/>
      <c r="BD74" s="609"/>
      <c r="BE74" s="609"/>
      <c r="BF74" s="816"/>
      <c r="BG74" s="816"/>
      <c r="BH74" s="816"/>
      <c r="BI74" s="816"/>
      <c r="BJ74" s="816"/>
      <c r="BK74" s="816"/>
      <c r="BL74" s="816"/>
      <c r="BM74" s="816"/>
      <c r="BN74" s="816"/>
      <c r="BO74" s="816"/>
      <c r="BP74" s="816"/>
      <c r="BQ74" s="816"/>
      <c r="BR74" s="816"/>
      <c r="BS74" s="816"/>
      <c r="BT74" s="816"/>
      <c r="BU74" s="816"/>
      <c r="BV74" s="816"/>
      <c r="BW74" s="816"/>
      <c r="BX74" s="609"/>
      <c r="BY74" s="609"/>
      <c r="BZ74" s="816"/>
      <c r="CA74" s="816"/>
      <c r="CB74" s="609"/>
      <c r="CC74" s="609"/>
      <c r="CD74" s="816"/>
      <c r="CE74" s="816"/>
      <c r="CF74" s="816"/>
      <c r="CG74" s="816"/>
      <c r="CH74" s="816"/>
      <c r="CI74" s="816"/>
      <c r="CJ74" s="816"/>
      <c r="CK74" s="816"/>
      <c r="CL74" s="819"/>
      <c r="CM74" s="816"/>
      <c r="CN74" s="820"/>
      <c r="CO74" s="820"/>
      <c r="CP74" s="820"/>
      <c r="CQ74" s="820"/>
      <c r="CR74" s="609"/>
      <c r="CS74" s="609"/>
      <c r="CT74" s="816"/>
      <c r="CU74" s="816"/>
      <c r="CV74" s="816"/>
      <c r="CW74" s="816"/>
      <c r="CX74" s="816"/>
      <c r="CY74" s="816"/>
      <c r="CZ74" s="816"/>
      <c r="DA74" s="609"/>
      <c r="DB74" s="609"/>
      <c r="DC74" s="816"/>
      <c r="DD74" s="816"/>
      <c r="DE74" s="609"/>
      <c r="DF74" s="609"/>
      <c r="DG74" s="816"/>
      <c r="DH74" s="816"/>
      <c r="DI74" s="816"/>
      <c r="DJ74" s="816"/>
      <c r="DK74" s="816"/>
      <c r="DL74" s="816"/>
      <c r="DM74" s="609"/>
      <c r="DN74" s="609"/>
      <c r="DO74" s="816"/>
      <c r="DP74" s="816"/>
      <c r="DQ74" s="609"/>
      <c r="DR74" s="609"/>
      <c r="DS74" s="816"/>
      <c r="DT74" s="816"/>
      <c r="DU74" s="609"/>
      <c r="DV74" s="609"/>
      <c r="DW74" s="816"/>
      <c r="DX74" s="816"/>
      <c r="DY74" s="816"/>
      <c r="DZ74" s="816"/>
      <c r="EA74" s="816"/>
      <c r="EB74" s="816"/>
      <c r="EC74" s="821"/>
      <c r="ED74" s="609"/>
      <c r="EE74" s="816"/>
      <c r="EF74" s="816"/>
      <c r="EG74" s="822"/>
      <c r="EH74" s="609"/>
      <c r="EI74" s="816"/>
      <c r="EJ74" s="816"/>
      <c r="EK74" s="609"/>
      <c r="EL74" s="816"/>
      <c r="EM74" s="816"/>
      <c r="EN74" s="816"/>
      <c r="EO74" s="816"/>
      <c r="EP74" s="816"/>
      <c r="EQ74" s="816"/>
      <c r="ER74" s="816"/>
      <c r="ES74" s="816"/>
      <c r="ET74" s="816"/>
      <c r="EU74" s="816"/>
      <c r="EV74" s="816"/>
      <c r="EW74" s="823"/>
      <c r="EX74" s="824"/>
      <c r="EY74" s="825"/>
      <c r="EZ74" s="825"/>
      <c r="FA74" s="816"/>
      <c r="FC74" s="826"/>
      <c r="FD74" s="826"/>
      <c r="FE74" s="826"/>
      <c r="FF74" s="826"/>
    </row>
    <row r="75" spans="2:162" s="780" customFormat="1">
      <c r="B75" s="609"/>
      <c r="C75" s="609"/>
      <c r="D75" s="609"/>
      <c r="E75" s="609"/>
      <c r="F75" s="609"/>
      <c r="G75" s="609"/>
      <c r="H75" s="609"/>
      <c r="I75" s="609"/>
      <c r="J75" s="609"/>
      <c r="K75" s="609"/>
      <c r="L75" s="609"/>
      <c r="M75" s="609"/>
      <c r="N75" s="609"/>
      <c r="O75" s="609"/>
      <c r="P75" s="609"/>
      <c r="Q75" s="609"/>
      <c r="R75" s="816"/>
      <c r="S75" s="816"/>
      <c r="T75" s="816"/>
      <c r="U75" s="816"/>
      <c r="V75" s="816"/>
      <c r="W75" s="816"/>
      <c r="X75" s="609"/>
      <c r="Y75" s="609"/>
      <c r="Z75" s="816"/>
      <c r="AA75" s="816"/>
      <c r="AB75" s="609"/>
      <c r="AC75" s="609"/>
      <c r="AD75" s="816"/>
      <c r="AE75" s="816"/>
      <c r="AF75" s="609"/>
      <c r="AG75" s="609"/>
      <c r="AH75" s="816"/>
      <c r="AI75" s="816"/>
      <c r="AJ75" s="817"/>
      <c r="AK75" s="609"/>
      <c r="AL75" s="609"/>
      <c r="AM75" s="816"/>
      <c r="AN75" s="816"/>
      <c r="AO75" s="816"/>
      <c r="AP75" s="816"/>
      <c r="AQ75" s="816"/>
      <c r="AR75" s="816"/>
      <c r="AS75" s="816"/>
      <c r="AT75" s="609"/>
      <c r="AU75" s="609"/>
      <c r="AV75" s="609"/>
      <c r="AW75" s="818"/>
      <c r="AX75" s="816"/>
      <c r="AY75" s="816"/>
      <c r="AZ75" s="609"/>
      <c r="BA75" s="609"/>
      <c r="BB75" s="816"/>
      <c r="BC75" s="816"/>
      <c r="BD75" s="609"/>
      <c r="BE75" s="609"/>
      <c r="BF75" s="816"/>
      <c r="BG75" s="816"/>
      <c r="BH75" s="816"/>
      <c r="BI75" s="816"/>
      <c r="BJ75" s="816"/>
      <c r="BK75" s="816"/>
      <c r="BL75" s="816"/>
      <c r="BM75" s="816"/>
      <c r="BN75" s="816"/>
      <c r="BO75" s="816"/>
      <c r="BP75" s="816"/>
      <c r="BQ75" s="816"/>
      <c r="BR75" s="816"/>
      <c r="BS75" s="816"/>
      <c r="BT75" s="816"/>
      <c r="BU75" s="816"/>
      <c r="BV75" s="816"/>
      <c r="BW75" s="816"/>
      <c r="BX75" s="609"/>
      <c r="BY75" s="609"/>
      <c r="BZ75" s="816"/>
      <c r="CA75" s="816"/>
      <c r="CB75" s="609"/>
      <c r="CC75" s="609"/>
      <c r="CD75" s="816"/>
      <c r="CE75" s="816"/>
      <c r="CF75" s="816"/>
      <c r="CG75" s="816"/>
      <c r="CH75" s="816"/>
      <c r="CI75" s="816"/>
      <c r="CJ75" s="816"/>
      <c r="CK75" s="816"/>
      <c r="CL75" s="819"/>
      <c r="CM75" s="816"/>
      <c r="CN75" s="820"/>
      <c r="CO75" s="820"/>
      <c r="CP75" s="820"/>
      <c r="CQ75" s="820"/>
      <c r="CR75" s="609"/>
      <c r="CS75" s="609"/>
      <c r="CT75" s="816"/>
      <c r="CU75" s="816"/>
      <c r="CV75" s="816"/>
      <c r="CW75" s="816"/>
      <c r="CX75" s="816"/>
      <c r="CY75" s="816"/>
      <c r="CZ75" s="816"/>
      <c r="DA75" s="609"/>
      <c r="DB75" s="609"/>
      <c r="DC75" s="816"/>
      <c r="DD75" s="816"/>
      <c r="DE75" s="609"/>
      <c r="DF75" s="609"/>
      <c r="DG75" s="816"/>
      <c r="DH75" s="816"/>
      <c r="DI75" s="816"/>
      <c r="DJ75" s="816"/>
      <c r="DK75" s="816"/>
      <c r="DL75" s="816"/>
      <c r="DM75" s="609"/>
      <c r="DN75" s="609"/>
      <c r="DO75" s="816"/>
      <c r="DP75" s="816"/>
      <c r="DQ75" s="609"/>
      <c r="DR75" s="609"/>
      <c r="DS75" s="816"/>
      <c r="DT75" s="816"/>
      <c r="DU75" s="609"/>
      <c r="DV75" s="609"/>
      <c r="DW75" s="816"/>
      <c r="DX75" s="816"/>
      <c r="DY75" s="816"/>
      <c r="DZ75" s="816"/>
      <c r="EA75" s="816"/>
      <c r="EB75" s="816"/>
      <c r="EC75" s="821"/>
      <c r="ED75" s="609"/>
      <c r="EE75" s="816"/>
      <c r="EF75" s="816"/>
      <c r="EG75" s="822"/>
      <c r="EH75" s="609"/>
      <c r="EI75" s="816"/>
      <c r="EJ75" s="816"/>
      <c r="EK75" s="609"/>
      <c r="EL75" s="816"/>
      <c r="EM75" s="816"/>
      <c r="EN75" s="816"/>
      <c r="EO75" s="816"/>
      <c r="EP75" s="816"/>
      <c r="EQ75" s="816"/>
      <c r="ER75" s="816"/>
      <c r="ES75" s="816"/>
      <c r="ET75" s="816"/>
      <c r="EU75" s="816"/>
      <c r="EV75" s="816"/>
      <c r="EW75" s="823"/>
      <c r="EX75" s="824"/>
      <c r="EY75" s="825"/>
      <c r="EZ75" s="825"/>
      <c r="FA75" s="816"/>
      <c r="FC75" s="826"/>
      <c r="FD75" s="826"/>
      <c r="FE75" s="826"/>
      <c r="FF75" s="826"/>
    </row>
    <row r="76" spans="2:162" s="780" customFormat="1">
      <c r="B76" s="609"/>
      <c r="C76" s="609"/>
      <c r="D76" s="609"/>
      <c r="E76" s="609"/>
      <c r="F76" s="609"/>
      <c r="G76" s="609"/>
      <c r="H76" s="609"/>
      <c r="I76" s="609"/>
      <c r="J76" s="609"/>
      <c r="K76" s="609"/>
      <c r="L76" s="609"/>
      <c r="M76" s="609"/>
      <c r="N76" s="609"/>
      <c r="O76" s="609"/>
      <c r="P76" s="609"/>
      <c r="Q76" s="609"/>
      <c r="R76" s="816"/>
      <c r="S76" s="816"/>
      <c r="T76" s="816"/>
      <c r="U76" s="816"/>
      <c r="V76" s="816"/>
      <c r="W76" s="816"/>
      <c r="X76" s="609"/>
      <c r="Y76" s="609"/>
      <c r="Z76" s="816"/>
      <c r="AA76" s="816"/>
      <c r="AB76" s="609"/>
      <c r="AC76" s="609"/>
      <c r="AD76" s="816"/>
      <c r="AE76" s="816"/>
      <c r="AF76" s="609"/>
      <c r="AG76" s="609"/>
      <c r="AH76" s="816"/>
      <c r="AI76" s="816"/>
      <c r="AJ76" s="817"/>
      <c r="AK76" s="609"/>
      <c r="AL76" s="609"/>
      <c r="AM76" s="816"/>
      <c r="AN76" s="816"/>
      <c r="AO76" s="816"/>
      <c r="AP76" s="816"/>
      <c r="AQ76" s="816"/>
      <c r="AR76" s="816"/>
      <c r="AS76" s="816"/>
      <c r="AT76" s="609"/>
      <c r="AU76" s="609"/>
      <c r="AV76" s="609"/>
      <c r="AW76" s="818"/>
      <c r="AX76" s="816"/>
      <c r="AY76" s="816"/>
      <c r="AZ76" s="609"/>
      <c r="BA76" s="609"/>
      <c r="BB76" s="816"/>
      <c r="BC76" s="816"/>
      <c r="BD76" s="609"/>
      <c r="BE76" s="609"/>
      <c r="BF76" s="816"/>
      <c r="BG76" s="816"/>
      <c r="BH76" s="816"/>
      <c r="BI76" s="816"/>
      <c r="BJ76" s="816"/>
      <c r="BK76" s="816"/>
      <c r="BL76" s="816"/>
      <c r="BM76" s="816"/>
      <c r="BN76" s="816"/>
      <c r="BO76" s="816"/>
      <c r="BP76" s="816"/>
      <c r="BQ76" s="816"/>
      <c r="BR76" s="816"/>
      <c r="BS76" s="816"/>
      <c r="BT76" s="816"/>
      <c r="BU76" s="816"/>
      <c r="BV76" s="816"/>
      <c r="BW76" s="816"/>
      <c r="BX76" s="609"/>
      <c r="BY76" s="609"/>
      <c r="BZ76" s="816"/>
      <c r="CA76" s="816"/>
      <c r="CB76" s="609"/>
      <c r="CC76" s="609"/>
      <c r="CD76" s="816"/>
      <c r="CE76" s="816"/>
      <c r="CF76" s="816"/>
      <c r="CG76" s="816"/>
      <c r="CH76" s="816"/>
      <c r="CI76" s="816"/>
      <c r="CJ76" s="816"/>
      <c r="CK76" s="816"/>
      <c r="CL76" s="819"/>
      <c r="CM76" s="816"/>
      <c r="CN76" s="820"/>
      <c r="CO76" s="820"/>
      <c r="CP76" s="820"/>
      <c r="CQ76" s="820"/>
      <c r="CR76" s="609"/>
      <c r="CS76" s="609"/>
      <c r="CT76" s="816"/>
      <c r="CU76" s="816"/>
      <c r="CV76" s="816"/>
      <c r="CW76" s="816"/>
      <c r="CX76" s="816"/>
      <c r="CY76" s="816"/>
      <c r="CZ76" s="816"/>
      <c r="DA76" s="609"/>
      <c r="DB76" s="609"/>
      <c r="DC76" s="816"/>
      <c r="DD76" s="816"/>
      <c r="DE76" s="609"/>
      <c r="DF76" s="609"/>
      <c r="DG76" s="816"/>
      <c r="DH76" s="816"/>
      <c r="DI76" s="816"/>
      <c r="DJ76" s="816"/>
      <c r="DK76" s="816"/>
      <c r="DL76" s="816"/>
      <c r="DM76" s="609"/>
      <c r="DN76" s="609"/>
      <c r="DO76" s="816"/>
      <c r="DP76" s="816"/>
      <c r="DQ76" s="609"/>
      <c r="DR76" s="609"/>
      <c r="DS76" s="816"/>
      <c r="DT76" s="816"/>
      <c r="DU76" s="609"/>
      <c r="DV76" s="609"/>
      <c r="DW76" s="816"/>
      <c r="DX76" s="816"/>
      <c r="DY76" s="816"/>
      <c r="DZ76" s="816"/>
      <c r="EA76" s="816"/>
      <c r="EB76" s="816"/>
      <c r="EC76" s="821"/>
      <c r="ED76" s="609"/>
      <c r="EE76" s="816"/>
      <c r="EF76" s="816"/>
      <c r="EG76" s="822"/>
      <c r="EH76" s="609"/>
      <c r="EI76" s="816"/>
      <c r="EJ76" s="816"/>
      <c r="EK76" s="609"/>
      <c r="EL76" s="816"/>
      <c r="EM76" s="816"/>
      <c r="EN76" s="816"/>
      <c r="EO76" s="816"/>
      <c r="EP76" s="816"/>
      <c r="EQ76" s="816"/>
      <c r="ER76" s="816"/>
      <c r="ES76" s="816"/>
      <c r="ET76" s="816"/>
      <c r="EU76" s="816"/>
      <c r="EV76" s="816"/>
      <c r="EW76" s="823"/>
      <c r="EX76" s="824"/>
      <c r="EY76" s="825"/>
      <c r="EZ76" s="825"/>
      <c r="FA76" s="816"/>
      <c r="FC76" s="826"/>
      <c r="FD76" s="826"/>
      <c r="FE76" s="826"/>
      <c r="FF76" s="826"/>
    </row>
    <row r="77" spans="2:162" s="780" customFormat="1">
      <c r="B77" s="609"/>
      <c r="C77" s="609"/>
      <c r="D77" s="609"/>
      <c r="E77" s="609"/>
      <c r="F77" s="609"/>
      <c r="G77" s="609"/>
      <c r="H77" s="609"/>
      <c r="I77" s="609"/>
      <c r="J77" s="609"/>
      <c r="K77" s="609"/>
      <c r="L77" s="609"/>
      <c r="M77" s="609"/>
      <c r="N77" s="609"/>
      <c r="O77" s="609"/>
      <c r="P77" s="609"/>
      <c r="Q77" s="609"/>
      <c r="R77" s="816"/>
      <c r="S77" s="816"/>
      <c r="T77" s="816"/>
      <c r="U77" s="816"/>
      <c r="V77" s="816"/>
      <c r="W77" s="816"/>
      <c r="X77" s="609"/>
      <c r="Y77" s="609"/>
      <c r="Z77" s="816"/>
      <c r="AA77" s="816"/>
      <c r="AB77" s="609"/>
      <c r="AC77" s="609"/>
      <c r="AD77" s="816"/>
      <c r="AE77" s="816"/>
      <c r="AF77" s="609"/>
      <c r="AG77" s="609"/>
      <c r="AH77" s="816"/>
      <c r="AI77" s="816"/>
      <c r="AJ77" s="817"/>
      <c r="AK77" s="609"/>
      <c r="AL77" s="609"/>
      <c r="AM77" s="816"/>
      <c r="AN77" s="816"/>
      <c r="AO77" s="816"/>
      <c r="AP77" s="816"/>
      <c r="AQ77" s="816"/>
      <c r="AR77" s="816"/>
      <c r="AS77" s="816"/>
      <c r="AT77" s="609"/>
      <c r="AU77" s="609"/>
      <c r="AV77" s="609"/>
      <c r="AW77" s="818"/>
      <c r="AX77" s="816"/>
      <c r="AY77" s="816"/>
      <c r="AZ77" s="609"/>
      <c r="BA77" s="609"/>
      <c r="BB77" s="816"/>
      <c r="BC77" s="816"/>
      <c r="BD77" s="609"/>
      <c r="BE77" s="609"/>
      <c r="BF77" s="816"/>
      <c r="BG77" s="816"/>
      <c r="BH77" s="816"/>
      <c r="BI77" s="816"/>
      <c r="BJ77" s="816"/>
      <c r="BK77" s="816"/>
      <c r="BL77" s="816"/>
      <c r="BM77" s="816"/>
      <c r="BN77" s="816"/>
      <c r="BO77" s="816"/>
      <c r="BP77" s="816"/>
      <c r="BQ77" s="816"/>
      <c r="BR77" s="816"/>
      <c r="BS77" s="816"/>
      <c r="BT77" s="816"/>
      <c r="BU77" s="816"/>
      <c r="BV77" s="816"/>
      <c r="BW77" s="816"/>
      <c r="BX77" s="609"/>
      <c r="BY77" s="609"/>
      <c r="BZ77" s="816"/>
      <c r="CA77" s="816"/>
      <c r="CB77" s="609"/>
      <c r="CC77" s="609"/>
      <c r="CD77" s="816"/>
      <c r="CE77" s="816"/>
      <c r="CF77" s="816"/>
      <c r="CG77" s="816"/>
      <c r="CH77" s="816"/>
      <c r="CI77" s="816"/>
      <c r="CJ77" s="816"/>
      <c r="CK77" s="816"/>
      <c r="CL77" s="819"/>
      <c r="CM77" s="816"/>
      <c r="CN77" s="820"/>
      <c r="CO77" s="820"/>
      <c r="CP77" s="820"/>
      <c r="CQ77" s="820"/>
      <c r="CR77" s="609"/>
      <c r="CS77" s="609"/>
      <c r="CT77" s="816"/>
      <c r="CU77" s="816"/>
      <c r="CV77" s="816"/>
      <c r="CW77" s="816"/>
      <c r="CX77" s="816"/>
      <c r="CY77" s="816"/>
      <c r="CZ77" s="816"/>
      <c r="DA77" s="609"/>
      <c r="DB77" s="609"/>
      <c r="DC77" s="816"/>
      <c r="DD77" s="816"/>
      <c r="DE77" s="609"/>
      <c r="DF77" s="609"/>
      <c r="DG77" s="816"/>
      <c r="DH77" s="816"/>
      <c r="DI77" s="816"/>
      <c r="DJ77" s="816"/>
      <c r="DK77" s="816"/>
      <c r="DL77" s="816"/>
      <c r="DM77" s="609"/>
      <c r="DN77" s="609"/>
      <c r="DO77" s="816"/>
      <c r="DP77" s="816"/>
      <c r="DQ77" s="609"/>
      <c r="DR77" s="609"/>
      <c r="DS77" s="816"/>
      <c r="DT77" s="816"/>
      <c r="DU77" s="609"/>
      <c r="DV77" s="609"/>
      <c r="DW77" s="816"/>
      <c r="DX77" s="816"/>
      <c r="DY77" s="816"/>
      <c r="DZ77" s="816"/>
      <c r="EA77" s="816"/>
      <c r="EB77" s="816"/>
      <c r="EC77" s="821"/>
      <c r="ED77" s="609"/>
      <c r="EE77" s="816"/>
      <c r="EF77" s="816"/>
      <c r="EG77" s="822"/>
      <c r="EH77" s="609"/>
      <c r="EI77" s="816"/>
      <c r="EJ77" s="816"/>
      <c r="EK77" s="609"/>
      <c r="EL77" s="816"/>
      <c r="EM77" s="816"/>
      <c r="EN77" s="816"/>
      <c r="EO77" s="816"/>
      <c r="EP77" s="816"/>
      <c r="EQ77" s="816"/>
      <c r="ER77" s="816"/>
      <c r="ES77" s="816"/>
      <c r="ET77" s="816"/>
      <c r="EU77" s="816"/>
      <c r="EV77" s="816"/>
      <c r="EW77" s="823"/>
      <c r="EX77" s="824"/>
      <c r="EY77" s="825"/>
      <c r="EZ77" s="825"/>
      <c r="FA77" s="816"/>
      <c r="FC77" s="826"/>
      <c r="FD77" s="826"/>
      <c r="FE77" s="826"/>
      <c r="FF77" s="826"/>
    </row>
    <row r="78" spans="2:162" s="780" customFormat="1">
      <c r="B78" s="609"/>
      <c r="C78" s="609"/>
      <c r="D78" s="609"/>
      <c r="E78" s="609"/>
      <c r="F78" s="609"/>
      <c r="G78" s="609"/>
      <c r="H78" s="609"/>
      <c r="I78" s="609"/>
      <c r="J78" s="609"/>
      <c r="K78" s="609"/>
      <c r="L78" s="609"/>
      <c r="M78" s="609"/>
      <c r="N78" s="609"/>
      <c r="O78" s="609"/>
      <c r="P78" s="609"/>
      <c r="Q78" s="609"/>
      <c r="R78" s="816"/>
      <c r="S78" s="816"/>
      <c r="T78" s="816"/>
      <c r="U78" s="816"/>
      <c r="V78" s="816"/>
      <c r="W78" s="816"/>
      <c r="X78" s="609"/>
      <c r="Y78" s="609"/>
      <c r="Z78" s="816"/>
      <c r="AA78" s="816"/>
      <c r="AB78" s="609"/>
      <c r="AC78" s="609"/>
      <c r="AD78" s="816"/>
      <c r="AE78" s="816"/>
      <c r="AF78" s="609"/>
      <c r="AG78" s="609"/>
      <c r="AH78" s="816"/>
      <c r="AI78" s="816"/>
      <c r="AJ78" s="817"/>
      <c r="AK78" s="609"/>
      <c r="AL78" s="609"/>
      <c r="AM78" s="816"/>
      <c r="AN78" s="816"/>
      <c r="AO78" s="816"/>
      <c r="AP78" s="816"/>
      <c r="AQ78" s="816"/>
      <c r="AR78" s="816"/>
      <c r="AS78" s="816"/>
      <c r="AT78" s="609"/>
      <c r="AU78" s="609"/>
      <c r="AV78" s="609"/>
      <c r="AW78" s="818"/>
      <c r="AX78" s="816"/>
      <c r="AY78" s="816"/>
      <c r="AZ78" s="609"/>
      <c r="BA78" s="609"/>
      <c r="BB78" s="816"/>
      <c r="BC78" s="816"/>
      <c r="BD78" s="609"/>
      <c r="BE78" s="609"/>
      <c r="BF78" s="816"/>
      <c r="BG78" s="816"/>
      <c r="BH78" s="816"/>
      <c r="BI78" s="816"/>
      <c r="BJ78" s="816"/>
      <c r="BK78" s="816"/>
      <c r="BL78" s="816"/>
      <c r="BM78" s="816"/>
      <c r="BN78" s="816"/>
      <c r="BO78" s="816"/>
      <c r="BP78" s="816"/>
      <c r="BQ78" s="816"/>
      <c r="BR78" s="816"/>
      <c r="BS78" s="816"/>
      <c r="BT78" s="816"/>
      <c r="BU78" s="816"/>
      <c r="BV78" s="816"/>
      <c r="BW78" s="816"/>
      <c r="BX78" s="609"/>
      <c r="BY78" s="609"/>
      <c r="BZ78" s="816"/>
      <c r="CA78" s="816"/>
      <c r="CB78" s="609"/>
      <c r="CC78" s="609"/>
      <c r="CD78" s="816"/>
      <c r="CE78" s="816"/>
      <c r="CF78" s="816"/>
      <c r="CG78" s="816"/>
      <c r="CH78" s="816"/>
      <c r="CI78" s="816"/>
      <c r="CJ78" s="816"/>
      <c r="CK78" s="816"/>
      <c r="CL78" s="819"/>
      <c r="CM78" s="816"/>
      <c r="CN78" s="820"/>
      <c r="CO78" s="820"/>
      <c r="CP78" s="820"/>
      <c r="CQ78" s="820"/>
      <c r="CR78" s="609"/>
      <c r="CS78" s="609"/>
      <c r="CT78" s="816"/>
      <c r="CU78" s="816"/>
      <c r="CV78" s="816"/>
      <c r="CW78" s="816"/>
      <c r="CX78" s="816"/>
      <c r="CY78" s="816"/>
      <c r="CZ78" s="816"/>
      <c r="DA78" s="609"/>
      <c r="DB78" s="609"/>
      <c r="DC78" s="816"/>
      <c r="DD78" s="816"/>
      <c r="DE78" s="609"/>
      <c r="DF78" s="609"/>
      <c r="DG78" s="816"/>
      <c r="DH78" s="816"/>
      <c r="DI78" s="816"/>
      <c r="DJ78" s="816"/>
      <c r="DK78" s="816"/>
      <c r="DL78" s="816"/>
      <c r="DM78" s="609"/>
      <c r="DN78" s="609"/>
      <c r="DO78" s="816"/>
      <c r="DP78" s="816"/>
      <c r="DQ78" s="609"/>
      <c r="DR78" s="609"/>
      <c r="DS78" s="816"/>
      <c r="DT78" s="816"/>
      <c r="DU78" s="609"/>
      <c r="DV78" s="609"/>
      <c r="DW78" s="816"/>
      <c r="DX78" s="816"/>
      <c r="DY78" s="816"/>
      <c r="DZ78" s="816"/>
      <c r="EA78" s="816"/>
      <c r="EB78" s="816"/>
      <c r="EC78" s="821"/>
      <c r="ED78" s="609"/>
      <c r="EE78" s="816"/>
      <c r="EF78" s="816"/>
      <c r="EG78" s="822"/>
      <c r="EH78" s="609"/>
      <c r="EI78" s="816"/>
      <c r="EJ78" s="816"/>
      <c r="EK78" s="609"/>
      <c r="EL78" s="816"/>
      <c r="EM78" s="816"/>
      <c r="EN78" s="816"/>
      <c r="EO78" s="816"/>
      <c r="EP78" s="816"/>
      <c r="EQ78" s="816"/>
      <c r="ER78" s="816"/>
      <c r="ES78" s="816"/>
      <c r="ET78" s="816"/>
      <c r="EU78" s="816"/>
      <c r="EV78" s="816"/>
      <c r="EW78" s="823"/>
      <c r="EX78" s="824"/>
      <c r="EY78" s="825"/>
      <c r="EZ78" s="825"/>
      <c r="FA78" s="816"/>
      <c r="FC78" s="826"/>
      <c r="FD78" s="826"/>
      <c r="FE78" s="826"/>
      <c r="FF78" s="826"/>
    </row>
    <row r="79" spans="2:162" s="780" customFormat="1">
      <c r="B79" s="609"/>
      <c r="C79" s="609"/>
      <c r="D79" s="609"/>
      <c r="E79" s="609"/>
      <c r="F79" s="609"/>
      <c r="G79" s="609"/>
      <c r="H79" s="609"/>
      <c r="I79" s="609"/>
      <c r="J79" s="609"/>
      <c r="K79" s="609"/>
      <c r="L79" s="609"/>
      <c r="M79" s="609"/>
      <c r="N79" s="609"/>
      <c r="O79" s="609"/>
      <c r="P79" s="609"/>
      <c r="Q79" s="609"/>
      <c r="R79" s="816"/>
      <c r="S79" s="816"/>
      <c r="T79" s="816"/>
      <c r="U79" s="816"/>
      <c r="V79" s="816"/>
      <c r="W79" s="816"/>
      <c r="X79" s="609"/>
      <c r="Y79" s="609"/>
      <c r="Z79" s="816"/>
      <c r="AA79" s="816"/>
      <c r="AB79" s="609"/>
      <c r="AC79" s="609"/>
      <c r="AD79" s="816"/>
      <c r="AE79" s="816"/>
      <c r="AF79" s="609"/>
      <c r="AG79" s="609"/>
      <c r="AH79" s="816"/>
      <c r="AI79" s="816"/>
      <c r="AJ79" s="817"/>
      <c r="AK79" s="609"/>
      <c r="AL79" s="609"/>
      <c r="AM79" s="816"/>
      <c r="AN79" s="816"/>
      <c r="AO79" s="816"/>
      <c r="AP79" s="816"/>
      <c r="AQ79" s="816"/>
      <c r="AR79" s="816"/>
      <c r="AS79" s="816"/>
      <c r="AT79" s="609"/>
      <c r="AU79" s="609"/>
      <c r="AV79" s="609"/>
      <c r="AW79" s="818"/>
      <c r="AX79" s="816"/>
      <c r="AY79" s="816"/>
      <c r="AZ79" s="609"/>
      <c r="BA79" s="609"/>
      <c r="BB79" s="816"/>
      <c r="BC79" s="816"/>
      <c r="BD79" s="609"/>
      <c r="BE79" s="609"/>
      <c r="BF79" s="816"/>
      <c r="BG79" s="816"/>
      <c r="BH79" s="816"/>
      <c r="BI79" s="816"/>
      <c r="BJ79" s="816"/>
      <c r="BK79" s="816"/>
      <c r="BL79" s="816"/>
      <c r="BM79" s="816"/>
      <c r="BN79" s="816"/>
      <c r="BO79" s="816"/>
      <c r="BP79" s="816"/>
      <c r="BQ79" s="816"/>
      <c r="BR79" s="816"/>
      <c r="BS79" s="816"/>
      <c r="BT79" s="816"/>
      <c r="BU79" s="816"/>
      <c r="BV79" s="816"/>
      <c r="BW79" s="816"/>
      <c r="BX79" s="609"/>
      <c r="BY79" s="609"/>
      <c r="BZ79" s="816"/>
      <c r="CA79" s="816"/>
      <c r="CB79" s="609"/>
      <c r="CC79" s="609"/>
      <c r="CD79" s="816"/>
      <c r="CE79" s="816"/>
      <c r="CF79" s="816"/>
      <c r="CG79" s="816"/>
      <c r="CH79" s="816"/>
      <c r="CI79" s="816"/>
      <c r="CJ79" s="816"/>
      <c r="CK79" s="816"/>
      <c r="CL79" s="819"/>
      <c r="CM79" s="816"/>
      <c r="CN79" s="820"/>
      <c r="CO79" s="820"/>
      <c r="CP79" s="820"/>
      <c r="CQ79" s="820"/>
      <c r="CR79" s="609"/>
      <c r="CS79" s="609"/>
      <c r="CT79" s="816"/>
      <c r="CU79" s="816"/>
      <c r="CV79" s="816"/>
      <c r="CW79" s="816"/>
      <c r="CX79" s="816"/>
      <c r="CY79" s="816"/>
      <c r="CZ79" s="816"/>
      <c r="DA79" s="609"/>
      <c r="DB79" s="609"/>
      <c r="DC79" s="816"/>
      <c r="DD79" s="816"/>
      <c r="DE79" s="609"/>
      <c r="DF79" s="609"/>
      <c r="DG79" s="816"/>
      <c r="DH79" s="816"/>
      <c r="DI79" s="816"/>
      <c r="DJ79" s="816"/>
      <c r="DK79" s="816"/>
      <c r="DL79" s="816"/>
      <c r="DM79" s="609"/>
      <c r="DN79" s="609"/>
      <c r="DO79" s="816"/>
      <c r="DP79" s="816"/>
      <c r="DQ79" s="609"/>
      <c r="DR79" s="609"/>
      <c r="DS79" s="816"/>
      <c r="DT79" s="816"/>
      <c r="DU79" s="609"/>
      <c r="DV79" s="609"/>
      <c r="DW79" s="816"/>
      <c r="DX79" s="816"/>
      <c r="DY79" s="816"/>
      <c r="DZ79" s="816"/>
      <c r="EA79" s="816"/>
      <c r="EB79" s="816"/>
      <c r="EC79" s="821"/>
      <c r="ED79" s="609"/>
      <c r="EE79" s="816"/>
      <c r="EF79" s="816"/>
      <c r="EG79" s="822"/>
      <c r="EH79" s="609"/>
      <c r="EI79" s="816"/>
      <c r="EJ79" s="816"/>
      <c r="EK79" s="609"/>
      <c r="EL79" s="816"/>
      <c r="EM79" s="816"/>
      <c r="EN79" s="816"/>
      <c r="EO79" s="816"/>
      <c r="EP79" s="816"/>
      <c r="EQ79" s="816"/>
      <c r="ER79" s="816"/>
      <c r="ES79" s="816"/>
      <c r="ET79" s="816"/>
      <c r="EU79" s="816"/>
      <c r="EV79" s="816"/>
      <c r="EW79" s="823"/>
      <c r="EX79" s="824"/>
      <c r="EY79" s="825"/>
      <c r="EZ79" s="825"/>
      <c r="FA79" s="816"/>
      <c r="FC79" s="826"/>
      <c r="FD79" s="826"/>
      <c r="FE79" s="826"/>
      <c r="FF79" s="826"/>
    </row>
    <row r="80" spans="2:162" s="780" customFormat="1">
      <c r="B80" s="609"/>
      <c r="C80" s="609"/>
      <c r="D80" s="609"/>
      <c r="E80" s="609"/>
      <c r="F80" s="609"/>
      <c r="G80" s="609"/>
      <c r="H80" s="609"/>
      <c r="I80" s="609"/>
      <c r="J80" s="609"/>
      <c r="K80" s="609"/>
      <c r="L80" s="609"/>
      <c r="M80" s="609"/>
      <c r="N80" s="609"/>
      <c r="O80" s="609"/>
      <c r="P80" s="609"/>
      <c r="Q80" s="609"/>
      <c r="R80" s="816"/>
      <c r="S80" s="816"/>
      <c r="T80" s="816"/>
      <c r="U80" s="816"/>
      <c r="V80" s="816"/>
      <c r="W80" s="816"/>
      <c r="X80" s="609"/>
      <c r="Y80" s="609"/>
      <c r="Z80" s="816"/>
      <c r="AA80" s="816"/>
      <c r="AB80" s="609"/>
      <c r="AC80" s="609"/>
      <c r="AD80" s="816"/>
      <c r="AE80" s="816"/>
      <c r="AF80" s="609"/>
      <c r="AG80" s="609"/>
      <c r="AH80" s="816"/>
      <c r="AI80" s="816"/>
      <c r="AJ80" s="817"/>
      <c r="AK80" s="609"/>
      <c r="AL80" s="609"/>
      <c r="AM80" s="816"/>
      <c r="AN80" s="816"/>
      <c r="AO80" s="816"/>
      <c r="AP80" s="816"/>
      <c r="AQ80" s="816"/>
      <c r="AR80" s="816"/>
      <c r="AS80" s="816"/>
      <c r="AT80" s="609"/>
      <c r="AU80" s="609"/>
      <c r="AV80" s="609"/>
      <c r="AW80" s="818"/>
      <c r="AX80" s="816"/>
      <c r="AY80" s="816"/>
      <c r="AZ80" s="609"/>
      <c r="BA80" s="609"/>
      <c r="BB80" s="816"/>
      <c r="BC80" s="816"/>
      <c r="BD80" s="609"/>
      <c r="BE80" s="609"/>
      <c r="BF80" s="816"/>
      <c r="BG80" s="816"/>
      <c r="BH80" s="816"/>
      <c r="BI80" s="816"/>
      <c r="BJ80" s="816"/>
      <c r="BK80" s="816"/>
      <c r="BL80" s="816"/>
      <c r="BM80" s="816"/>
      <c r="BN80" s="816"/>
      <c r="BO80" s="816"/>
      <c r="BP80" s="816"/>
      <c r="BQ80" s="816"/>
      <c r="BR80" s="816"/>
      <c r="BS80" s="816"/>
      <c r="BT80" s="816"/>
      <c r="BU80" s="816"/>
      <c r="BV80" s="816"/>
      <c r="BW80" s="816"/>
      <c r="BX80" s="609"/>
      <c r="BY80" s="609"/>
      <c r="BZ80" s="816"/>
      <c r="CA80" s="816"/>
      <c r="CB80" s="609"/>
      <c r="CC80" s="609"/>
      <c r="CD80" s="816"/>
      <c r="CE80" s="816"/>
      <c r="CF80" s="816"/>
      <c r="CG80" s="816"/>
      <c r="CH80" s="816"/>
      <c r="CI80" s="816"/>
      <c r="CJ80" s="816"/>
      <c r="CK80" s="816"/>
      <c r="CL80" s="819"/>
      <c r="CM80" s="816"/>
      <c r="CN80" s="820"/>
      <c r="CO80" s="820"/>
      <c r="CP80" s="820"/>
      <c r="CQ80" s="820"/>
      <c r="CR80" s="609"/>
      <c r="CS80" s="609"/>
      <c r="CT80" s="816"/>
      <c r="CU80" s="816"/>
      <c r="CV80" s="816"/>
      <c r="CW80" s="816"/>
      <c r="CX80" s="816"/>
      <c r="CY80" s="816"/>
      <c r="CZ80" s="816"/>
      <c r="DA80" s="609"/>
      <c r="DB80" s="609"/>
      <c r="DC80" s="816"/>
      <c r="DD80" s="816"/>
      <c r="DE80" s="609"/>
      <c r="DF80" s="609"/>
      <c r="DG80" s="816"/>
      <c r="DH80" s="816"/>
      <c r="DI80" s="816"/>
      <c r="DJ80" s="816"/>
      <c r="DK80" s="816"/>
      <c r="DL80" s="816"/>
      <c r="DM80" s="609"/>
      <c r="DN80" s="609"/>
      <c r="DO80" s="816"/>
      <c r="DP80" s="816"/>
      <c r="DQ80" s="609"/>
      <c r="DR80" s="609"/>
      <c r="DS80" s="816"/>
      <c r="DT80" s="816"/>
      <c r="DU80" s="609"/>
      <c r="DV80" s="609"/>
      <c r="DW80" s="816"/>
      <c r="DX80" s="816"/>
      <c r="DY80" s="816"/>
      <c r="DZ80" s="816"/>
      <c r="EA80" s="816"/>
      <c r="EB80" s="816"/>
      <c r="EC80" s="821"/>
      <c r="ED80" s="609"/>
      <c r="EE80" s="816"/>
      <c r="EF80" s="816"/>
      <c r="EG80" s="822"/>
      <c r="EH80" s="609"/>
      <c r="EI80" s="816"/>
      <c r="EJ80" s="816"/>
      <c r="EK80" s="609"/>
      <c r="EL80" s="816"/>
      <c r="EM80" s="816"/>
      <c r="EN80" s="816"/>
      <c r="EO80" s="816"/>
      <c r="EP80" s="816"/>
      <c r="EQ80" s="816"/>
      <c r="ER80" s="816"/>
      <c r="ES80" s="816"/>
      <c r="ET80" s="816"/>
      <c r="EU80" s="816"/>
      <c r="EV80" s="816"/>
      <c r="EW80" s="823"/>
      <c r="EX80" s="824"/>
      <c r="EY80" s="825"/>
      <c r="EZ80" s="825"/>
      <c r="FA80" s="816"/>
      <c r="FC80" s="826"/>
      <c r="FD80" s="826"/>
      <c r="FE80" s="826"/>
      <c r="FF80" s="826"/>
    </row>
    <row r="81" spans="2:162" s="780" customFormat="1">
      <c r="B81" s="609"/>
      <c r="C81" s="609"/>
      <c r="D81" s="609"/>
      <c r="E81" s="609"/>
      <c r="F81" s="609"/>
      <c r="G81" s="609"/>
      <c r="H81" s="609"/>
      <c r="I81" s="609"/>
      <c r="J81" s="609"/>
      <c r="K81" s="609"/>
      <c r="L81" s="609"/>
      <c r="M81" s="609"/>
      <c r="N81" s="609"/>
      <c r="O81" s="609"/>
      <c r="P81" s="609"/>
      <c r="Q81" s="609"/>
      <c r="R81" s="816"/>
      <c r="S81" s="816"/>
      <c r="T81" s="816"/>
      <c r="U81" s="816"/>
      <c r="V81" s="816"/>
      <c r="W81" s="816"/>
      <c r="X81" s="609"/>
      <c r="Y81" s="609"/>
      <c r="Z81" s="816"/>
      <c r="AA81" s="816"/>
      <c r="AB81" s="609"/>
      <c r="AC81" s="609"/>
      <c r="AD81" s="816"/>
      <c r="AE81" s="816"/>
      <c r="AF81" s="609"/>
      <c r="AG81" s="609"/>
      <c r="AH81" s="816"/>
      <c r="AI81" s="816"/>
      <c r="AJ81" s="817"/>
      <c r="AK81" s="609"/>
      <c r="AL81" s="609"/>
      <c r="AM81" s="816"/>
      <c r="AN81" s="816"/>
      <c r="AO81" s="816"/>
      <c r="AP81" s="816"/>
      <c r="AQ81" s="816"/>
      <c r="AR81" s="816"/>
      <c r="AS81" s="816"/>
      <c r="AT81" s="609"/>
      <c r="AU81" s="609"/>
      <c r="AV81" s="609"/>
      <c r="AW81" s="818"/>
      <c r="AX81" s="816"/>
      <c r="AY81" s="816"/>
      <c r="AZ81" s="609"/>
      <c r="BA81" s="609"/>
      <c r="BB81" s="816"/>
      <c r="BC81" s="816"/>
      <c r="BD81" s="609"/>
      <c r="BE81" s="609"/>
      <c r="BF81" s="816"/>
      <c r="BG81" s="816"/>
      <c r="BH81" s="816"/>
      <c r="BI81" s="816"/>
      <c r="BJ81" s="816"/>
      <c r="BK81" s="816"/>
      <c r="BL81" s="816"/>
      <c r="BM81" s="816"/>
      <c r="BN81" s="816"/>
      <c r="BO81" s="816"/>
      <c r="BP81" s="816"/>
      <c r="BQ81" s="816"/>
      <c r="BR81" s="816"/>
      <c r="BS81" s="816"/>
      <c r="BT81" s="816"/>
      <c r="BU81" s="816"/>
      <c r="BV81" s="816"/>
      <c r="BW81" s="816"/>
      <c r="BX81" s="609"/>
      <c r="BY81" s="609"/>
      <c r="BZ81" s="816"/>
      <c r="CA81" s="816"/>
      <c r="CB81" s="609"/>
      <c r="CC81" s="609"/>
      <c r="CD81" s="816"/>
      <c r="CE81" s="816"/>
      <c r="CF81" s="816"/>
      <c r="CG81" s="816"/>
      <c r="CH81" s="816"/>
      <c r="CI81" s="816"/>
      <c r="CJ81" s="816"/>
      <c r="CK81" s="816"/>
      <c r="CL81" s="819"/>
      <c r="CM81" s="816"/>
      <c r="CN81" s="820"/>
      <c r="CO81" s="820"/>
      <c r="CP81" s="820"/>
      <c r="CQ81" s="820"/>
      <c r="CR81" s="609"/>
      <c r="CS81" s="609"/>
      <c r="CT81" s="816"/>
      <c r="CU81" s="816"/>
      <c r="CV81" s="816"/>
      <c r="CW81" s="816"/>
      <c r="CX81" s="816"/>
      <c r="CY81" s="816"/>
      <c r="CZ81" s="816"/>
      <c r="DA81" s="609"/>
      <c r="DB81" s="609"/>
      <c r="DC81" s="816"/>
      <c r="DD81" s="816"/>
      <c r="DE81" s="609"/>
      <c r="DF81" s="609"/>
      <c r="DG81" s="816"/>
      <c r="DH81" s="816"/>
      <c r="DI81" s="816"/>
      <c r="DJ81" s="816"/>
      <c r="DK81" s="816"/>
      <c r="DL81" s="816"/>
      <c r="DM81" s="609"/>
      <c r="DN81" s="609"/>
      <c r="DO81" s="816"/>
      <c r="DP81" s="816"/>
      <c r="DQ81" s="609"/>
      <c r="DR81" s="609"/>
      <c r="DS81" s="816"/>
      <c r="DT81" s="816"/>
      <c r="DU81" s="609"/>
      <c r="DV81" s="609"/>
      <c r="DW81" s="816"/>
      <c r="DX81" s="816"/>
      <c r="DY81" s="816"/>
      <c r="DZ81" s="816"/>
      <c r="EA81" s="816"/>
      <c r="EB81" s="816"/>
      <c r="EC81" s="821"/>
      <c r="ED81" s="609"/>
      <c r="EE81" s="816"/>
      <c r="EF81" s="816"/>
      <c r="EG81" s="822"/>
      <c r="EH81" s="609"/>
      <c r="EI81" s="816"/>
      <c r="EJ81" s="816"/>
      <c r="EK81" s="609"/>
      <c r="EL81" s="816"/>
      <c r="EM81" s="816"/>
      <c r="EN81" s="816"/>
      <c r="EO81" s="816"/>
      <c r="EP81" s="816"/>
      <c r="EQ81" s="816"/>
      <c r="ER81" s="816"/>
      <c r="ES81" s="816"/>
      <c r="ET81" s="816"/>
      <c r="EU81" s="816"/>
      <c r="EV81" s="816"/>
      <c r="EW81" s="823"/>
      <c r="EX81" s="824"/>
      <c r="EY81" s="825"/>
      <c r="EZ81" s="825"/>
      <c r="FA81" s="816"/>
      <c r="FC81" s="826"/>
      <c r="FD81" s="826"/>
      <c r="FE81" s="826"/>
      <c r="FF81" s="826"/>
    </row>
    <row r="82" spans="2:162" s="780" customFormat="1"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816"/>
      <c r="S82" s="816"/>
      <c r="T82" s="816"/>
      <c r="U82" s="816"/>
      <c r="V82" s="816"/>
      <c r="W82" s="816"/>
      <c r="X82" s="609"/>
      <c r="Y82" s="609"/>
      <c r="Z82" s="816"/>
      <c r="AA82" s="816"/>
      <c r="AB82" s="609"/>
      <c r="AC82" s="609"/>
      <c r="AD82" s="816"/>
      <c r="AE82" s="816"/>
      <c r="AF82" s="609"/>
      <c r="AG82" s="609"/>
      <c r="AH82" s="816"/>
      <c r="AI82" s="816"/>
      <c r="AJ82" s="817"/>
      <c r="AK82" s="609"/>
      <c r="AL82" s="609"/>
      <c r="AM82" s="816"/>
      <c r="AN82" s="816"/>
      <c r="AO82" s="816"/>
      <c r="AP82" s="816"/>
      <c r="AQ82" s="816"/>
      <c r="AR82" s="816"/>
      <c r="AS82" s="816"/>
      <c r="AT82" s="609"/>
      <c r="AU82" s="609"/>
      <c r="AV82" s="609"/>
      <c r="AW82" s="818"/>
      <c r="AX82" s="816"/>
      <c r="AY82" s="816"/>
      <c r="AZ82" s="609"/>
      <c r="BA82" s="609"/>
      <c r="BB82" s="816"/>
      <c r="BC82" s="816"/>
      <c r="BD82" s="609"/>
      <c r="BE82" s="609"/>
      <c r="BF82" s="816"/>
      <c r="BG82" s="816"/>
      <c r="BH82" s="816"/>
      <c r="BI82" s="816"/>
      <c r="BJ82" s="816"/>
      <c r="BK82" s="816"/>
      <c r="BL82" s="816"/>
      <c r="BM82" s="816"/>
      <c r="BN82" s="816"/>
      <c r="BO82" s="816"/>
      <c r="BP82" s="816"/>
      <c r="BQ82" s="816"/>
      <c r="BR82" s="816"/>
      <c r="BS82" s="816"/>
      <c r="BT82" s="816"/>
      <c r="BU82" s="816"/>
      <c r="BV82" s="816"/>
      <c r="BW82" s="816"/>
      <c r="BX82" s="609"/>
      <c r="BY82" s="609"/>
      <c r="BZ82" s="816"/>
      <c r="CA82" s="816"/>
      <c r="CB82" s="609"/>
      <c r="CC82" s="609"/>
      <c r="CD82" s="816"/>
      <c r="CE82" s="816"/>
      <c r="CF82" s="816"/>
      <c r="CG82" s="816"/>
      <c r="CH82" s="816"/>
      <c r="CI82" s="816"/>
      <c r="CJ82" s="816"/>
      <c r="CK82" s="816"/>
      <c r="CL82" s="819"/>
      <c r="CM82" s="816"/>
      <c r="CN82" s="820"/>
      <c r="CO82" s="820"/>
      <c r="CP82" s="820"/>
      <c r="CQ82" s="820"/>
      <c r="CR82" s="609"/>
      <c r="CS82" s="609"/>
      <c r="CT82" s="816"/>
      <c r="CU82" s="816"/>
      <c r="CV82" s="816"/>
      <c r="CW82" s="816"/>
      <c r="CX82" s="816"/>
      <c r="CY82" s="816"/>
      <c r="CZ82" s="816"/>
      <c r="DA82" s="609"/>
      <c r="DB82" s="609"/>
      <c r="DC82" s="816"/>
      <c r="DD82" s="816"/>
      <c r="DE82" s="609"/>
      <c r="DF82" s="609"/>
      <c r="DG82" s="816"/>
      <c r="DH82" s="816"/>
      <c r="DI82" s="816"/>
      <c r="DJ82" s="816"/>
      <c r="DK82" s="816"/>
      <c r="DL82" s="816"/>
      <c r="DM82" s="609"/>
      <c r="DN82" s="609"/>
      <c r="DO82" s="816"/>
      <c r="DP82" s="816"/>
      <c r="DQ82" s="609"/>
      <c r="DR82" s="609"/>
      <c r="DS82" s="816"/>
      <c r="DT82" s="816"/>
      <c r="DU82" s="609"/>
      <c r="DV82" s="609"/>
      <c r="DW82" s="816"/>
      <c r="DX82" s="816"/>
      <c r="DY82" s="816"/>
      <c r="DZ82" s="816"/>
      <c r="EA82" s="816"/>
      <c r="EB82" s="816"/>
      <c r="EC82" s="821"/>
      <c r="ED82" s="609"/>
      <c r="EE82" s="816"/>
      <c r="EF82" s="816"/>
      <c r="EG82" s="822"/>
      <c r="EH82" s="609"/>
      <c r="EI82" s="816"/>
      <c r="EJ82" s="816"/>
      <c r="EK82" s="609"/>
      <c r="EL82" s="816"/>
      <c r="EM82" s="816"/>
      <c r="EN82" s="816"/>
      <c r="EO82" s="816"/>
      <c r="EP82" s="816"/>
      <c r="EQ82" s="816"/>
      <c r="ER82" s="816"/>
      <c r="ES82" s="816"/>
      <c r="ET82" s="816"/>
      <c r="EU82" s="816"/>
      <c r="EV82" s="816"/>
      <c r="EW82" s="823"/>
      <c r="EX82" s="824"/>
      <c r="EY82" s="825"/>
      <c r="EZ82" s="825"/>
      <c r="FA82" s="816"/>
      <c r="FC82" s="826"/>
      <c r="FD82" s="826"/>
      <c r="FE82" s="826"/>
      <c r="FF82" s="826"/>
    </row>
    <row r="83" spans="2:162" s="780" customFormat="1">
      <c r="B83" s="609"/>
      <c r="C83" s="609"/>
      <c r="D83" s="609"/>
      <c r="E83" s="609"/>
      <c r="F83" s="609"/>
      <c r="G83" s="609"/>
      <c r="H83" s="609"/>
      <c r="I83" s="609"/>
      <c r="J83" s="609"/>
      <c r="K83" s="609"/>
      <c r="L83" s="609"/>
      <c r="M83" s="609"/>
      <c r="N83" s="609"/>
      <c r="O83" s="609"/>
      <c r="P83" s="609"/>
      <c r="Q83" s="609"/>
      <c r="R83" s="816"/>
      <c r="S83" s="816"/>
      <c r="T83" s="816"/>
      <c r="U83" s="816"/>
      <c r="V83" s="816"/>
      <c r="W83" s="816"/>
      <c r="X83" s="609"/>
      <c r="Y83" s="609"/>
      <c r="Z83" s="816"/>
      <c r="AA83" s="816"/>
      <c r="AB83" s="609"/>
      <c r="AC83" s="609"/>
      <c r="AD83" s="816"/>
      <c r="AE83" s="816"/>
      <c r="AF83" s="609"/>
      <c r="AG83" s="609"/>
      <c r="AH83" s="816"/>
      <c r="AI83" s="816"/>
      <c r="AJ83" s="817"/>
      <c r="AK83" s="609"/>
      <c r="AL83" s="609"/>
      <c r="AM83" s="816"/>
      <c r="AN83" s="816"/>
      <c r="AO83" s="816"/>
      <c r="AP83" s="816"/>
      <c r="AQ83" s="816"/>
      <c r="AR83" s="816"/>
      <c r="AS83" s="816"/>
      <c r="AT83" s="609"/>
      <c r="AU83" s="609"/>
      <c r="AV83" s="609"/>
      <c r="AW83" s="818"/>
      <c r="AX83" s="816"/>
      <c r="AY83" s="816"/>
      <c r="AZ83" s="609"/>
      <c r="BA83" s="609"/>
      <c r="BB83" s="816"/>
      <c r="BC83" s="816"/>
      <c r="BD83" s="609"/>
      <c r="BE83" s="609"/>
      <c r="BF83" s="816"/>
      <c r="BG83" s="816"/>
      <c r="BH83" s="816"/>
      <c r="BI83" s="816"/>
      <c r="BJ83" s="816"/>
      <c r="BK83" s="816"/>
      <c r="BL83" s="816"/>
      <c r="BM83" s="816"/>
      <c r="BN83" s="816"/>
      <c r="BO83" s="816"/>
      <c r="BP83" s="816"/>
      <c r="BQ83" s="816"/>
      <c r="BR83" s="816"/>
      <c r="BS83" s="816"/>
      <c r="BT83" s="816"/>
      <c r="BU83" s="816"/>
      <c r="BV83" s="816"/>
      <c r="BW83" s="816"/>
      <c r="BX83" s="609"/>
      <c r="BY83" s="609"/>
      <c r="BZ83" s="816"/>
      <c r="CA83" s="816"/>
      <c r="CB83" s="609"/>
      <c r="CC83" s="609"/>
      <c r="CD83" s="816"/>
      <c r="CE83" s="816"/>
      <c r="CF83" s="816"/>
      <c r="CG83" s="816"/>
      <c r="CH83" s="816"/>
      <c r="CI83" s="816"/>
      <c r="CJ83" s="816"/>
      <c r="CK83" s="816"/>
      <c r="CL83" s="819"/>
      <c r="CM83" s="816"/>
      <c r="CN83" s="820"/>
      <c r="CO83" s="820"/>
      <c r="CP83" s="820"/>
      <c r="CQ83" s="820"/>
      <c r="CR83" s="609"/>
      <c r="CS83" s="609"/>
      <c r="CT83" s="816"/>
      <c r="CU83" s="816"/>
      <c r="CV83" s="816"/>
      <c r="CW83" s="816"/>
      <c r="CX83" s="816"/>
      <c r="CY83" s="816"/>
      <c r="CZ83" s="816"/>
      <c r="DA83" s="609"/>
      <c r="DB83" s="609"/>
      <c r="DC83" s="816"/>
      <c r="DD83" s="816"/>
      <c r="DE83" s="609"/>
      <c r="DF83" s="609"/>
      <c r="DG83" s="816"/>
      <c r="DH83" s="816"/>
      <c r="DI83" s="816"/>
      <c r="DJ83" s="816"/>
      <c r="DK83" s="816"/>
      <c r="DL83" s="816"/>
      <c r="DM83" s="609"/>
      <c r="DN83" s="609"/>
      <c r="DO83" s="816"/>
      <c r="DP83" s="816"/>
      <c r="DQ83" s="609"/>
      <c r="DR83" s="609"/>
      <c r="DS83" s="816"/>
      <c r="DT83" s="816"/>
      <c r="DU83" s="609"/>
      <c r="DV83" s="609"/>
      <c r="DW83" s="816"/>
      <c r="DX83" s="816"/>
      <c r="DY83" s="816"/>
      <c r="DZ83" s="816"/>
      <c r="EA83" s="816"/>
      <c r="EB83" s="816"/>
      <c r="EC83" s="821"/>
      <c r="ED83" s="609"/>
      <c r="EE83" s="816"/>
      <c r="EF83" s="816"/>
      <c r="EG83" s="822"/>
      <c r="EH83" s="609"/>
      <c r="EI83" s="816"/>
      <c r="EJ83" s="816"/>
      <c r="EK83" s="609"/>
      <c r="EL83" s="816"/>
      <c r="EM83" s="816"/>
      <c r="EN83" s="816"/>
      <c r="EO83" s="816"/>
      <c r="EP83" s="816"/>
      <c r="EQ83" s="816"/>
      <c r="ER83" s="816"/>
      <c r="ES83" s="816"/>
      <c r="ET83" s="816"/>
      <c r="EU83" s="816"/>
      <c r="EV83" s="816"/>
      <c r="EW83" s="823"/>
      <c r="EX83" s="824"/>
      <c r="EY83" s="825"/>
      <c r="EZ83" s="825"/>
      <c r="FA83" s="816"/>
      <c r="FC83" s="826"/>
      <c r="FD83" s="826"/>
      <c r="FE83" s="826"/>
      <c r="FF83" s="826"/>
    </row>
    <row r="84" spans="2:162" s="780" customFormat="1">
      <c r="B84" s="609"/>
      <c r="C84" s="609"/>
      <c r="D84" s="609"/>
      <c r="E84" s="609"/>
      <c r="F84" s="609"/>
      <c r="G84" s="609"/>
      <c r="H84" s="609"/>
      <c r="I84" s="609"/>
      <c r="J84" s="609"/>
      <c r="K84" s="609"/>
      <c r="L84" s="609"/>
      <c r="M84" s="609"/>
      <c r="N84" s="609"/>
      <c r="O84" s="609"/>
      <c r="P84" s="609"/>
      <c r="Q84" s="609"/>
      <c r="R84" s="816"/>
      <c r="S84" s="816"/>
      <c r="T84" s="816"/>
      <c r="U84" s="816"/>
      <c r="V84" s="816"/>
      <c r="W84" s="816"/>
      <c r="X84" s="609"/>
      <c r="Y84" s="609"/>
      <c r="Z84" s="816"/>
      <c r="AA84" s="816"/>
      <c r="AB84" s="609"/>
      <c r="AC84" s="609"/>
      <c r="AD84" s="816"/>
      <c r="AE84" s="816"/>
      <c r="AF84" s="609"/>
      <c r="AG84" s="609"/>
      <c r="AH84" s="816"/>
      <c r="AI84" s="816"/>
      <c r="AJ84" s="817"/>
      <c r="AK84" s="609"/>
      <c r="AL84" s="609"/>
      <c r="AM84" s="816"/>
      <c r="AN84" s="816"/>
      <c r="AO84" s="816"/>
      <c r="AP84" s="816"/>
      <c r="AQ84" s="816"/>
      <c r="AR84" s="816"/>
      <c r="AS84" s="816"/>
      <c r="AT84" s="609"/>
      <c r="AU84" s="609"/>
      <c r="AV84" s="609"/>
      <c r="AW84" s="818"/>
      <c r="AX84" s="816"/>
      <c r="AY84" s="816"/>
      <c r="AZ84" s="609"/>
      <c r="BA84" s="609"/>
      <c r="BB84" s="816"/>
      <c r="BC84" s="816"/>
      <c r="BD84" s="609"/>
      <c r="BE84" s="609"/>
      <c r="BF84" s="816"/>
      <c r="BG84" s="816"/>
      <c r="BH84" s="816"/>
      <c r="BI84" s="816"/>
      <c r="BJ84" s="816"/>
      <c r="BK84" s="816"/>
      <c r="BL84" s="816"/>
      <c r="BM84" s="816"/>
      <c r="BN84" s="816"/>
      <c r="BO84" s="816"/>
      <c r="BP84" s="816"/>
      <c r="BQ84" s="816"/>
      <c r="BR84" s="816"/>
      <c r="BS84" s="816"/>
      <c r="BT84" s="816"/>
      <c r="BU84" s="816"/>
      <c r="BV84" s="816"/>
      <c r="BW84" s="816"/>
      <c r="BX84" s="609"/>
      <c r="BY84" s="609"/>
      <c r="BZ84" s="816"/>
      <c r="CA84" s="816"/>
      <c r="CB84" s="609"/>
      <c r="CC84" s="609"/>
      <c r="CD84" s="816"/>
      <c r="CE84" s="816"/>
      <c r="CF84" s="816"/>
      <c r="CG84" s="816"/>
      <c r="CH84" s="816"/>
      <c r="CI84" s="816"/>
      <c r="CJ84" s="816"/>
      <c r="CK84" s="816"/>
      <c r="CL84" s="819"/>
      <c r="CM84" s="816"/>
      <c r="CN84" s="820"/>
      <c r="CO84" s="820"/>
      <c r="CP84" s="820"/>
      <c r="CQ84" s="820"/>
      <c r="CR84" s="609"/>
      <c r="CS84" s="609"/>
      <c r="CT84" s="816"/>
      <c r="CU84" s="816"/>
      <c r="CV84" s="816"/>
      <c r="CW84" s="816"/>
      <c r="CX84" s="816"/>
      <c r="CY84" s="816"/>
      <c r="CZ84" s="816"/>
      <c r="DA84" s="609"/>
      <c r="DB84" s="609"/>
      <c r="DC84" s="816"/>
      <c r="DD84" s="816"/>
      <c r="DE84" s="609"/>
      <c r="DF84" s="609"/>
      <c r="DG84" s="816"/>
      <c r="DH84" s="816"/>
      <c r="DI84" s="816"/>
      <c r="DJ84" s="816"/>
      <c r="DK84" s="816"/>
      <c r="DL84" s="816"/>
      <c r="DM84" s="609"/>
      <c r="DN84" s="609"/>
      <c r="DO84" s="816"/>
      <c r="DP84" s="816"/>
      <c r="DQ84" s="609"/>
      <c r="DR84" s="609"/>
      <c r="DS84" s="816"/>
      <c r="DT84" s="816"/>
      <c r="DU84" s="609"/>
      <c r="DV84" s="609"/>
      <c r="DW84" s="816"/>
      <c r="DX84" s="816"/>
      <c r="DY84" s="816"/>
      <c r="DZ84" s="816"/>
      <c r="EA84" s="816"/>
      <c r="EB84" s="816"/>
      <c r="EC84" s="821"/>
      <c r="ED84" s="609"/>
      <c r="EE84" s="816"/>
      <c r="EF84" s="816"/>
      <c r="EG84" s="822"/>
      <c r="EH84" s="609"/>
      <c r="EI84" s="816"/>
      <c r="EJ84" s="816"/>
      <c r="EK84" s="609"/>
      <c r="EL84" s="816"/>
      <c r="EM84" s="816"/>
      <c r="EN84" s="816"/>
      <c r="EO84" s="816"/>
      <c r="EP84" s="816"/>
      <c r="EQ84" s="816"/>
      <c r="ER84" s="816"/>
      <c r="ES84" s="816"/>
      <c r="ET84" s="816"/>
      <c r="EU84" s="816"/>
      <c r="EV84" s="816"/>
      <c r="EW84" s="823"/>
      <c r="EX84" s="824"/>
      <c r="EY84" s="825"/>
      <c r="EZ84" s="825"/>
      <c r="FA84" s="816"/>
      <c r="FC84" s="826"/>
      <c r="FD84" s="826"/>
      <c r="FE84" s="826"/>
      <c r="FF84" s="826"/>
    </row>
    <row r="85" spans="2:162" s="780" customFormat="1"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816"/>
      <c r="S85" s="816"/>
      <c r="T85" s="816"/>
      <c r="U85" s="816"/>
      <c r="V85" s="816"/>
      <c r="W85" s="816"/>
      <c r="X85" s="609"/>
      <c r="Y85" s="609"/>
      <c r="Z85" s="816"/>
      <c r="AA85" s="816"/>
      <c r="AB85" s="609"/>
      <c r="AC85" s="609"/>
      <c r="AD85" s="816"/>
      <c r="AE85" s="816"/>
      <c r="AF85" s="609"/>
      <c r="AG85" s="609"/>
      <c r="AH85" s="816"/>
      <c r="AI85" s="816"/>
      <c r="AJ85" s="817"/>
      <c r="AK85" s="609"/>
      <c r="AL85" s="609"/>
      <c r="AM85" s="816"/>
      <c r="AN85" s="816"/>
      <c r="AO85" s="816"/>
      <c r="AP85" s="816"/>
      <c r="AQ85" s="816"/>
      <c r="AR85" s="816"/>
      <c r="AS85" s="816"/>
      <c r="AT85" s="609"/>
      <c r="AU85" s="609"/>
      <c r="AV85" s="609"/>
      <c r="AW85" s="818"/>
      <c r="AX85" s="816"/>
      <c r="AY85" s="816"/>
      <c r="AZ85" s="609"/>
      <c r="BA85" s="609"/>
      <c r="BB85" s="816"/>
      <c r="BC85" s="816"/>
      <c r="BD85" s="609"/>
      <c r="BE85" s="609"/>
      <c r="BF85" s="816"/>
      <c r="BG85" s="816"/>
      <c r="BH85" s="816"/>
      <c r="BI85" s="816"/>
      <c r="BJ85" s="816"/>
      <c r="BK85" s="816"/>
      <c r="BL85" s="816"/>
      <c r="BM85" s="816"/>
      <c r="BN85" s="816"/>
      <c r="BO85" s="816"/>
      <c r="BP85" s="816"/>
      <c r="BQ85" s="816"/>
      <c r="BR85" s="816"/>
      <c r="BS85" s="816"/>
      <c r="BT85" s="816"/>
      <c r="BU85" s="816"/>
      <c r="BV85" s="816"/>
      <c r="BW85" s="816"/>
      <c r="BX85" s="609"/>
      <c r="BY85" s="609"/>
      <c r="BZ85" s="816"/>
      <c r="CA85" s="816"/>
      <c r="CB85" s="609"/>
      <c r="CC85" s="609"/>
      <c r="CD85" s="816"/>
      <c r="CE85" s="816"/>
      <c r="CF85" s="816"/>
      <c r="CG85" s="816"/>
      <c r="CH85" s="816"/>
      <c r="CI85" s="816"/>
      <c r="CJ85" s="816"/>
      <c r="CK85" s="816"/>
      <c r="CL85" s="819"/>
      <c r="CM85" s="816"/>
      <c r="CN85" s="820"/>
      <c r="CO85" s="820"/>
      <c r="CP85" s="820"/>
      <c r="CQ85" s="820"/>
      <c r="CR85" s="609"/>
      <c r="CS85" s="609"/>
      <c r="CT85" s="816"/>
      <c r="CU85" s="816"/>
      <c r="CV85" s="816"/>
      <c r="CW85" s="816"/>
      <c r="CX85" s="816"/>
      <c r="CY85" s="816"/>
      <c r="CZ85" s="816"/>
      <c r="DA85" s="609"/>
      <c r="DB85" s="609"/>
      <c r="DC85" s="816"/>
      <c r="DD85" s="816"/>
      <c r="DE85" s="609"/>
      <c r="DF85" s="609"/>
      <c r="DG85" s="816"/>
      <c r="DH85" s="816"/>
      <c r="DI85" s="816"/>
      <c r="DJ85" s="816"/>
      <c r="DK85" s="816"/>
      <c r="DL85" s="816"/>
      <c r="DM85" s="609"/>
      <c r="DN85" s="609"/>
      <c r="DO85" s="816"/>
      <c r="DP85" s="816"/>
      <c r="DQ85" s="609"/>
      <c r="DR85" s="609"/>
      <c r="DS85" s="816"/>
      <c r="DT85" s="816"/>
      <c r="DU85" s="609"/>
      <c r="DV85" s="609"/>
      <c r="DW85" s="816"/>
      <c r="DX85" s="816"/>
      <c r="DY85" s="816"/>
      <c r="DZ85" s="816"/>
      <c r="EA85" s="816"/>
      <c r="EB85" s="816"/>
      <c r="EC85" s="821"/>
      <c r="ED85" s="609"/>
      <c r="EE85" s="816"/>
      <c r="EF85" s="816"/>
      <c r="EG85" s="822"/>
      <c r="EH85" s="609"/>
      <c r="EI85" s="816"/>
      <c r="EJ85" s="816"/>
      <c r="EK85" s="609"/>
      <c r="EL85" s="816"/>
      <c r="EM85" s="816"/>
      <c r="EN85" s="816"/>
      <c r="EO85" s="816"/>
      <c r="EP85" s="816"/>
      <c r="EQ85" s="816"/>
      <c r="ER85" s="816"/>
      <c r="ES85" s="816"/>
      <c r="ET85" s="816"/>
      <c r="EU85" s="816"/>
      <c r="EV85" s="816"/>
      <c r="EW85" s="823"/>
      <c r="EX85" s="824"/>
      <c r="EY85" s="825"/>
      <c r="EZ85" s="825"/>
      <c r="FA85" s="816"/>
      <c r="FC85" s="826"/>
      <c r="FD85" s="826"/>
      <c r="FE85" s="826"/>
      <c r="FF85" s="826"/>
    </row>
    <row r="86" spans="2:162" s="780" customFormat="1"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816"/>
      <c r="S86" s="816"/>
      <c r="T86" s="816"/>
      <c r="U86" s="816"/>
      <c r="V86" s="816"/>
      <c r="W86" s="816"/>
      <c r="X86" s="609"/>
      <c r="Y86" s="609"/>
      <c r="Z86" s="816"/>
      <c r="AA86" s="816"/>
      <c r="AB86" s="609"/>
      <c r="AC86" s="609"/>
      <c r="AD86" s="816"/>
      <c r="AE86" s="816"/>
      <c r="AF86" s="609"/>
      <c r="AG86" s="609"/>
      <c r="AH86" s="816"/>
      <c r="AI86" s="816"/>
      <c r="AJ86" s="817"/>
      <c r="AK86" s="609"/>
      <c r="AL86" s="609"/>
      <c r="AM86" s="816"/>
      <c r="AN86" s="816"/>
      <c r="AO86" s="816"/>
      <c r="AP86" s="816"/>
      <c r="AQ86" s="816"/>
      <c r="AR86" s="816"/>
      <c r="AS86" s="816"/>
      <c r="AT86" s="609"/>
      <c r="AU86" s="609"/>
      <c r="AV86" s="609"/>
      <c r="AW86" s="818"/>
      <c r="AX86" s="816"/>
      <c r="AY86" s="816"/>
      <c r="AZ86" s="609"/>
      <c r="BA86" s="609"/>
      <c r="BB86" s="816"/>
      <c r="BC86" s="816"/>
      <c r="BD86" s="609"/>
      <c r="BE86" s="609"/>
      <c r="BF86" s="816"/>
      <c r="BG86" s="816"/>
      <c r="BH86" s="816"/>
      <c r="BI86" s="816"/>
      <c r="BJ86" s="816"/>
      <c r="BK86" s="816"/>
      <c r="BL86" s="816"/>
      <c r="BM86" s="816"/>
      <c r="BN86" s="816"/>
      <c r="BO86" s="816"/>
      <c r="BP86" s="816"/>
      <c r="BQ86" s="816"/>
      <c r="BR86" s="816"/>
      <c r="BS86" s="816"/>
      <c r="BT86" s="816"/>
      <c r="BU86" s="816"/>
      <c r="BV86" s="816"/>
      <c r="BW86" s="816"/>
      <c r="BX86" s="609"/>
      <c r="BY86" s="609"/>
      <c r="BZ86" s="816"/>
      <c r="CA86" s="816"/>
      <c r="CB86" s="609"/>
      <c r="CC86" s="609"/>
      <c r="CD86" s="816"/>
      <c r="CE86" s="816"/>
      <c r="CF86" s="816"/>
      <c r="CG86" s="816"/>
      <c r="CH86" s="816"/>
      <c r="CI86" s="816"/>
      <c r="CJ86" s="816"/>
      <c r="CK86" s="816"/>
      <c r="CL86" s="819"/>
      <c r="CM86" s="816"/>
      <c r="CN86" s="820"/>
      <c r="CO86" s="820"/>
      <c r="CP86" s="820"/>
      <c r="CQ86" s="820"/>
      <c r="CR86" s="609"/>
      <c r="CS86" s="609"/>
      <c r="CT86" s="816"/>
      <c r="CU86" s="816"/>
      <c r="CV86" s="816"/>
      <c r="CW86" s="816"/>
      <c r="CX86" s="816"/>
      <c r="CY86" s="816"/>
      <c r="CZ86" s="816"/>
      <c r="DA86" s="609"/>
      <c r="DB86" s="609"/>
      <c r="DC86" s="816"/>
      <c r="DD86" s="816"/>
      <c r="DE86" s="609"/>
      <c r="DF86" s="609"/>
      <c r="DG86" s="816"/>
      <c r="DH86" s="816"/>
      <c r="DI86" s="816"/>
      <c r="DJ86" s="816"/>
      <c r="DK86" s="816"/>
      <c r="DL86" s="816"/>
      <c r="DM86" s="609"/>
      <c r="DN86" s="609"/>
      <c r="DO86" s="816"/>
      <c r="DP86" s="816"/>
      <c r="DQ86" s="609"/>
      <c r="DR86" s="609"/>
      <c r="DS86" s="816"/>
      <c r="DT86" s="816"/>
      <c r="DU86" s="609"/>
      <c r="DV86" s="609"/>
      <c r="DW86" s="816"/>
      <c r="DX86" s="816"/>
      <c r="DY86" s="816"/>
      <c r="DZ86" s="816"/>
      <c r="EA86" s="816"/>
      <c r="EB86" s="816"/>
      <c r="EC86" s="821"/>
      <c r="ED86" s="609"/>
      <c r="EE86" s="816"/>
      <c r="EF86" s="816"/>
      <c r="EG86" s="822"/>
      <c r="EH86" s="609"/>
      <c r="EI86" s="816"/>
      <c r="EJ86" s="816"/>
      <c r="EK86" s="609"/>
      <c r="EL86" s="816"/>
      <c r="EM86" s="816"/>
      <c r="EN86" s="816"/>
      <c r="EO86" s="816"/>
      <c r="EP86" s="816"/>
      <c r="EQ86" s="816"/>
      <c r="ER86" s="816"/>
      <c r="ES86" s="816"/>
      <c r="ET86" s="816"/>
      <c r="EU86" s="816"/>
      <c r="EV86" s="816"/>
      <c r="EW86" s="823"/>
      <c r="EX86" s="824"/>
      <c r="EY86" s="825"/>
      <c r="EZ86" s="825"/>
      <c r="FA86" s="816"/>
      <c r="FC86" s="826"/>
      <c r="FD86" s="826"/>
      <c r="FE86" s="826"/>
      <c r="FF86" s="826"/>
    </row>
    <row r="87" spans="2:162" s="780" customFormat="1">
      <c r="B87" s="609"/>
      <c r="C87" s="609"/>
      <c r="D87" s="609"/>
      <c r="E87" s="609"/>
      <c r="F87" s="609"/>
      <c r="G87" s="609"/>
      <c r="H87" s="609"/>
      <c r="I87" s="609"/>
      <c r="J87" s="609"/>
      <c r="K87" s="609"/>
      <c r="L87" s="609"/>
      <c r="M87" s="609"/>
      <c r="N87" s="609"/>
      <c r="O87" s="609"/>
      <c r="P87" s="609"/>
      <c r="Q87" s="609"/>
      <c r="R87" s="816"/>
      <c r="S87" s="816"/>
      <c r="T87" s="816"/>
      <c r="U87" s="816"/>
      <c r="V87" s="816"/>
      <c r="W87" s="816"/>
      <c r="X87" s="609"/>
      <c r="Y87" s="609"/>
      <c r="Z87" s="816"/>
      <c r="AA87" s="816"/>
      <c r="AB87" s="609"/>
      <c r="AC87" s="609"/>
      <c r="AD87" s="816"/>
      <c r="AE87" s="816"/>
      <c r="AF87" s="609"/>
      <c r="AG87" s="609"/>
      <c r="AH87" s="816"/>
      <c r="AI87" s="816"/>
      <c r="AJ87" s="817"/>
      <c r="AK87" s="609"/>
      <c r="AL87" s="609"/>
      <c r="AM87" s="816"/>
      <c r="AN87" s="816"/>
      <c r="AO87" s="816"/>
      <c r="AP87" s="816"/>
      <c r="AQ87" s="816"/>
      <c r="AR87" s="816"/>
      <c r="AS87" s="816"/>
      <c r="AT87" s="609"/>
      <c r="AU87" s="609"/>
      <c r="AV87" s="609"/>
      <c r="AW87" s="818"/>
      <c r="AX87" s="816"/>
      <c r="AY87" s="816"/>
      <c r="AZ87" s="609"/>
      <c r="BA87" s="609"/>
      <c r="BB87" s="816"/>
      <c r="BC87" s="816"/>
      <c r="BD87" s="609"/>
      <c r="BE87" s="609"/>
      <c r="BF87" s="816"/>
      <c r="BG87" s="816"/>
      <c r="BH87" s="816"/>
      <c r="BI87" s="816"/>
      <c r="BJ87" s="816"/>
      <c r="BK87" s="816"/>
      <c r="BL87" s="816"/>
      <c r="BM87" s="816"/>
      <c r="BN87" s="816"/>
      <c r="BO87" s="816"/>
      <c r="BP87" s="816"/>
      <c r="BQ87" s="816"/>
      <c r="BR87" s="816"/>
      <c r="BS87" s="816"/>
      <c r="BT87" s="816"/>
      <c r="BU87" s="816"/>
      <c r="BV87" s="816"/>
      <c r="BW87" s="816"/>
      <c r="BX87" s="609"/>
      <c r="BY87" s="609"/>
      <c r="BZ87" s="816"/>
      <c r="CA87" s="816"/>
      <c r="CB87" s="609"/>
      <c r="CC87" s="609"/>
      <c r="CD87" s="816"/>
      <c r="CE87" s="816"/>
      <c r="CF87" s="816"/>
      <c r="CG87" s="816"/>
      <c r="CH87" s="816"/>
      <c r="CI87" s="816"/>
      <c r="CJ87" s="816"/>
      <c r="CK87" s="816"/>
      <c r="CL87" s="819"/>
      <c r="CM87" s="816"/>
      <c r="CN87" s="820"/>
      <c r="CO87" s="820"/>
      <c r="CP87" s="820"/>
      <c r="CQ87" s="820"/>
      <c r="CR87" s="609"/>
      <c r="CS87" s="609"/>
      <c r="CT87" s="816"/>
      <c r="CU87" s="816"/>
      <c r="CV87" s="816"/>
      <c r="CW87" s="816"/>
      <c r="CX87" s="816"/>
      <c r="CY87" s="816"/>
      <c r="CZ87" s="816"/>
      <c r="DA87" s="609"/>
      <c r="DB87" s="609"/>
      <c r="DC87" s="816"/>
      <c r="DD87" s="816"/>
      <c r="DE87" s="609"/>
      <c r="DF87" s="609"/>
      <c r="DG87" s="816"/>
      <c r="DH87" s="816"/>
      <c r="DI87" s="816"/>
      <c r="DJ87" s="816"/>
      <c r="DK87" s="816"/>
      <c r="DL87" s="816"/>
      <c r="DM87" s="609"/>
      <c r="DN87" s="609"/>
      <c r="DO87" s="816"/>
      <c r="DP87" s="816"/>
      <c r="DQ87" s="609"/>
      <c r="DR87" s="609"/>
      <c r="DS87" s="816"/>
      <c r="DT87" s="816"/>
      <c r="DU87" s="609"/>
      <c r="DV87" s="609"/>
      <c r="DW87" s="816"/>
      <c r="DX87" s="816"/>
      <c r="DY87" s="816"/>
      <c r="DZ87" s="816"/>
      <c r="EA87" s="816"/>
      <c r="EB87" s="816"/>
      <c r="EC87" s="821"/>
      <c r="ED87" s="609"/>
      <c r="EE87" s="816"/>
      <c r="EF87" s="816"/>
      <c r="EG87" s="822"/>
      <c r="EH87" s="609"/>
      <c r="EI87" s="816"/>
      <c r="EJ87" s="816"/>
      <c r="EK87" s="609"/>
      <c r="EL87" s="816"/>
      <c r="EM87" s="816"/>
      <c r="EN87" s="816"/>
      <c r="EO87" s="816"/>
      <c r="EP87" s="816"/>
      <c r="EQ87" s="816"/>
      <c r="ER87" s="816"/>
      <c r="ES87" s="816"/>
      <c r="ET87" s="816"/>
      <c r="EU87" s="816"/>
      <c r="EV87" s="816"/>
      <c r="EW87" s="823"/>
      <c r="EX87" s="824"/>
      <c r="EY87" s="825"/>
      <c r="EZ87" s="825"/>
      <c r="FA87" s="816"/>
      <c r="FC87" s="826"/>
      <c r="FD87" s="826"/>
      <c r="FE87" s="826"/>
      <c r="FF87" s="826"/>
    </row>
    <row r="88" spans="2:162" s="780" customFormat="1">
      <c r="B88" s="609"/>
      <c r="C88" s="609"/>
      <c r="D88" s="609"/>
      <c r="E88" s="609"/>
      <c r="F88" s="609"/>
      <c r="G88" s="609"/>
      <c r="H88" s="609"/>
      <c r="I88" s="609"/>
      <c r="J88" s="609"/>
      <c r="K88" s="609"/>
      <c r="L88" s="609"/>
      <c r="M88" s="609"/>
      <c r="N88" s="609"/>
      <c r="O88" s="609"/>
      <c r="P88" s="609"/>
      <c r="Q88" s="609"/>
      <c r="R88" s="816"/>
      <c r="S88" s="816"/>
      <c r="T88" s="816"/>
      <c r="U88" s="816"/>
      <c r="V88" s="816"/>
      <c r="W88" s="816"/>
      <c r="X88" s="609"/>
      <c r="Y88" s="609"/>
      <c r="Z88" s="816"/>
      <c r="AA88" s="816"/>
      <c r="AB88" s="609"/>
      <c r="AC88" s="609"/>
      <c r="AD88" s="816"/>
      <c r="AE88" s="816"/>
      <c r="AF88" s="609"/>
      <c r="AG88" s="609"/>
      <c r="AH88" s="816"/>
      <c r="AI88" s="816"/>
      <c r="AJ88" s="817"/>
      <c r="AK88" s="609"/>
      <c r="AL88" s="609"/>
      <c r="AM88" s="816"/>
      <c r="AN88" s="816"/>
      <c r="AO88" s="816"/>
      <c r="AP88" s="816"/>
      <c r="AQ88" s="816"/>
      <c r="AR88" s="816"/>
      <c r="AS88" s="816"/>
      <c r="AT88" s="609"/>
      <c r="AU88" s="609"/>
      <c r="AV88" s="609"/>
      <c r="AW88" s="818"/>
      <c r="AX88" s="816"/>
      <c r="AY88" s="816"/>
      <c r="AZ88" s="609"/>
      <c r="BA88" s="609"/>
      <c r="BB88" s="816"/>
      <c r="BC88" s="816"/>
      <c r="BD88" s="609"/>
      <c r="BE88" s="609"/>
      <c r="BF88" s="816"/>
      <c r="BG88" s="816"/>
      <c r="BH88" s="816"/>
      <c r="BI88" s="816"/>
      <c r="BJ88" s="816"/>
      <c r="BK88" s="816"/>
      <c r="BL88" s="816"/>
      <c r="BM88" s="816"/>
      <c r="BN88" s="816"/>
      <c r="BO88" s="816"/>
      <c r="BP88" s="816"/>
      <c r="BQ88" s="816"/>
      <c r="BR88" s="816"/>
      <c r="BS88" s="816"/>
      <c r="BT88" s="816"/>
      <c r="BU88" s="816"/>
      <c r="BV88" s="816"/>
      <c r="BW88" s="816"/>
      <c r="BX88" s="609"/>
      <c r="BY88" s="609"/>
      <c r="BZ88" s="816"/>
      <c r="CA88" s="816"/>
      <c r="CB88" s="609"/>
      <c r="CC88" s="609"/>
      <c r="CD88" s="816"/>
      <c r="CE88" s="816"/>
      <c r="CF88" s="816"/>
      <c r="CG88" s="816"/>
      <c r="CH88" s="816"/>
      <c r="CI88" s="816"/>
      <c r="CJ88" s="816"/>
      <c r="CK88" s="816"/>
      <c r="CL88" s="819"/>
      <c r="CM88" s="816"/>
      <c r="CN88" s="820"/>
      <c r="CO88" s="820"/>
      <c r="CP88" s="820"/>
      <c r="CQ88" s="820"/>
      <c r="CR88" s="609"/>
      <c r="CS88" s="609"/>
      <c r="CT88" s="816"/>
      <c r="CU88" s="816"/>
      <c r="CV88" s="816"/>
      <c r="CW88" s="816"/>
      <c r="CX88" s="816"/>
      <c r="CY88" s="816"/>
      <c r="CZ88" s="816"/>
      <c r="DA88" s="609"/>
      <c r="DB88" s="609"/>
      <c r="DC88" s="816"/>
      <c r="DD88" s="816"/>
      <c r="DE88" s="609"/>
      <c r="DF88" s="609"/>
      <c r="DG88" s="816"/>
      <c r="DH88" s="816"/>
      <c r="DI88" s="816"/>
      <c r="DJ88" s="816"/>
      <c r="DK88" s="816"/>
      <c r="DL88" s="816"/>
      <c r="DM88" s="609"/>
      <c r="DN88" s="609"/>
      <c r="DO88" s="816"/>
      <c r="DP88" s="816"/>
      <c r="DQ88" s="609"/>
      <c r="DR88" s="609"/>
      <c r="DS88" s="816"/>
      <c r="DT88" s="816"/>
      <c r="DU88" s="609"/>
      <c r="DV88" s="609"/>
      <c r="DW88" s="816"/>
      <c r="DX88" s="816"/>
      <c r="DY88" s="816"/>
      <c r="DZ88" s="816"/>
      <c r="EA88" s="816"/>
      <c r="EB88" s="816"/>
      <c r="EC88" s="821"/>
      <c r="ED88" s="609"/>
      <c r="EE88" s="816"/>
      <c r="EF88" s="816"/>
      <c r="EG88" s="822"/>
      <c r="EH88" s="609"/>
      <c r="EI88" s="816"/>
      <c r="EJ88" s="816"/>
      <c r="EK88" s="609"/>
      <c r="EL88" s="816"/>
      <c r="EM88" s="816"/>
      <c r="EN88" s="816"/>
      <c r="EO88" s="816"/>
      <c r="EP88" s="816"/>
      <c r="EQ88" s="816"/>
      <c r="ER88" s="816"/>
      <c r="ES88" s="816"/>
      <c r="ET88" s="816"/>
      <c r="EU88" s="816"/>
      <c r="EV88" s="816"/>
      <c r="EW88" s="823"/>
      <c r="EX88" s="824"/>
      <c r="EY88" s="825"/>
      <c r="EZ88" s="825"/>
      <c r="FA88" s="816"/>
      <c r="FC88" s="826"/>
      <c r="FD88" s="826"/>
      <c r="FE88" s="826"/>
      <c r="FF88" s="826"/>
    </row>
    <row r="89" spans="2:162" s="780" customFormat="1">
      <c r="B89" s="609"/>
      <c r="C89" s="609"/>
      <c r="D89" s="609"/>
      <c r="E89" s="609"/>
      <c r="F89" s="609"/>
      <c r="G89" s="609"/>
      <c r="H89" s="609"/>
      <c r="I89" s="609"/>
      <c r="J89" s="609"/>
      <c r="K89" s="609"/>
      <c r="L89" s="609"/>
      <c r="M89" s="609"/>
      <c r="N89" s="609"/>
      <c r="O89" s="609"/>
      <c r="P89" s="609"/>
      <c r="Q89" s="609"/>
      <c r="R89" s="816"/>
      <c r="S89" s="816"/>
      <c r="T89" s="816"/>
      <c r="U89" s="816"/>
      <c r="V89" s="816"/>
      <c r="W89" s="816"/>
      <c r="X89" s="609"/>
      <c r="Y89" s="609"/>
      <c r="Z89" s="816"/>
      <c r="AA89" s="816"/>
      <c r="AB89" s="609"/>
      <c r="AC89" s="609"/>
      <c r="AD89" s="816"/>
      <c r="AE89" s="816"/>
      <c r="AF89" s="609"/>
      <c r="AG89" s="609"/>
      <c r="AH89" s="816"/>
      <c r="AI89" s="816"/>
      <c r="AJ89" s="817"/>
      <c r="AK89" s="609"/>
      <c r="AL89" s="609"/>
      <c r="AM89" s="816"/>
      <c r="AN89" s="816"/>
      <c r="AO89" s="816"/>
      <c r="AP89" s="816"/>
      <c r="AQ89" s="816"/>
      <c r="AR89" s="816"/>
      <c r="AS89" s="816"/>
      <c r="AT89" s="609"/>
      <c r="AU89" s="609"/>
      <c r="AV89" s="609"/>
      <c r="AW89" s="818"/>
      <c r="AX89" s="816"/>
      <c r="AY89" s="816"/>
      <c r="AZ89" s="609"/>
      <c r="BA89" s="609"/>
      <c r="BB89" s="816"/>
      <c r="BC89" s="816"/>
      <c r="BD89" s="609"/>
      <c r="BE89" s="609"/>
      <c r="BF89" s="816"/>
      <c r="BG89" s="816"/>
      <c r="BH89" s="816"/>
      <c r="BI89" s="816"/>
      <c r="BJ89" s="816"/>
      <c r="BK89" s="816"/>
      <c r="BL89" s="816"/>
      <c r="BM89" s="816"/>
      <c r="BN89" s="816"/>
      <c r="BO89" s="816"/>
      <c r="BP89" s="816"/>
      <c r="BQ89" s="816"/>
      <c r="BR89" s="816"/>
      <c r="BS89" s="816"/>
      <c r="BT89" s="816"/>
      <c r="BU89" s="816"/>
      <c r="BV89" s="816"/>
      <c r="BW89" s="816"/>
      <c r="BX89" s="609"/>
      <c r="BY89" s="609"/>
      <c r="BZ89" s="816"/>
      <c r="CA89" s="816"/>
      <c r="CB89" s="609"/>
      <c r="CC89" s="609"/>
      <c r="CD89" s="816"/>
      <c r="CE89" s="816"/>
      <c r="CF89" s="816"/>
      <c r="CG89" s="816"/>
      <c r="CH89" s="816"/>
      <c r="CI89" s="816"/>
      <c r="CJ89" s="816"/>
      <c r="CK89" s="816"/>
      <c r="CL89" s="819"/>
      <c r="CM89" s="816"/>
      <c r="CN89" s="820"/>
      <c r="CO89" s="820"/>
      <c r="CP89" s="820"/>
      <c r="CQ89" s="820"/>
      <c r="CR89" s="609"/>
      <c r="CS89" s="609"/>
      <c r="CT89" s="816"/>
      <c r="CU89" s="816"/>
      <c r="CV89" s="816"/>
      <c r="CW89" s="816"/>
      <c r="CX89" s="816"/>
      <c r="CY89" s="816"/>
      <c r="CZ89" s="816"/>
      <c r="DA89" s="609"/>
      <c r="DB89" s="609"/>
      <c r="DC89" s="816"/>
      <c r="DD89" s="816"/>
      <c r="DE89" s="609"/>
      <c r="DF89" s="609"/>
      <c r="DG89" s="816"/>
      <c r="DH89" s="816"/>
      <c r="DI89" s="816"/>
      <c r="DJ89" s="816"/>
      <c r="DK89" s="816"/>
      <c r="DL89" s="816"/>
      <c r="DM89" s="609"/>
      <c r="DN89" s="609"/>
      <c r="DO89" s="816"/>
      <c r="DP89" s="816"/>
      <c r="DQ89" s="609"/>
      <c r="DR89" s="609"/>
      <c r="DS89" s="816"/>
      <c r="DT89" s="816"/>
      <c r="DU89" s="609"/>
      <c r="DV89" s="609"/>
      <c r="DW89" s="816"/>
      <c r="DX89" s="816"/>
      <c r="DY89" s="816"/>
      <c r="DZ89" s="816"/>
      <c r="EA89" s="816"/>
      <c r="EB89" s="816"/>
      <c r="EC89" s="821"/>
      <c r="ED89" s="609"/>
      <c r="EE89" s="816"/>
      <c r="EF89" s="816"/>
      <c r="EG89" s="822"/>
      <c r="EH89" s="609"/>
      <c r="EI89" s="816"/>
      <c r="EJ89" s="816"/>
      <c r="EK89" s="609"/>
      <c r="EL89" s="816"/>
      <c r="EM89" s="816"/>
      <c r="EN89" s="816"/>
      <c r="EO89" s="816"/>
      <c r="EP89" s="816"/>
      <c r="EQ89" s="816"/>
      <c r="ER89" s="816"/>
      <c r="ES89" s="816"/>
      <c r="ET89" s="816"/>
      <c r="EU89" s="816"/>
      <c r="EV89" s="816"/>
      <c r="EW89" s="823"/>
      <c r="EX89" s="824"/>
      <c r="EY89" s="825"/>
      <c r="EZ89" s="825"/>
      <c r="FA89" s="816"/>
      <c r="FC89" s="826"/>
      <c r="FD89" s="826"/>
      <c r="FE89" s="826"/>
      <c r="FF89" s="826"/>
    </row>
    <row r="90" spans="2:162" s="780" customFormat="1">
      <c r="B90" s="609"/>
      <c r="C90" s="609"/>
      <c r="D90" s="609"/>
      <c r="E90" s="609"/>
      <c r="F90" s="609"/>
      <c r="G90" s="609"/>
      <c r="H90" s="609"/>
      <c r="I90" s="609"/>
      <c r="J90" s="609"/>
      <c r="K90" s="609"/>
      <c r="L90" s="609"/>
      <c r="M90" s="609"/>
      <c r="N90" s="609"/>
      <c r="O90" s="609"/>
      <c r="P90" s="609"/>
      <c r="Q90" s="609"/>
      <c r="R90" s="816"/>
      <c r="S90" s="816"/>
      <c r="T90" s="816"/>
      <c r="U90" s="816"/>
      <c r="V90" s="816"/>
      <c r="W90" s="816"/>
      <c r="X90" s="609"/>
      <c r="Y90" s="609"/>
      <c r="Z90" s="816"/>
      <c r="AA90" s="816"/>
      <c r="AB90" s="609"/>
      <c r="AC90" s="609"/>
      <c r="AD90" s="816"/>
      <c r="AE90" s="816"/>
      <c r="AF90" s="609"/>
      <c r="AG90" s="609"/>
      <c r="AH90" s="816"/>
      <c r="AI90" s="816"/>
      <c r="AJ90" s="817"/>
      <c r="AK90" s="609"/>
      <c r="AL90" s="609"/>
      <c r="AM90" s="816"/>
      <c r="AN90" s="816"/>
      <c r="AO90" s="816"/>
      <c r="AP90" s="816"/>
      <c r="AQ90" s="816"/>
      <c r="AR90" s="816"/>
      <c r="AS90" s="816"/>
      <c r="AT90" s="609"/>
      <c r="AU90" s="609"/>
      <c r="AV90" s="609"/>
      <c r="AW90" s="818"/>
      <c r="AX90" s="816"/>
      <c r="AY90" s="816"/>
      <c r="AZ90" s="609"/>
      <c r="BA90" s="609"/>
      <c r="BB90" s="816"/>
      <c r="BC90" s="816"/>
      <c r="BD90" s="609"/>
      <c r="BE90" s="609"/>
      <c r="BF90" s="816"/>
      <c r="BG90" s="816"/>
      <c r="BH90" s="816"/>
      <c r="BI90" s="816"/>
      <c r="BJ90" s="816"/>
      <c r="BK90" s="816"/>
      <c r="BL90" s="816"/>
      <c r="BM90" s="816"/>
      <c r="BN90" s="816"/>
      <c r="BO90" s="816"/>
      <c r="BP90" s="816"/>
      <c r="BQ90" s="816"/>
      <c r="BR90" s="816"/>
      <c r="BS90" s="816"/>
      <c r="BT90" s="816"/>
      <c r="BU90" s="816"/>
      <c r="BV90" s="816"/>
      <c r="BW90" s="816"/>
      <c r="BX90" s="609"/>
      <c r="BY90" s="609"/>
      <c r="BZ90" s="816"/>
      <c r="CA90" s="816"/>
      <c r="CB90" s="609"/>
      <c r="CC90" s="609"/>
      <c r="CD90" s="816"/>
      <c r="CE90" s="816"/>
      <c r="CF90" s="816"/>
      <c r="CG90" s="816"/>
      <c r="CH90" s="816"/>
      <c r="CI90" s="816"/>
      <c r="CJ90" s="816"/>
      <c r="CK90" s="816"/>
      <c r="CL90" s="819"/>
      <c r="CM90" s="816"/>
      <c r="CN90" s="820"/>
      <c r="CO90" s="820"/>
      <c r="CP90" s="820"/>
      <c r="CQ90" s="820"/>
      <c r="CR90" s="609"/>
      <c r="CS90" s="609"/>
      <c r="CT90" s="816"/>
      <c r="CU90" s="816"/>
      <c r="CV90" s="816"/>
      <c r="CW90" s="816"/>
      <c r="CX90" s="816"/>
      <c r="CY90" s="816"/>
      <c r="CZ90" s="816"/>
      <c r="DA90" s="609"/>
      <c r="DB90" s="609"/>
      <c r="DC90" s="816"/>
      <c r="DD90" s="816"/>
      <c r="DE90" s="609"/>
      <c r="DF90" s="609"/>
      <c r="DG90" s="816"/>
      <c r="DH90" s="816"/>
      <c r="DI90" s="816"/>
      <c r="DJ90" s="816"/>
      <c r="DK90" s="816"/>
      <c r="DL90" s="816"/>
      <c r="DM90" s="609"/>
      <c r="DN90" s="609"/>
      <c r="DO90" s="816"/>
      <c r="DP90" s="816"/>
      <c r="DQ90" s="609"/>
      <c r="DR90" s="609"/>
      <c r="DS90" s="816"/>
      <c r="DT90" s="816"/>
      <c r="DU90" s="609"/>
      <c r="DV90" s="609"/>
      <c r="DW90" s="816"/>
      <c r="DX90" s="816"/>
      <c r="DY90" s="816"/>
      <c r="DZ90" s="816"/>
      <c r="EA90" s="816"/>
      <c r="EB90" s="816"/>
      <c r="EC90" s="821"/>
      <c r="ED90" s="609"/>
      <c r="EE90" s="816"/>
      <c r="EF90" s="816"/>
      <c r="EG90" s="822"/>
      <c r="EH90" s="609"/>
      <c r="EI90" s="816"/>
      <c r="EJ90" s="816"/>
      <c r="EK90" s="609"/>
      <c r="EL90" s="816"/>
      <c r="EM90" s="816"/>
      <c r="EN90" s="816"/>
      <c r="EO90" s="816"/>
      <c r="EP90" s="816"/>
      <c r="EQ90" s="816"/>
      <c r="ER90" s="816"/>
      <c r="ES90" s="816"/>
      <c r="ET90" s="816"/>
      <c r="EU90" s="816"/>
      <c r="EV90" s="816"/>
      <c r="EW90" s="823"/>
      <c r="EX90" s="824"/>
      <c r="EY90" s="825"/>
      <c r="EZ90" s="825"/>
      <c r="FA90" s="816"/>
      <c r="FC90" s="826"/>
      <c r="FD90" s="826"/>
      <c r="FE90" s="826"/>
      <c r="FF90" s="826"/>
    </row>
    <row r="91" spans="2:162" s="780" customFormat="1">
      <c r="B91" s="609"/>
      <c r="C91" s="609"/>
      <c r="D91" s="609"/>
      <c r="E91" s="609"/>
      <c r="F91" s="609"/>
      <c r="G91" s="609"/>
      <c r="H91" s="609"/>
      <c r="I91" s="609"/>
      <c r="J91" s="609"/>
      <c r="K91" s="609"/>
      <c r="L91" s="609"/>
      <c r="M91" s="609"/>
      <c r="N91" s="609"/>
      <c r="O91" s="609"/>
      <c r="P91" s="609"/>
      <c r="Q91" s="609"/>
      <c r="R91" s="816"/>
      <c r="S91" s="816"/>
      <c r="T91" s="816"/>
      <c r="U91" s="816"/>
      <c r="V91" s="816"/>
      <c r="W91" s="816"/>
      <c r="X91" s="609"/>
      <c r="Y91" s="609"/>
      <c r="Z91" s="816"/>
      <c r="AA91" s="816"/>
      <c r="AB91" s="609"/>
      <c r="AC91" s="609"/>
      <c r="AD91" s="816"/>
      <c r="AE91" s="816"/>
      <c r="AF91" s="609"/>
      <c r="AG91" s="609"/>
      <c r="AH91" s="816"/>
      <c r="AI91" s="816"/>
      <c r="AJ91" s="817"/>
      <c r="AK91" s="609"/>
      <c r="AL91" s="609"/>
      <c r="AM91" s="816"/>
      <c r="AN91" s="816"/>
      <c r="AO91" s="816"/>
      <c r="AP91" s="816"/>
      <c r="AQ91" s="816"/>
      <c r="AR91" s="816"/>
      <c r="AS91" s="816"/>
      <c r="AT91" s="609"/>
      <c r="AU91" s="609"/>
      <c r="AV91" s="609"/>
      <c r="AW91" s="818"/>
      <c r="AX91" s="816"/>
      <c r="AY91" s="816"/>
      <c r="AZ91" s="609"/>
      <c r="BA91" s="609"/>
      <c r="BB91" s="816"/>
      <c r="BC91" s="816"/>
      <c r="BD91" s="609"/>
      <c r="BE91" s="609"/>
      <c r="BF91" s="816"/>
      <c r="BG91" s="816"/>
      <c r="BH91" s="816"/>
      <c r="BI91" s="816"/>
      <c r="BJ91" s="816"/>
      <c r="BK91" s="816"/>
      <c r="BL91" s="816"/>
      <c r="BM91" s="816"/>
      <c r="BN91" s="816"/>
      <c r="BO91" s="816"/>
      <c r="BP91" s="816"/>
      <c r="BQ91" s="816"/>
      <c r="BR91" s="816"/>
      <c r="BS91" s="816"/>
      <c r="BT91" s="816"/>
      <c r="BU91" s="816"/>
      <c r="BV91" s="816"/>
      <c r="BW91" s="816"/>
      <c r="BX91" s="609"/>
      <c r="BY91" s="609"/>
      <c r="BZ91" s="816"/>
      <c r="CA91" s="816"/>
      <c r="CB91" s="609"/>
      <c r="CC91" s="609"/>
      <c r="CD91" s="816"/>
      <c r="CE91" s="816"/>
      <c r="CF91" s="816"/>
      <c r="CG91" s="816"/>
      <c r="CH91" s="816"/>
      <c r="CI91" s="816"/>
      <c r="CJ91" s="816"/>
      <c r="CK91" s="816"/>
      <c r="CL91" s="819"/>
      <c r="CM91" s="816"/>
      <c r="CN91" s="820"/>
      <c r="CO91" s="820"/>
      <c r="CP91" s="820"/>
      <c r="CQ91" s="820"/>
      <c r="CR91" s="609"/>
      <c r="CS91" s="609"/>
      <c r="CT91" s="816"/>
      <c r="CU91" s="816"/>
      <c r="CV91" s="816"/>
      <c r="CW91" s="816"/>
      <c r="CX91" s="816"/>
      <c r="CY91" s="816"/>
      <c r="CZ91" s="816"/>
      <c r="DA91" s="609"/>
      <c r="DB91" s="609"/>
      <c r="DC91" s="816"/>
      <c r="DD91" s="816"/>
      <c r="DE91" s="609"/>
      <c r="DF91" s="609"/>
      <c r="DG91" s="816"/>
      <c r="DH91" s="816"/>
      <c r="DI91" s="816"/>
      <c r="DJ91" s="816"/>
      <c r="DK91" s="816"/>
      <c r="DL91" s="816"/>
      <c r="DM91" s="609"/>
      <c r="DN91" s="609"/>
      <c r="DO91" s="816"/>
      <c r="DP91" s="816"/>
      <c r="DQ91" s="609"/>
      <c r="DR91" s="609"/>
      <c r="DS91" s="816"/>
      <c r="DT91" s="816"/>
      <c r="DU91" s="609"/>
      <c r="DV91" s="609"/>
      <c r="DW91" s="816"/>
      <c r="DX91" s="816"/>
      <c r="DY91" s="816"/>
      <c r="DZ91" s="816"/>
      <c r="EA91" s="816"/>
      <c r="EB91" s="816"/>
      <c r="EC91" s="821"/>
      <c r="ED91" s="609"/>
      <c r="EE91" s="816"/>
      <c r="EF91" s="816"/>
      <c r="EG91" s="822"/>
      <c r="EH91" s="609"/>
      <c r="EI91" s="816"/>
      <c r="EJ91" s="816"/>
      <c r="EK91" s="609"/>
      <c r="EL91" s="816"/>
      <c r="EM91" s="816"/>
      <c r="EN91" s="816"/>
      <c r="EO91" s="816"/>
      <c r="EP91" s="816"/>
      <c r="EQ91" s="816"/>
      <c r="ER91" s="816"/>
      <c r="ES91" s="816"/>
      <c r="ET91" s="816"/>
      <c r="EU91" s="816"/>
      <c r="EV91" s="816"/>
      <c r="EW91" s="823"/>
      <c r="EX91" s="824"/>
      <c r="EY91" s="825"/>
      <c r="EZ91" s="825"/>
      <c r="FA91" s="816"/>
      <c r="FC91" s="826"/>
      <c r="FD91" s="826"/>
      <c r="FE91" s="826"/>
      <c r="FF91" s="826"/>
    </row>
    <row r="92" spans="2:162" s="780" customFormat="1">
      <c r="B92" s="609"/>
      <c r="C92" s="609"/>
      <c r="D92" s="609"/>
      <c r="E92" s="609"/>
      <c r="F92" s="609"/>
      <c r="G92" s="609"/>
      <c r="H92" s="609"/>
      <c r="I92" s="609"/>
      <c r="J92" s="609"/>
      <c r="K92" s="609"/>
      <c r="L92" s="609"/>
      <c r="M92" s="609"/>
      <c r="N92" s="609"/>
      <c r="O92" s="609"/>
      <c r="P92" s="609"/>
      <c r="Q92" s="609"/>
      <c r="R92" s="816"/>
      <c r="S92" s="816"/>
      <c r="T92" s="816"/>
      <c r="U92" s="816"/>
      <c r="V92" s="816"/>
      <c r="W92" s="816"/>
      <c r="X92" s="609"/>
      <c r="Y92" s="609"/>
      <c r="Z92" s="816"/>
      <c r="AA92" s="816"/>
      <c r="AB92" s="609"/>
      <c r="AC92" s="609"/>
      <c r="AD92" s="816"/>
      <c r="AE92" s="816"/>
      <c r="AF92" s="609"/>
      <c r="AG92" s="609"/>
      <c r="AH92" s="816"/>
      <c r="AI92" s="816"/>
      <c r="AJ92" s="817"/>
      <c r="AK92" s="609"/>
      <c r="AL92" s="609"/>
      <c r="AM92" s="816"/>
      <c r="AN92" s="816"/>
      <c r="AO92" s="816"/>
      <c r="AP92" s="816"/>
      <c r="AQ92" s="816"/>
      <c r="AR92" s="816"/>
      <c r="AS92" s="816"/>
      <c r="AT92" s="609"/>
      <c r="AU92" s="609"/>
      <c r="AV92" s="609"/>
      <c r="AW92" s="818"/>
      <c r="AX92" s="816"/>
      <c r="AY92" s="816"/>
      <c r="AZ92" s="609"/>
      <c r="BA92" s="609"/>
      <c r="BB92" s="816"/>
      <c r="BC92" s="816"/>
      <c r="BD92" s="609"/>
      <c r="BE92" s="609"/>
      <c r="BF92" s="816"/>
      <c r="BG92" s="816"/>
      <c r="BH92" s="816"/>
      <c r="BI92" s="816"/>
      <c r="BJ92" s="816"/>
      <c r="BK92" s="816"/>
      <c r="BL92" s="816"/>
      <c r="BM92" s="816"/>
      <c r="BN92" s="816"/>
      <c r="BO92" s="816"/>
      <c r="BP92" s="816"/>
      <c r="BQ92" s="816"/>
      <c r="BR92" s="816"/>
      <c r="BS92" s="816"/>
      <c r="BT92" s="816"/>
      <c r="BU92" s="816"/>
      <c r="BV92" s="816"/>
      <c r="BW92" s="816"/>
      <c r="BX92" s="609"/>
      <c r="BY92" s="609"/>
      <c r="BZ92" s="816"/>
      <c r="CA92" s="816"/>
      <c r="CB92" s="609"/>
      <c r="CC92" s="609"/>
      <c r="CD92" s="816"/>
      <c r="CE92" s="816"/>
      <c r="CF92" s="816"/>
      <c r="CG92" s="816"/>
      <c r="CH92" s="816"/>
      <c r="CI92" s="816"/>
      <c r="CJ92" s="816"/>
      <c r="CK92" s="816"/>
      <c r="CL92" s="819"/>
      <c r="CM92" s="816"/>
      <c r="CN92" s="820"/>
      <c r="CO92" s="820"/>
      <c r="CP92" s="820"/>
      <c r="CQ92" s="820"/>
      <c r="CR92" s="609"/>
      <c r="CS92" s="609"/>
      <c r="CT92" s="816"/>
      <c r="CU92" s="816"/>
      <c r="CV92" s="816"/>
      <c r="CW92" s="816"/>
      <c r="CX92" s="816"/>
      <c r="CY92" s="816"/>
      <c r="CZ92" s="816"/>
      <c r="DA92" s="609"/>
      <c r="DB92" s="609"/>
      <c r="DC92" s="816"/>
      <c r="DD92" s="816"/>
      <c r="DE92" s="609"/>
      <c r="DF92" s="609"/>
      <c r="DG92" s="816"/>
      <c r="DH92" s="816"/>
      <c r="DI92" s="816"/>
      <c r="DJ92" s="816"/>
      <c r="DK92" s="816"/>
      <c r="DL92" s="816"/>
      <c r="DM92" s="609"/>
      <c r="DN92" s="609"/>
      <c r="DO92" s="816"/>
      <c r="DP92" s="816"/>
      <c r="DQ92" s="609"/>
      <c r="DR92" s="609"/>
      <c r="DS92" s="816"/>
      <c r="DT92" s="816"/>
      <c r="DU92" s="609"/>
      <c r="DV92" s="609"/>
      <c r="DW92" s="816"/>
      <c r="DX92" s="816"/>
      <c r="DY92" s="816"/>
      <c r="DZ92" s="816"/>
      <c r="EA92" s="816"/>
      <c r="EB92" s="816"/>
      <c r="EC92" s="821"/>
      <c r="ED92" s="609"/>
      <c r="EE92" s="816"/>
      <c r="EF92" s="816"/>
      <c r="EG92" s="822"/>
      <c r="EH92" s="609"/>
      <c r="EI92" s="816"/>
      <c r="EJ92" s="816"/>
      <c r="EK92" s="609"/>
      <c r="EL92" s="816"/>
      <c r="EM92" s="816"/>
      <c r="EN92" s="816"/>
      <c r="EO92" s="816"/>
      <c r="EP92" s="816"/>
      <c r="EQ92" s="816"/>
      <c r="ER92" s="816"/>
      <c r="ES92" s="816"/>
      <c r="ET92" s="816"/>
      <c r="EU92" s="816"/>
      <c r="EV92" s="816"/>
      <c r="EW92" s="823"/>
      <c r="EX92" s="824"/>
      <c r="EY92" s="825"/>
      <c r="EZ92" s="825"/>
      <c r="FA92" s="816"/>
      <c r="FC92" s="826"/>
      <c r="FD92" s="826"/>
      <c r="FE92" s="826"/>
      <c r="FF92" s="826"/>
    </row>
    <row r="93" spans="2:162" s="780" customFormat="1">
      <c r="B93" s="609"/>
      <c r="C93" s="609"/>
      <c r="D93" s="609"/>
      <c r="E93" s="609"/>
      <c r="F93" s="609"/>
      <c r="G93" s="609"/>
      <c r="H93" s="609"/>
      <c r="I93" s="609"/>
      <c r="J93" s="609"/>
      <c r="K93" s="609"/>
      <c r="L93" s="609"/>
      <c r="M93" s="609"/>
      <c r="N93" s="609"/>
      <c r="O93" s="609"/>
      <c r="P93" s="609"/>
      <c r="Q93" s="609"/>
      <c r="R93" s="816"/>
      <c r="S93" s="816"/>
      <c r="T93" s="816"/>
      <c r="U93" s="816"/>
      <c r="V93" s="816"/>
      <c r="W93" s="816"/>
      <c r="X93" s="609"/>
      <c r="Y93" s="609"/>
      <c r="Z93" s="816"/>
      <c r="AA93" s="816"/>
      <c r="AB93" s="609"/>
      <c r="AC93" s="609"/>
      <c r="AD93" s="816"/>
      <c r="AE93" s="816"/>
      <c r="AF93" s="609"/>
      <c r="AG93" s="609"/>
      <c r="AH93" s="816"/>
      <c r="AI93" s="816"/>
      <c r="AJ93" s="817"/>
      <c r="AK93" s="609"/>
      <c r="AL93" s="609"/>
      <c r="AM93" s="816"/>
      <c r="AN93" s="816"/>
      <c r="AO93" s="816"/>
      <c r="AP93" s="816"/>
      <c r="AQ93" s="816"/>
      <c r="AR93" s="816"/>
      <c r="AS93" s="816"/>
      <c r="AT93" s="609"/>
      <c r="AU93" s="609"/>
      <c r="AV93" s="609"/>
      <c r="AW93" s="818"/>
      <c r="AX93" s="816"/>
      <c r="AY93" s="816"/>
      <c r="AZ93" s="609"/>
      <c r="BA93" s="609"/>
      <c r="BB93" s="816"/>
      <c r="BC93" s="816"/>
      <c r="BD93" s="609"/>
      <c r="BE93" s="609"/>
      <c r="BF93" s="816"/>
      <c r="BG93" s="816"/>
      <c r="BH93" s="816"/>
      <c r="BI93" s="816"/>
      <c r="BJ93" s="816"/>
      <c r="BK93" s="816"/>
      <c r="BL93" s="816"/>
      <c r="BM93" s="816"/>
      <c r="BN93" s="816"/>
      <c r="BO93" s="816"/>
      <c r="BP93" s="816"/>
      <c r="BQ93" s="816"/>
      <c r="BR93" s="816"/>
      <c r="BS93" s="816"/>
      <c r="BT93" s="816"/>
      <c r="BU93" s="816"/>
      <c r="BV93" s="816"/>
      <c r="BW93" s="816"/>
      <c r="BX93" s="609"/>
      <c r="BY93" s="609"/>
      <c r="BZ93" s="816"/>
      <c r="CA93" s="816"/>
      <c r="CB93" s="609"/>
      <c r="CC93" s="609"/>
      <c r="CD93" s="816"/>
      <c r="CE93" s="816"/>
      <c r="CF93" s="816"/>
      <c r="CG93" s="816"/>
      <c r="CH93" s="816"/>
      <c r="CI93" s="816"/>
      <c r="CJ93" s="816"/>
      <c r="CK93" s="816"/>
      <c r="CL93" s="819"/>
      <c r="CM93" s="816"/>
      <c r="CN93" s="820"/>
      <c r="CO93" s="820"/>
      <c r="CP93" s="820"/>
      <c r="CQ93" s="820"/>
      <c r="CR93" s="609"/>
      <c r="CS93" s="609"/>
      <c r="CT93" s="816"/>
      <c r="CU93" s="816"/>
      <c r="CV93" s="816"/>
      <c r="CW93" s="816"/>
      <c r="CX93" s="816"/>
      <c r="CY93" s="816"/>
      <c r="CZ93" s="816"/>
      <c r="DA93" s="609"/>
      <c r="DB93" s="609"/>
      <c r="DC93" s="816"/>
      <c r="DD93" s="816"/>
      <c r="DE93" s="609"/>
      <c r="DF93" s="609"/>
      <c r="DG93" s="816"/>
      <c r="DH93" s="816"/>
      <c r="DI93" s="816"/>
      <c r="DJ93" s="816"/>
      <c r="DK93" s="816"/>
      <c r="DL93" s="816"/>
      <c r="DM93" s="609"/>
      <c r="DN93" s="609"/>
      <c r="DO93" s="816"/>
      <c r="DP93" s="816"/>
      <c r="DQ93" s="609"/>
      <c r="DR93" s="609"/>
      <c r="DS93" s="816"/>
      <c r="DT93" s="816"/>
      <c r="DU93" s="609"/>
      <c r="DV93" s="609"/>
      <c r="DW93" s="816"/>
      <c r="DX93" s="816"/>
      <c r="DY93" s="816"/>
      <c r="DZ93" s="816"/>
      <c r="EA93" s="816"/>
      <c r="EB93" s="816"/>
      <c r="EC93" s="821"/>
      <c r="ED93" s="609"/>
      <c r="EE93" s="816"/>
      <c r="EF93" s="816"/>
      <c r="EG93" s="822"/>
      <c r="EH93" s="609"/>
      <c r="EI93" s="816"/>
      <c r="EJ93" s="816"/>
      <c r="EK93" s="609"/>
      <c r="EL93" s="816"/>
      <c r="EM93" s="816"/>
      <c r="EN93" s="816"/>
      <c r="EO93" s="816"/>
      <c r="EP93" s="816"/>
      <c r="EQ93" s="816"/>
      <c r="ER93" s="816"/>
      <c r="ES93" s="816"/>
      <c r="ET93" s="816"/>
      <c r="EU93" s="816"/>
      <c r="EV93" s="816"/>
      <c r="EW93" s="823"/>
      <c r="EX93" s="824"/>
      <c r="EY93" s="825"/>
      <c r="EZ93" s="825"/>
      <c r="FA93" s="816"/>
      <c r="FC93" s="826"/>
      <c r="FD93" s="826"/>
      <c r="FE93" s="826"/>
      <c r="FF93" s="826"/>
    </row>
    <row r="94" spans="2:162" s="780" customFormat="1">
      <c r="B94" s="609"/>
      <c r="C94" s="609"/>
      <c r="D94" s="609"/>
      <c r="E94" s="609"/>
      <c r="F94" s="609"/>
      <c r="G94" s="609"/>
      <c r="H94" s="609"/>
      <c r="I94" s="609"/>
      <c r="J94" s="609"/>
      <c r="K94" s="609"/>
      <c r="L94" s="609"/>
      <c r="M94" s="609"/>
      <c r="N94" s="609"/>
      <c r="O94" s="609"/>
      <c r="P94" s="609"/>
      <c r="Q94" s="609"/>
      <c r="R94" s="816"/>
      <c r="S94" s="816"/>
      <c r="T94" s="816"/>
      <c r="U94" s="816"/>
      <c r="V94" s="816"/>
      <c r="W94" s="816"/>
      <c r="X94" s="609"/>
      <c r="Y94" s="609"/>
      <c r="Z94" s="816"/>
      <c r="AA94" s="816"/>
      <c r="AB94" s="609"/>
      <c r="AC94" s="609"/>
      <c r="AD94" s="816"/>
      <c r="AE94" s="816"/>
      <c r="AF94" s="609"/>
      <c r="AG94" s="609"/>
      <c r="AH94" s="816"/>
      <c r="AI94" s="816"/>
      <c r="AJ94" s="817"/>
      <c r="AK94" s="609"/>
      <c r="AL94" s="609"/>
      <c r="AM94" s="816"/>
      <c r="AN94" s="816"/>
      <c r="AO94" s="816"/>
      <c r="AP94" s="816"/>
      <c r="AQ94" s="816"/>
      <c r="AR94" s="816"/>
      <c r="AS94" s="816"/>
      <c r="AT94" s="609"/>
      <c r="AU94" s="609"/>
      <c r="AV94" s="609"/>
      <c r="AW94" s="818"/>
      <c r="AX94" s="816"/>
      <c r="AY94" s="816"/>
      <c r="AZ94" s="609"/>
      <c r="BA94" s="609"/>
      <c r="BB94" s="816"/>
      <c r="BC94" s="816"/>
      <c r="BD94" s="609"/>
      <c r="BE94" s="609"/>
      <c r="BF94" s="816"/>
      <c r="BG94" s="816"/>
      <c r="BH94" s="816"/>
      <c r="BI94" s="816"/>
      <c r="BJ94" s="816"/>
      <c r="BK94" s="816"/>
      <c r="BL94" s="816"/>
      <c r="BM94" s="816"/>
      <c r="BN94" s="816"/>
      <c r="BO94" s="816"/>
      <c r="BP94" s="816"/>
      <c r="BQ94" s="816"/>
      <c r="BR94" s="816"/>
      <c r="BS94" s="816"/>
      <c r="BT94" s="816"/>
      <c r="BU94" s="816"/>
      <c r="BV94" s="816"/>
      <c r="BW94" s="816"/>
      <c r="BX94" s="609"/>
      <c r="BY94" s="609"/>
      <c r="BZ94" s="816"/>
      <c r="CA94" s="816"/>
      <c r="CB94" s="609"/>
      <c r="CC94" s="609"/>
      <c r="CD94" s="816"/>
      <c r="CE94" s="816"/>
      <c r="CF94" s="816"/>
      <c r="CG94" s="816"/>
      <c r="CH94" s="816"/>
      <c r="CI94" s="816"/>
      <c r="CJ94" s="816"/>
      <c r="CK94" s="816"/>
      <c r="CL94" s="819"/>
      <c r="CM94" s="816"/>
      <c r="CN94" s="820"/>
      <c r="CO94" s="820"/>
      <c r="CP94" s="820"/>
      <c r="CQ94" s="820"/>
      <c r="CR94" s="609"/>
      <c r="CS94" s="609"/>
      <c r="CT94" s="816"/>
      <c r="CU94" s="816"/>
      <c r="CV94" s="816"/>
      <c r="CW94" s="816"/>
      <c r="CX94" s="816"/>
      <c r="CY94" s="816"/>
      <c r="CZ94" s="816"/>
      <c r="DA94" s="609"/>
      <c r="DB94" s="609"/>
      <c r="DC94" s="816"/>
      <c r="DD94" s="816"/>
      <c r="DE94" s="609"/>
      <c r="DF94" s="609"/>
      <c r="DG94" s="816"/>
      <c r="DH94" s="816"/>
      <c r="DI94" s="816"/>
      <c r="DJ94" s="816"/>
      <c r="DK94" s="816"/>
      <c r="DL94" s="816"/>
      <c r="DM94" s="609"/>
      <c r="DN94" s="609"/>
      <c r="DO94" s="816"/>
      <c r="DP94" s="816"/>
      <c r="DQ94" s="609"/>
      <c r="DR94" s="609"/>
      <c r="DS94" s="816"/>
      <c r="DT94" s="816"/>
      <c r="DU94" s="609"/>
      <c r="DV94" s="609"/>
      <c r="DW94" s="816"/>
      <c r="DX94" s="816"/>
      <c r="DY94" s="816"/>
      <c r="DZ94" s="816"/>
      <c r="EA94" s="816"/>
      <c r="EB94" s="816"/>
      <c r="EC94" s="821"/>
      <c r="ED94" s="609"/>
      <c r="EE94" s="816"/>
      <c r="EF94" s="816"/>
      <c r="EG94" s="822"/>
      <c r="EH94" s="609"/>
      <c r="EI94" s="816"/>
      <c r="EJ94" s="816"/>
      <c r="EK94" s="609"/>
      <c r="EL94" s="816"/>
      <c r="EM94" s="816"/>
      <c r="EN94" s="816"/>
      <c r="EO94" s="816"/>
      <c r="EP94" s="816"/>
      <c r="EQ94" s="816"/>
      <c r="ER94" s="816"/>
      <c r="ES94" s="816"/>
      <c r="ET94" s="816"/>
      <c r="EU94" s="816"/>
      <c r="EV94" s="816"/>
      <c r="EW94" s="823"/>
      <c r="EX94" s="824"/>
      <c r="EY94" s="825"/>
      <c r="EZ94" s="825"/>
      <c r="FA94" s="816"/>
      <c r="FC94" s="826"/>
      <c r="FD94" s="826"/>
      <c r="FE94" s="826"/>
      <c r="FF94" s="826"/>
    </row>
    <row r="95" spans="2:162" s="780" customFormat="1">
      <c r="B95" s="609"/>
      <c r="C95" s="609"/>
      <c r="D95" s="609"/>
      <c r="E95" s="609"/>
      <c r="F95" s="609"/>
      <c r="G95" s="609"/>
      <c r="H95" s="609"/>
      <c r="I95" s="609"/>
      <c r="J95" s="609"/>
      <c r="K95" s="609"/>
      <c r="L95" s="609"/>
      <c r="M95" s="609"/>
      <c r="N95" s="609"/>
      <c r="O95" s="609"/>
      <c r="P95" s="609"/>
      <c r="Q95" s="609"/>
      <c r="R95" s="816"/>
      <c r="S95" s="816"/>
      <c r="T95" s="816"/>
      <c r="U95" s="816"/>
      <c r="V95" s="816"/>
      <c r="W95" s="816"/>
      <c r="X95" s="609"/>
      <c r="Y95" s="609"/>
      <c r="Z95" s="816"/>
      <c r="AA95" s="816"/>
      <c r="AB95" s="609"/>
      <c r="AC95" s="609"/>
      <c r="AD95" s="816"/>
      <c r="AE95" s="816"/>
      <c r="AF95" s="609"/>
      <c r="AG95" s="609"/>
      <c r="AH95" s="816"/>
      <c r="AI95" s="816"/>
      <c r="AJ95" s="817"/>
      <c r="AK95" s="609"/>
      <c r="AL95" s="609"/>
      <c r="AM95" s="816"/>
      <c r="AN95" s="816"/>
      <c r="AO95" s="816"/>
      <c r="AP95" s="816"/>
      <c r="AQ95" s="816"/>
      <c r="AR95" s="816"/>
      <c r="AS95" s="816"/>
      <c r="AT95" s="609"/>
      <c r="AU95" s="609"/>
      <c r="AV95" s="609"/>
      <c r="AW95" s="818"/>
      <c r="AX95" s="816"/>
      <c r="AY95" s="816"/>
      <c r="AZ95" s="609"/>
      <c r="BA95" s="609"/>
      <c r="BB95" s="816"/>
      <c r="BC95" s="816"/>
      <c r="BD95" s="609"/>
      <c r="BE95" s="609"/>
      <c r="BF95" s="816"/>
      <c r="BG95" s="816"/>
      <c r="BH95" s="816"/>
      <c r="BI95" s="816"/>
      <c r="BJ95" s="816"/>
      <c r="BK95" s="816"/>
      <c r="BL95" s="816"/>
      <c r="BM95" s="816"/>
      <c r="BN95" s="816"/>
      <c r="BO95" s="816"/>
      <c r="BP95" s="816"/>
      <c r="BQ95" s="816"/>
      <c r="BR95" s="816"/>
      <c r="BS95" s="816"/>
      <c r="BT95" s="816"/>
      <c r="BU95" s="816"/>
      <c r="BV95" s="816"/>
      <c r="BW95" s="816"/>
      <c r="BX95" s="609"/>
      <c r="BY95" s="609"/>
      <c r="BZ95" s="816"/>
      <c r="CA95" s="816"/>
      <c r="CB95" s="609"/>
      <c r="CC95" s="609"/>
      <c r="CD95" s="816"/>
      <c r="CE95" s="816"/>
      <c r="CF95" s="816"/>
      <c r="CG95" s="816"/>
      <c r="CH95" s="816"/>
      <c r="CI95" s="816"/>
      <c r="CJ95" s="816"/>
      <c r="CK95" s="816"/>
      <c r="CL95" s="819"/>
      <c r="CM95" s="816"/>
      <c r="CN95" s="820"/>
      <c r="CO95" s="820"/>
      <c r="CP95" s="820"/>
      <c r="CQ95" s="820"/>
      <c r="CR95" s="609"/>
      <c r="CS95" s="609"/>
      <c r="CT95" s="816"/>
      <c r="CU95" s="816"/>
      <c r="CV95" s="816"/>
      <c r="CW95" s="816"/>
      <c r="CX95" s="816"/>
      <c r="CY95" s="816"/>
      <c r="CZ95" s="816"/>
      <c r="DA95" s="609"/>
      <c r="DB95" s="609"/>
      <c r="DC95" s="816"/>
      <c r="DD95" s="816"/>
      <c r="DE95" s="609"/>
      <c r="DF95" s="609"/>
      <c r="DG95" s="816"/>
      <c r="DH95" s="816"/>
      <c r="DI95" s="816"/>
      <c r="DJ95" s="816"/>
      <c r="DK95" s="816"/>
      <c r="DL95" s="816"/>
      <c r="DM95" s="609"/>
      <c r="DN95" s="609"/>
      <c r="DO95" s="816"/>
      <c r="DP95" s="816"/>
      <c r="DQ95" s="609"/>
      <c r="DR95" s="609"/>
      <c r="DS95" s="816"/>
      <c r="DT95" s="816"/>
      <c r="DU95" s="609"/>
      <c r="DV95" s="609"/>
      <c r="DW95" s="816"/>
      <c r="DX95" s="816"/>
      <c r="DY95" s="816"/>
      <c r="DZ95" s="816"/>
      <c r="EA95" s="816"/>
      <c r="EB95" s="816"/>
      <c r="EC95" s="821"/>
      <c r="ED95" s="609"/>
      <c r="EE95" s="816"/>
      <c r="EF95" s="816"/>
      <c r="EG95" s="822"/>
      <c r="EH95" s="609"/>
      <c r="EI95" s="816"/>
      <c r="EJ95" s="816"/>
      <c r="EK95" s="609"/>
      <c r="EL95" s="816"/>
      <c r="EM95" s="816"/>
      <c r="EN95" s="816"/>
      <c r="EO95" s="816"/>
      <c r="EP95" s="816"/>
      <c r="EQ95" s="816"/>
      <c r="ER95" s="816"/>
      <c r="ES95" s="816"/>
      <c r="ET95" s="816"/>
      <c r="EU95" s="816"/>
      <c r="EV95" s="816"/>
      <c r="EW95" s="823"/>
      <c r="EX95" s="824"/>
      <c r="EY95" s="825"/>
      <c r="EZ95" s="825"/>
      <c r="FA95" s="816"/>
      <c r="FC95" s="826"/>
      <c r="FD95" s="826"/>
      <c r="FE95" s="826"/>
      <c r="FF95" s="826"/>
    </row>
    <row r="96" spans="2:162" s="780" customFormat="1">
      <c r="B96" s="609"/>
      <c r="C96" s="609"/>
      <c r="D96" s="609"/>
      <c r="E96" s="609"/>
      <c r="F96" s="609"/>
      <c r="G96" s="609"/>
      <c r="H96" s="609"/>
      <c r="I96" s="609"/>
      <c r="J96" s="609"/>
      <c r="K96" s="609"/>
      <c r="L96" s="609"/>
      <c r="M96" s="609"/>
      <c r="N96" s="609"/>
      <c r="O96" s="609"/>
      <c r="P96" s="609"/>
      <c r="Q96" s="609"/>
      <c r="R96" s="816"/>
      <c r="S96" s="816"/>
      <c r="T96" s="816"/>
      <c r="U96" s="816"/>
      <c r="V96" s="816"/>
      <c r="W96" s="816"/>
      <c r="X96" s="609"/>
      <c r="Y96" s="609"/>
      <c r="Z96" s="816"/>
      <c r="AA96" s="816"/>
      <c r="AB96" s="609"/>
      <c r="AC96" s="609"/>
      <c r="AD96" s="816"/>
      <c r="AE96" s="816"/>
      <c r="AF96" s="609"/>
      <c r="AG96" s="609"/>
      <c r="AH96" s="816"/>
      <c r="AI96" s="816"/>
      <c r="AJ96" s="817"/>
      <c r="AK96" s="609"/>
      <c r="AL96" s="609"/>
      <c r="AM96" s="816"/>
      <c r="AN96" s="816"/>
      <c r="AO96" s="816"/>
      <c r="AP96" s="816"/>
      <c r="AQ96" s="816"/>
      <c r="AR96" s="816"/>
      <c r="AS96" s="816"/>
      <c r="AT96" s="609"/>
      <c r="AU96" s="609"/>
      <c r="AV96" s="609"/>
      <c r="AW96" s="818"/>
      <c r="AX96" s="816"/>
      <c r="AY96" s="816"/>
      <c r="AZ96" s="609"/>
      <c r="BA96" s="609"/>
      <c r="BB96" s="816"/>
      <c r="BC96" s="816"/>
      <c r="BD96" s="609"/>
      <c r="BE96" s="609"/>
      <c r="BF96" s="816"/>
      <c r="BG96" s="816"/>
      <c r="BH96" s="816"/>
      <c r="BI96" s="816"/>
      <c r="BJ96" s="816"/>
      <c r="BK96" s="816"/>
      <c r="BL96" s="816"/>
      <c r="BM96" s="816"/>
      <c r="BN96" s="816"/>
      <c r="BO96" s="816"/>
      <c r="BP96" s="816"/>
      <c r="BQ96" s="816"/>
      <c r="BR96" s="816"/>
      <c r="BS96" s="816"/>
      <c r="BT96" s="816"/>
      <c r="BU96" s="816"/>
      <c r="BV96" s="816"/>
      <c r="BW96" s="816"/>
      <c r="BX96" s="609"/>
      <c r="BY96" s="609"/>
      <c r="BZ96" s="816"/>
      <c r="CA96" s="816"/>
      <c r="CB96" s="609"/>
      <c r="CC96" s="609"/>
      <c r="CD96" s="816"/>
      <c r="CE96" s="816"/>
      <c r="CF96" s="816"/>
      <c r="CG96" s="816"/>
      <c r="CH96" s="816"/>
      <c r="CI96" s="816"/>
      <c r="CJ96" s="816"/>
      <c r="CK96" s="816"/>
      <c r="CL96" s="819"/>
      <c r="CM96" s="816"/>
      <c r="CN96" s="820"/>
      <c r="CO96" s="820"/>
      <c r="CP96" s="820"/>
      <c r="CQ96" s="820"/>
      <c r="CR96" s="609"/>
      <c r="CS96" s="609"/>
      <c r="CT96" s="816"/>
      <c r="CU96" s="816"/>
      <c r="CV96" s="816"/>
      <c r="CW96" s="816"/>
      <c r="CX96" s="816"/>
      <c r="CY96" s="816"/>
      <c r="CZ96" s="816"/>
      <c r="DA96" s="609"/>
      <c r="DB96" s="609"/>
      <c r="DC96" s="816"/>
      <c r="DD96" s="816"/>
      <c r="DE96" s="609"/>
      <c r="DF96" s="609"/>
      <c r="DG96" s="816"/>
      <c r="DH96" s="816"/>
      <c r="DI96" s="816"/>
      <c r="DJ96" s="816"/>
      <c r="DK96" s="816"/>
      <c r="DL96" s="816"/>
      <c r="DM96" s="609"/>
      <c r="DN96" s="609"/>
      <c r="DO96" s="816"/>
      <c r="DP96" s="816"/>
      <c r="DQ96" s="609"/>
      <c r="DR96" s="609"/>
      <c r="DS96" s="816"/>
      <c r="DT96" s="816"/>
      <c r="DU96" s="609"/>
      <c r="DV96" s="609"/>
      <c r="DW96" s="816"/>
      <c r="DX96" s="816"/>
      <c r="DY96" s="816"/>
      <c r="DZ96" s="816"/>
      <c r="EA96" s="816"/>
      <c r="EB96" s="816"/>
      <c r="EC96" s="821"/>
      <c r="ED96" s="609"/>
      <c r="EE96" s="816"/>
      <c r="EF96" s="816"/>
      <c r="EG96" s="822"/>
      <c r="EH96" s="609"/>
      <c r="EI96" s="816"/>
      <c r="EJ96" s="816"/>
      <c r="EK96" s="609"/>
      <c r="EL96" s="816"/>
      <c r="EM96" s="816"/>
      <c r="EN96" s="816"/>
      <c r="EO96" s="816"/>
      <c r="EP96" s="816"/>
      <c r="EQ96" s="816"/>
      <c r="ER96" s="816"/>
      <c r="ES96" s="816"/>
      <c r="ET96" s="816"/>
      <c r="EU96" s="816"/>
      <c r="EV96" s="816"/>
      <c r="EW96" s="823"/>
      <c r="EX96" s="824"/>
      <c r="EY96" s="825"/>
      <c r="EZ96" s="825"/>
      <c r="FA96" s="816"/>
      <c r="FC96" s="826"/>
      <c r="FD96" s="826"/>
      <c r="FE96" s="826"/>
      <c r="FF96" s="826"/>
    </row>
    <row r="97" spans="2:162" s="780" customFormat="1">
      <c r="B97" s="609"/>
      <c r="C97" s="609"/>
      <c r="D97" s="609"/>
      <c r="E97" s="609"/>
      <c r="F97" s="609"/>
      <c r="G97" s="609"/>
      <c r="H97" s="609"/>
      <c r="I97" s="609"/>
      <c r="J97" s="609"/>
      <c r="K97" s="609"/>
      <c r="L97" s="609"/>
      <c r="M97" s="609"/>
      <c r="N97" s="609"/>
      <c r="O97" s="609"/>
      <c r="P97" s="609"/>
      <c r="Q97" s="609"/>
      <c r="R97" s="816"/>
      <c r="S97" s="816"/>
      <c r="T97" s="816"/>
      <c r="U97" s="816"/>
      <c r="V97" s="816"/>
      <c r="W97" s="816"/>
      <c r="X97" s="609"/>
      <c r="Y97" s="609"/>
      <c r="Z97" s="816"/>
      <c r="AA97" s="816"/>
      <c r="AB97" s="609"/>
      <c r="AC97" s="609"/>
      <c r="AD97" s="816"/>
      <c r="AE97" s="816"/>
      <c r="AF97" s="609"/>
      <c r="AG97" s="609"/>
      <c r="AH97" s="816"/>
      <c r="AI97" s="816"/>
      <c r="AJ97" s="817"/>
      <c r="AK97" s="609"/>
      <c r="AL97" s="609"/>
      <c r="AM97" s="816"/>
      <c r="AN97" s="816"/>
      <c r="AO97" s="816"/>
      <c r="AP97" s="816"/>
      <c r="AQ97" s="816"/>
      <c r="AR97" s="816"/>
      <c r="AS97" s="816"/>
      <c r="AT97" s="609"/>
      <c r="AU97" s="609"/>
      <c r="AV97" s="609"/>
      <c r="AW97" s="818"/>
      <c r="AX97" s="816"/>
      <c r="AY97" s="816"/>
      <c r="AZ97" s="609"/>
      <c r="BA97" s="609"/>
      <c r="BB97" s="816"/>
      <c r="BC97" s="816"/>
      <c r="BD97" s="609"/>
      <c r="BE97" s="609"/>
      <c r="BF97" s="816"/>
      <c r="BG97" s="816"/>
      <c r="BH97" s="816"/>
      <c r="BI97" s="816"/>
      <c r="BJ97" s="816"/>
      <c r="BK97" s="816"/>
      <c r="BL97" s="816"/>
      <c r="BM97" s="816"/>
      <c r="BN97" s="816"/>
      <c r="BO97" s="816"/>
      <c r="BP97" s="816"/>
      <c r="BQ97" s="816"/>
      <c r="BR97" s="816"/>
      <c r="BS97" s="816"/>
      <c r="BT97" s="816"/>
      <c r="BU97" s="816"/>
      <c r="BV97" s="816"/>
      <c r="BW97" s="816"/>
      <c r="BX97" s="609"/>
      <c r="BY97" s="609"/>
      <c r="BZ97" s="816"/>
      <c r="CA97" s="816"/>
      <c r="CB97" s="609"/>
      <c r="CC97" s="609"/>
      <c r="CD97" s="816"/>
      <c r="CE97" s="816"/>
      <c r="CF97" s="816"/>
      <c r="CG97" s="816"/>
      <c r="CH97" s="816"/>
      <c r="CI97" s="816"/>
      <c r="CJ97" s="816"/>
      <c r="CK97" s="816"/>
      <c r="CL97" s="819"/>
      <c r="CM97" s="816"/>
      <c r="CN97" s="820"/>
      <c r="CO97" s="820"/>
      <c r="CP97" s="820"/>
      <c r="CQ97" s="820"/>
      <c r="CR97" s="609"/>
      <c r="CS97" s="609"/>
      <c r="CT97" s="816"/>
      <c r="CU97" s="816"/>
      <c r="CV97" s="816"/>
      <c r="CW97" s="816"/>
      <c r="CX97" s="816"/>
      <c r="CY97" s="816"/>
      <c r="CZ97" s="816"/>
      <c r="DA97" s="609"/>
      <c r="DB97" s="609"/>
      <c r="DC97" s="816"/>
      <c r="DD97" s="816"/>
      <c r="DE97" s="609"/>
      <c r="DF97" s="609"/>
      <c r="DG97" s="816"/>
      <c r="DH97" s="816"/>
      <c r="DI97" s="816"/>
      <c r="DJ97" s="816"/>
      <c r="DK97" s="816"/>
      <c r="DL97" s="816"/>
      <c r="DM97" s="609"/>
      <c r="DN97" s="609"/>
      <c r="DO97" s="816"/>
      <c r="DP97" s="816"/>
      <c r="DQ97" s="609"/>
      <c r="DR97" s="609"/>
      <c r="DS97" s="816"/>
      <c r="DT97" s="816"/>
      <c r="DU97" s="609"/>
      <c r="DV97" s="609"/>
      <c r="DW97" s="816"/>
      <c r="DX97" s="816"/>
      <c r="DY97" s="816"/>
      <c r="DZ97" s="816"/>
      <c r="EA97" s="816"/>
      <c r="EB97" s="816"/>
      <c r="EC97" s="821"/>
      <c r="ED97" s="609"/>
      <c r="EE97" s="816"/>
      <c r="EF97" s="816"/>
      <c r="EG97" s="822"/>
      <c r="EH97" s="609"/>
      <c r="EI97" s="816"/>
      <c r="EJ97" s="816"/>
      <c r="EK97" s="609"/>
      <c r="EL97" s="816"/>
      <c r="EM97" s="816"/>
      <c r="EN97" s="816"/>
      <c r="EO97" s="816"/>
      <c r="EP97" s="816"/>
      <c r="EQ97" s="816"/>
      <c r="ER97" s="816"/>
      <c r="ES97" s="816"/>
      <c r="ET97" s="816"/>
      <c r="EU97" s="816"/>
      <c r="EV97" s="816"/>
      <c r="EW97" s="823"/>
      <c r="EX97" s="824"/>
      <c r="EY97" s="825"/>
      <c r="EZ97" s="825"/>
      <c r="FA97" s="816"/>
      <c r="FC97" s="826"/>
      <c r="FD97" s="826"/>
      <c r="FE97" s="826"/>
      <c r="FF97" s="826"/>
    </row>
    <row r="98" spans="2:162" s="780" customFormat="1">
      <c r="B98" s="609"/>
      <c r="C98" s="609"/>
      <c r="D98" s="609"/>
      <c r="E98" s="609"/>
      <c r="F98" s="609"/>
      <c r="G98" s="609"/>
      <c r="H98" s="609"/>
      <c r="I98" s="609"/>
      <c r="J98" s="609"/>
      <c r="K98" s="609"/>
      <c r="L98" s="609"/>
      <c r="M98" s="609"/>
      <c r="N98" s="609"/>
      <c r="O98" s="609"/>
      <c r="P98" s="609"/>
      <c r="Q98" s="609"/>
      <c r="R98" s="816"/>
      <c r="S98" s="816"/>
      <c r="T98" s="816"/>
      <c r="U98" s="816"/>
      <c r="V98" s="816"/>
      <c r="W98" s="816"/>
      <c r="X98" s="609"/>
      <c r="Y98" s="609"/>
      <c r="Z98" s="816"/>
      <c r="AA98" s="816"/>
      <c r="AB98" s="609"/>
      <c r="AC98" s="609"/>
      <c r="AD98" s="816"/>
      <c r="AE98" s="816"/>
      <c r="AF98" s="609"/>
      <c r="AG98" s="609"/>
      <c r="AH98" s="816"/>
      <c r="AI98" s="816"/>
      <c r="AJ98" s="817"/>
      <c r="AK98" s="609"/>
      <c r="AL98" s="609"/>
      <c r="AM98" s="816"/>
      <c r="AN98" s="816"/>
      <c r="AO98" s="816"/>
      <c r="AP98" s="816"/>
      <c r="AQ98" s="816"/>
      <c r="AR98" s="816"/>
      <c r="AS98" s="816"/>
      <c r="AT98" s="609"/>
      <c r="AU98" s="609"/>
      <c r="AV98" s="609"/>
      <c r="AW98" s="818"/>
      <c r="AX98" s="816"/>
      <c r="AY98" s="816"/>
      <c r="AZ98" s="609"/>
      <c r="BA98" s="609"/>
      <c r="BB98" s="816"/>
      <c r="BC98" s="816"/>
      <c r="BD98" s="609"/>
      <c r="BE98" s="609"/>
      <c r="BF98" s="816"/>
      <c r="BG98" s="816"/>
      <c r="BH98" s="816"/>
      <c r="BI98" s="816"/>
      <c r="BJ98" s="816"/>
      <c r="BK98" s="816"/>
      <c r="BL98" s="816"/>
      <c r="BM98" s="816"/>
      <c r="BN98" s="816"/>
      <c r="BO98" s="816"/>
      <c r="BP98" s="816"/>
      <c r="BQ98" s="816"/>
      <c r="BR98" s="816"/>
      <c r="BS98" s="816"/>
      <c r="BT98" s="816"/>
      <c r="BU98" s="816"/>
      <c r="BV98" s="816"/>
      <c r="BW98" s="816"/>
      <c r="BX98" s="609"/>
      <c r="BY98" s="609"/>
      <c r="BZ98" s="816"/>
      <c r="CA98" s="816"/>
      <c r="CB98" s="609"/>
      <c r="CC98" s="609"/>
      <c r="CD98" s="816"/>
      <c r="CE98" s="816"/>
      <c r="CF98" s="816"/>
      <c r="CG98" s="816"/>
      <c r="CH98" s="816"/>
      <c r="CI98" s="816"/>
      <c r="CJ98" s="816"/>
      <c r="CK98" s="816"/>
      <c r="CL98" s="819"/>
      <c r="CM98" s="816"/>
      <c r="CN98" s="820"/>
      <c r="CO98" s="820"/>
      <c r="CP98" s="820"/>
      <c r="CQ98" s="820"/>
      <c r="CR98" s="609"/>
      <c r="CS98" s="609"/>
      <c r="CT98" s="816"/>
      <c r="CU98" s="816"/>
      <c r="CV98" s="816"/>
      <c r="CW98" s="816"/>
      <c r="CX98" s="816"/>
      <c r="CY98" s="816"/>
      <c r="CZ98" s="816"/>
      <c r="DA98" s="609"/>
      <c r="DB98" s="609"/>
      <c r="DC98" s="816"/>
      <c r="DD98" s="816"/>
      <c r="DE98" s="609"/>
      <c r="DF98" s="609"/>
      <c r="DG98" s="816"/>
      <c r="DH98" s="816"/>
      <c r="DI98" s="816"/>
      <c r="DJ98" s="816"/>
      <c r="DK98" s="816"/>
      <c r="DL98" s="816"/>
      <c r="DM98" s="609"/>
      <c r="DN98" s="609"/>
      <c r="DO98" s="816"/>
      <c r="DP98" s="816"/>
      <c r="DQ98" s="609"/>
      <c r="DR98" s="609"/>
      <c r="DS98" s="816"/>
      <c r="DT98" s="816"/>
      <c r="DU98" s="609"/>
      <c r="DV98" s="609"/>
      <c r="DW98" s="816"/>
      <c r="DX98" s="816"/>
      <c r="DY98" s="816"/>
      <c r="DZ98" s="816"/>
      <c r="EA98" s="816"/>
      <c r="EB98" s="816"/>
      <c r="EC98" s="821"/>
      <c r="ED98" s="609"/>
      <c r="EE98" s="816"/>
      <c r="EF98" s="816"/>
      <c r="EG98" s="822"/>
      <c r="EH98" s="609"/>
      <c r="EI98" s="816"/>
      <c r="EJ98" s="816"/>
      <c r="EK98" s="609"/>
      <c r="EL98" s="816"/>
      <c r="EM98" s="816"/>
      <c r="EN98" s="816"/>
      <c r="EO98" s="816"/>
      <c r="EP98" s="816"/>
      <c r="EQ98" s="816"/>
      <c r="ER98" s="816"/>
      <c r="ES98" s="816"/>
      <c r="ET98" s="816"/>
      <c r="EU98" s="816"/>
      <c r="EV98" s="816"/>
      <c r="EW98" s="823"/>
      <c r="EX98" s="824"/>
      <c r="EY98" s="825"/>
      <c r="EZ98" s="825"/>
      <c r="FA98" s="816"/>
      <c r="FC98" s="826"/>
      <c r="FD98" s="826"/>
      <c r="FE98" s="826"/>
      <c r="FF98" s="826"/>
    </row>
    <row r="99" spans="2:162" s="780" customFormat="1">
      <c r="B99" s="609"/>
      <c r="C99" s="609"/>
      <c r="D99" s="609"/>
      <c r="E99" s="609"/>
      <c r="F99" s="609"/>
      <c r="G99" s="609"/>
      <c r="H99" s="609"/>
      <c r="I99" s="609"/>
      <c r="J99" s="609"/>
      <c r="K99" s="609"/>
      <c r="L99" s="609"/>
      <c r="M99" s="609"/>
      <c r="N99" s="609"/>
      <c r="O99" s="609"/>
      <c r="P99" s="609"/>
      <c r="Q99" s="609"/>
      <c r="R99" s="816"/>
      <c r="S99" s="816"/>
      <c r="T99" s="816"/>
      <c r="U99" s="816"/>
      <c r="V99" s="816"/>
      <c r="W99" s="816"/>
      <c r="X99" s="609"/>
      <c r="Y99" s="609"/>
      <c r="Z99" s="816"/>
      <c r="AA99" s="816"/>
      <c r="AB99" s="609"/>
      <c r="AC99" s="609"/>
      <c r="AD99" s="816"/>
      <c r="AE99" s="816"/>
      <c r="AF99" s="609"/>
      <c r="AG99" s="609"/>
      <c r="AH99" s="816"/>
      <c r="AI99" s="816"/>
      <c r="AJ99" s="817"/>
      <c r="AK99" s="609"/>
      <c r="AL99" s="609"/>
      <c r="AM99" s="816"/>
      <c r="AN99" s="816"/>
      <c r="AO99" s="816"/>
      <c r="AP99" s="816"/>
      <c r="AQ99" s="816"/>
      <c r="AR99" s="816"/>
      <c r="AS99" s="816"/>
      <c r="AT99" s="609"/>
      <c r="AU99" s="609"/>
      <c r="AV99" s="609"/>
      <c r="AW99" s="818"/>
      <c r="AX99" s="816"/>
      <c r="AY99" s="816"/>
      <c r="AZ99" s="609"/>
      <c r="BA99" s="609"/>
      <c r="BB99" s="816"/>
      <c r="BC99" s="816"/>
      <c r="BD99" s="609"/>
      <c r="BE99" s="609"/>
      <c r="BF99" s="816"/>
      <c r="BG99" s="816"/>
      <c r="BH99" s="816"/>
      <c r="BI99" s="816"/>
      <c r="BJ99" s="816"/>
      <c r="BK99" s="816"/>
      <c r="BL99" s="816"/>
      <c r="BM99" s="816"/>
      <c r="BN99" s="816"/>
      <c r="BO99" s="816"/>
      <c r="BP99" s="816"/>
      <c r="BQ99" s="816"/>
      <c r="BR99" s="816"/>
      <c r="BS99" s="816"/>
      <c r="BT99" s="816"/>
      <c r="BU99" s="816"/>
      <c r="BV99" s="816"/>
      <c r="BW99" s="816"/>
      <c r="BX99" s="609"/>
      <c r="BY99" s="609"/>
      <c r="BZ99" s="816"/>
      <c r="CA99" s="816"/>
      <c r="CB99" s="609"/>
      <c r="CC99" s="609"/>
      <c r="CD99" s="816"/>
      <c r="CE99" s="816"/>
      <c r="CF99" s="816"/>
      <c r="CG99" s="816"/>
      <c r="CH99" s="816"/>
      <c r="CI99" s="816"/>
      <c r="CJ99" s="816"/>
      <c r="CK99" s="816"/>
      <c r="CL99" s="819"/>
      <c r="CM99" s="816"/>
      <c r="CN99" s="820"/>
      <c r="CO99" s="820"/>
      <c r="CP99" s="820"/>
      <c r="CQ99" s="820"/>
      <c r="CR99" s="609"/>
      <c r="CS99" s="609"/>
      <c r="CT99" s="816"/>
      <c r="CU99" s="816"/>
      <c r="CV99" s="816"/>
      <c r="CW99" s="816"/>
      <c r="CX99" s="816"/>
      <c r="CY99" s="816"/>
      <c r="CZ99" s="816"/>
      <c r="DA99" s="609"/>
      <c r="DB99" s="609"/>
      <c r="DC99" s="816"/>
      <c r="DD99" s="816"/>
      <c r="DE99" s="609"/>
      <c r="DF99" s="609"/>
      <c r="DG99" s="816"/>
      <c r="DH99" s="816"/>
      <c r="DI99" s="816"/>
      <c r="DJ99" s="816"/>
      <c r="DK99" s="816"/>
      <c r="DL99" s="816"/>
      <c r="DM99" s="609"/>
      <c r="DN99" s="609"/>
      <c r="DO99" s="816"/>
      <c r="DP99" s="816"/>
      <c r="DQ99" s="609"/>
      <c r="DR99" s="609"/>
      <c r="DS99" s="816"/>
      <c r="DT99" s="816"/>
      <c r="DU99" s="609"/>
      <c r="DV99" s="609"/>
      <c r="DW99" s="816"/>
      <c r="DX99" s="816"/>
      <c r="DY99" s="816"/>
      <c r="DZ99" s="816"/>
      <c r="EA99" s="816"/>
      <c r="EB99" s="816"/>
      <c r="EC99" s="821"/>
      <c r="ED99" s="609"/>
      <c r="EE99" s="816"/>
      <c r="EF99" s="816"/>
      <c r="EG99" s="822"/>
      <c r="EH99" s="609"/>
      <c r="EI99" s="816"/>
      <c r="EJ99" s="816"/>
      <c r="EK99" s="609"/>
      <c r="EL99" s="816"/>
      <c r="EM99" s="816"/>
      <c r="EN99" s="816"/>
      <c r="EO99" s="816"/>
      <c r="EP99" s="816"/>
      <c r="EQ99" s="816"/>
      <c r="ER99" s="816"/>
      <c r="ES99" s="816"/>
      <c r="ET99" s="816"/>
      <c r="EU99" s="816"/>
      <c r="EV99" s="816"/>
      <c r="EW99" s="823"/>
      <c r="EX99" s="824"/>
      <c r="EY99" s="825"/>
      <c r="EZ99" s="825"/>
      <c r="FA99" s="816"/>
      <c r="FC99" s="826"/>
      <c r="FD99" s="826"/>
      <c r="FE99" s="826"/>
      <c r="FF99" s="826"/>
    </row>
    <row r="100" spans="2:162" s="780" customFormat="1">
      <c r="B100" s="609"/>
      <c r="C100" s="609"/>
      <c r="D100" s="609"/>
      <c r="E100" s="609"/>
      <c r="F100" s="609"/>
      <c r="G100" s="609"/>
      <c r="H100" s="609"/>
      <c r="I100" s="609"/>
      <c r="J100" s="609"/>
      <c r="K100" s="609"/>
      <c r="L100" s="609"/>
      <c r="M100" s="609"/>
      <c r="N100" s="609"/>
      <c r="O100" s="609"/>
      <c r="P100" s="609"/>
      <c r="Q100" s="609"/>
      <c r="R100" s="816"/>
      <c r="S100" s="816"/>
      <c r="T100" s="816"/>
      <c r="U100" s="816"/>
      <c r="V100" s="816"/>
      <c r="W100" s="816"/>
      <c r="X100" s="609"/>
      <c r="Y100" s="609"/>
      <c r="Z100" s="816"/>
      <c r="AA100" s="816"/>
      <c r="AB100" s="609"/>
      <c r="AC100" s="609"/>
      <c r="AD100" s="816"/>
      <c r="AE100" s="816"/>
      <c r="AF100" s="609"/>
      <c r="AG100" s="609"/>
      <c r="AH100" s="816"/>
      <c r="AI100" s="816"/>
      <c r="AJ100" s="817"/>
      <c r="AK100" s="609"/>
      <c r="AL100" s="609"/>
      <c r="AM100" s="816"/>
      <c r="AN100" s="816"/>
      <c r="AO100" s="816"/>
      <c r="AP100" s="816"/>
      <c r="AQ100" s="816"/>
      <c r="AR100" s="816"/>
      <c r="AS100" s="816"/>
      <c r="AT100" s="609"/>
      <c r="AU100" s="609"/>
      <c r="AV100" s="609"/>
      <c r="AW100" s="818"/>
      <c r="AX100" s="816"/>
      <c r="AY100" s="816"/>
      <c r="AZ100" s="609"/>
      <c r="BA100" s="609"/>
      <c r="BB100" s="816"/>
      <c r="BC100" s="816"/>
      <c r="BD100" s="609"/>
      <c r="BE100" s="609"/>
      <c r="BF100" s="816"/>
      <c r="BG100" s="816"/>
      <c r="BH100" s="816"/>
      <c r="BI100" s="816"/>
      <c r="BJ100" s="816"/>
      <c r="BK100" s="816"/>
      <c r="BL100" s="816"/>
      <c r="BM100" s="816"/>
      <c r="BN100" s="816"/>
      <c r="BO100" s="816"/>
      <c r="BP100" s="816"/>
      <c r="BQ100" s="816"/>
      <c r="BR100" s="816"/>
      <c r="BS100" s="816"/>
      <c r="BT100" s="816"/>
      <c r="BU100" s="816"/>
      <c r="BV100" s="816"/>
      <c r="BW100" s="816"/>
      <c r="BX100" s="609"/>
      <c r="BY100" s="609"/>
      <c r="BZ100" s="816"/>
      <c r="CA100" s="816"/>
      <c r="CB100" s="609"/>
      <c r="CC100" s="609"/>
      <c r="CD100" s="816"/>
      <c r="CE100" s="816"/>
      <c r="CF100" s="816"/>
      <c r="CG100" s="816"/>
      <c r="CH100" s="816"/>
      <c r="CI100" s="816"/>
      <c r="CJ100" s="816"/>
      <c r="CK100" s="816"/>
      <c r="CL100" s="819"/>
      <c r="CM100" s="816"/>
      <c r="CN100" s="820"/>
      <c r="CO100" s="820"/>
      <c r="CP100" s="820"/>
      <c r="CQ100" s="820"/>
      <c r="CR100" s="609"/>
      <c r="CS100" s="609"/>
      <c r="CT100" s="816"/>
      <c r="CU100" s="816"/>
      <c r="CV100" s="816"/>
      <c r="CW100" s="816"/>
      <c r="CX100" s="816"/>
      <c r="CY100" s="816"/>
      <c r="CZ100" s="816"/>
      <c r="DA100" s="609"/>
      <c r="DB100" s="609"/>
      <c r="DC100" s="816"/>
      <c r="DD100" s="816"/>
      <c r="DE100" s="609"/>
      <c r="DF100" s="609"/>
      <c r="DG100" s="816"/>
      <c r="DH100" s="816"/>
      <c r="DI100" s="816"/>
      <c r="DJ100" s="816"/>
      <c r="DK100" s="816"/>
      <c r="DL100" s="816"/>
      <c r="DM100" s="609"/>
      <c r="DN100" s="609"/>
      <c r="DO100" s="816"/>
      <c r="DP100" s="816"/>
      <c r="DQ100" s="609"/>
      <c r="DR100" s="609"/>
      <c r="DS100" s="816"/>
      <c r="DT100" s="816"/>
      <c r="DU100" s="609"/>
      <c r="DV100" s="609"/>
      <c r="DW100" s="816"/>
      <c r="DX100" s="816"/>
      <c r="DY100" s="816"/>
      <c r="DZ100" s="816"/>
      <c r="EA100" s="816"/>
      <c r="EB100" s="816"/>
      <c r="EC100" s="821"/>
      <c r="ED100" s="609"/>
      <c r="EE100" s="816"/>
      <c r="EF100" s="816"/>
      <c r="EG100" s="822"/>
      <c r="EH100" s="609"/>
      <c r="EI100" s="816"/>
      <c r="EJ100" s="816"/>
      <c r="EK100" s="609"/>
      <c r="EL100" s="816"/>
      <c r="EM100" s="816"/>
      <c r="EN100" s="816"/>
      <c r="EO100" s="816"/>
      <c r="EP100" s="816"/>
      <c r="EQ100" s="816"/>
      <c r="ER100" s="816"/>
      <c r="ES100" s="816"/>
      <c r="ET100" s="816"/>
      <c r="EU100" s="816"/>
      <c r="EV100" s="816"/>
      <c r="EW100" s="823"/>
      <c r="EX100" s="824"/>
      <c r="EY100" s="825"/>
      <c r="EZ100" s="825"/>
      <c r="FA100" s="816"/>
      <c r="FC100" s="826"/>
      <c r="FD100" s="826"/>
      <c r="FE100" s="826"/>
      <c r="FF100" s="826"/>
    </row>
    <row r="101" spans="2:162" s="780" customFormat="1"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09"/>
      <c r="P101" s="609"/>
      <c r="Q101" s="609"/>
      <c r="R101" s="816"/>
      <c r="S101" s="816"/>
      <c r="T101" s="816"/>
      <c r="U101" s="816"/>
      <c r="V101" s="816"/>
      <c r="W101" s="816"/>
      <c r="X101" s="609"/>
      <c r="Y101" s="609"/>
      <c r="Z101" s="816"/>
      <c r="AA101" s="816"/>
      <c r="AB101" s="609"/>
      <c r="AC101" s="609"/>
      <c r="AD101" s="816"/>
      <c r="AE101" s="816"/>
      <c r="AF101" s="609"/>
      <c r="AG101" s="609"/>
      <c r="AH101" s="816"/>
      <c r="AI101" s="816"/>
      <c r="AJ101" s="817"/>
      <c r="AK101" s="609"/>
      <c r="AL101" s="609"/>
      <c r="AM101" s="816"/>
      <c r="AN101" s="816"/>
      <c r="AO101" s="816"/>
      <c r="AP101" s="816"/>
      <c r="AQ101" s="816"/>
      <c r="AR101" s="816"/>
      <c r="AS101" s="816"/>
      <c r="AT101" s="609"/>
      <c r="AU101" s="609"/>
      <c r="AV101" s="609"/>
      <c r="AW101" s="818"/>
      <c r="AX101" s="816"/>
      <c r="AY101" s="816"/>
      <c r="AZ101" s="609"/>
      <c r="BA101" s="609"/>
      <c r="BB101" s="816"/>
      <c r="BC101" s="816"/>
      <c r="BD101" s="609"/>
      <c r="BE101" s="609"/>
      <c r="BF101" s="816"/>
      <c r="BG101" s="816"/>
      <c r="BH101" s="816"/>
      <c r="BI101" s="816"/>
      <c r="BJ101" s="816"/>
      <c r="BK101" s="816"/>
      <c r="BL101" s="816"/>
      <c r="BM101" s="816"/>
      <c r="BN101" s="816"/>
      <c r="BO101" s="816"/>
      <c r="BP101" s="816"/>
      <c r="BQ101" s="816"/>
      <c r="BR101" s="816"/>
      <c r="BS101" s="816"/>
      <c r="BT101" s="816"/>
      <c r="BU101" s="816"/>
      <c r="BV101" s="816"/>
      <c r="BW101" s="816"/>
      <c r="BX101" s="609"/>
      <c r="BY101" s="609"/>
      <c r="BZ101" s="816"/>
      <c r="CA101" s="816"/>
      <c r="CB101" s="609"/>
      <c r="CC101" s="609"/>
      <c r="CD101" s="816"/>
      <c r="CE101" s="816"/>
      <c r="CF101" s="816"/>
      <c r="CG101" s="816"/>
      <c r="CH101" s="816"/>
      <c r="CI101" s="816"/>
      <c r="CJ101" s="816"/>
      <c r="CK101" s="816"/>
      <c r="CL101" s="819"/>
      <c r="CM101" s="816"/>
      <c r="CN101" s="820"/>
      <c r="CO101" s="820"/>
      <c r="CP101" s="820"/>
      <c r="CQ101" s="820"/>
      <c r="CR101" s="609"/>
      <c r="CS101" s="609"/>
      <c r="CT101" s="816"/>
      <c r="CU101" s="816"/>
      <c r="CV101" s="816"/>
      <c r="CW101" s="816"/>
      <c r="CX101" s="816"/>
      <c r="CY101" s="816"/>
      <c r="CZ101" s="816"/>
      <c r="DA101" s="609"/>
      <c r="DB101" s="609"/>
      <c r="DC101" s="816"/>
      <c r="DD101" s="816"/>
      <c r="DE101" s="609"/>
      <c r="DF101" s="609"/>
      <c r="DG101" s="816"/>
      <c r="DH101" s="816"/>
      <c r="DI101" s="816"/>
      <c r="DJ101" s="816"/>
      <c r="DK101" s="816"/>
      <c r="DL101" s="816"/>
      <c r="DM101" s="609"/>
      <c r="DN101" s="609"/>
      <c r="DO101" s="816"/>
      <c r="DP101" s="816"/>
      <c r="DQ101" s="609"/>
      <c r="DR101" s="609"/>
      <c r="DS101" s="816"/>
      <c r="DT101" s="816"/>
      <c r="DU101" s="609"/>
      <c r="DV101" s="609"/>
      <c r="DW101" s="816"/>
      <c r="DX101" s="816"/>
      <c r="DY101" s="816"/>
      <c r="DZ101" s="816"/>
      <c r="EA101" s="816"/>
      <c r="EB101" s="816"/>
      <c r="EC101" s="821"/>
      <c r="ED101" s="609"/>
      <c r="EE101" s="816"/>
      <c r="EF101" s="816"/>
      <c r="EG101" s="822"/>
      <c r="EH101" s="609"/>
      <c r="EI101" s="816"/>
      <c r="EJ101" s="816"/>
      <c r="EK101" s="609"/>
      <c r="EL101" s="816"/>
      <c r="EM101" s="816"/>
      <c r="EN101" s="816"/>
      <c r="EO101" s="816"/>
      <c r="EP101" s="816"/>
      <c r="EQ101" s="816"/>
      <c r="ER101" s="816"/>
      <c r="ES101" s="816"/>
      <c r="ET101" s="816"/>
      <c r="EU101" s="816"/>
      <c r="EV101" s="816"/>
      <c r="EW101" s="823"/>
      <c r="EX101" s="824"/>
      <c r="EY101" s="825"/>
      <c r="EZ101" s="825"/>
      <c r="FA101" s="816"/>
      <c r="FC101" s="826"/>
      <c r="FD101" s="826"/>
      <c r="FE101" s="826"/>
      <c r="FF101" s="826"/>
    </row>
    <row r="102" spans="2:162" s="780" customFormat="1">
      <c r="B102" s="609"/>
      <c r="C102" s="609"/>
      <c r="D102" s="609"/>
      <c r="E102" s="609"/>
      <c r="F102" s="609"/>
      <c r="G102" s="609"/>
      <c r="H102" s="609"/>
      <c r="I102" s="609"/>
      <c r="J102" s="609"/>
      <c r="K102" s="609"/>
      <c r="L102" s="609"/>
      <c r="M102" s="609"/>
      <c r="N102" s="609"/>
      <c r="O102" s="609"/>
      <c r="P102" s="609"/>
      <c r="Q102" s="609"/>
      <c r="R102" s="816"/>
      <c r="S102" s="816"/>
      <c r="T102" s="816"/>
      <c r="U102" s="816"/>
      <c r="V102" s="816"/>
      <c r="W102" s="816"/>
      <c r="X102" s="609"/>
      <c r="Y102" s="609"/>
      <c r="Z102" s="816"/>
      <c r="AA102" s="816"/>
      <c r="AB102" s="609"/>
      <c r="AC102" s="609"/>
      <c r="AD102" s="816"/>
      <c r="AE102" s="816"/>
      <c r="AF102" s="609"/>
      <c r="AG102" s="609"/>
      <c r="AH102" s="816"/>
      <c r="AI102" s="816"/>
      <c r="AJ102" s="817"/>
      <c r="AK102" s="609"/>
      <c r="AL102" s="609"/>
      <c r="AM102" s="816"/>
      <c r="AN102" s="816"/>
      <c r="AO102" s="816"/>
      <c r="AP102" s="816"/>
      <c r="AQ102" s="816"/>
      <c r="AR102" s="816"/>
      <c r="AS102" s="816"/>
      <c r="AT102" s="609"/>
      <c r="AU102" s="609"/>
      <c r="AV102" s="609"/>
      <c r="AW102" s="818"/>
      <c r="AX102" s="816"/>
      <c r="AY102" s="816"/>
      <c r="AZ102" s="609"/>
      <c r="BA102" s="609"/>
      <c r="BB102" s="816"/>
      <c r="BC102" s="816"/>
      <c r="BD102" s="609"/>
      <c r="BE102" s="609"/>
      <c r="BF102" s="816"/>
      <c r="BG102" s="816"/>
      <c r="BH102" s="816"/>
      <c r="BI102" s="816"/>
      <c r="BJ102" s="816"/>
      <c r="BK102" s="816"/>
      <c r="BL102" s="816"/>
      <c r="BM102" s="816"/>
      <c r="BN102" s="816"/>
      <c r="BO102" s="816"/>
      <c r="BP102" s="816"/>
      <c r="BQ102" s="816"/>
      <c r="BR102" s="816"/>
      <c r="BS102" s="816"/>
      <c r="BT102" s="816"/>
      <c r="BU102" s="816"/>
      <c r="BV102" s="816"/>
      <c r="BW102" s="816"/>
      <c r="BX102" s="609"/>
      <c r="BY102" s="609"/>
      <c r="BZ102" s="816"/>
      <c r="CA102" s="816"/>
      <c r="CB102" s="609"/>
      <c r="CC102" s="609"/>
      <c r="CD102" s="816"/>
      <c r="CE102" s="816"/>
      <c r="CF102" s="816"/>
      <c r="CG102" s="816"/>
      <c r="CH102" s="816"/>
      <c r="CI102" s="816"/>
      <c r="CJ102" s="816"/>
      <c r="CK102" s="816"/>
      <c r="CL102" s="819"/>
      <c r="CM102" s="816"/>
      <c r="CN102" s="820"/>
      <c r="CO102" s="820"/>
      <c r="CP102" s="820"/>
      <c r="CQ102" s="820"/>
      <c r="CR102" s="609"/>
      <c r="CS102" s="609"/>
      <c r="CT102" s="816"/>
      <c r="CU102" s="816"/>
      <c r="CV102" s="816"/>
      <c r="CW102" s="816"/>
      <c r="CX102" s="816"/>
      <c r="CY102" s="816"/>
      <c r="CZ102" s="816"/>
      <c r="DA102" s="609"/>
      <c r="DB102" s="609"/>
      <c r="DC102" s="816"/>
      <c r="DD102" s="816"/>
      <c r="DE102" s="609"/>
      <c r="DF102" s="609"/>
      <c r="DG102" s="816"/>
      <c r="DH102" s="816"/>
      <c r="DI102" s="816"/>
      <c r="DJ102" s="816"/>
      <c r="DK102" s="816"/>
      <c r="DL102" s="816"/>
      <c r="DM102" s="609"/>
      <c r="DN102" s="609"/>
      <c r="DO102" s="816"/>
      <c r="DP102" s="816"/>
      <c r="DQ102" s="609"/>
      <c r="DR102" s="609"/>
      <c r="DS102" s="816"/>
      <c r="DT102" s="816"/>
      <c r="DU102" s="609"/>
      <c r="DV102" s="609"/>
      <c r="DW102" s="816"/>
      <c r="DX102" s="816"/>
      <c r="DY102" s="816"/>
      <c r="DZ102" s="816"/>
      <c r="EA102" s="816"/>
      <c r="EB102" s="816"/>
      <c r="EC102" s="821"/>
      <c r="ED102" s="609"/>
      <c r="EE102" s="816"/>
      <c r="EF102" s="816"/>
      <c r="EG102" s="822"/>
      <c r="EH102" s="609"/>
      <c r="EI102" s="816"/>
      <c r="EJ102" s="816"/>
      <c r="EK102" s="609"/>
      <c r="EL102" s="816"/>
      <c r="EM102" s="816"/>
      <c r="EN102" s="816"/>
      <c r="EO102" s="816"/>
      <c r="EP102" s="816"/>
      <c r="EQ102" s="816"/>
      <c r="ER102" s="816"/>
      <c r="ES102" s="816"/>
      <c r="ET102" s="816"/>
      <c r="EU102" s="816"/>
      <c r="EV102" s="816"/>
      <c r="EW102" s="823"/>
      <c r="EX102" s="824"/>
      <c r="EY102" s="825"/>
      <c r="EZ102" s="825"/>
      <c r="FA102" s="816"/>
      <c r="FC102" s="826"/>
      <c r="FD102" s="826"/>
      <c r="FE102" s="826"/>
      <c r="FF102" s="826"/>
    </row>
    <row r="103" spans="2:162" s="780" customFormat="1">
      <c r="B103" s="609"/>
      <c r="C103" s="609"/>
      <c r="D103" s="609"/>
      <c r="E103" s="609"/>
      <c r="F103" s="609"/>
      <c r="G103" s="609"/>
      <c r="H103" s="609"/>
      <c r="I103" s="609"/>
      <c r="J103" s="609"/>
      <c r="K103" s="609"/>
      <c r="L103" s="609"/>
      <c r="M103" s="609"/>
      <c r="N103" s="609"/>
      <c r="O103" s="609"/>
      <c r="P103" s="609"/>
      <c r="Q103" s="609"/>
      <c r="R103" s="816"/>
      <c r="S103" s="816"/>
      <c r="T103" s="816"/>
      <c r="U103" s="816"/>
      <c r="V103" s="816"/>
      <c r="W103" s="816"/>
      <c r="X103" s="609"/>
      <c r="Y103" s="609"/>
      <c r="Z103" s="816"/>
      <c r="AA103" s="816"/>
      <c r="AB103" s="609"/>
      <c r="AC103" s="609"/>
      <c r="AD103" s="816"/>
      <c r="AE103" s="816"/>
      <c r="AF103" s="609"/>
      <c r="AG103" s="609"/>
      <c r="AH103" s="816"/>
      <c r="AI103" s="816"/>
      <c r="AJ103" s="817"/>
      <c r="AK103" s="609"/>
      <c r="AL103" s="609"/>
      <c r="AM103" s="816"/>
      <c r="AN103" s="816"/>
      <c r="AO103" s="816"/>
      <c r="AP103" s="816"/>
      <c r="AQ103" s="816"/>
      <c r="AR103" s="816"/>
      <c r="AS103" s="816"/>
      <c r="AT103" s="609"/>
      <c r="AU103" s="609"/>
      <c r="AV103" s="609"/>
      <c r="AW103" s="818"/>
      <c r="AX103" s="816"/>
      <c r="AY103" s="816"/>
      <c r="AZ103" s="609"/>
      <c r="BA103" s="609"/>
      <c r="BB103" s="816"/>
      <c r="BC103" s="816"/>
      <c r="BD103" s="609"/>
      <c r="BE103" s="609"/>
      <c r="BF103" s="816"/>
      <c r="BG103" s="816"/>
      <c r="BH103" s="816"/>
      <c r="BI103" s="816"/>
      <c r="BJ103" s="816"/>
      <c r="BK103" s="816"/>
      <c r="BL103" s="816"/>
      <c r="BM103" s="816"/>
      <c r="BN103" s="816"/>
      <c r="BO103" s="816"/>
      <c r="BP103" s="816"/>
      <c r="BQ103" s="816"/>
      <c r="BR103" s="816"/>
      <c r="BS103" s="816"/>
      <c r="BT103" s="816"/>
      <c r="BU103" s="816"/>
      <c r="BV103" s="816"/>
      <c r="BW103" s="816"/>
      <c r="BX103" s="609"/>
      <c r="BY103" s="609"/>
      <c r="BZ103" s="816"/>
      <c r="CA103" s="816"/>
      <c r="CB103" s="609"/>
      <c r="CC103" s="609"/>
      <c r="CD103" s="816"/>
      <c r="CE103" s="816"/>
      <c r="CF103" s="816"/>
      <c r="CG103" s="816"/>
      <c r="CH103" s="816"/>
      <c r="CI103" s="816"/>
      <c r="CJ103" s="816"/>
      <c r="CK103" s="816"/>
      <c r="CL103" s="819"/>
      <c r="CM103" s="816"/>
      <c r="CN103" s="820"/>
      <c r="CO103" s="820"/>
      <c r="CP103" s="820"/>
      <c r="CQ103" s="820"/>
      <c r="CR103" s="609"/>
      <c r="CS103" s="609"/>
      <c r="CT103" s="816"/>
      <c r="CU103" s="816"/>
      <c r="CV103" s="816"/>
      <c r="CW103" s="816"/>
      <c r="CX103" s="816"/>
      <c r="CY103" s="816"/>
      <c r="CZ103" s="816"/>
      <c r="DA103" s="609"/>
      <c r="DB103" s="609"/>
      <c r="DC103" s="816"/>
      <c r="DD103" s="816"/>
      <c r="DE103" s="609"/>
      <c r="DF103" s="609"/>
      <c r="DG103" s="816"/>
      <c r="DH103" s="816"/>
      <c r="DI103" s="816"/>
      <c r="DJ103" s="816"/>
      <c r="DK103" s="816"/>
      <c r="DL103" s="816"/>
      <c r="DM103" s="609"/>
      <c r="DN103" s="609"/>
      <c r="DO103" s="816"/>
      <c r="DP103" s="816"/>
      <c r="DQ103" s="609"/>
      <c r="DR103" s="609"/>
      <c r="DS103" s="816"/>
      <c r="DT103" s="816"/>
      <c r="DU103" s="609"/>
      <c r="DV103" s="609"/>
      <c r="DW103" s="816"/>
      <c r="DX103" s="816"/>
      <c r="DY103" s="816"/>
      <c r="DZ103" s="816"/>
      <c r="EA103" s="816"/>
      <c r="EB103" s="816"/>
      <c r="EC103" s="821"/>
      <c r="ED103" s="609"/>
      <c r="EE103" s="816"/>
      <c r="EF103" s="816"/>
      <c r="EG103" s="822"/>
      <c r="EH103" s="609"/>
      <c r="EI103" s="816"/>
      <c r="EJ103" s="816"/>
      <c r="EK103" s="609"/>
      <c r="EL103" s="816"/>
      <c r="EM103" s="816"/>
      <c r="EN103" s="816"/>
      <c r="EO103" s="816"/>
      <c r="EP103" s="816"/>
      <c r="EQ103" s="816"/>
      <c r="ER103" s="816"/>
      <c r="ES103" s="816"/>
      <c r="ET103" s="816"/>
      <c r="EU103" s="816"/>
      <c r="EV103" s="816"/>
      <c r="EW103" s="823"/>
      <c r="EX103" s="824"/>
      <c r="EY103" s="825"/>
      <c r="EZ103" s="825"/>
      <c r="FA103" s="816"/>
      <c r="FC103" s="826"/>
      <c r="FD103" s="826"/>
      <c r="FE103" s="826"/>
      <c r="FF103" s="826"/>
    </row>
    <row r="104" spans="2:162" s="780" customFormat="1">
      <c r="B104" s="609"/>
      <c r="C104" s="609"/>
      <c r="D104" s="609"/>
      <c r="E104" s="609"/>
      <c r="F104" s="609"/>
      <c r="G104" s="609"/>
      <c r="H104" s="609"/>
      <c r="I104" s="609"/>
      <c r="J104" s="609"/>
      <c r="K104" s="609"/>
      <c r="L104" s="609"/>
      <c r="M104" s="609"/>
      <c r="N104" s="609"/>
      <c r="O104" s="609"/>
      <c r="P104" s="609"/>
      <c r="Q104" s="609"/>
      <c r="R104" s="816"/>
      <c r="S104" s="816"/>
      <c r="T104" s="816"/>
      <c r="U104" s="816"/>
      <c r="V104" s="816"/>
      <c r="W104" s="816"/>
      <c r="X104" s="609"/>
      <c r="Y104" s="609"/>
      <c r="Z104" s="816"/>
      <c r="AA104" s="816"/>
      <c r="AB104" s="609"/>
      <c r="AC104" s="609"/>
      <c r="AD104" s="816"/>
      <c r="AE104" s="816"/>
      <c r="AF104" s="609"/>
      <c r="AG104" s="609"/>
      <c r="AH104" s="816"/>
      <c r="AI104" s="816"/>
      <c r="AJ104" s="817"/>
      <c r="AK104" s="609"/>
      <c r="AL104" s="609"/>
      <c r="AM104" s="816"/>
      <c r="AN104" s="816"/>
      <c r="AO104" s="816"/>
      <c r="AP104" s="816"/>
      <c r="AQ104" s="816"/>
      <c r="AR104" s="816"/>
      <c r="AS104" s="816"/>
      <c r="AT104" s="609"/>
      <c r="AU104" s="609"/>
      <c r="AV104" s="609"/>
      <c r="AW104" s="818"/>
      <c r="AX104" s="816"/>
      <c r="AY104" s="816"/>
      <c r="AZ104" s="609"/>
      <c r="BA104" s="609"/>
      <c r="BB104" s="816"/>
      <c r="BC104" s="816"/>
      <c r="BD104" s="609"/>
      <c r="BE104" s="609"/>
      <c r="BF104" s="816"/>
      <c r="BG104" s="816"/>
      <c r="BH104" s="816"/>
      <c r="BI104" s="816"/>
      <c r="BJ104" s="816"/>
      <c r="BK104" s="816"/>
      <c r="BL104" s="816"/>
      <c r="BM104" s="816"/>
      <c r="BN104" s="816"/>
      <c r="BO104" s="816"/>
      <c r="BP104" s="816"/>
      <c r="BQ104" s="816"/>
      <c r="BR104" s="816"/>
      <c r="BS104" s="816"/>
      <c r="BT104" s="816"/>
      <c r="BU104" s="816"/>
      <c r="BV104" s="816"/>
      <c r="BW104" s="816"/>
      <c r="BX104" s="609"/>
      <c r="BY104" s="609"/>
      <c r="BZ104" s="816"/>
      <c r="CA104" s="816"/>
      <c r="CB104" s="609"/>
      <c r="CC104" s="609"/>
      <c r="CD104" s="816"/>
      <c r="CE104" s="816"/>
      <c r="CF104" s="816"/>
      <c r="CG104" s="816"/>
      <c r="CH104" s="816"/>
      <c r="CI104" s="816"/>
      <c r="CJ104" s="816"/>
      <c r="CK104" s="816"/>
      <c r="CL104" s="819"/>
      <c r="CM104" s="816"/>
      <c r="CN104" s="820"/>
      <c r="CO104" s="820"/>
      <c r="CP104" s="820"/>
      <c r="CQ104" s="820"/>
      <c r="CR104" s="609"/>
      <c r="CS104" s="609"/>
      <c r="CT104" s="816"/>
      <c r="CU104" s="816"/>
      <c r="CV104" s="816"/>
      <c r="CW104" s="816"/>
      <c r="CX104" s="816"/>
      <c r="CY104" s="816"/>
      <c r="CZ104" s="816"/>
      <c r="DA104" s="609"/>
      <c r="DB104" s="609"/>
      <c r="DC104" s="816"/>
      <c r="DD104" s="816"/>
      <c r="DE104" s="609"/>
      <c r="DF104" s="609"/>
      <c r="DG104" s="816"/>
      <c r="DH104" s="816"/>
      <c r="DI104" s="816"/>
      <c r="DJ104" s="816"/>
      <c r="DK104" s="816"/>
      <c r="DL104" s="816"/>
      <c r="DM104" s="609"/>
      <c r="DN104" s="609"/>
      <c r="DO104" s="816"/>
      <c r="DP104" s="816"/>
      <c r="DQ104" s="609"/>
      <c r="DR104" s="609"/>
      <c r="DS104" s="816"/>
      <c r="DT104" s="816"/>
      <c r="DU104" s="609"/>
      <c r="DV104" s="609"/>
      <c r="DW104" s="816"/>
      <c r="DX104" s="816"/>
      <c r="DY104" s="816"/>
      <c r="DZ104" s="816"/>
      <c r="EA104" s="816"/>
      <c r="EB104" s="816"/>
      <c r="EC104" s="821"/>
      <c r="ED104" s="609"/>
      <c r="EE104" s="816"/>
      <c r="EF104" s="816"/>
      <c r="EG104" s="822"/>
      <c r="EH104" s="609"/>
      <c r="EI104" s="816"/>
      <c r="EJ104" s="816"/>
      <c r="EK104" s="609"/>
      <c r="EL104" s="816"/>
      <c r="EM104" s="816"/>
      <c r="EN104" s="816"/>
      <c r="EO104" s="816"/>
      <c r="EP104" s="816"/>
      <c r="EQ104" s="816"/>
      <c r="ER104" s="816"/>
      <c r="ES104" s="816"/>
      <c r="ET104" s="816"/>
      <c r="EU104" s="816"/>
      <c r="EV104" s="816"/>
      <c r="EW104" s="823"/>
      <c r="EX104" s="824"/>
      <c r="EY104" s="825"/>
      <c r="EZ104" s="825"/>
      <c r="FA104" s="816"/>
      <c r="FC104" s="826"/>
      <c r="FD104" s="826"/>
      <c r="FE104" s="826"/>
      <c r="FF104" s="826"/>
    </row>
    <row r="105" spans="2:162" s="780" customFormat="1">
      <c r="B105" s="609"/>
      <c r="C105" s="609"/>
      <c r="D105" s="609"/>
      <c r="E105" s="609"/>
      <c r="F105" s="609"/>
      <c r="G105" s="609"/>
      <c r="H105" s="609"/>
      <c r="I105" s="609"/>
      <c r="J105" s="609"/>
      <c r="K105" s="609"/>
      <c r="L105" s="609"/>
      <c r="M105" s="609"/>
      <c r="N105" s="609"/>
      <c r="O105" s="609"/>
      <c r="P105" s="609"/>
      <c r="Q105" s="609"/>
      <c r="R105" s="816"/>
      <c r="S105" s="816"/>
      <c r="T105" s="816"/>
      <c r="U105" s="816"/>
      <c r="V105" s="816"/>
      <c r="W105" s="816"/>
      <c r="X105" s="609"/>
      <c r="Y105" s="609"/>
      <c r="Z105" s="816"/>
      <c r="AA105" s="816"/>
      <c r="AB105" s="609"/>
      <c r="AC105" s="609"/>
      <c r="AD105" s="816"/>
      <c r="AE105" s="816"/>
      <c r="AF105" s="609"/>
      <c r="AG105" s="609"/>
      <c r="AH105" s="816"/>
      <c r="AI105" s="816"/>
      <c r="AJ105" s="817"/>
      <c r="AK105" s="609"/>
      <c r="AL105" s="609"/>
      <c r="AM105" s="816"/>
      <c r="AN105" s="816"/>
      <c r="AO105" s="816"/>
      <c r="AP105" s="816"/>
      <c r="AQ105" s="816"/>
      <c r="AR105" s="816"/>
      <c r="AS105" s="816"/>
      <c r="AT105" s="609"/>
      <c r="AU105" s="609"/>
      <c r="AV105" s="609"/>
      <c r="AW105" s="818"/>
      <c r="AX105" s="816"/>
      <c r="AY105" s="816"/>
      <c r="AZ105" s="609"/>
      <c r="BA105" s="609"/>
      <c r="BB105" s="816"/>
      <c r="BC105" s="816"/>
      <c r="BD105" s="609"/>
      <c r="BE105" s="609"/>
      <c r="BF105" s="816"/>
      <c r="BG105" s="816"/>
      <c r="BH105" s="816"/>
      <c r="BI105" s="816"/>
      <c r="BJ105" s="816"/>
      <c r="BK105" s="816"/>
      <c r="BL105" s="816"/>
      <c r="BM105" s="816"/>
      <c r="BN105" s="816"/>
      <c r="BO105" s="816"/>
      <c r="BP105" s="816"/>
      <c r="BQ105" s="816"/>
      <c r="BR105" s="816"/>
      <c r="BS105" s="816"/>
      <c r="BT105" s="816"/>
      <c r="BU105" s="816"/>
      <c r="BV105" s="816"/>
      <c r="BW105" s="816"/>
      <c r="BX105" s="609"/>
      <c r="BY105" s="609"/>
      <c r="BZ105" s="816"/>
      <c r="CA105" s="816"/>
      <c r="CB105" s="609"/>
      <c r="CC105" s="609"/>
      <c r="CD105" s="816"/>
      <c r="CE105" s="816"/>
      <c r="CF105" s="816"/>
      <c r="CG105" s="816"/>
      <c r="CH105" s="816"/>
      <c r="CI105" s="816"/>
      <c r="CJ105" s="816"/>
      <c r="CK105" s="816"/>
      <c r="CL105" s="819"/>
      <c r="CM105" s="816"/>
      <c r="CN105" s="820"/>
      <c r="CO105" s="820"/>
      <c r="CP105" s="820"/>
      <c r="CQ105" s="820"/>
      <c r="CR105" s="609"/>
      <c r="CS105" s="609"/>
      <c r="CT105" s="816"/>
      <c r="CU105" s="816"/>
      <c r="CV105" s="816"/>
      <c r="CW105" s="816"/>
      <c r="CX105" s="816"/>
      <c r="CY105" s="816"/>
      <c r="CZ105" s="816"/>
      <c r="DA105" s="609"/>
      <c r="DB105" s="609"/>
      <c r="DC105" s="816"/>
      <c r="DD105" s="816"/>
      <c r="DE105" s="609"/>
      <c r="DF105" s="609"/>
      <c r="DG105" s="816"/>
      <c r="DH105" s="816"/>
      <c r="DI105" s="816"/>
      <c r="DJ105" s="816"/>
      <c r="DK105" s="816"/>
      <c r="DL105" s="816"/>
      <c r="DM105" s="609"/>
      <c r="DN105" s="609"/>
      <c r="DO105" s="816"/>
      <c r="DP105" s="816"/>
      <c r="DQ105" s="609"/>
      <c r="DR105" s="609"/>
      <c r="DS105" s="816"/>
      <c r="DT105" s="816"/>
      <c r="DU105" s="609"/>
      <c r="DV105" s="609"/>
      <c r="DW105" s="816"/>
      <c r="DX105" s="816"/>
      <c r="DY105" s="816"/>
      <c r="DZ105" s="816"/>
      <c r="EA105" s="816"/>
      <c r="EB105" s="816"/>
      <c r="EC105" s="821"/>
      <c r="ED105" s="609"/>
      <c r="EE105" s="816"/>
      <c r="EF105" s="816"/>
      <c r="EG105" s="822"/>
      <c r="EH105" s="609"/>
      <c r="EI105" s="816"/>
      <c r="EJ105" s="816"/>
      <c r="EK105" s="609"/>
      <c r="EL105" s="816"/>
      <c r="EM105" s="816"/>
      <c r="EN105" s="816"/>
      <c r="EO105" s="816"/>
      <c r="EP105" s="816"/>
      <c r="EQ105" s="816"/>
      <c r="ER105" s="816"/>
      <c r="ES105" s="816"/>
      <c r="ET105" s="816"/>
      <c r="EU105" s="816"/>
      <c r="EV105" s="816"/>
      <c r="EW105" s="823"/>
      <c r="EX105" s="824"/>
      <c r="EY105" s="825"/>
      <c r="EZ105" s="825"/>
      <c r="FA105" s="816"/>
      <c r="FC105" s="826"/>
      <c r="FD105" s="826"/>
      <c r="FE105" s="826"/>
      <c r="FF105" s="826"/>
    </row>
    <row r="106" spans="2:162" s="780" customFormat="1">
      <c r="B106" s="609"/>
      <c r="C106" s="609"/>
      <c r="D106" s="609"/>
      <c r="E106" s="609"/>
      <c r="F106" s="609"/>
      <c r="G106" s="609"/>
      <c r="H106" s="609"/>
      <c r="I106" s="609"/>
      <c r="J106" s="609"/>
      <c r="K106" s="609"/>
      <c r="L106" s="609"/>
      <c r="M106" s="609"/>
      <c r="N106" s="609"/>
      <c r="O106" s="609"/>
      <c r="P106" s="609"/>
      <c r="Q106" s="609"/>
      <c r="R106" s="816"/>
      <c r="S106" s="816"/>
      <c r="T106" s="816"/>
      <c r="U106" s="816"/>
      <c r="V106" s="816"/>
      <c r="W106" s="816"/>
      <c r="X106" s="609"/>
      <c r="Y106" s="609"/>
      <c r="Z106" s="816"/>
      <c r="AA106" s="816"/>
      <c r="AB106" s="609"/>
      <c r="AC106" s="609"/>
      <c r="AD106" s="816"/>
      <c r="AE106" s="816"/>
      <c r="AF106" s="609"/>
      <c r="AG106" s="609"/>
      <c r="AH106" s="816"/>
      <c r="AI106" s="816"/>
      <c r="AJ106" s="817"/>
      <c r="AK106" s="609"/>
      <c r="AL106" s="609"/>
      <c r="AM106" s="816"/>
      <c r="AN106" s="816"/>
      <c r="AO106" s="816"/>
      <c r="AP106" s="816"/>
      <c r="AQ106" s="816"/>
      <c r="AR106" s="816"/>
      <c r="AS106" s="816"/>
      <c r="AT106" s="609"/>
      <c r="AU106" s="609"/>
      <c r="AV106" s="609"/>
      <c r="AW106" s="818"/>
      <c r="AX106" s="816"/>
      <c r="AY106" s="816"/>
      <c r="AZ106" s="609"/>
      <c r="BA106" s="609"/>
      <c r="BB106" s="816"/>
      <c r="BC106" s="816"/>
      <c r="BD106" s="609"/>
      <c r="BE106" s="609"/>
      <c r="BF106" s="816"/>
      <c r="BG106" s="816"/>
      <c r="BH106" s="816"/>
      <c r="BI106" s="816"/>
      <c r="BJ106" s="816"/>
      <c r="BK106" s="816"/>
      <c r="BL106" s="816"/>
      <c r="BM106" s="816"/>
      <c r="BN106" s="816"/>
      <c r="BO106" s="816"/>
      <c r="BP106" s="816"/>
      <c r="BQ106" s="816"/>
      <c r="BR106" s="816"/>
      <c r="BS106" s="816"/>
      <c r="BT106" s="816"/>
      <c r="BU106" s="816"/>
      <c r="BV106" s="816"/>
      <c r="BW106" s="816"/>
      <c r="BX106" s="609"/>
      <c r="BY106" s="609"/>
      <c r="BZ106" s="816"/>
      <c r="CA106" s="816"/>
      <c r="CB106" s="609"/>
      <c r="CC106" s="609"/>
      <c r="CD106" s="816"/>
      <c r="CE106" s="816"/>
      <c r="CF106" s="816"/>
      <c r="CG106" s="816"/>
      <c r="CH106" s="816"/>
      <c r="CI106" s="816"/>
      <c r="CJ106" s="816"/>
      <c r="CK106" s="816"/>
      <c r="CL106" s="819"/>
      <c r="CM106" s="816"/>
      <c r="CN106" s="820"/>
      <c r="CO106" s="820"/>
      <c r="CP106" s="820"/>
      <c r="CQ106" s="820"/>
      <c r="CR106" s="609"/>
      <c r="CS106" s="609"/>
      <c r="CT106" s="816"/>
      <c r="CU106" s="816"/>
      <c r="CV106" s="816"/>
      <c r="CW106" s="816"/>
      <c r="CX106" s="816"/>
      <c r="CY106" s="816"/>
      <c r="CZ106" s="816"/>
      <c r="DA106" s="609"/>
      <c r="DB106" s="609"/>
      <c r="DC106" s="816"/>
      <c r="DD106" s="816"/>
      <c r="DE106" s="609"/>
      <c r="DF106" s="609"/>
      <c r="DG106" s="816"/>
      <c r="DH106" s="816"/>
      <c r="DI106" s="816"/>
      <c r="DJ106" s="816"/>
      <c r="DK106" s="816"/>
      <c r="DL106" s="816"/>
      <c r="DM106" s="609"/>
      <c r="DN106" s="609"/>
      <c r="DO106" s="816"/>
      <c r="DP106" s="816"/>
      <c r="DQ106" s="609"/>
      <c r="DR106" s="609"/>
      <c r="DS106" s="816"/>
      <c r="DT106" s="816"/>
      <c r="DU106" s="609"/>
      <c r="DV106" s="609"/>
      <c r="DW106" s="816"/>
      <c r="DX106" s="816"/>
      <c r="DY106" s="816"/>
      <c r="DZ106" s="816"/>
      <c r="EA106" s="816"/>
      <c r="EB106" s="816"/>
      <c r="EC106" s="821"/>
      <c r="ED106" s="609"/>
      <c r="EE106" s="816"/>
      <c r="EF106" s="816"/>
      <c r="EG106" s="822"/>
      <c r="EH106" s="609"/>
      <c r="EI106" s="816"/>
      <c r="EJ106" s="816"/>
      <c r="EK106" s="609"/>
      <c r="EL106" s="816"/>
      <c r="EM106" s="816"/>
      <c r="EN106" s="816"/>
      <c r="EO106" s="816"/>
      <c r="EP106" s="816"/>
      <c r="EQ106" s="816"/>
      <c r="ER106" s="816"/>
      <c r="ES106" s="816"/>
      <c r="ET106" s="816"/>
      <c r="EU106" s="816"/>
      <c r="EV106" s="816"/>
      <c r="EW106" s="823"/>
      <c r="EX106" s="824"/>
      <c r="EY106" s="825"/>
      <c r="EZ106" s="825"/>
      <c r="FA106" s="816"/>
      <c r="FC106" s="826"/>
      <c r="FD106" s="826"/>
      <c r="FE106" s="826"/>
      <c r="FF106" s="826"/>
    </row>
    <row r="107" spans="2:162" s="780" customFormat="1">
      <c r="B107" s="609"/>
      <c r="C107" s="609"/>
      <c r="D107" s="609"/>
      <c r="E107" s="609"/>
      <c r="F107" s="609"/>
      <c r="G107" s="609"/>
      <c r="H107" s="609"/>
      <c r="I107" s="609"/>
      <c r="J107" s="609"/>
      <c r="K107" s="609"/>
      <c r="L107" s="609"/>
      <c r="M107" s="609"/>
      <c r="N107" s="609"/>
      <c r="O107" s="609"/>
      <c r="P107" s="609"/>
      <c r="Q107" s="609"/>
      <c r="R107" s="816"/>
      <c r="S107" s="816"/>
      <c r="T107" s="816"/>
      <c r="U107" s="816"/>
      <c r="V107" s="816"/>
      <c r="W107" s="816"/>
      <c r="X107" s="609"/>
      <c r="Y107" s="609"/>
      <c r="Z107" s="816"/>
      <c r="AA107" s="816"/>
      <c r="AB107" s="609"/>
      <c r="AC107" s="609"/>
      <c r="AD107" s="816"/>
      <c r="AE107" s="816"/>
      <c r="AF107" s="609"/>
      <c r="AG107" s="609"/>
      <c r="AH107" s="816"/>
      <c r="AI107" s="816"/>
      <c r="AJ107" s="817"/>
      <c r="AK107" s="609"/>
      <c r="AL107" s="609"/>
      <c r="AM107" s="816"/>
      <c r="AN107" s="816"/>
      <c r="AO107" s="816"/>
      <c r="AP107" s="816"/>
      <c r="AQ107" s="816"/>
      <c r="AR107" s="816"/>
      <c r="AS107" s="816"/>
      <c r="AT107" s="609"/>
      <c r="AU107" s="609"/>
      <c r="AV107" s="609"/>
      <c r="AW107" s="818"/>
      <c r="AX107" s="816"/>
      <c r="AY107" s="816"/>
      <c r="AZ107" s="609"/>
      <c r="BA107" s="609"/>
      <c r="BB107" s="816"/>
      <c r="BC107" s="816"/>
      <c r="BD107" s="609"/>
      <c r="BE107" s="609"/>
      <c r="BF107" s="816"/>
      <c r="BG107" s="816"/>
      <c r="BH107" s="816"/>
      <c r="BI107" s="816"/>
      <c r="BJ107" s="816"/>
      <c r="BK107" s="816"/>
      <c r="BL107" s="816"/>
      <c r="BM107" s="816"/>
      <c r="BN107" s="816"/>
      <c r="BO107" s="816"/>
      <c r="BP107" s="816"/>
      <c r="BQ107" s="816"/>
      <c r="BR107" s="816"/>
      <c r="BS107" s="816"/>
      <c r="BT107" s="816"/>
      <c r="BU107" s="816"/>
      <c r="BV107" s="816"/>
      <c r="BW107" s="816"/>
      <c r="BX107" s="609"/>
      <c r="BY107" s="609"/>
      <c r="BZ107" s="816"/>
      <c r="CA107" s="816"/>
      <c r="CB107" s="609"/>
      <c r="CC107" s="609"/>
      <c r="CD107" s="816"/>
      <c r="CE107" s="816"/>
      <c r="CF107" s="816"/>
      <c r="CG107" s="816"/>
      <c r="CH107" s="816"/>
      <c r="CI107" s="816"/>
      <c r="CJ107" s="816"/>
      <c r="CK107" s="816"/>
      <c r="CL107" s="819"/>
      <c r="CM107" s="816"/>
      <c r="CN107" s="820"/>
      <c r="CO107" s="820"/>
      <c r="CP107" s="820"/>
      <c r="CQ107" s="820"/>
      <c r="CR107" s="609"/>
      <c r="CS107" s="609"/>
      <c r="CT107" s="816"/>
      <c r="CU107" s="816"/>
      <c r="CV107" s="816"/>
      <c r="CW107" s="816"/>
      <c r="CX107" s="816"/>
      <c r="CY107" s="816"/>
      <c r="CZ107" s="816"/>
      <c r="DA107" s="609"/>
      <c r="DB107" s="609"/>
      <c r="DC107" s="816"/>
      <c r="DD107" s="816"/>
      <c r="DE107" s="609"/>
      <c r="DF107" s="609"/>
      <c r="DG107" s="816"/>
      <c r="DH107" s="816"/>
      <c r="DI107" s="816"/>
      <c r="DJ107" s="816"/>
      <c r="DK107" s="816"/>
      <c r="DL107" s="816"/>
      <c r="DM107" s="609"/>
      <c r="DN107" s="609"/>
      <c r="DO107" s="816"/>
      <c r="DP107" s="816"/>
      <c r="DQ107" s="609"/>
      <c r="DR107" s="609"/>
      <c r="DS107" s="816"/>
      <c r="DT107" s="816"/>
      <c r="DU107" s="609"/>
      <c r="DV107" s="609"/>
      <c r="DW107" s="816"/>
      <c r="DX107" s="816"/>
      <c r="DY107" s="816"/>
      <c r="DZ107" s="816"/>
      <c r="EA107" s="816"/>
      <c r="EB107" s="816"/>
      <c r="EC107" s="821"/>
      <c r="ED107" s="609"/>
      <c r="EE107" s="816"/>
      <c r="EF107" s="816"/>
      <c r="EG107" s="822"/>
      <c r="EH107" s="609"/>
      <c r="EI107" s="816"/>
      <c r="EJ107" s="816"/>
      <c r="EK107" s="609"/>
      <c r="EL107" s="816"/>
      <c r="EM107" s="816"/>
      <c r="EN107" s="816"/>
      <c r="EO107" s="816"/>
      <c r="EP107" s="816"/>
      <c r="EQ107" s="816"/>
      <c r="ER107" s="816"/>
      <c r="ES107" s="816"/>
      <c r="ET107" s="816"/>
      <c r="EU107" s="816"/>
      <c r="EV107" s="816"/>
      <c r="EW107" s="823"/>
      <c r="EX107" s="824"/>
      <c r="EY107" s="825"/>
      <c r="EZ107" s="825"/>
      <c r="FA107" s="816"/>
      <c r="FC107" s="826"/>
      <c r="FD107" s="826"/>
      <c r="FE107" s="826"/>
      <c r="FF107" s="826"/>
    </row>
    <row r="108" spans="2:162" s="780" customFormat="1">
      <c r="B108" s="609"/>
      <c r="C108" s="609"/>
      <c r="D108" s="609"/>
      <c r="E108" s="609"/>
      <c r="F108" s="609"/>
      <c r="G108" s="609"/>
      <c r="H108" s="609"/>
      <c r="I108" s="609"/>
      <c r="J108" s="609"/>
      <c r="K108" s="609"/>
      <c r="L108" s="609"/>
      <c r="M108" s="609"/>
      <c r="N108" s="609"/>
      <c r="O108" s="609"/>
      <c r="P108" s="609"/>
      <c r="Q108" s="609"/>
      <c r="R108" s="816"/>
      <c r="S108" s="816"/>
      <c r="T108" s="816"/>
      <c r="U108" s="816"/>
      <c r="V108" s="816"/>
      <c r="W108" s="816"/>
      <c r="X108" s="609"/>
      <c r="Y108" s="609"/>
      <c r="Z108" s="816"/>
      <c r="AA108" s="816"/>
      <c r="AB108" s="609"/>
      <c r="AC108" s="609"/>
      <c r="AD108" s="816"/>
      <c r="AE108" s="816"/>
      <c r="AF108" s="609"/>
      <c r="AG108" s="609"/>
      <c r="AH108" s="816"/>
      <c r="AI108" s="816"/>
      <c r="AJ108" s="817"/>
      <c r="AK108" s="609"/>
      <c r="AL108" s="609"/>
      <c r="AM108" s="816"/>
      <c r="AN108" s="816"/>
      <c r="AO108" s="816"/>
      <c r="AP108" s="816"/>
      <c r="AQ108" s="816"/>
      <c r="AR108" s="816"/>
      <c r="AS108" s="816"/>
      <c r="AT108" s="609"/>
      <c r="AU108" s="609"/>
      <c r="AV108" s="609"/>
      <c r="AW108" s="818"/>
      <c r="AX108" s="816"/>
      <c r="AY108" s="816"/>
      <c r="AZ108" s="609"/>
      <c r="BA108" s="609"/>
      <c r="BB108" s="816"/>
      <c r="BC108" s="816"/>
      <c r="BD108" s="609"/>
      <c r="BE108" s="609"/>
      <c r="BF108" s="816"/>
      <c r="BG108" s="816"/>
      <c r="BH108" s="816"/>
      <c r="BI108" s="816"/>
      <c r="BJ108" s="816"/>
      <c r="BK108" s="816"/>
      <c r="BL108" s="816"/>
      <c r="BM108" s="816"/>
      <c r="BN108" s="816"/>
      <c r="BO108" s="816"/>
      <c r="BP108" s="816"/>
      <c r="BQ108" s="816"/>
      <c r="BR108" s="816"/>
      <c r="BS108" s="816"/>
      <c r="BT108" s="816"/>
      <c r="BU108" s="816"/>
      <c r="BV108" s="816"/>
      <c r="BW108" s="816"/>
      <c r="BX108" s="609"/>
      <c r="BY108" s="609"/>
      <c r="BZ108" s="816"/>
      <c r="CA108" s="816"/>
      <c r="CB108" s="609"/>
      <c r="CC108" s="609"/>
      <c r="CD108" s="816"/>
      <c r="CE108" s="816"/>
      <c r="CF108" s="816"/>
      <c r="CG108" s="816"/>
      <c r="CH108" s="816"/>
      <c r="CI108" s="816"/>
      <c r="CJ108" s="816"/>
      <c r="CK108" s="816"/>
      <c r="CL108" s="819"/>
      <c r="CM108" s="816"/>
      <c r="CN108" s="820"/>
      <c r="CO108" s="820"/>
      <c r="CP108" s="820"/>
      <c r="CQ108" s="820"/>
      <c r="CR108" s="609"/>
      <c r="CS108" s="609"/>
      <c r="CT108" s="816"/>
      <c r="CU108" s="816"/>
      <c r="CV108" s="816"/>
      <c r="CW108" s="816"/>
      <c r="CX108" s="816"/>
      <c r="CY108" s="816"/>
      <c r="CZ108" s="816"/>
      <c r="DA108" s="609"/>
      <c r="DB108" s="609"/>
      <c r="DC108" s="816"/>
      <c r="DD108" s="816"/>
      <c r="DE108" s="609"/>
      <c r="DF108" s="609"/>
      <c r="DG108" s="816"/>
      <c r="DH108" s="816"/>
      <c r="DI108" s="816"/>
      <c r="DJ108" s="816"/>
      <c r="DK108" s="816"/>
      <c r="DL108" s="816"/>
      <c r="DM108" s="609"/>
      <c r="DN108" s="609"/>
      <c r="DO108" s="816"/>
      <c r="DP108" s="816"/>
      <c r="DQ108" s="609"/>
      <c r="DR108" s="609"/>
      <c r="DS108" s="816"/>
      <c r="DT108" s="816"/>
      <c r="DU108" s="609"/>
      <c r="DV108" s="609"/>
      <c r="DW108" s="816"/>
      <c r="DX108" s="816"/>
      <c r="DY108" s="816"/>
      <c r="DZ108" s="816"/>
      <c r="EA108" s="816"/>
      <c r="EB108" s="816"/>
      <c r="EC108" s="821"/>
      <c r="ED108" s="609"/>
      <c r="EE108" s="816"/>
      <c r="EF108" s="816"/>
      <c r="EG108" s="822"/>
      <c r="EH108" s="609"/>
      <c r="EI108" s="816"/>
      <c r="EJ108" s="816"/>
      <c r="EK108" s="609"/>
      <c r="EL108" s="816"/>
      <c r="EM108" s="816"/>
      <c r="EN108" s="816"/>
      <c r="EO108" s="816"/>
      <c r="EP108" s="816"/>
      <c r="EQ108" s="816"/>
      <c r="ER108" s="816"/>
      <c r="ES108" s="816"/>
      <c r="ET108" s="816"/>
      <c r="EU108" s="816"/>
      <c r="EV108" s="816"/>
      <c r="EW108" s="823"/>
      <c r="EX108" s="824"/>
      <c r="EY108" s="825"/>
      <c r="EZ108" s="825"/>
      <c r="FA108" s="816"/>
      <c r="FC108" s="826"/>
      <c r="FD108" s="826"/>
      <c r="FE108" s="826"/>
      <c r="FF108" s="826"/>
    </row>
    <row r="109" spans="2:162" s="780" customFormat="1"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09"/>
      <c r="P109" s="609"/>
      <c r="Q109" s="609"/>
      <c r="R109" s="816"/>
      <c r="S109" s="816"/>
      <c r="T109" s="816"/>
      <c r="U109" s="816"/>
      <c r="V109" s="816"/>
      <c r="W109" s="816"/>
      <c r="X109" s="609"/>
      <c r="Y109" s="609"/>
      <c r="Z109" s="816"/>
      <c r="AA109" s="816"/>
      <c r="AB109" s="609"/>
      <c r="AC109" s="609"/>
      <c r="AD109" s="816"/>
      <c r="AE109" s="816"/>
      <c r="AF109" s="609"/>
      <c r="AG109" s="609"/>
      <c r="AH109" s="816"/>
      <c r="AI109" s="816"/>
      <c r="AJ109" s="817"/>
      <c r="AK109" s="609"/>
      <c r="AL109" s="609"/>
      <c r="AM109" s="816"/>
      <c r="AN109" s="816"/>
      <c r="AO109" s="816"/>
      <c r="AP109" s="816"/>
      <c r="AQ109" s="816"/>
      <c r="AR109" s="816"/>
      <c r="AS109" s="816"/>
      <c r="AT109" s="609"/>
      <c r="AU109" s="609"/>
      <c r="AV109" s="609"/>
      <c r="AW109" s="818"/>
      <c r="AX109" s="816"/>
      <c r="AY109" s="816"/>
      <c r="AZ109" s="609"/>
      <c r="BA109" s="609"/>
      <c r="BB109" s="816"/>
      <c r="BC109" s="816"/>
      <c r="BD109" s="609"/>
      <c r="BE109" s="609"/>
      <c r="BF109" s="816"/>
      <c r="BG109" s="816"/>
      <c r="BH109" s="816"/>
      <c r="BI109" s="816"/>
      <c r="BJ109" s="816"/>
      <c r="BK109" s="816"/>
      <c r="BL109" s="816"/>
      <c r="BM109" s="816"/>
      <c r="BN109" s="816"/>
      <c r="BO109" s="816"/>
      <c r="BP109" s="816"/>
      <c r="BQ109" s="816"/>
      <c r="BR109" s="816"/>
      <c r="BS109" s="816"/>
      <c r="BT109" s="816"/>
      <c r="BU109" s="816"/>
      <c r="BV109" s="816"/>
      <c r="BW109" s="816"/>
      <c r="BX109" s="609"/>
      <c r="BY109" s="609"/>
      <c r="BZ109" s="816"/>
      <c r="CA109" s="816"/>
      <c r="CB109" s="609"/>
      <c r="CC109" s="609"/>
      <c r="CD109" s="816"/>
      <c r="CE109" s="816"/>
      <c r="CF109" s="816"/>
      <c r="CG109" s="816"/>
      <c r="CH109" s="816"/>
      <c r="CI109" s="816"/>
      <c r="CJ109" s="816"/>
      <c r="CK109" s="816"/>
      <c r="CL109" s="819"/>
      <c r="CM109" s="816"/>
      <c r="CN109" s="820"/>
      <c r="CO109" s="820"/>
      <c r="CP109" s="820"/>
      <c r="CQ109" s="820"/>
      <c r="CR109" s="609"/>
      <c r="CS109" s="609"/>
      <c r="CT109" s="816"/>
      <c r="CU109" s="816"/>
      <c r="CV109" s="816"/>
      <c r="CW109" s="816"/>
      <c r="CX109" s="816"/>
      <c r="CY109" s="816"/>
      <c r="CZ109" s="816"/>
      <c r="DA109" s="609"/>
      <c r="DB109" s="609"/>
      <c r="DC109" s="816"/>
      <c r="DD109" s="816"/>
      <c r="DE109" s="609"/>
      <c r="DF109" s="609"/>
      <c r="DG109" s="816"/>
      <c r="DH109" s="816"/>
      <c r="DI109" s="816"/>
      <c r="DJ109" s="816"/>
      <c r="DK109" s="816"/>
      <c r="DL109" s="816"/>
      <c r="DM109" s="609"/>
      <c r="DN109" s="609"/>
      <c r="DO109" s="816"/>
      <c r="DP109" s="816"/>
      <c r="DQ109" s="609"/>
      <c r="DR109" s="609"/>
      <c r="DS109" s="816"/>
      <c r="DT109" s="816"/>
      <c r="DU109" s="609"/>
      <c r="DV109" s="609"/>
      <c r="DW109" s="816"/>
      <c r="DX109" s="816"/>
      <c r="DY109" s="816"/>
      <c r="DZ109" s="816"/>
      <c r="EA109" s="816"/>
      <c r="EB109" s="816"/>
      <c r="EC109" s="821"/>
      <c r="ED109" s="609"/>
      <c r="EE109" s="816"/>
      <c r="EF109" s="816"/>
      <c r="EG109" s="822"/>
      <c r="EH109" s="609"/>
      <c r="EI109" s="816"/>
      <c r="EJ109" s="816"/>
      <c r="EK109" s="609"/>
      <c r="EL109" s="816"/>
      <c r="EM109" s="816"/>
      <c r="EN109" s="816"/>
      <c r="EO109" s="816"/>
      <c r="EP109" s="816"/>
      <c r="EQ109" s="816"/>
      <c r="ER109" s="816"/>
      <c r="ES109" s="816"/>
      <c r="ET109" s="816"/>
      <c r="EU109" s="816"/>
      <c r="EV109" s="816"/>
      <c r="EW109" s="823"/>
      <c r="EX109" s="824"/>
      <c r="EY109" s="825"/>
      <c r="EZ109" s="825"/>
      <c r="FA109" s="816"/>
      <c r="FC109" s="826"/>
      <c r="FD109" s="826"/>
      <c r="FE109" s="826"/>
      <c r="FF109" s="826"/>
    </row>
    <row r="110" spans="2:162" s="780" customFormat="1">
      <c r="B110" s="609"/>
      <c r="C110" s="609"/>
      <c r="D110" s="609"/>
      <c r="E110" s="609"/>
      <c r="F110" s="609"/>
      <c r="G110" s="609"/>
      <c r="H110" s="609"/>
      <c r="I110" s="609"/>
      <c r="J110" s="609"/>
      <c r="K110" s="609"/>
      <c r="L110" s="609"/>
      <c r="M110" s="609"/>
      <c r="N110" s="609"/>
      <c r="O110" s="609"/>
      <c r="P110" s="609"/>
      <c r="Q110" s="609"/>
      <c r="R110" s="816"/>
      <c r="S110" s="816"/>
      <c r="T110" s="816"/>
      <c r="U110" s="816"/>
      <c r="V110" s="816"/>
      <c r="W110" s="816"/>
      <c r="X110" s="609"/>
      <c r="Y110" s="609"/>
      <c r="Z110" s="816"/>
      <c r="AA110" s="816"/>
      <c r="AB110" s="609"/>
      <c r="AC110" s="609"/>
      <c r="AD110" s="816"/>
      <c r="AE110" s="816"/>
      <c r="AF110" s="609"/>
      <c r="AG110" s="609"/>
      <c r="AH110" s="816"/>
      <c r="AI110" s="816"/>
      <c r="AJ110" s="817"/>
      <c r="AK110" s="609"/>
      <c r="AL110" s="609"/>
      <c r="AM110" s="816"/>
      <c r="AN110" s="816"/>
      <c r="AO110" s="816"/>
      <c r="AP110" s="816"/>
      <c r="AQ110" s="816"/>
      <c r="AR110" s="816"/>
      <c r="AS110" s="816"/>
      <c r="AT110" s="609"/>
      <c r="AU110" s="609"/>
      <c r="AV110" s="609"/>
      <c r="AW110" s="818"/>
      <c r="AX110" s="816"/>
      <c r="AY110" s="816"/>
      <c r="AZ110" s="609"/>
      <c r="BA110" s="609"/>
      <c r="BB110" s="816"/>
      <c r="BC110" s="816"/>
      <c r="BD110" s="609"/>
      <c r="BE110" s="609"/>
      <c r="BF110" s="816"/>
      <c r="BG110" s="816"/>
      <c r="BH110" s="816"/>
      <c r="BI110" s="816"/>
      <c r="BJ110" s="816"/>
      <c r="BK110" s="816"/>
      <c r="BL110" s="816"/>
      <c r="BM110" s="816"/>
      <c r="BN110" s="816"/>
      <c r="BO110" s="816"/>
      <c r="BP110" s="816"/>
      <c r="BQ110" s="816"/>
      <c r="BR110" s="816"/>
      <c r="BS110" s="816"/>
      <c r="BT110" s="816"/>
      <c r="BU110" s="816"/>
      <c r="BV110" s="816"/>
      <c r="BW110" s="816"/>
      <c r="BX110" s="609"/>
      <c r="BY110" s="609"/>
      <c r="BZ110" s="816"/>
      <c r="CA110" s="816"/>
      <c r="CB110" s="609"/>
      <c r="CC110" s="609"/>
      <c r="CD110" s="816"/>
      <c r="CE110" s="816"/>
      <c r="CF110" s="816"/>
      <c r="CG110" s="816"/>
      <c r="CH110" s="816"/>
      <c r="CI110" s="816"/>
      <c r="CJ110" s="816"/>
      <c r="CK110" s="816"/>
      <c r="CL110" s="819"/>
      <c r="CM110" s="816"/>
      <c r="CN110" s="820"/>
      <c r="CO110" s="820"/>
      <c r="CP110" s="820"/>
      <c r="CQ110" s="820"/>
      <c r="CR110" s="609"/>
      <c r="CS110" s="609"/>
      <c r="CT110" s="816"/>
      <c r="CU110" s="816"/>
      <c r="CV110" s="816"/>
      <c r="CW110" s="816"/>
      <c r="CX110" s="816"/>
      <c r="CY110" s="816"/>
      <c r="CZ110" s="816"/>
      <c r="DA110" s="609"/>
      <c r="DB110" s="609"/>
      <c r="DC110" s="816"/>
      <c r="DD110" s="816"/>
      <c r="DE110" s="609"/>
      <c r="DF110" s="609"/>
      <c r="DG110" s="816"/>
      <c r="DH110" s="816"/>
      <c r="DI110" s="816"/>
      <c r="DJ110" s="816"/>
      <c r="DK110" s="816"/>
      <c r="DL110" s="816"/>
      <c r="DM110" s="609"/>
      <c r="DN110" s="609"/>
      <c r="DO110" s="816"/>
      <c r="DP110" s="816"/>
      <c r="DQ110" s="609"/>
      <c r="DR110" s="609"/>
      <c r="DS110" s="816"/>
      <c r="DT110" s="816"/>
      <c r="DU110" s="609"/>
      <c r="DV110" s="609"/>
      <c r="DW110" s="816"/>
      <c r="DX110" s="816"/>
      <c r="DY110" s="816"/>
      <c r="DZ110" s="816"/>
      <c r="EA110" s="816"/>
      <c r="EB110" s="816"/>
      <c r="EC110" s="821"/>
      <c r="ED110" s="609"/>
      <c r="EE110" s="816"/>
      <c r="EF110" s="816"/>
      <c r="EG110" s="822"/>
      <c r="EH110" s="609"/>
      <c r="EI110" s="816"/>
      <c r="EJ110" s="816"/>
      <c r="EK110" s="609"/>
      <c r="EL110" s="816"/>
      <c r="EM110" s="816"/>
      <c r="EN110" s="816"/>
      <c r="EO110" s="816"/>
      <c r="EP110" s="816"/>
      <c r="EQ110" s="816"/>
      <c r="ER110" s="816"/>
      <c r="ES110" s="816"/>
      <c r="ET110" s="816"/>
      <c r="EU110" s="816"/>
      <c r="EV110" s="816"/>
      <c r="EW110" s="823"/>
      <c r="EX110" s="824"/>
      <c r="EY110" s="825"/>
      <c r="EZ110" s="825"/>
      <c r="FA110" s="816"/>
      <c r="FC110" s="826"/>
      <c r="FD110" s="826"/>
      <c r="FE110" s="826"/>
      <c r="FF110" s="826"/>
    </row>
    <row r="111" spans="2:162" s="780" customFormat="1">
      <c r="B111" s="609"/>
      <c r="C111" s="609"/>
      <c r="D111" s="609"/>
      <c r="E111" s="609"/>
      <c r="F111" s="609"/>
      <c r="G111" s="609"/>
      <c r="H111" s="609"/>
      <c r="I111" s="609"/>
      <c r="J111" s="609"/>
      <c r="K111" s="609"/>
      <c r="L111" s="609"/>
      <c r="M111" s="609"/>
      <c r="N111" s="609"/>
      <c r="O111" s="609"/>
      <c r="P111" s="609"/>
      <c r="Q111" s="609"/>
      <c r="R111" s="816"/>
      <c r="S111" s="816"/>
      <c r="T111" s="816"/>
      <c r="U111" s="816"/>
      <c r="V111" s="816"/>
      <c r="W111" s="816"/>
      <c r="X111" s="609"/>
      <c r="Y111" s="609"/>
      <c r="Z111" s="816"/>
      <c r="AA111" s="816"/>
      <c r="AB111" s="609"/>
      <c r="AC111" s="609"/>
      <c r="AD111" s="816"/>
      <c r="AE111" s="816"/>
      <c r="AF111" s="609"/>
      <c r="AG111" s="609"/>
      <c r="AH111" s="816"/>
      <c r="AI111" s="816"/>
      <c r="AJ111" s="817"/>
      <c r="AK111" s="609"/>
      <c r="AL111" s="609"/>
      <c r="AM111" s="816"/>
      <c r="AN111" s="816"/>
      <c r="AO111" s="816"/>
      <c r="AP111" s="816"/>
      <c r="AQ111" s="816"/>
      <c r="AR111" s="816"/>
      <c r="AS111" s="816"/>
      <c r="AT111" s="609"/>
      <c r="AU111" s="609"/>
      <c r="AV111" s="609"/>
      <c r="AW111" s="818"/>
      <c r="AX111" s="816"/>
      <c r="AY111" s="816"/>
      <c r="AZ111" s="609"/>
      <c r="BA111" s="609"/>
      <c r="BB111" s="816"/>
      <c r="BC111" s="816"/>
      <c r="BD111" s="609"/>
      <c r="BE111" s="609"/>
      <c r="BF111" s="816"/>
      <c r="BG111" s="816"/>
      <c r="BH111" s="816"/>
      <c r="BI111" s="816"/>
      <c r="BJ111" s="816"/>
      <c r="BK111" s="816"/>
      <c r="BL111" s="816"/>
      <c r="BM111" s="816"/>
      <c r="BN111" s="816"/>
      <c r="BO111" s="816"/>
      <c r="BP111" s="816"/>
      <c r="BQ111" s="816"/>
      <c r="BR111" s="816"/>
      <c r="BS111" s="816"/>
      <c r="BT111" s="816"/>
      <c r="BU111" s="816"/>
      <c r="BV111" s="816"/>
      <c r="BW111" s="816"/>
      <c r="BX111" s="609"/>
      <c r="BY111" s="609"/>
      <c r="BZ111" s="816"/>
      <c r="CA111" s="816"/>
      <c r="CB111" s="609"/>
      <c r="CC111" s="609"/>
      <c r="CD111" s="816"/>
      <c r="CE111" s="816"/>
      <c r="CF111" s="816"/>
      <c r="CG111" s="816"/>
      <c r="CH111" s="816"/>
      <c r="CI111" s="816"/>
      <c r="CJ111" s="816"/>
      <c r="CK111" s="816"/>
      <c r="CL111" s="819"/>
      <c r="CM111" s="816"/>
      <c r="CN111" s="820"/>
      <c r="CO111" s="820"/>
      <c r="CP111" s="820"/>
      <c r="CQ111" s="820"/>
      <c r="CR111" s="609"/>
      <c r="CS111" s="609"/>
      <c r="CT111" s="816"/>
      <c r="CU111" s="816"/>
      <c r="CV111" s="816"/>
      <c r="CW111" s="816"/>
      <c r="CX111" s="816"/>
      <c r="CY111" s="816"/>
      <c r="CZ111" s="816"/>
      <c r="DA111" s="609"/>
      <c r="DB111" s="609"/>
      <c r="DC111" s="816"/>
      <c r="DD111" s="816"/>
      <c r="DE111" s="609"/>
      <c r="DF111" s="609"/>
      <c r="DG111" s="816"/>
      <c r="DH111" s="816"/>
      <c r="DI111" s="816"/>
      <c r="DJ111" s="816"/>
      <c r="DK111" s="816"/>
      <c r="DL111" s="816"/>
      <c r="DM111" s="609"/>
      <c r="DN111" s="609"/>
      <c r="DO111" s="816"/>
      <c r="DP111" s="816"/>
      <c r="DQ111" s="609"/>
      <c r="DR111" s="609"/>
      <c r="DS111" s="816"/>
      <c r="DT111" s="816"/>
      <c r="DU111" s="609"/>
      <c r="DV111" s="609"/>
      <c r="DW111" s="816"/>
      <c r="DX111" s="816"/>
      <c r="DY111" s="816"/>
      <c r="DZ111" s="816"/>
      <c r="EA111" s="816"/>
      <c r="EB111" s="816"/>
      <c r="EC111" s="821"/>
      <c r="ED111" s="609"/>
      <c r="EE111" s="816"/>
      <c r="EF111" s="816"/>
      <c r="EG111" s="822"/>
      <c r="EH111" s="609"/>
      <c r="EI111" s="816"/>
      <c r="EJ111" s="816"/>
      <c r="EK111" s="609"/>
      <c r="EL111" s="816"/>
      <c r="EM111" s="816"/>
      <c r="EN111" s="816"/>
      <c r="EO111" s="816"/>
      <c r="EP111" s="816"/>
      <c r="EQ111" s="816"/>
      <c r="ER111" s="816"/>
      <c r="ES111" s="816"/>
      <c r="ET111" s="816"/>
      <c r="EU111" s="816"/>
      <c r="EV111" s="816"/>
      <c r="EW111" s="823"/>
      <c r="EX111" s="824"/>
      <c r="EY111" s="825"/>
      <c r="EZ111" s="825"/>
      <c r="FA111" s="816"/>
      <c r="FC111" s="826"/>
      <c r="FD111" s="826"/>
      <c r="FE111" s="826"/>
      <c r="FF111" s="826"/>
    </row>
    <row r="112" spans="2:162" s="780" customFormat="1">
      <c r="B112" s="609"/>
      <c r="C112" s="609"/>
      <c r="D112" s="609"/>
      <c r="E112" s="609"/>
      <c r="F112" s="609"/>
      <c r="G112" s="609"/>
      <c r="H112" s="609"/>
      <c r="I112" s="609"/>
      <c r="J112" s="609"/>
      <c r="K112" s="609"/>
      <c r="L112" s="609"/>
      <c r="M112" s="609"/>
      <c r="N112" s="609"/>
      <c r="O112" s="609"/>
      <c r="P112" s="609"/>
      <c r="Q112" s="609"/>
      <c r="R112" s="816"/>
      <c r="S112" s="816"/>
      <c r="T112" s="816"/>
      <c r="U112" s="816"/>
      <c r="V112" s="816"/>
      <c r="W112" s="816"/>
      <c r="X112" s="609"/>
      <c r="Y112" s="609"/>
      <c r="Z112" s="816"/>
      <c r="AA112" s="816"/>
      <c r="AB112" s="609"/>
      <c r="AC112" s="609"/>
      <c r="AD112" s="816"/>
      <c r="AE112" s="816"/>
      <c r="AF112" s="609"/>
      <c r="AG112" s="609"/>
      <c r="AH112" s="816"/>
      <c r="AI112" s="816"/>
      <c r="AJ112" s="817"/>
      <c r="AK112" s="609"/>
      <c r="AL112" s="609"/>
      <c r="AM112" s="816"/>
      <c r="AN112" s="816"/>
      <c r="AO112" s="816"/>
      <c r="AP112" s="816"/>
      <c r="AQ112" s="816"/>
      <c r="AR112" s="816"/>
      <c r="AS112" s="816"/>
      <c r="AT112" s="609"/>
      <c r="AU112" s="609"/>
      <c r="AV112" s="609"/>
      <c r="AW112" s="818"/>
      <c r="AX112" s="816"/>
      <c r="AY112" s="816"/>
      <c r="AZ112" s="609"/>
      <c r="BA112" s="609"/>
      <c r="BB112" s="816"/>
      <c r="BC112" s="816"/>
      <c r="BD112" s="609"/>
      <c r="BE112" s="609"/>
      <c r="BF112" s="816"/>
      <c r="BG112" s="816"/>
      <c r="BH112" s="816"/>
      <c r="BI112" s="816"/>
      <c r="BJ112" s="816"/>
      <c r="BK112" s="816"/>
      <c r="BL112" s="816"/>
      <c r="BM112" s="816"/>
      <c r="BN112" s="816"/>
      <c r="BO112" s="816"/>
      <c r="BP112" s="816"/>
      <c r="BQ112" s="816"/>
      <c r="BR112" s="816"/>
      <c r="BS112" s="816"/>
      <c r="BT112" s="816"/>
      <c r="BU112" s="816"/>
      <c r="BV112" s="816"/>
      <c r="BW112" s="816"/>
      <c r="BX112" s="609"/>
      <c r="BY112" s="609"/>
      <c r="BZ112" s="816"/>
      <c r="CA112" s="816"/>
      <c r="CB112" s="609"/>
      <c r="CC112" s="609"/>
      <c r="CD112" s="816"/>
      <c r="CE112" s="816"/>
      <c r="CF112" s="816"/>
      <c r="CG112" s="816"/>
      <c r="CH112" s="816"/>
      <c r="CI112" s="816"/>
      <c r="CJ112" s="816"/>
      <c r="CK112" s="816"/>
      <c r="CL112" s="819"/>
      <c r="CM112" s="816"/>
      <c r="CN112" s="820"/>
      <c r="CO112" s="820"/>
      <c r="CP112" s="820"/>
      <c r="CQ112" s="820"/>
      <c r="CR112" s="609"/>
      <c r="CS112" s="609"/>
      <c r="CT112" s="816"/>
      <c r="CU112" s="816"/>
      <c r="CV112" s="816"/>
      <c r="CW112" s="816"/>
      <c r="CX112" s="816"/>
      <c r="CY112" s="816"/>
      <c r="CZ112" s="816"/>
      <c r="DA112" s="609"/>
      <c r="DB112" s="609"/>
      <c r="DC112" s="816"/>
      <c r="DD112" s="816"/>
      <c r="DE112" s="609"/>
      <c r="DF112" s="609"/>
      <c r="DG112" s="816"/>
      <c r="DH112" s="816"/>
      <c r="DI112" s="816"/>
      <c r="DJ112" s="816"/>
      <c r="DK112" s="816"/>
      <c r="DL112" s="816"/>
      <c r="DM112" s="609"/>
      <c r="DN112" s="609"/>
      <c r="DO112" s="816"/>
      <c r="DP112" s="816"/>
      <c r="DQ112" s="609"/>
      <c r="DR112" s="609"/>
      <c r="DS112" s="816"/>
      <c r="DT112" s="816"/>
      <c r="DU112" s="609"/>
      <c r="DV112" s="609"/>
      <c r="DW112" s="816"/>
      <c r="DX112" s="816"/>
      <c r="DY112" s="816"/>
      <c r="DZ112" s="816"/>
      <c r="EA112" s="816"/>
      <c r="EB112" s="816"/>
      <c r="EC112" s="821"/>
      <c r="ED112" s="609"/>
      <c r="EE112" s="816"/>
      <c r="EF112" s="816"/>
      <c r="EG112" s="822"/>
      <c r="EH112" s="609"/>
      <c r="EI112" s="816"/>
      <c r="EJ112" s="816"/>
      <c r="EK112" s="609"/>
      <c r="EL112" s="816"/>
      <c r="EM112" s="816"/>
      <c r="EN112" s="816"/>
      <c r="EO112" s="816"/>
      <c r="EP112" s="816"/>
      <c r="EQ112" s="816"/>
      <c r="ER112" s="816"/>
      <c r="ES112" s="816"/>
      <c r="ET112" s="816"/>
      <c r="EU112" s="816"/>
      <c r="EV112" s="816"/>
      <c r="EW112" s="823"/>
      <c r="EX112" s="824"/>
      <c r="EY112" s="825"/>
      <c r="EZ112" s="825"/>
      <c r="FA112" s="816"/>
      <c r="FC112" s="826"/>
      <c r="FD112" s="826"/>
      <c r="FE112" s="826"/>
      <c r="FF112" s="826"/>
    </row>
    <row r="113" spans="2:162" s="780" customFormat="1">
      <c r="B113" s="609"/>
      <c r="C113" s="609"/>
      <c r="D113" s="609"/>
      <c r="E113" s="609"/>
      <c r="F113" s="609"/>
      <c r="G113" s="609"/>
      <c r="H113" s="609"/>
      <c r="I113" s="609"/>
      <c r="J113" s="609"/>
      <c r="K113" s="609"/>
      <c r="L113" s="609"/>
      <c r="M113" s="609"/>
      <c r="N113" s="609"/>
      <c r="O113" s="609"/>
      <c r="P113" s="609"/>
      <c r="Q113" s="609"/>
      <c r="R113" s="816"/>
      <c r="S113" s="816"/>
      <c r="T113" s="816"/>
      <c r="U113" s="816"/>
      <c r="V113" s="816"/>
      <c r="W113" s="816"/>
      <c r="X113" s="609"/>
      <c r="Y113" s="609"/>
      <c r="Z113" s="816"/>
      <c r="AA113" s="816"/>
      <c r="AB113" s="609"/>
      <c r="AC113" s="609"/>
      <c r="AD113" s="816"/>
      <c r="AE113" s="816"/>
      <c r="AF113" s="609"/>
      <c r="AG113" s="609"/>
      <c r="AH113" s="816"/>
      <c r="AI113" s="816"/>
      <c r="AJ113" s="817"/>
      <c r="AK113" s="609"/>
      <c r="AL113" s="609"/>
      <c r="AM113" s="816"/>
      <c r="AN113" s="816"/>
      <c r="AO113" s="816"/>
      <c r="AP113" s="816"/>
      <c r="AQ113" s="816"/>
      <c r="AR113" s="816"/>
      <c r="AS113" s="816"/>
      <c r="AT113" s="609"/>
      <c r="AU113" s="609"/>
      <c r="AV113" s="609"/>
      <c r="AW113" s="818"/>
      <c r="AX113" s="816"/>
      <c r="AY113" s="816"/>
      <c r="AZ113" s="609"/>
      <c r="BA113" s="609"/>
      <c r="BB113" s="816"/>
      <c r="BC113" s="816"/>
      <c r="BD113" s="609"/>
      <c r="BE113" s="609"/>
      <c r="BF113" s="816"/>
      <c r="BG113" s="816"/>
      <c r="BH113" s="816"/>
      <c r="BI113" s="816"/>
      <c r="BJ113" s="816"/>
      <c r="BK113" s="816"/>
      <c r="BL113" s="816"/>
      <c r="BM113" s="816"/>
      <c r="BN113" s="816"/>
      <c r="BO113" s="816"/>
      <c r="BP113" s="816"/>
      <c r="BQ113" s="816"/>
      <c r="BR113" s="816"/>
      <c r="BS113" s="816"/>
      <c r="BT113" s="816"/>
      <c r="BU113" s="816"/>
      <c r="BV113" s="816"/>
      <c r="BW113" s="816"/>
      <c r="BX113" s="609"/>
      <c r="BY113" s="609"/>
      <c r="BZ113" s="816"/>
      <c r="CA113" s="816"/>
      <c r="CB113" s="609"/>
      <c r="CC113" s="609"/>
      <c r="CD113" s="816"/>
      <c r="CE113" s="816"/>
      <c r="CF113" s="816"/>
      <c r="CG113" s="816"/>
      <c r="CH113" s="816"/>
      <c r="CI113" s="816"/>
      <c r="CJ113" s="816"/>
      <c r="CK113" s="816"/>
      <c r="CL113" s="819"/>
      <c r="CM113" s="816"/>
      <c r="CN113" s="820"/>
      <c r="CO113" s="820"/>
      <c r="CP113" s="820"/>
      <c r="CQ113" s="820"/>
      <c r="CR113" s="609"/>
      <c r="CS113" s="609"/>
      <c r="CT113" s="816"/>
      <c r="CU113" s="816"/>
      <c r="CV113" s="816"/>
      <c r="CW113" s="816"/>
      <c r="CX113" s="816"/>
      <c r="CY113" s="816"/>
      <c r="CZ113" s="816"/>
      <c r="DA113" s="609"/>
      <c r="DB113" s="609"/>
      <c r="DC113" s="816"/>
      <c r="DD113" s="816"/>
      <c r="DE113" s="609"/>
      <c r="DF113" s="609"/>
      <c r="DG113" s="816"/>
      <c r="DH113" s="816"/>
      <c r="DI113" s="816"/>
      <c r="DJ113" s="816"/>
      <c r="DK113" s="816"/>
      <c r="DL113" s="816"/>
      <c r="DM113" s="609"/>
      <c r="DN113" s="609"/>
      <c r="DO113" s="816"/>
      <c r="DP113" s="816"/>
      <c r="DQ113" s="609"/>
      <c r="DR113" s="609"/>
      <c r="DS113" s="816"/>
      <c r="DT113" s="816"/>
      <c r="DU113" s="609"/>
      <c r="DV113" s="609"/>
      <c r="DW113" s="816"/>
      <c r="DX113" s="816"/>
      <c r="DY113" s="816"/>
      <c r="DZ113" s="816"/>
      <c r="EA113" s="816"/>
      <c r="EB113" s="816"/>
      <c r="EC113" s="821"/>
      <c r="ED113" s="609"/>
      <c r="EE113" s="816"/>
      <c r="EF113" s="816"/>
      <c r="EG113" s="822"/>
      <c r="EH113" s="609"/>
      <c r="EI113" s="816"/>
      <c r="EJ113" s="816"/>
      <c r="EK113" s="609"/>
      <c r="EL113" s="816"/>
      <c r="EM113" s="816"/>
      <c r="EN113" s="816"/>
      <c r="EO113" s="816"/>
      <c r="EP113" s="816"/>
      <c r="EQ113" s="816"/>
      <c r="ER113" s="816"/>
      <c r="ES113" s="816"/>
      <c r="ET113" s="816"/>
      <c r="EU113" s="816"/>
      <c r="EV113" s="816"/>
      <c r="EW113" s="823"/>
      <c r="EX113" s="824"/>
      <c r="EY113" s="825"/>
      <c r="EZ113" s="825"/>
      <c r="FA113" s="816"/>
      <c r="FC113" s="826"/>
      <c r="FD113" s="826"/>
      <c r="FE113" s="826"/>
      <c r="FF113" s="826"/>
    </row>
    <row r="114" spans="2:162" s="780" customFormat="1">
      <c r="B114" s="609"/>
      <c r="C114" s="609"/>
      <c r="D114" s="609"/>
      <c r="E114" s="609"/>
      <c r="F114" s="609"/>
      <c r="G114" s="609"/>
      <c r="H114" s="609"/>
      <c r="I114" s="609"/>
      <c r="J114" s="609"/>
      <c r="K114" s="609"/>
      <c r="L114" s="609"/>
      <c r="M114" s="609"/>
      <c r="N114" s="609"/>
      <c r="O114" s="609"/>
      <c r="P114" s="609"/>
      <c r="Q114" s="609"/>
      <c r="R114" s="816"/>
      <c r="S114" s="816"/>
      <c r="T114" s="816"/>
      <c r="U114" s="816"/>
      <c r="V114" s="816"/>
      <c r="W114" s="816"/>
      <c r="X114" s="609"/>
      <c r="Y114" s="609"/>
      <c r="Z114" s="816"/>
      <c r="AA114" s="816"/>
      <c r="AB114" s="609"/>
      <c r="AC114" s="609"/>
      <c r="AD114" s="816"/>
      <c r="AE114" s="816"/>
      <c r="AF114" s="609"/>
      <c r="AG114" s="609"/>
      <c r="AH114" s="816"/>
      <c r="AI114" s="816"/>
      <c r="AJ114" s="817"/>
      <c r="AK114" s="609"/>
      <c r="AL114" s="609"/>
      <c r="AM114" s="816"/>
      <c r="AN114" s="816"/>
      <c r="AO114" s="816"/>
      <c r="AP114" s="816"/>
      <c r="AQ114" s="816"/>
      <c r="AR114" s="816"/>
      <c r="AS114" s="816"/>
      <c r="AT114" s="609"/>
      <c r="AU114" s="609"/>
      <c r="AV114" s="609"/>
      <c r="AW114" s="818"/>
      <c r="AX114" s="816"/>
      <c r="AY114" s="816"/>
      <c r="AZ114" s="609"/>
      <c r="BA114" s="609"/>
      <c r="BB114" s="816"/>
      <c r="BC114" s="816"/>
      <c r="BD114" s="609"/>
      <c r="BE114" s="609"/>
      <c r="BF114" s="816"/>
      <c r="BG114" s="816"/>
      <c r="BH114" s="816"/>
      <c r="BI114" s="816"/>
      <c r="BJ114" s="816"/>
      <c r="BK114" s="816"/>
      <c r="BL114" s="816"/>
      <c r="BM114" s="816"/>
      <c r="BN114" s="816"/>
      <c r="BO114" s="816"/>
      <c r="BP114" s="816"/>
      <c r="BQ114" s="816"/>
      <c r="BR114" s="816"/>
      <c r="BS114" s="816"/>
      <c r="BT114" s="816"/>
      <c r="BU114" s="816"/>
      <c r="BV114" s="816"/>
      <c r="BW114" s="816"/>
      <c r="BX114" s="609"/>
      <c r="BY114" s="609"/>
      <c r="BZ114" s="816"/>
      <c r="CA114" s="816"/>
      <c r="CB114" s="609"/>
      <c r="CC114" s="609"/>
      <c r="CD114" s="816"/>
      <c r="CE114" s="816"/>
      <c r="CF114" s="816"/>
      <c r="CG114" s="816"/>
      <c r="CH114" s="816"/>
      <c r="CI114" s="816"/>
      <c r="CJ114" s="816"/>
      <c r="CK114" s="816"/>
      <c r="CL114" s="819"/>
      <c r="CM114" s="816"/>
      <c r="CN114" s="820"/>
      <c r="CO114" s="820"/>
      <c r="CP114" s="820"/>
      <c r="CQ114" s="820"/>
      <c r="CR114" s="609"/>
      <c r="CS114" s="609"/>
      <c r="CT114" s="816"/>
      <c r="CU114" s="816"/>
      <c r="CV114" s="816"/>
      <c r="CW114" s="816"/>
      <c r="CX114" s="816"/>
      <c r="CY114" s="816"/>
      <c r="CZ114" s="816"/>
      <c r="DA114" s="609"/>
      <c r="DB114" s="609"/>
      <c r="DC114" s="816"/>
      <c r="DD114" s="816"/>
      <c r="DE114" s="609"/>
      <c r="DF114" s="609"/>
      <c r="DG114" s="816"/>
      <c r="DH114" s="816"/>
      <c r="DI114" s="816"/>
      <c r="DJ114" s="816"/>
      <c r="DK114" s="816"/>
      <c r="DL114" s="816"/>
      <c r="DM114" s="609"/>
      <c r="DN114" s="609"/>
      <c r="DO114" s="816"/>
      <c r="DP114" s="816"/>
      <c r="DQ114" s="609"/>
      <c r="DR114" s="609"/>
      <c r="DS114" s="816"/>
      <c r="DT114" s="816"/>
      <c r="DU114" s="609"/>
      <c r="DV114" s="609"/>
      <c r="DW114" s="816"/>
      <c r="DX114" s="816"/>
      <c r="DY114" s="816"/>
      <c r="DZ114" s="816"/>
      <c r="EA114" s="816"/>
      <c r="EB114" s="816"/>
      <c r="EC114" s="821"/>
      <c r="ED114" s="609"/>
      <c r="EE114" s="816"/>
      <c r="EF114" s="816"/>
      <c r="EG114" s="822"/>
      <c r="EH114" s="609"/>
      <c r="EI114" s="816"/>
      <c r="EJ114" s="816"/>
      <c r="EK114" s="609"/>
      <c r="EL114" s="816"/>
      <c r="EM114" s="816"/>
      <c r="EN114" s="816"/>
      <c r="EO114" s="816"/>
      <c r="EP114" s="816"/>
      <c r="EQ114" s="816"/>
      <c r="ER114" s="816"/>
      <c r="ES114" s="816"/>
      <c r="ET114" s="816"/>
      <c r="EU114" s="816"/>
      <c r="EV114" s="816"/>
      <c r="EW114" s="823"/>
      <c r="EX114" s="824"/>
      <c r="EY114" s="825"/>
      <c r="EZ114" s="825"/>
      <c r="FA114" s="816"/>
      <c r="FC114" s="826"/>
      <c r="FD114" s="826"/>
      <c r="FE114" s="826"/>
      <c r="FF114" s="826"/>
    </row>
    <row r="115" spans="2:162" s="780" customFormat="1">
      <c r="B115" s="609"/>
      <c r="C115" s="609"/>
      <c r="D115" s="609"/>
      <c r="E115" s="609"/>
      <c r="F115" s="609"/>
      <c r="G115" s="609"/>
      <c r="H115" s="609"/>
      <c r="I115" s="609"/>
      <c r="J115" s="609"/>
      <c r="K115" s="609"/>
      <c r="L115" s="609"/>
      <c r="M115" s="609"/>
      <c r="N115" s="609"/>
      <c r="O115" s="609"/>
      <c r="P115" s="609"/>
      <c r="Q115" s="609"/>
      <c r="R115" s="816"/>
      <c r="S115" s="816"/>
      <c r="T115" s="816"/>
      <c r="U115" s="816"/>
      <c r="V115" s="816"/>
      <c r="W115" s="816"/>
      <c r="X115" s="609"/>
      <c r="Y115" s="609"/>
      <c r="Z115" s="816"/>
      <c r="AA115" s="816"/>
      <c r="AB115" s="609"/>
      <c r="AC115" s="609"/>
      <c r="AD115" s="816"/>
      <c r="AE115" s="816"/>
      <c r="AF115" s="609"/>
      <c r="AG115" s="609"/>
      <c r="AH115" s="816"/>
      <c r="AI115" s="816"/>
      <c r="AJ115" s="817"/>
      <c r="AK115" s="609"/>
      <c r="AL115" s="609"/>
      <c r="AM115" s="816"/>
      <c r="AN115" s="816"/>
      <c r="AO115" s="816"/>
      <c r="AP115" s="816"/>
      <c r="AQ115" s="816"/>
      <c r="AR115" s="816"/>
      <c r="AS115" s="816"/>
      <c r="AT115" s="609"/>
      <c r="AU115" s="609"/>
      <c r="AV115" s="609"/>
      <c r="AW115" s="818"/>
      <c r="AX115" s="816"/>
      <c r="AY115" s="816"/>
      <c r="AZ115" s="609"/>
      <c r="BA115" s="609"/>
      <c r="BB115" s="816"/>
      <c r="BC115" s="816"/>
      <c r="BD115" s="609"/>
      <c r="BE115" s="609"/>
      <c r="BF115" s="816"/>
      <c r="BG115" s="816"/>
      <c r="BH115" s="816"/>
      <c r="BI115" s="816"/>
      <c r="BJ115" s="816"/>
      <c r="BK115" s="816"/>
      <c r="BL115" s="816"/>
      <c r="BM115" s="816"/>
      <c r="BN115" s="816"/>
      <c r="BO115" s="816"/>
      <c r="BP115" s="816"/>
      <c r="BQ115" s="816"/>
      <c r="BR115" s="816"/>
      <c r="BS115" s="816"/>
      <c r="BT115" s="816"/>
      <c r="BU115" s="816"/>
      <c r="BV115" s="816"/>
      <c r="BW115" s="816"/>
      <c r="BX115" s="609"/>
      <c r="BY115" s="609"/>
      <c r="BZ115" s="816"/>
      <c r="CA115" s="816"/>
      <c r="CB115" s="609"/>
      <c r="CC115" s="609"/>
      <c r="CD115" s="816"/>
      <c r="CE115" s="816"/>
      <c r="CF115" s="816"/>
      <c r="CG115" s="816"/>
      <c r="CH115" s="816"/>
      <c r="CI115" s="816"/>
      <c r="CJ115" s="816"/>
      <c r="CK115" s="816"/>
      <c r="CL115" s="819"/>
      <c r="CM115" s="816"/>
      <c r="CN115" s="820"/>
      <c r="CO115" s="820"/>
      <c r="CP115" s="820"/>
      <c r="CQ115" s="820"/>
      <c r="CR115" s="609"/>
      <c r="CS115" s="609"/>
      <c r="CT115" s="816"/>
      <c r="CU115" s="816"/>
      <c r="CV115" s="816"/>
      <c r="CW115" s="816"/>
      <c r="CX115" s="816"/>
      <c r="CY115" s="816"/>
      <c r="CZ115" s="816"/>
      <c r="DA115" s="609"/>
      <c r="DB115" s="609"/>
      <c r="DC115" s="816"/>
      <c r="DD115" s="816"/>
      <c r="DE115" s="609"/>
      <c r="DF115" s="609"/>
      <c r="DG115" s="816"/>
      <c r="DH115" s="816"/>
      <c r="DI115" s="816"/>
      <c r="DJ115" s="816"/>
      <c r="DK115" s="816"/>
      <c r="DL115" s="816"/>
      <c r="DM115" s="609"/>
      <c r="DN115" s="609"/>
      <c r="DO115" s="816"/>
      <c r="DP115" s="816"/>
      <c r="DQ115" s="609"/>
      <c r="DR115" s="609"/>
      <c r="DS115" s="816"/>
      <c r="DT115" s="816"/>
      <c r="DU115" s="609"/>
      <c r="DV115" s="609"/>
      <c r="DW115" s="816"/>
      <c r="DX115" s="816"/>
      <c r="DY115" s="816"/>
      <c r="DZ115" s="816"/>
      <c r="EA115" s="816"/>
      <c r="EB115" s="816"/>
      <c r="EC115" s="821"/>
      <c r="ED115" s="609"/>
      <c r="EE115" s="816"/>
      <c r="EF115" s="816"/>
      <c r="EG115" s="822"/>
      <c r="EH115" s="609"/>
      <c r="EI115" s="816"/>
      <c r="EJ115" s="816"/>
      <c r="EK115" s="609"/>
      <c r="EL115" s="816"/>
      <c r="EM115" s="816"/>
      <c r="EN115" s="816"/>
      <c r="EO115" s="816"/>
      <c r="EP115" s="816"/>
      <c r="EQ115" s="816"/>
      <c r="ER115" s="816"/>
      <c r="ES115" s="816"/>
      <c r="ET115" s="816"/>
      <c r="EU115" s="816"/>
      <c r="EV115" s="816"/>
      <c r="EW115" s="823"/>
      <c r="EX115" s="824"/>
      <c r="EY115" s="825"/>
      <c r="EZ115" s="825"/>
      <c r="FA115" s="816"/>
      <c r="FC115" s="826"/>
      <c r="FD115" s="826"/>
      <c r="FE115" s="826"/>
      <c r="FF115" s="826"/>
    </row>
    <row r="116" spans="2:162" s="780" customFormat="1">
      <c r="B116" s="609"/>
      <c r="C116" s="609"/>
      <c r="D116" s="609"/>
      <c r="E116" s="609"/>
      <c r="F116" s="609"/>
      <c r="G116" s="609"/>
      <c r="H116" s="609"/>
      <c r="I116" s="609"/>
      <c r="J116" s="609"/>
      <c r="K116" s="609"/>
      <c r="L116" s="609"/>
      <c r="M116" s="609"/>
      <c r="N116" s="609"/>
      <c r="O116" s="609"/>
      <c r="P116" s="609"/>
      <c r="Q116" s="609"/>
      <c r="R116" s="816"/>
      <c r="S116" s="816"/>
      <c r="T116" s="816"/>
      <c r="U116" s="816"/>
      <c r="V116" s="816"/>
      <c r="W116" s="816"/>
      <c r="X116" s="609"/>
      <c r="Y116" s="609"/>
      <c r="Z116" s="816"/>
      <c r="AA116" s="816"/>
      <c r="AB116" s="609"/>
      <c r="AC116" s="609"/>
      <c r="AD116" s="816"/>
      <c r="AE116" s="816"/>
      <c r="AF116" s="609"/>
      <c r="AG116" s="609"/>
      <c r="AH116" s="816"/>
      <c r="AI116" s="816"/>
      <c r="AJ116" s="817"/>
      <c r="AK116" s="609"/>
      <c r="AL116" s="609"/>
      <c r="AM116" s="816"/>
      <c r="AN116" s="816"/>
      <c r="AO116" s="816"/>
      <c r="AP116" s="816"/>
      <c r="AQ116" s="816"/>
      <c r="AR116" s="816"/>
      <c r="AS116" s="816"/>
      <c r="AT116" s="609"/>
      <c r="AU116" s="609"/>
      <c r="AV116" s="609"/>
      <c r="AW116" s="818"/>
      <c r="AX116" s="816"/>
      <c r="AY116" s="816"/>
      <c r="AZ116" s="609"/>
      <c r="BA116" s="609"/>
      <c r="BB116" s="816"/>
      <c r="BC116" s="816"/>
      <c r="BD116" s="609"/>
      <c r="BE116" s="609"/>
      <c r="BF116" s="816"/>
      <c r="BG116" s="816"/>
      <c r="BH116" s="816"/>
      <c r="BI116" s="816"/>
      <c r="BJ116" s="816"/>
      <c r="BK116" s="816"/>
      <c r="BL116" s="816"/>
      <c r="BM116" s="816"/>
      <c r="BN116" s="816"/>
      <c r="BO116" s="816"/>
      <c r="BP116" s="816"/>
      <c r="BQ116" s="816"/>
      <c r="BR116" s="816"/>
      <c r="BS116" s="816"/>
      <c r="BT116" s="816"/>
      <c r="BU116" s="816"/>
      <c r="BV116" s="816"/>
      <c r="BW116" s="816"/>
      <c r="BX116" s="609"/>
      <c r="BY116" s="609"/>
      <c r="BZ116" s="816"/>
      <c r="CA116" s="816"/>
      <c r="CB116" s="609"/>
      <c r="CC116" s="609"/>
      <c r="CD116" s="816"/>
      <c r="CE116" s="816"/>
      <c r="CF116" s="816"/>
      <c r="CG116" s="816"/>
      <c r="CH116" s="816"/>
      <c r="CI116" s="816"/>
      <c r="CJ116" s="816"/>
      <c r="CK116" s="816"/>
      <c r="CL116" s="819"/>
      <c r="CM116" s="816"/>
      <c r="CN116" s="820"/>
      <c r="CO116" s="820"/>
      <c r="CP116" s="820"/>
      <c r="CQ116" s="820"/>
      <c r="CR116" s="609"/>
      <c r="CS116" s="609"/>
      <c r="CT116" s="816"/>
      <c r="CU116" s="816"/>
      <c r="CV116" s="816"/>
      <c r="CW116" s="816"/>
      <c r="CX116" s="816"/>
      <c r="CY116" s="816"/>
      <c r="CZ116" s="816"/>
      <c r="DA116" s="609"/>
      <c r="DB116" s="609"/>
      <c r="DC116" s="816"/>
      <c r="DD116" s="816"/>
      <c r="DE116" s="609"/>
      <c r="DF116" s="609"/>
      <c r="DG116" s="816"/>
      <c r="DH116" s="816"/>
      <c r="DI116" s="816"/>
      <c r="DJ116" s="816"/>
      <c r="DK116" s="816"/>
      <c r="DL116" s="816"/>
      <c r="DM116" s="609"/>
      <c r="DN116" s="609"/>
      <c r="DO116" s="816"/>
      <c r="DP116" s="816"/>
      <c r="DQ116" s="609"/>
      <c r="DR116" s="609"/>
      <c r="DS116" s="816"/>
      <c r="DT116" s="816"/>
      <c r="DU116" s="609"/>
      <c r="DV116" s="609"/>
      <c r="DW116" s="816"/>
      <c r="DX116" s="816"/>
      <c r="DY116" s="816"/>
      <c r="DZ116" s="816"/>
      <c r="EA116" s="816"/>
      <c r="EB116" s="816"/>
      <c r="EC116" s="821"/>
      <c r="ED116" s="609"/>
      <c r="EE116" s="816"/>
      <c r="EF116" s="816"/>
      <c r="EG116" s="822"/>
      <c r="EH116" s="609"/>
      <c r="EI116" s="816"/>
      <c r="EJ116" s="816"/>
      <c r="EK116" s="609"/>
      <c r="EL116" s="816"/>
      <c r="EM116" s="816"/>
      <c r="EN116" s="816"/>
      <c r="EO116" s="816"/>
      <c r="EP116" s="816"/>
      <c r="EQ116" s="816"/>
      <c r="ER116" s="816"/>
      <c r="ES116" s="816"/>
      <c r="ET116" s="816"/>
      <c r="EU116" s="816"/>
      <c r="EV116" s="816"/>
      <c r="EW116" s="823"/>
      <c r="EX116" s="824"/>
      <c r="EY116" s="825"/>
      <c r="EZ116" s="825"/>
      <c r="FA116" s="816"/>
      <c r="FC116" s="826"/>
      <c r="FD116" s="826"/>
      <c r="FE116" s="826"/>
      <c r="FF116" s="826"/>
    </row>
    <row r="117" spans="2:162" s="780" customFormat="1">
      <c r="B117" s="609"/>
      <c r="C117" s="609"/>
      <c r="D117" s="609"/>
      <c r="E117" s="609"/>
      <c r="F117" s="609"/>
      <c r="G117" s="609"/>
      <c r="H117" s="609"/>
      <c r="I117" s="609"/>
      <c r="J117" s="609"/>
      <c r="K117" s="609"/>
      <c r="L117" s="609"/>
      <c r="M117" s="609"/>
      <c r="N117" s="609"/>
      <c r="O117" s="609"/>
      <c r="P117" s="609"/>
      <c r="Q117" s="609"/>
      <c r="R117" s="816"/>
      <c r="S117" s="816"/>
      <c r="T117" s="816"/>
      <c r="U117" s="816"/>
      <c r="V117" s="816"/>
      <c r="W117" s="816"/>
      <c r="X117" s="609"/>
      <c r="Y117" s="609"/>
      <c r="Z117" s="816"/>
      <c r="AA117" s="816"/>
      <c r="AB117" s="609"/>
      <c r="AC117" s="609"/>
      <c r="AD117" s="816"/>
      <c r="AE117" s="816"/>
      <c r="AF117" s="609"/>
      <c r="AG117" s="609"/>
      <c r="AH117" s="816"/>
      <c r="AI117" s="816"/>
      <c r="AJ117" s="817"/>
      <c r="AK117" s="609"/>
      <c r="AL117" s="609"/>
      <c r="AM117" s="816"/>
      <c r="AN117" s="816"/>
      <c r="AO117" s="816"/>
      <c r="AP117" s="816"/>
      <c r="AQ117" s="816"/>
      <c r="AR117" s="816"/>
      <c r="AS117" s="816"/>
      <c r="AT117" s="609"/>
      <c r="AU117" s="609"/>
      <c r="AV117" s="609"/>
      <c r="AW117" s="818"/>
      <c r="AX117" s="816"/>
      <c r="AY117" s="816"/>
      <c r="AZ117" s="609"/>
      <c r="BA117" s="609"/>
      <c r="BB117" s="816"/>
      <c r="BC117" s="816"/>
      <c r="BD117" s="609"/>
      <c r="BE117" s="609"/>
      <c r="BF117" s="816"/>
      <c r="BG117" s="816"/>
      <c r="BH117" s="816"/>
      <c r="BI117" s="816"/>
      <c r="BJ117" s="816"/>
      <c r="BK117" s="816"/>
      <c r="BL117" s="816"/>
      <c r="BM117" s="816"/>
      <c r="BN117" s="816"/>
      <c r="BO117" s="816"/>
      <c r="BP117" s="816"/>
      <c r="BQ117" s="816"/>
      <c r="BR117" s="816"/>
      <c r="BS117" s="816"/>
      <c r="BT117" s="816"/>
      <c r="BU117" s="816"/>
      <c r="BV117" s="816"/>
      <c r="BW117" s="816"/>
      <c r="BX117" s="609"/>
      <c r="BY117" s="609"/>
      <c r="BZ117" s="816"/>
      <c r="CA117" s="816"/>
      <c r="CB117" s="609"/>
      <c r="CC117" s="609"/>
      <c r="CD117" s="816"/>
      <c r="CE117" s="816"/>
      <c r="CF117" s="816"/>
      <c r="CG117" s="816"/>
      <c r="CH117" s="816"/>
      <c r="CI117" s="816"/>
      <c r="CJ117" s="816"/>
      <c r="CK117" s="816"/>
      <c r="CL117" s="819"/>
      <c r="CM117" s="816"/>
      <c r="CN117" s="820"/>
      <c r="CO117" s="820"/>
      <c r="CP117" s="820"/>
      <c r="CQ117" s="820"/>
      <c r="CR117" s="609"/>
      <c r="CS117" s="609"/>
      <c r="CT117" s="816"/>
      <c r="CU117" s="816"/>
      <c r="CV117" s="816"/>
      <c r="CW117" s="816"/>
      <c r="CX117" s="816"/>
      <c r="CY117" s="816"/>
      <c r="CZ117" s="816"/>
      <c r="DA117" s="609"/>
      <c r="DB117" s="609"/>
      <c r="DC117" s="816"/>
      <c r="DD117" s="816"/>
      <c r="DE117" s="609"/>
      <c r="DF117" s="609"/>
      <c r="DG117" s="816"/>
      <c r="DH117" s="816"/>
      <c r="DI117" s="816"/>
      <c r="DJ117" s="816"/>
      <c r="DK117" s="816"/>
      <c r="DL117" s="816"/>
      <c r="DM117" s="609"/>
      <c r="DN117" s="609"/>
      <c r="DO117" s="816"/>
      <c r="DP117" s="816"/>
      <c r="DQ117" s="609"/>
      <c r="DR117" s="609"/>
      <c r="DS117" s="816"/>
      <c r="DT117" s="816"/>
      <c r="DU117" s="609"/>
      <c r="DV117" s="609"/>
      <c r="DW117" s="816"/>
      <c r="DX117" s="816"/>
      <c r="DY117" s="816"/>
      <c r="DZ117" s="816"/>
      <c r="EA117" s="816"/>
      <c r="EB117" s="816"/>
      <c r="EC117" s="821"/>
      <c r="ED117" s="609"/>
      <c r="EE117" s="816"/>
      <c r="EF117" s="816"/>
      <c r="EG117" s="822"/>
      <c r="EH117" s="609"/>
      <c r="EI117" s="816"/>
      <c r="EJ117" s="816"/>
      <c r="EK117" s="609"/>
      <c r="EL117" s="816"/>
      <c r="EM117" s="816"/>
      <c r="EN117" s="816"/>
      <c r="EO117" s="816"/>
      <c r="EP117" s="816"/>
      <c r="EQ117" s="816"/>
      <c r="ER117" s="816"/>
      <c r="ES117" s="816"/>
      <c r="ET117" s="816"/>
      <c r="EU117" s="816"/>
      <c r="EV117" s="816"/>
      <c r="EW117" s="823"/>
      <c r="EX117" s="824"/>
      <c r="EY117" s="825"/>
      <c r="EZ117" s="825"/>
      <c r="FA117" s="816"/>
      <c r="FC117" s="826"/>
      <c r="FD117" s="826"/>
      <c r="FE117" s="826"/>
      <c r="FF117" s="826"/>
    </row>
    <row r="118" spans="2:162" s="780" customFormat="1">
      <c r="B118" s="609"/>
      <c r="C118" s="609"/>
      <c r="D118" s="609"/>
      <c r="E118" s="609"/>
      <c r="F118" s="609"/>
      <c r="G118" s="609"/>
      <c r="H118" s="609"/>
      <c r="I118" s="609"/>
      <c r="J118" s="609"/>
      <c r="K118" s="609"/>
      <c r="L118" s="609"/>
      <c r="M118" s="609"/>
      <c r="N118" s="609"/>
      <c r="O118" s="609"/>
      <c r="P118" s="609"/>
      <c r="Q118" s="609"/>
      <c r="R118" s="816"/>
      <c r="S118" s="816"/>
      <c r="T118" s="816"/>
      <c r="U118" s="816"/>
      <c r="V118" s="816"/>
      <c r="W118" s="816"/>
      <c r="X118" s="609"/>
      <c r="Y118" s="609"/>
      <c r="Z118" s="816"/>
      <c r="AA118" s="816"/>
      <c r="AB118" s="609"/>
      <c r="AC118" s="609"/>
      <c r="AD118" s="816"/>
      <c r="AE118" s="816"/>
      <c r="AF118" s="609"/>
      <c r="AG118" s="609"/>
      <c r="AH118" s="816"/>
      <c r="AI118" s="816"/>
      <c r="AJ118" s="817"/>
      <c r="AK118" s="609"/>
      <c r="AL118" s="609"/>
      <c r="AM118" s="816"/>
      <c r="AN118" s="816"/>
      <c r="AO118" s="816"/>
      <c r="AP118" s="816"/>
      <c r="AQ118" s="816"/>
      <c r="AR118" s="816"/>
      <c r="AS118" s="816"/>
      <c r="AT118" s="609"/>
      <c r="AU118" s="609"/>
      <c r="AV118" s="609"/>
      <c r="AW118" s="818"/>
      <c r="AX118" s="816"/>
      <c r="AY118" s="816"/>
      <c r="AZ118" s="609"/>
      <c r="BA118" s="609"/>
      <c r="BB118" s="816"/>
      <c r="BC118" s="816"/>
      <c r="BD118" s="609"/>
      <c r="BE118" s="609"/>
      <c r="BF118" s="816"/>
      <c r="BG118" s="816"/>
      <c r="BH118" s="816"/>
      <c r="BI118" s="816"/>
      <c r="BJ118" s="816"/>
      <c r="BK118" s="816"/>
      <c r="BL118" s="816"/>
      <c r="BM118" s="816"/>
      <c r="BN118" s="816"/>
      <c r="BO118" s="816"/>
      <c r="BP118" s="816"/>
      <c r="BQ118" s="816"/>
      <c r="BR118" s="816"/>
      <c r="BS118" s="816"/>
      <c r="BT118" s="816"/>
      <c r="BU118" s="816"/>
      <c r="BV118" s="816"/>
      <c r="BW118" s="816"/>
      <c r="BX118" s="609"/>
      <c r="BY118" s="609"/>
      <c r="BZ118" s="816"/>
      <c r="CA118" s="816"/>
      <c r="CB118" s="609"/>
      <c r="CC118" s="609"/>
      <c r="CD118" s="816"/>
      <c r="CE118" s="816"/>
      <c r="CF118" s="816"/>
      <c r="CG118" s="816"/>
      <c r="CH118" s="816"/>
      <c r="CI118" s="816"/>
      <c r="CJ118" s="816"/>
      <c r="CK118" s="816"/>
      <c r="CL118" s="819"/>
      <c r="CM118" s="816"/>
      <c r="CN118" s="820"/>
      <c r="CO118" s="820"/>
      <c r="CP118" s="820"/>
      <c r="CQ118" s="820"/>
      <c r="CR118" s="609"/>
      <c r="CS118" s="609"/>
      <c r="CT118" s="816"/>
      <c r="CU118" s="816"/>
      <c r="CV118" s="816"/>
      <c r="CW118" s="816"/>
      <c r="CX118" s="816"/>
      <c r="CY118" s="816"/>
      <c r="CZ118" s="816"/>
      <c r="DA118" s="609"/>
      <c r="DB118" s="609"/>
      <c r="DC118" s="816"/>
      <c r="DD118" s="816"/>
      <c r="DE118" s="609"/>
      <c r="DF118" s="609"/>
      <c r="DG118" s="816"/>
      <c r="DH118" s="816"/>
      <c r="DI118" s="816"/>
      <c r="DJ118" s="816"/>
      <c r="DK118" s="816"/>
      <c r="DL118" s="816"/>
      <c r="DM118" s="609"/>
      <c r="DN118" s="609"/>
      <c r="DO118" s="816"/>
      <c r="DP118" s="816"/>
      <c r="DQ118" s="609"/>
      <c r="DR118" s="609"/>
      <c r="DS118" s="816"/>
      <c r="DT118" s="816"/>
      <c r="DU118" s="609"/>
      <c r="DV118" s="609"/>
      <c r="DW118" s="816"/>
      <c r="DX118" s="816"/>
      <c r="DY118" s="816"/>
      <c r="DZ118" s="816"/>
      <c r="EA118" s="816"/>
      <c r="EB118" s="816"/>
      <c r="EC118" s="821"/>
      <c r="ED118" s="609"/>
      <c r="EE118" s="816"/>
      <c r="EF118" s="816"/>
      <c r="EG118" s="822"/>
      <c r="EH118" s="609"/>
      <c r="EI118" s="816"/>
      <c r="EJ118" s="816"/>
      <c r="EK118" s="609"/>
      <c r="EL118" s="816"/>
      <c r="EM118" s="816"/>
      <c r="EN118" s="816"/>
      <c r="EO118" s="816"/>
      <c r="EP118" s="816"/>
      <c r="EQ118" s="816"/>
      <c r="ER118" s="816"/>
      <c r="ES118" s="816"/>
      <c r="ET118" s="816"/>
      <c r="EU118" s="816"/>
      <c r="EV118" s="816"/>
      <c r="EW118" s="823"/>
      <c r="EX118" s="824"/>
      <c r="EY118" s="825"/>
      <c r="EZ118" s="825"/>
      <c r="FA118" s="816"/>
      <c r="FC118" s="826"/>
      <c r="FD118" s="826"/>
      <c r="FE118" s="826"/>
      <c r="FF118" s="826"/>
    </row>
    <row r="119" spans="2:162" s="780" customFormat="1">
      <c r="B119" s="609"/>
      <c r="C119" s="609"/>
      <c r="D119" s="609"/>
      <c r="E119" s="609"/>
      <c r="F119" s="609"/>
      <c r="G119" s="609"/>
      <c r="H119" s="609"/>
      <c r="I119" s="609"/>
      <c r="J119" s="609"/>
      <c r="K119" s="609"/>
      <c r="L119" s="609"/>
      <c r="M119" s="609"/>
      <c r="N119" s="609"/>
      <c r="O119" s="609"/>
      <c r="P119" s="609"/>
      <c r="Q119" s="609"/>
      <c r="R119" s="816"/>
      <c r="S119" s="816"/>
      <c r="T119" s="816"/>
      <c r="U119" s="816"/>
      <c r="V119" s="816"/>
      <c r="W119" s="816"/>
      <c r="X119" s="609"/>
      <c r="Y119" s="609"/>
      <c r="Z119" s="816"/>
      <c r="AA119" s="816"/>
      <c r="AB119" s="609"/>
      <c r="AC119" s="609"/>
      <c r="AD119" s="816"/>
      <c r="AE119" s="816"/>
      <c r="AF119" s="609"/>
      <c r="AG119" s="609"/>
      <c r="AH119" s="816"/>
      <c r="AI119" s="816"/>
      <c r="AJ119" s="817"/>
      <c r="AK119" s="609"/>
      <c r="AL119" s="609"/>
      <c r="AM119" s="816"/>
      <c r="AN119" s="816"/>
      <c r="AO119" s="816"/>
      <c r="AP119" s="816"/>
      <c r="AQ119" s="816"/>
      <c r="AR119" s="816"/>
      <c r="AS119" s="816"/>
      <c r="AT119" s="609"/>
      <c r="AU119" s="609"/>
      <c r="AV119" s="609"/>
      <c r="AW119" s="818"/>
      <c r="AX119" s="816"/>
      <c r="AY119" s="816"/>
      <c r="AZ119" s="609"/>
      <c r="BA119" s="609"/>
      <c r="BB119" s="816"/>
      <c r="BC119" s="816"/>
      <c r="BD119" s="609"/>
      <c r="BE119" s="609"/>
      <c r="BF119" s="816"/>
      <c r="BG119" s="816"/>
      <c r="BH119" s="816"/>
      <c r="BI119" s="816"/>
      <c r="BJ119" s="816"/>
      <c r="BK119" s="816"/>
      <c r="BL119" s="816"/>
      <c r="BM119" s="816"/>
      <c r="BN119" s="816"/>
      <c r="BO119" s="816"/>
      <c r="BP119" s="816"/>
      <c r="BQ119" s="816"/>
      <c r="BR119" s="816"/>
      <c r="BS119" s="816"/>
      <c r="BT119" s="816"/>
      <c r="BU119" s="816"/>
      <c r="BV119" s="816"/>
      <c r="BW119" s="816"/>
      <c r="BX119" s="609"/>
      <c r="BY119" s="609"/>
      <c r="BZ119" s="816"/>
      <c r="CA119" s="816"/>
      <c r="CB119" s="609"/>
      <c r="CC119" s="609"/>
      <c r="CD119" s="816"/>
      <c r="CE119" s="816"/>
      <c r="CF119" s="816"/>
      <c r="CG119" s="816"/>
      <c r="CH119" s="816"/>
      <c r="CI119" s="816"/>
      <c r="CJ119" s="816"/>
      <c r="CK119" s="816"/>
      <c r="CL119" s="819"/>
      <c r="CM119" s="816"/>
      <c r="CN119" s="820"/>
      <c r="CO119" s="820"/>
      <c r="CP119" s="820"/>
      <c r="CQ119" s="820"/>
      <c r="CR119" s="609"/>
      <c r="CS119" s="609"/>
      <c r="CT119" s="816"/>
      <c r="CU119" s="816"/>
      <c r="CV119" s="816"/>
      <c r="CW119" s="816"/>
      <c r="CX119" s="816"/>
      <c r="CY119" s="816"/>
      <c r="CZ119" s="816"/>
      <c r="DA119" s="609"/>
      <c r="DB119" s="609"/>
      <c r="DC119" s="816"/>
      <c r="DD119" s="816"/>
      <c r="DE119" s="609"/>
      <c r="DF119" s="609"/>
      <c r="DG119" s="816"/>
      <c r="DH119" s="816"/>
      <c r="DI119" s="816"/>
      <c r="DJ119" s="816"/>
      <c r="DK119" s="816"/>
      <c r="DL119" s="816"/>
      <c r="DM119" s="609"/>
      <c r="DN119" s="609"/>
      <c r="DO119" s="816"/>
      <c r="DP119" s="816"/>
      <c r="DQ119" s="609"/>
      <c r="DR119" s="609"/>
      <c r="DS119" s="816"/>
      <c r="DT119" s="816"/>
      <c r="DU119" s="609"/>
      <c r="DV119" s="609"/>
      <c r="DW119" s="816"/>
      <c r="DX119" s="816"/>
      <c r="DY119" s="816"/>
      <c r="DZ119" s="816"/>
      <c r="EA119" s="816"/>
      <c r="EB119" s="816"/>
      <c r="EC119" s="821"/>
      <c r="ED119" s="609"/>
      <c r="EE119" s="816"/>
      <c r="EF119" s="816"/>
      <c r="EG119" s="822"/>
      <c r="EH119" s="609"/>
      <c r="EI119" s="816"/>
      <c r="EJ119" s="816"/>
      <c r="EK119" s="609"/>
      <c r="EL119" s="816"/>
      <c r="EM119" s="816"/>
      <c r="EN119" s="816"/>
      <c r="EO119" s="816"/>
      <c r="EP119" s="816"/>
      <c r="EQ119" s="816"/>
      <c r="ER119" s="816"/>
      <c r="ES119" s="816"/>
      <c r="ET119" s="816"/>
      <c r="EU119" s="816"/>
      <c r="EV119" s="816"/>
      <c r="EW119" s="823"/>
      <c r="EX119" s="824"/>
      <c r="EY119" s="825"/>
      <c r="EZ119" s="825"/>
      <c r="FA119" s="816"/>
      <c r="FC119" s="826"/>
      <c r="FD119" s="826"/>
      <c r="FE119" s="826"/>
      <c r="FF119" s="826"/>
    </row>
    <row r="120" spans="2:162" s="780" customFormat="1">
      <c r="B120" s="609"/>
      <c r="C120" s="609"/>
      <c r="D120" s="609"/>
      <c r="E120" s="609"/>
      <c r="F120" s="609"/>
      <c r="G120" s="609"/>
      <c r="H120" s="609"/>
      <c r="I120" s="609"/>
      <c r="J120" s="609"/>
      <c r="K120" s="609"/>
      <c r="L120" s="609"/>
      <c r="M120" s="609"/>
      <c r="N120" s="609"/>
      <c r="O120" s="609"/>
      <c r="P120" s="609"/>
      <c r="Q120" s="609"/>
      <c r="R120" s="816"/>
      <c r="S120" s="816"/>
      <c r="T120" s="816"/>
      <c r="U120" s="816"/>
      <c r="V120" s="816"/>
      <c r="W120" s="816"/>
      <c r="X120" s="609"/>
      <c r="Y120" s="609"/>
      <c r="Z120" s="816"/>
      <c r="AA120" s="816"/>
      <c r="AB120" s="609"/>
      <c r="AC120" s="609"/>
      <c r="AD120" s="816"/>
      <c r="AE120" s="816"/>
      <c r="AF120" s="609"/>
      <c r="AG120" s="609"/>
      <c r="AH120" s="816"/>
      <c r="AI120" s="816"/>
      <c r="AJ120" s="817"/>
      <c r="AK120" s="609"/>
      <c r="AL120" s="609"/>
      <c r="AM120" s="816"/>
      <c r="AN120" s="816"/>
      <c r="AO120" s="816"/>
      <c r="AP120" s="816"/>
      <c r="AQ120" s="816"/>
      <c r="AR120" s="816"/>
      <c r="AS120" s="816"/>
      <c r="AT120" s="609"/>
      <c r="AU120" s="609"/>
      <c r="AV120" s="609"/>
      <c r="AW120" s="818"/>
      <c r="AX120" s="816"/>
      <c r="AY120" s="816"/>
      <c r="AZ120" s="609"/>
      <c r="BA120" s="609"/>
      <c r="BB120" s="816"/>
      <c r="BC120" s="816"/>
      <c r="BD120" s="609"/>
      <c r="BE120" s="609"/>
      <c r="BF120" s="816"/>
      <c r="BG120" s="816"/>
      <c r="BH120" s="816"/>
      <c r="BI120" s="816"/>
      <c r="BJ120" s="816"/>
      <c r="BK120" s="816"/>
      <c r="BL120" s="816"/>
      <c r="BM120" s="816"/>
      <c r="BN120" s="816"/>
      <c r="BO120" s="816"/>
      <c r="BP120" s="816"/>
      <c r="BQ120" s="816"/>
      <c r="BR120" s="816"/>
      <c r="BS120" s="816"/>
      <c r="BT120" s="816"/>
      <c r="BU120" s="816"/>
      <c r="BV120" s="816"/>
      <c r="BW120" s="816"/>
      <c r="BX120" s="609"/>
      <c r="BY120" s="609"/>
      <c r="BZ120" s="816"/>
      <c r="CA120" s="816"/>
      <c r="CB120" s="609"/>
      <c r="CC120" s="609"/>
      <c r="CD120" s="816"/>
      <c r="CE120" s="816"/>
      <c r="CF120" s="816"/>
      <c r="CG120" s="816"/>
      <c r="CH120" s="816"/>
      <c r="CI120" s="816"/>
      <c r="CJ120" s="816"/>
      <c r="CK120" s="816"/>
      <c r="CL120" s="819"/>
      <c r="CM120" s="816"/>
      <c r="CN120" s="820"/>
      <c r="CO120" s="820"/>
      <c r="CP120" s="820"/>
      <c r="CQ120" s="820"/>
      <c r="CR120" s="609"/>
      <c r="CS120" s="609"/>
      <c r="CT120" s="816"/>
      <c r="CU120" s="816"/>
      <c r="CV120" s="816"/>
      <c r="CW120" s="816"/>
      <c r="CX120" s="816"/>
      <c r="CY120" s="816"/>
      <c r="CZ120" s="816"/>
      <c r="DA120" s="609"/>
      <c r="DB120" s="609"/>
      <c r="DC120" s="816"/>
      <c r="DD120" s="816"/>
      <c r="DE120" s="609"/>
      <c r="DF120" s="609"/>
      <c r="DG120" s="816"/>
      <c r="DH120" s="816"/>
      <c r="DI120" s="816"/>
      <c r="DJ120" s="816"/>
      <c r="DK120" s="816"/>
      <c r="DL120" s="816"/>
      <c r="DM120" s="609"/>
      <c r="DN120" s="609"/>
      <c r="DO120" s="816"/>
      <c r="DP120" s="816"/>
      <c r="DQ120" s="609"/>
      <c r="DR120" s="609"/>
      <c r="DS120" s="816"/>
      <c r="DT120" s="816"/>
      <c r="DU120" s="609"/>
      <c r="DV120" s="609"/>
      <c r="DW120" s="816"/>
      <c r="DX120" s="816"/>
      <c r="DY120" s="816"/>
      <c r="DZ120" s="816"/>
      <c r="EA120" s="816"/>
      <c r="EB120" s="816"/>
      <c r="EC120" s="821"/>
      <c r="ED120" s="609"/>
      <c r="EE120" s="816"/>
      <c r="EF120" s="816"/>
      <c r="EG120" s="822"/>
      <c r="EH120" s="609"/>
      <c r="EI120" s="816"/>
      <c r="EJ120" s="816"/>
      <c r="EK120" s="609"/>
      <c r="EL120" s="816"/>
      <c r="EM120" s="816"/>
      <c r="EN120" s="816"/>
      <c r="EO120" s="816"/>
      <c r="EP120" s="816"/>
      <c r="EQ120" s="816"/>
      <c r="ER120" s="816"/>
      <c r="ES120" s="816"/>
      <c r="ET120" s="816"/>
      <c r="EU120" s="816"/>
      <c r="EV120" s="816"/>
      <c r="EW120" s="823"/>
      <c r="EX120" s="824"/>
      <c r="EY120" s="825"/>
      <c r="EZ120" s="825"/>
      <c r="FA120" s="816"/>
      <c r="FC120" s="826"/>
      <c r="FD120" s="826"/>
      <c r="FE120" s="826"/>
      <c r="FF120" s="826"/>
    </row>
    <row r="121" spans="2:162" s="780" customFormat="1">
      <c r="B121" s="609"/>
      <c r="C121" s="609"/>
      <c r="D121" s="609"/>
      <c r="E121" s="609"/>
      <c r="F121" s="609"/>
      <c r="G121" s="609"/>
      <c r="H121" s="609"/>
      <c r="I121" s="609"/>
      <c r="J121" s="609"/>
      <c r="K121" s="609"/>
      <c r="L121" s="609"/>
      <c r="M121" s="609"/>
      <c r="N121" s="609"/>
      <c r="O121" s="609"/>
      <c r="P121" s="609"/>
      <c r="Q121" s="609"/>
      <c r="R121" s="816"/>
      <c r="S121" s="816"/>
      <c r="T121" s="816"/>
      <c r="U121" s="816"/>
      <c r="V121" s="816"/>
      <c r="W121" s="816"/>
      <c r="X121" s="609"/>
      <c r="Y121" s="609"/>
      <c r="Z121" s="816"/>
      <c r="AA121" s="816"/>
      <c r="AB121" s="609"/>
      <c r="AC121" s="609"/>
      <c r="AD121" s="816"/>
      <c r="AE121" s="816"/>
      <c r="AF121" s="609"/>
      <c r="AG121" s="609"/>
      <c r="AH121" s="816"/>
      <c r="AI121" s="816"/>
      <c r="AJ121" s="817"/>
      <c r="AK121" s="609"/>
      <c r="AL121" s="609"/>
      <c r="AM121" s="816"/>
      <c r="AN121" s="816"/>
      <c r="AO121" s="816"/>
      <c r="AP121" s="816"/>
      <c r="AQ121" s="816"/>
      <c r="AR121" s="816"/>
      <c r="AS121" s="816"/>
      <c r="AT121" s="609"/>
      <c r="AU121" s="609"/>
      <c r="AV121" s="609"/>
      <c r="AW121" s="818"/>
      <c r="AX121" s="816"/>
      <c r="AY121" s="816"/>
      <c r="AZ121" s="609"/>
      <c r="BA121" s="609"/>
      <c r="BB121" s="816"/>
      <c r="BC121" s="816"/>
      <c r="BD121" s="609"/>
      <c r="BE121" s="609"/>
      <c r="BF121" s="816"/>
      <c r="BG121" s="816"/>
      <c r="BH121" s="816"/>
      <c r="BI121" s="816"/>
      <c r="BJ121" s="816"/>
      <c r="BK121" s="816"/>
      <c r="BL121" s="816"/>
      <c r="BM121" s="816"/>
      <c r="BN121" s="816"/>
      <c r="BO121" s="816"/>
      <c r="BP121" s="816"/>
      <c r="BQ121" s="816"/>
      <c r="BR121" s="816"/>
      <c r="BS121" s="816"/>
      <c r="BT121" s="816"/>
      <c r="BU121" s="816"/>
      <c r="BV121" s="816"/>
      <c r="BW121" s="816"/>
      <c r="BX121" s="609"/>
      <c r="BY121" s="609"/>
      <c r="BZ121" s="816"/>
      <c r="CA121" s="816"/>
      <c r="CB121" s="609"/>
      <c r="CC121" s="609"/>
      <c r="CD121" s="816"/>
      <c r="CE121" s="816"/>
      <c r="CF121" s="816"/>
      <c r="CG121" s="816"/>
      <c r="CH121" s="816"/>
      <c r="CI121" s="816"/>
      <c r="CJ121" s="816"/>
      <c r="CK121" s="816"/>
      <c r="CL121" s="819"/>
      <c r="CM121" s="816"/>
      <c r="CN121" s="820"/>
      <c r="CO121" s="820"/>
      <c r="CP121" s="820"/>
      <c r="CQ121" s="820"/>
      <c r="CR121" s="609"/>
      <c r="CS121" s="609"/>
      <c r="CT121" s="816"/>
      <c r="CU121" s="816"/>
      <c r="CV121" s="816"/>
      <c r="CW121" s="816"/>
      <c r="CX121" s="816"/>
      <c r="CY121" s="816"/>
      <c r="CZ121" s="816"/>
      <c r="DA121" s="609"/>
      <c r="DB121" s="609"/>
      <c r="DC121" s="816"/>
      <c r="DD121" s="816"/>
      <c r="DE121" s="609"/>
      <c r="DF121" s="609"/>
      <c r="DG121" s="816"/>
      <c r="DH121" s="816"/>
      <c r="DI121" s="816"/>
      <c r="DJ121" s="816"/>
      <c r="DK121" s="816"/>
      <c r="DL121" s="816"/>
      <c r="DM121" s="609"/>
      <c r="DN121" s="609"/>
      <c r="DO121" s="816"/>
      <c r="DP121" s="816"/>
      <c r="DQ121" s="609"/>
      <c r="DR121" s="609"/>
      <c r="DS121" s="816"/>
      <c r="DT121" s="816"/>
      <c r="DU121" s="609"/>
      <c r="DV121" s="609"/>
      <c r="DW121" s="816"/>
      <c r="DX121" s="816"/>
      <c r="DY121" s="816"/>
      <c r="DZ121" s="816"/>
      <c r="EA121" s="816"/>
      <c r="EB121" s="816"/>
      <c r="EC121" s="821"/>
      <c r="ED121" s="609"/>
      <c r="EE121" s="816"/>
      <c r="EF121" s="816"/>
      <c r="EG121" s="822"/>
      <c r="EH121" s="609"/>
      <c r="EI121" s="816"/>
      <c r="EJ121" s="816"/>
      <c r="EK121" s="609"/>
      <c r="EL121" s="816"/>
      <c r="EM121" s="816"/>
      <c r="EN121" s="816"/>
      <c r="EO121" s="816"/>
      <c r="EP121" s="816"/>
      <c r="EQ121" s="816"/>
      <c r="ER121" s="816"/>
      <c r="ES121" s="816"/>
      <c r="ET121" s="816"/>
      <c r="EU121" s="816"/>
      <c r="EV121" s="816"/>
      <c r="EW121" s="823"/>
      <c r="EX121" s="824"/>
      <c r="EY121" s="825"/>
      <c r="EZ121" s="825"/>
      <c r="FA121" s="816"/>
      <c r="FC121" s="826"/>
      <c r="FD121" s="826"/>
      <c r="FE121" s="826"/>
      <c r="FF121" s="826"/>
    </row>
    <row r="122" spans="2:162" s="780" customFormat="1">
      <c r="B122" s="609"/>
      <c r="C122" s="609"/>
      <c r="D122" s="609"/>
      <c r="E122" s="609"/>
      <c r="F122" s="609"/>
      <c r="G122" s="609"/>
      <c r="H122" s="609"/>
      <c r="I122" s="609"/>
      <c r="J122" s="609"/>
      <c r="K122" s="609"/>
      <c r="L122" s="609"/>
      <c r="M122" s="609"/>
      <c r="N122" s="609"/>
      <c r="O122" s="609"/>
      <c r="P122" s="609"/>
      <c r="Q122" s="609"/>
      <c r="R122" s="816"/>
      <c r="S122" s="816"/>
      <c r="T122" s="816"/>
      <c r="U122" s="816"/>
      <c r="V122" s="816"/>
      <c r="W122" s="816"/>
      <c r="X122" s="609"/>
      <c r="Y122" s="609"/>
      <c r="Z122" s="816"/>
      <c r="AA122" s="816"/>
      <c r="AB122" s="609"/>
      <c r="AC122" s="609"/>
      <c r="AD122" s="816"/>
      <c r="AE122" s="816"/>
      <c r="AF122" s="609"/>
      <c r="AG122" s="609"/>
      <c r="AH122" s="816"/>
      <c r="AI122" s="816"/>
      <c r="AJ122" s="817"/>
      <c r="AK122" s="609"/>
      <c r="AL122" s="609"/>
      <c r="AM122" s="816"/>
      <c r="AN122" s="816"/>
      <c r="AO122" s="816"/>
      <c r="AP122" s="816"/>
      <c r="AQ122" s="816"/>
      <c r="AR122" s="816"/>
      <c r="AS122" s="816"/>
      <c r="AT122" s="609"/>
      <c r="AU122" s="609"/>
      <c r="AV122" s="609"/>
      <c r="AW122" s="818"/>
      <c r="AX122" s="816"/>
      <c r="AY122" s="816"/>
      <c r="AZ122" s="609"/>
      <c r="BA122" s="609"/>
      <c r="BB122" s="816"/>
      <c r="BC122" s="816"/>
      <c r="BD122" s="609"/>
      <c r="BE122" s="609"/>
      <c r="BF122" s="816"/>
      <c r="BG122" s="816"/>
      <c r="BH122" s="816"/>
      <c r="BI122" s="816"/>
      <c r="BJ122" s="816"/>
      <c r="BK122" s="816"/>
      <c r="BL122" s="816"/>
      <c r="BM122" s="816"/>
      <c r="BN122" s="816"/>
      <c r="BO122" s="816"/>
      <c r="BP122" s="816"/>
      <c r="BQ122" s="816"/>
      <c r="BR122" s="816"/>
      <c r="BS122" s="816"/>
      <c r="BT122" s="816"/>
      <c r="BU122" s="816"/>
      <c r="BV122" s="816"/>
      <c r="BW122" s="816"/>
      <c r="BX122" s="609"/>
      <c r="BY122" s="609"/>
      <c r="BZ122" s="816"/>
      <c r="CA122" s="816"/>
      <c r="CB122" s="609"/>
      <c r="CC122" s="609"/>
      <c r="CD122" s="816"/>
      <c r="CE122" s="816"/>
      <c r="CF122" s="816"/>
      <c r="CG122" s="816"/>
      <c r="CH122" s="816"/>
      <c r="CI122" s="816"/>
      <c r="CJ122" s="816"/>
      <c r="CK122" s="816"/>
      <c r="CL122" s="819"/>
      <c r="CM122" s="816"/>
      <c r="CN122" s="820"/>
      <c r="CO122" s="820"/>
      <c r="CP122" s="820"/>
      <c r="CQ122" s="820"/>
      <c r="CR122" s="609"/>
      <c r="CS122" s="609"/>
      <c r="CT122" s="816"/>
      <c r="CU122" s="816"/>
      <c r="CV122" s="816"/>
      <c r="CW122" s="816"/>
      <c r="CX122" s="816"/>
      <c r="CY122" s="816"/>
      <c r="CZ122" s="816"/>
      <c r="DA122" s="609"/>
      <c r="DB122" s="609"/>
      <c r="DC122" s="816"/>
      <c r="DD122" s="816"/>
      <c r="DE122" s="609"/>
      <c r="DF122" s="609"/>
      <c r="DG122" s="816"/>
      <c r="DH122" s="816"/>
      <c r="DI122" s="816"/>
      <c r="DJ122" s="816"/>
      <c r="DK122" s="816"/>
      <c r="DL122" s="816"/>
      <c r="DM122" s="609"/>
      <c r="DN122" s="609"/>
      <c r="DO122" s="816"/>
      <c r="DP122" s="816"/>
      <c r="DQ122" s="609"/>
      <c r="DR122" s="609"/>
      <c r="DS122" s="816"/>
      <c r="DT122" s="816"/>
      <c r="DU122" s="609"/>
      <c r="DV122" s="609"/>
      <c r="DW122" s="816"/>
      <c r="DX122" s="816"/>
      <c r="DY122" s="816"/>
      <c r="DZ122" s="816"/>
      <c r="EA122" s="816"/>
      <c r="EB122" s="816"/>
      <c r="EC122" s="821"/>
      <c r="ED122" s="609"/>
      <c r="EE122" s="816"/>
      <c r="EF122" s="816"/>
      <c r="EG122" s="822"/>
      <c r="EH122" s="609"/>
      <c r="EI122" s="816"/>
      <c r="EJ122" s="816"/>
      <c r="EK122" s="609"/>
      <c r="EL122" s="816"/>
      <c r="EM122" s="816"/>
      <c r="EN122" s="816"/>
      <c r="EO122" s="816"/>
      <c r="EP122" s="816"/>
      <c r="EQ122" s="816"/>
      <c r="ER122" s="816"/>
      <c r="ES122" s="816"/>
      <c r="ET122" s="816"/>
      <c r="EU122" s="816"/>
      <c r="EV122" s="816"/>
      <c r="EW122" s="823"/>
      <c r="EX122" s="824"/>
      <c r="EY122" s="825"/>
      <c r="EZ122" s="825"/>
      <c r="FA122" s="816"/>
      <c r="FC122" s="826"/>
      <c r="FD122" s="826"/>
      <c r="FE122" s="826"/>
      <c r="FF122" s="826"/>
    </row>
    <row r="123" spans="2:162" s="780" customFormat="1">
      <c r="B123" s="609"/>
      <c r="C123" s="609"/>
      <c r="D123" s="609"/>
      <c r="E123" s="609"/>
      <c r="F123" s="609"/>
      <c r="G123" s="609"/>
      <c r="H123" s="609"/>
      <c r="I123" s="609"/>
      <c r="J123" s="609"/>
      <c r="K123" s="609"/>
      <c r="L123" s="609"/>
      <c r="M123" s="609"/>
      <c r="N123" s="609"/>
      <c r="O123" s="609"/>
      <c r="P123" s="609"/>
      <c r="Q123" s="609"/>
      <c r="R123" s="816"/>
      <c r="S123" s="816"/>
      <c r="T123" s="816"/>
      <c r="U123" s="816"/>
      <c r="V123" s="816"/>
      <c r="W123" s="816"/>
      <c r="X123" s="609"/>
      <c r="Y123" s="609"/>
      <c r="Z123" s="816"/>
      <c r="AA123" s="816"/>
      <c r="AB123" s="609"/>
      <c r="AC123" s="609"/>
      <c r="AD123" s="816"/>
      <c r="AE123" s="816"/>
      <c r="AF123" s="609"/>
      <c r="AG123" s="609"/>
      <c r="AH123" s="816"/>
      <c r="AI123" s="816"/>
      <c r="AJ123" s="817"/>
      <c r="AK123" s="609"/>
      <c r="AL123" s="609"/>
      <c r="AM123" s="816"/>
      <c r="AN123" s="816"/>
      <c r="AO123" s="816"/>
      <c r="AP123" s="816"/>
      <c r="AQ123" s="816"/>
      <c r="AR123" s="816"/>
      <c r="AS123" s="816"/>
      <c r="AT123" s="609"/>
      <c r="AU123" s="609"/>
      <c r="AV123" s="609"/>
      <c r="AW123" s="818"/>
      <c r="AX123" s="816"/>
      <c r="AY123" s="816"/>
      <c r="AZ123" s="609"/>
      <c r="BA123" s="609"/>
      <c r="BB123" s="816"/>
      <c r="BC123" s="816"/>
      <c r="BD123" s="609"/>
      <c r="BE123" s="609"/>
      <c r="BF123" s="816"/>
      <c r="BG123" s="816"/>
      <c r="BH123" s="816"/>
      <c r="BI123" s="816"/>
      <c r="BJ123" s="816"/>
      <c r="BK123" s="816"/>
      <c r="BL123" s="816"/>
      <c r="BM123" s="816"/>
      <c r="BN123" s="816"/>
      <c r="BO123" s="816"/>
      <c r="BP123" s="816"/>
      <c r="BQ123" s="816"/>
      <c r="BR123" s="816"/>
      <c r="BS123" s="816"/>
      <c r="BT123" s="816"/>
      <c r="BU123" s="816"/>
      <c r="BV123" s="816"/>
      <c r="BW123" s="816"/>
      <c r="BX123" s="609"/>
      <c r="BY123" s="609"/>
      <c r="BZ123" s="816"/>
      <c r="CA123" s="816"/>
      <c r="CB123" s="609"/>
      <c r="CC123" s="609"/>
      <c r="CD123" s="816"/>
      <c r="CE123" s="816"/>
      <c r="CF123" s="816"/>
      <c r="CG123" s="816"/>
      <c r="CH123" s="816"/>
      <c r="CI123" s="816"/>
      <c r="CJ123" s="816"/>
      <c r="CK123" s="816"/>
      <c r="CL123" s="819"/>
      <c r="CM123" s="816"/>
      <c r="CN123" s="820"/>
      <c r="CO123" s="820"/>
      <c r="CP123" s="820"/>
      <c r="CQ123" s="820"/>
      <c r="CR123" s="609"/>
      <c r="CS123" s="609"/>
      <c r="CT123" s="816"/>
      <c r="CU123" s="816"/>
      <c r="CV123" s="816"/>
      <c r="CW123" s="816"/>
      <c r="CX123" s="816"/>
      <c r="CY123" s="816"/>
      <c r="CZ123" s="816"/>
      <c r="DA123" s="609"/>
      <c r="DB123" s="609"/>
      <c r="DC123" s="816"/>
      <c r="DD123" s="816"/>
      <c r="DE123" s="609"/>
      <c r="DF123" s="609"/>
      <c r="DG123" s="816"/>
      <c r="DH123" s="816"/>
      <c r="DI123" s="816"/>
      <c r="DJ123" s="816"/>
      <c r="DK123" s="816"/>
      <c r="DL123" s="816"/>
      <c r="DM123" s="609"/>
      <c r="DN123" s="609"/>
      <c r="DO123" s="816"/>
      <c r="DP123" s="816"/>
      <c r="DQ123" s="609"/>
      <c r="DR123" s="609"/>
      <c r="DS123" s="816"/>
      <c r="DT123" s="816"/>
      <c r="DU123" s="609"/>
      <c r="DV123" s="609"/>
      <c r="DW123" s="816"/>
      <c r="DX123" s="816"/>
      <c r="DY123" s="816"/>
      <c r="DZ123" s="816"/>
      <c r="EA123" s="816"/>
      <c r="EB123" s="816"/>
      <c r="EC123" s="821"/>
      <c r="ED123" s="609"/>
      <c r="EE123" s="816"/>
      <c r="EF123" s="816"/>
      <c r="EG123" s="822"/>
      <c r="EH123" s="609"/>
      <c r="EI123" s="816"/>
      <c r="EJ123" s="816"/>
      <c r="EK123" s="609"/>
      <c r="EL123" s="816"/>
      <c r="EM123" s="816"/>
      <c r="EN123" s="816"/>
      <c r="EO123" s="816"/>
      <c r="EP123" s="816"/>
      <c r="EQ123" s="816"/>
      <c r="ER123" s="816"/>
      <c r="ES123" s="816"/>
      <c r="ET123" s="816"/>
      <c r="EU123" s="816"/>
      <c r="EV123" s="816"/>
      <c r="EW123" s="823"/>
      <c r="EX123" s="824"/>
      <c r="EY123" s="825"/>
      <c r="EZ123" s="825"/>
      <c r="FA123" s="816"/>
      <c r="FC123" s="826"/>
      <c r="FD123" s="826"/>
      <c r="FE123" s="826"/>
      <c r="FF123" s="826"/>
    </row>
    <row r="124" spans="2:162" s="780" customFormat="1">
      <c r="B124" s="609"/>
      <c r="C124" s="609"/>
      <c r="D124" s="609"/>
      <c r="E124" s="609"/>
      <c r="F124" s="609"/>
      <c r="G124" s="609"/>
      <c r="H124" s="609"/>
      <c r="I124" s="609"/>
      <c r="J124" s="609"/>
      <c r="K124" s="609"/>
      <c r="L124" s="609"/>
      <c r="M124" s="609"/>
      <c r="N124" s="609"/>
      <c r="O124" s="609"/>
      <c r="P124" s="609"/>
      <c r="Q124" s="609"/>
      <c r="R124" s="816"/>
      <c r="S124" s="816"/>
      <c r="T124" s="816"/>
      <c r="U124" s="816"/>
      <c r="V124" s="816"/>
      <c r="W124" s="816"/>
      <c r="X124" s="609"/>
      <c r="Y124" s="609"/>
      <c r="Z124" s="816"/>
      <c r="AA124" s="816"/>
      <c r="AB124" s="609"/>
      <c r="AC124" s="609"/>
      <c r="AD124" s="816"/>
      <c r="AE124" s="816"/>
      <c r="AF124" s="609"/>
      <c r="AG124" s="609"/>
      <c r="AH124" s="816"/>
      <c r="AI124" s="816"/>
      <c r="AJ124" s="817"/>
      <c r="AK124" s="609"/>
      <c r="AL124" s="609"/>
      <c r="AM124" s="816"/>
      <c r="AN124" s="816"/>
      <c r="AO124" s="816"/>
      <c r="AP124" s="816"/>
      <c r="AQ124" s="816"/>
      <c r="AR124" s="816"/>
      <c r="AS124" s="816"/>
      <c r="AT124" s="609"/>
      <c r="AU124" s="609"/>
      <c r="AV124" s="609"/>
      <c r="AW124" s="818"/>
      <c r="AX124" s="816"/>
      <c r="AY124" s="816"/>
      <c r="AZ124" s="609"/>
      <c r="BA124" s="609"/>
      <c r="BB124" s="816"/>
      <c r="BC124" s="816"/>
      <c r="BD124" s="609"/>
      <c r="BE124" s="609"/>
      <c r="BF124" s="816"/>
      <c r="BG124" s="816"/>
      <c r="BH124" s="816"/>
      <c r="BI124" s="816"/>
      <c r="BJ124" s="816"/>
      <c r="BK124" s="816"/>
      <c r="BL124" s="816"/>
      <c r="BM124" s="816"/>
      <c r="BN124" s="816"/>
      <c r="BO124" s="816"/>
      <c r="BP124" s="816"/>
      <c r="BQ124" s="816"/>
      <c r="BR124" s="816"/>
      <c r="BS124" s="816"/>
      <c r="BT124" s="816"/>
      <c r="BU124" s="816"/>
      <c r="BV124" s="816"/>
      <c r="BW124" s="816"/>
      <c r="BX124" s="609"/>
      <c r="BY124" s="609"/>
      <c r="BZ124" s="816"/>
      <c r="CA124" s="816"/>
      <c r="CB124" s="609"/>
      <c r="CC124" s="609"/>
      <c r="CD124" s="816"/>
      <c r="CE124" s="816"/>
      <c r="CF124" s="816"/>
      <c r="CG124" s="816"/>
      <c r="CH124" s="816"/>
      <c r="CI124" s="816"/>
      <c r="CJ124" s="816"/>
      <c r="CK124" s="816"/>
      <c r="CL124" s="819"/>
      <c r="CM124" s="816"/>
      <c r="CN124" s="820"/>
      <c r="CO124" s="820"/>
      <c r="CP124" s="820"/>
      <c r="CQ124" s="820"/>
      <c r="CR124" s="609"/>
      <c r="CS124" s="609"/>
      <c r="CT124" s="816"/>
      <c r="CU124" s="816"/>
      <c r="CV124" s="816"/>
      <c r="CW124" s="816"/>
      <c r="CX124" s="816"/>
      <c r="CY124" s="816"/>
      <c r="CZ124" s="816"/>
      <c r="DA124" s="609"/>
      <c r="DB124" s="609"/>
      <c r="DC124" s="816"/>
      <c r="DD124" s="816"/>
      <c r="DE124" s="609"/>
      <c r="DF124" s="609"/>
      <c r="DG124" s="816"/>
      <c r="DH124" s="816"/>
      <c r="DI124" s="816"/>
      <c r="DJ124" s="816"/>
      <c r="DK124" s="816"/>
      <c r="DL124" s="816"/>
      <c r="DM124" s="609"/>
      <c r="DN124" s="609"/>
      <c r="DO124" s="816"/>
      <c r="DP124" s="816"/>
      <c r="DQ124" s="609"/>
      <c r="DR124" s="609"/>
      <c r="DS124" s="816"/>
      <c r="DT124" s="816"/>
      <c r="DU124" s="609"/>
      <c r="DV124" s="609"/>
      <c r="DW124" s="816"/>
      <c r="DX124" s="816"/>
      <c r="DY124" s="816"/>
      <c r="DZ124" s="816"/>
      <c r="EA124" s="816"/>
      <c r="EB124" s="816"/>
      <c r="EC124" s="821"/>
      <c r="ED124" s="609"/>
      <c r="EE124" s="816"/>
      <c r="EF124" s="816"/>
      <c r="EG124" s="822"/>
      <c r="EH124" s="609"/>
      <c r="EI124" s="816"/>
      <c r="EJ124" s="816"/>
      <c r="EK124" s="609"/>
      <c r="EL124" s="816"/>
      <c r="EM124" s="816"/>
      <c r="EN124" s="816"/>
      <c r="EO124" s="816"/>
      <c r="EP124" s="816"/>
      <c r="EQ124" s="816"/>
      <c r="ER124" s="816"/>
      <c r="ES124" s="816"/>
      <c r="ET124" s="816"/>
      <c r="EU124" s="816"/>
      <c r="EV124" s="816"/>
      <c r="EW124" s="823"/>
      <c r="EX124" s="824"/>
      <c r="EY124" s="825"/>
      <c r="EZ124" s="825"/>
      <c r="FA124" s="816"/>
      <c r="FC124" s="826"/>
      <c r="FD124" s="826"/>
      <c r="FE124" s="826"/>
      <c r="FF124" s="826"/>
    </row>
    <row r="125" spans="2:162" s="780" customFormat="1">
      <c r="B125" s="609"/>
      <c r="C125" s="609"/>
      <c r="D125" s="609"/>
      <c r="E125" s="609"/>
      <c r="F125" s="609"/>
      <c r="G125" s="609"/>
      <c r="H125" s="609"/>
      <c r="I125" s="609"/>
      <c r="J125" s="609"/>
      <c r="K125" s="609"/>
      <c r="L125" s="609"/>
      <c r="M125" s="609"/>
      <c r="N125" s="609"/>
      <c r="O125" s="609"/>
      <c r="P125" s="609"/>
      <c r="Q125" s="609"/>
      <c r="R125" s="816"/>
      <c r="S125" s="816"/>
      <c r="T125" s="816"/>
      <c r="U125" s="816"/>
      <c r="V125" s="816"/>
      <c r="W125" s="816"/>
      <c r="X125" s="609"/>
      <c r="Y125" s="609"/>
      <c r="Z125" s="816"/>
      <c r="AA125" s="816"/>
      <c r="AB125" s="609"/>
      <c r="AC125" s="609"/>
      <c r="AD125" s="816"/>
      <c r="AE125" s="816"/>
      <c r="AF125" s="609"/>
      <c r="AG125" s="609"/>
      <c r="AH125" s="816"/>
      <c r="AI125" s="816"/>
      <c r="AJ125" s="817"/>
      <c r="AK125" s="609"/>
      <c r="AL125" s="609"/>
      <c r="AM125" s="816"/>
      <c r="AN125" s="816"/>
      <c r="AO125" s="816"/>
      <c r="AP125" s="816"/>
      <c r="AQ125" s="816"/>
      <c r="AR125" s="816"/>
      <c r="AS125" s="816"/>
      <c r="AT125" s="609"/>
      <c r="AU125" s="609"/>
      <c r="AV125" s="609"/>
      <c r="AW125" s="818"/>
      <c r="AX125" s="816"/>
      <c r="AY125" s="816"/>
      <c r="AZ125" s="609"/>
      <c r="BA125" s="609"/>
      <c r="BB125" s="816"/>
      <c r="BC125" s="816"/>
      <c r="BD125" s="609"/>
      <c r="BE125" s="609"/>
      <c r="BF125" s="816"/>
      <c r="BG125" s="816"/>
      <c r="BH125" s="816"/>
      <c r="BI125" s="816"/>
      <c r="BJ125" s="816"/>
      <c r="BK125" s="816"/>
      <c r="BL125" s="816"/>
      <c r="BM125" s="816"/>
      <c r="BN125" s="816"/>
      <c r="BO125" s="816"/>
      <c r="BP125" s="816"/>
      <c r="BQ125" s="816"/>
      <c r="BR125" s="816"/>
      <c r="BS125" s="816"/>
      <c r="BT125" s="816"/>
      <c r="BU125" s="816"/>
      <c r="BV125" s="816"/>
      <c r="BW125" s="816"/>
      <c r="BX125" s="609"/>
      <c r="BY125" s="609"/>
      <c r="BZ125" s="816"/>
      <c r="CA125" s="816"/>
      <c r="CB125" s="609"/>
      <c r="CC125" s="609"/>
      <c r="CD125" s="816"/>
      <c r="CE125" s="816"/>
      <c r="CF125" s="816"/>
      <c r="CG125" s="816"/>
      <c r="CH125" s="816"/>
      <c r="CI125" s="816"/>
      <c r="CJ125" s="816"/>
      <c r="CK125" s="816"/>
      <c r="CL125" s="819"/>
      <c r="CM125" s="816"/>
      <c r="CN125" s="820"/>
      <c r="CO125" s="820"/>
      <c r="CP125" s="820"/>
      <c r="CQ125" s="820"/>
      <c r="CR125" s="609"/>
      <c r="CS125" s="609"/>
      <c r="CT125" s="816"/>
      <c r="CU125" s="816"/>
      <c r="CV125" s="816"/>
      <c r="CW125" s="816"/>
      <c r="CX125" s="816"/>
      <c r="CY125" s="816"/>
      <c r="CZ125" s="816"/>
      <c r="DA125" s="609"/>
      <c r="DB125" s="609"/>
      <c r="DC125" s="816"/>
      <c r="DD125" s="816"/>
      <c r="DE125" s="609"/>
      <c r="DF125" s="609"/>
      <c r="DG125" s="816"/>
      <c r="DH125" s="816"/>
      <c r="DI125" s="816"/>
      <c r="DJ125" s="816"/>
      <c r="DK125" s="816"/>
      <c r="DL125" s="816"/>
      <c r="DM125" s="609"/>
      <c r="DN125" s="609"/>
      <c r="DO125" s="816"/>
      <c r="DP125" s="816"/>
      <c r="DQ125" s="609"/>
      <c r="DR125" s="609"/>
      <c r="DS125" s="816"/>
      <c r="DT125" s="816"/>
      <c r="DU125" s="609"/>
      <c r="DV125" s="609"/>
      <c r="DW125" s="816"/>
      <c r="DX125" s="816"/>
      <c r="DY125" s="816"/>
      <c r="DZ125" s="816"/>
      <c r="EA125" s="816"/>
      <c r="EB125" s="816"/>
      <c r="EC125" s="821"/>
      <c r="ED125" s="609"/>
      <c r="EE125" s="816"/>
      <c r="EF125" s="816"/>
      <c r="EG125" s="822"/>
      <c r="EH125" s="609"/>
      <c r="EI125" s="816"/>
      <c r="EJ125" s="816"/>
      <c r="EK125" s="609"/>
      <c r="EL125" s="816"/>
      <c r="EM125" s="816"/>
      <c r="EN125" s="816"/>
      <c r="EO125" s="816"/>
      <c r="EP125" s="816"/>
      <c r="EQ125" s="816"/>
      <c r="ER125" s="816"/>
      <c r="ES125" s="816"/>
      <c r="ET125" s="816"/>
      <c r="EU125" s="816"/>
      <c r="EV125" s="816"/>
      <c r="EW125" s="823"/>
      <c r="EX125" s="824"/>
      <c r="EY125" s="825"/>
      <c r="EZ125" s="825"/>
      <c r="FA125" s="816"/>
      <c r="FC125" s="826"/>
      <c r="FD125" s="826"/>
      <c r="FE125" s="826"/>
      <c r="FF125" s="826"/>
    </row>
    <row r="126" spans="2:162" s="780" customFormat="1">
      <c r="B126" s="609"/>
      <c r="C126" s="609"/>
      <c r="D126" s="609"/>
      <c r="E126" s="609"/>
      <c r="F126" s="609"/>
      <c r="G126" s="609"/>
      <c r="H126" s="609"/>
      <c r="I126" s="609"/>
      <c r="J126" s="609"/>
      <c r="K126" s="609"/>
      <c r="L126" s="609"/>
      <c r="M126" s="609"/>
      <c r="N126" s="609"/>
      <c r="O126" s="609"/>
      <c r="P126" s="609"/>
      <c r="Q126" s="609"/>
      <c r="R126" s="816"/>
      <c r="S126" s="816"/>
      <c r="T126" s="816"/>
      <c r="U126" s="816"/>
      <c r="V126" s="816"/>
      <c r="W126" s="816"/>
      <c r="X126" s="609"/>
      <c r="Y126" s="609"/>
      <c r="Z126" s="816"/>
      <c r="AA126" s="816"/>
      <c r="AB126" s="609"/>
      <c r="AC126" s="609"/>
      <c r="AD126" s="816"/>
      <c r="AE126" s="816"/>
      <c r="AF126" s="609"/>
      <c r="AG126" s="609"/>
      <c r="AH126" s="816"/>
      <c r="AI126" s="816"/>
      <c r="AJ126" s="817"/>
      <c r="AK126" s="609"/>
      <c r="AL126" s="609"/>
      <c r="AM126" s="816"/>
      <c r="AN126" s="816"/>
      <c r="AO126" s="816"/>
      <c r="AP126" s="816"/>
      <c r="AQ126" s="816"/>
      <c r="AR126" s="816"/>
      <c r="AS126" s="816"/>
      <c r="AT126" s="609"/>
      <c r="AU126" s="609"/>
      <c r="AV126" s="609"/>
      <c r="AW126" s="818"/>
      <c r="AX126" s="816"/>
      <c r="AY126" s="816"/>
      <c r="AZ126" s="609"/>
      <c r="BA126" s="609"/>
      <c r="BB126" s="816"/>
      <c r="BC126" s="816"/>
      <c r="BD126" s="609"/>
      <c r="BE126" s="609"/>
      <c r="BF126" s="816"/>
      <c r="BG126" s="816"/>
      <c r="BH126" s="816"/>
      <c r="BI126" s="816"/>
      <c r="BJ126" s="816"/>
      <c r="BK126" s="816"/>
      <c r="BL126" s="816"/>
      <c r="BM126" s="816"/>
      <c r="BN126" s="816"/>
      <c r="BO126" s="816"/>
      <c r="BP126" s="816"/>
      <c r="BQ126" s="816"/>
      <c r="BR126" s="816"/>
      <c r="BS126" s="816"/>
      <c r="BT126" s="816"/>
      <c r="BU126" s="816"/>
      <c r="BV126" s="816"/>
      <c r="BW126" s="816"/>
      <c r="BX126" s="609"/>
      <c r="BY126" s="609"/>
      <c r="BZ126" s="816"/>
      <c r="CA126" s="816"/>
      <c r="CB126" s="609"/>
      <c r="CC126" s="609"/>
      <c r="CD126" s="816"/>
      <c r="CE126" s="816"/>
      <c r="CF126" s="816"/>
      <c r="CG126" s="816"/>
      <c r="CH126" s="816"/>
      <c r="CI126" s="816"/>
      <c r="CJ126" s="816"/>
      <c r="CK126" s="816"/>
      <c r="CL126" s="819"/>
      <c r="CM126" s="816"/>
      <c r="CN126" s="820"/>
      <c r="CO126" s="820"/>
      <c r="CP126" s="820"/>
      <c r="CQ126" s="820"/>
      <c r="CR126" s="609"/>
      <c r="CS126" s="609"/>
      <c r="CT126" s="816"/>
      <c r="CU126" s="816"/>
      <c r="CV126" s="816"/>
      <c r="CW126" s="816"/>
      <c r="CX126" s="816"/>
      <c r="CY126" s="816"/>
      <c r="CZ126" s="816"/>
      <c r="DA126" s="609"/>
      <c r="DB126" s="609"/>
      <c r="DC126" s="816"/>
      <c r="DD126" s="816"/>
      <c r="DE126" s="609"/>
      <c r="DF126" s="609"/>
      <c r="DG126" s="816"/>
      <c r="DH126" s="816"/>
      <c r="DI126" s="816"/>
      <c r="DJ126" s="816"/>
      <c r="DK126" s="816"/>
      <c r="DL126" s="816"/>
      <c r="DM126" s="609"/>
      <c r="DN126" s="609"/>
      <c r="DO126" s="816"/>
      <c r="DP126" s="816"/>
      <c r="DQ126" s="609"/>
      <c r="DR126" s="609"/>
      <c r="DS126" s="816"/>
      <c r="DT126" s="816"/>
      <c r="DU126" s="609"/>
      <c r="DV126" s="609"/>
      <c r="DW126" s="816"/>
      <c r="DX126" s="816"/>
      <c r="DY126" s="816"/>
      <c r="DZ126" s="816"/>
      <c r="EA126" s="816"/>
      <c r="EB126" s="816"/>
      <c r="EC126" s="821"/>
      <c r="ED126" s="609"/>
      <c r="EE126" s="816"/>
      <c r="EF126" s="816"/>
      <c r="EG126" s="822"/>
      <c r="EH126" s="609"/>
      <c r="EI126" s="816"/>
      <c r="EJ126" s="816"/>
      <c r="EK126" s="609"/>
      <c r="EL126" s="816"/>
      <c r="EM126" s="816"/>
      <c r="EN126" s="816"/>
      <c r="EO126" s="816"/>
      <c r="EP126" s="816"/>
      <c r="EQ126" s="816"/>
      <c r="ER126" s="816"/>
      <c r="ES126" s="816"/>
      <c r="ET126" s="816"/>
      <c r="EU126" s="816"/>
      <c r="EV126" s="816"/>
      <c r="EW126" s="823"/>
      <c r="EX126" s="824"/>
      <c r="EY126" s="825"/>
      <c r="EZ126" s="825"/>
      <c r="FA126" s="816"/>
      <c r="FC126" s="826"/>
      <c r="FD126" s="826"/>
      <c r="FE126" s="826"/>
      <c r="FF126" s="826"/>
    </row>
    <row r="127" spans="2:162" s="780" customFormat="1">
      <c r="B127" s="609"/>
      <c r="C127" s="609"/>
      <c r="D127" s="609"/>
      <c r="E127" s="609"/>
      <c r="F127" s="609"/>
      <c r="G127" s="609"/>
      <c r="H127" s="609"/>
      <c r="I127" s="609"/>
      <c r="J127" s="609"/>
      <c r="K127" s="609"/>
      <c r="L127" s="609"/>
      <c r="M127" s="609"/>
      <c r="N127" s="609"/>
      <c r="O127" s="609"/>
      <c r="P127" s="609"/>
      <c r="Q127" s="609"/>
      <c r="R127" s="816"/>
      <c r="S127" s="816"/>
      <c r="T127" s="816"/>
      <c r="U127" s="816"/>
      <c r="V127" s="816"/>
      <c r="W127" s="816"/>
      <c r="X127" s="609"/>
      <c r="Y127" s="609"/>
      <c r="Z127" s="816"/>
      <c r="AA127" s="816"/>
      <c r="AB127" s="609"/>
      <c r="AC127" s="609"/>
      <c r="AD127" s="816"/>
      <c r="AE127" s="816"/>
      <c r="AF127" s="609"/>
      <c r="AG127" s="609"/>
      <c r="AH127" s="816"/>
      <c r="AI127" s="816"/>
      <c r="AJ127" s="817"/>
      <c r="AK127" s="609"/>
      <c r="AL127" s="609"/>
      <c r="AM127" s="816"/>
      <c r="AN127" s="816"/>
      <c r="AO127" s="816"/>
      <c r="AP127" s="816"/>
      <c r="AQ127" s="816"/>
      <c r="AR127" s="816"/>
      <c r="AS127" s="816"/>
      <c r="AT127" s="609"/>
      <c r="AU127" s="609"/>
      <c r="AV127" s="609"/>
      <c r="AW127" s="818"/>
      <c r="AX127" s="816"/>
      <c r="AY127" s="816"/>
      <c r="AZ127" s="609"/>
      <c r="BA127" s="609"/>
      <c r="BB127" s="816"/>
      <c r="BC127" s="816"/>
      <c r="BD127" s="609"/>
      <c r="BE127" s="609"/>
      <c r="BF127" s="816"/>
      <c r="BG127" s="816"/>
      <c r="BH127" s="816"/>
      <c r="BI127" s="816"/>
      <c r="BJ127" s="816"/>
      <c r="BK127" s="816"/>
      <c r="BL127" s="816"/>
      <c r="BM127" s="816"/>
      <c r="BN127" s="816"/>
      <c r="BO127" s="816"/>
      <c r="BP127" s="816"/>
      <c r="BQ127" s="816"/>
      <c r="BR127" s="816"/>
      <c r="BS127" s="816"/>
      <c r="BT127" s="816"/>
      <c r="BU127" s="816"/>
      <c r="BV127" s="816"/>
      <c r="BW127" s="816"/>
      <c r="BX127" s="609"/>
      <c r="BY127" s="609"/>
      <c r="BZ127" s="816"/>
      <c r="CA127" s="816"/>
      <c r="CB127" s="609"/>
      <c r="CC127" s="609"/>
      <c r="CD127" s="816"/>
      <c r="CE127" s="816"/>
      <c r="CF127" s="816"/>
      <c r="CG127" s="816"/>
      <c r="CH127" s="816"/>
      <c r="CI127" s="816"/>
      <c r="CJ127" s="816"/>
      <c r="CK127" s="816"/>
      <c r="CL127" s="819"/>
      <c r="CM127" s="816"/>
      <c r="CN127" s="820"/>
      <c r="CO127" s="820"/>
      <c r="CP127" s="820"/>
      <c r="CQ127" s="820"/>
      <c r="CR127" s="609"/>
      <c r="CS127" s="609"/>
      <c r="CT127" s="816"/>
      <c r="CU127" s="816"/>
      <c r="CV127" s="816"/>
      <c r="CW127" s="816"/>
      <c r="CX127" s="816"/>
      <c r="CY127" s="816"/>
      <c r="CZ127" s="816"/>
      <c r="DA127" s="609"/>
      <c r="DB127" s="609"/>
      <c r="DC127" s="816"/>
      <c r="DD127" s="816"/>
      <c r="DE127" s="609"/>
      <c r="DF127" s="609"/>
      <c r="DG127" s="816"/>
      <c r="DH127" s="816"/>
      <c r="DI127" s="816"/>
      <c r="DJ127" s="816"/>
      <c r="DK127" s="816"/>
      <c r="DL127" s="816"/>
      <c r="DM127" s="609"/>
      <c r="DN127" s="609"/>
      <c r="DO127" s="816"/>
      <c r="DP127" s="816"/>
      <c r="DQ127" s="609"/>
      <c r="DR127" s="609"/>
      <c r="DS127" s="816"/>
      <c r="DT127" s="816"/>
      <c r="DU127" s="609"/>
      <c r="DV127" s="609"/>
      <c r="DW127" s="816"/>
      <c r="DX127" s="816"/>
      <c r="DY127" s="816"/>
      <c r="DZ127" s="816"/>
      <c r="EA127" s="816"/>
      <c r="EB127" s="816"/>
      <c r="EC127" s="821"/>
      <c r="ED127" s="609"/>
      <c r="EE127" s="816"/>
      <c r="EF127" s="816"/>
      <c r="EG127" s="822"/>
      <c r="EH127" s="609"/>
      <c r="EI127" s="816"/>
      <c r="EJ127" s="816"/>
      <c r="EK127" s="609"/>
      <c r="EL127" s="816"/>
      <c r="EM127" s="816"/>
      <c r="EN127" s="816"/>
      <c r="EO127" s="816"/>
      <c r="EP127" s="816"/>
      <c r="EQ127" s="816"/>
      <c r="ER127" s="816"/>
      <c r="ES127" s="816"/>
      <c r="ET127" s="816"/>
      <c r="EU127" s="816"/>
      <c r="EV127" s="816"/>
      <c r="EW127" s="823"/>
      <c r="EX127" s="824"/>
      <c r="EY127" s="825"/>
      <c r="EZ127" s="825"/>
      <c r="FA127" s="816"/>
      <c r="FC127" s="826"/>
      <c r="FD127" s="826"/>
      <c r="FE127" s="826"/>
      <c r="FF127" s="826"/>
    </row>
    <row r="128" spans="2:162" s="780" customFormat="1"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816"/>
      <c r="S128" s="816"/>
      <c r="T128" s="816"/>
      <c r="U128" s="816"/>
      <c r="V128" s="816"/>
      <c r="W128" s="816"/>
      <c r="X128" s="609"/>
      <c r="Y128" s="609"/>
      <c r="Z128" s="816"/>
      <c r="AA128" s="816"/>
      <c r="AB128" s="609"/>
      <c r="AC128" s="609"/>
      <c r="AD128" s="816"/>
      <c r="AE128" s="816"/>
      <c r="AF128" s="609"/>
      <c r="AG128" s="609"/>
      <c r="AH128" s="816"/>
      <c r="AI128" s="816"/>
      <c r="AJ128" s="817"/>
      <c r="AK128" s="609"/>
      <c r="AL128" s="609"/>
      <c r="AM128" s="816"/>
      <c r="AN128" s="816"/>
      <c r="AO128" s="816"/>
      <c r="AP128" s="816"/>
      <c r="AQ128" s="816"/>
      <c r="AR128" s="816"/>
      <c r="AS128" s="816"/>
      <c r="AT128" s="609"/>
      <c r="AU128" s="609"/>
      <c r="AV128" s="609"/>
      <c r="AW128" s="818"/>
      <c r="AX128" s="816"/>
      <c r="AY128" s="816"/>
      <c r="AZ128" s="609"/>
      <c r="BA128" s="609"/>
      <c r="BB128" s="816"/>
      <c r="BC128" s="816"/>
      <c r="BD128" s="609"/>
      <c r="BE128" s="609"/>
      <c r="BF128" s="816"/>
      <c r="BG128" s="816"/>
      <c r="BH128" s="816"/>
      <c r="BI128" s="816"/>
      <c r="BJ128" s="816"/>
      <c r="BK128" s="816"/>
      <c r="BL128" s="816"/>
      <c r="BM128" s="816"/>
      <c r="BN128" s="816"/>
      <c r="BO128" s="816"/>
      <c r="BP128" s="816"/>
      <c r="BQ128" s="816"/>
      <c r="BR128" s="816"/>
      <c r="BS128" s="816"/>
      <c r="BT128" s="816"/>
      <c r="BU128" s="816"/>
      <c r="BV128" s="816"/>
      <c r="BW128" s="816"/>
      <c r="BX128" s="609"/>
      <c r="BY128" s="609"/>
      <c r="BZ128" s="816"/>
      <c r="CA128" s="816"/>
      <c r="CB128" s="609"/>
      <c r="CC128" s="609"/>
      <c r="CD128" s="816"/>
      <c r="CE128" s="816"/>
      <c r="CF128" s="816"/>
      <c r="CG128" s="816"/>
      <c r="CH128" s="816"/>
      <c r="CI128" s="816"/>
      <c r="CJ128" s="816"/>
      <c r="CK128" s="816"/>
      <c r="CL128" s="819"/>
      <c r="CM128" s="816"/>
      <c r="CN128" s="820"/>
      <c r="CO128" s="820"/>
      <c r="CP128" s="820"/>
      <c r="CQ128" s="820"/>
      <c r="CR128" s="817"/>
      <c r="CS128" s="609"/>
      <c r="CT128" s="816"/>
      <c r="CU128" s="816"/>
      <c r="CV128" s="816"/>
      <c r="CW128" s="816"/>
      <c r="CX128" s="816"/>
      <c r="CY128" s="816"/>
      <c r="CZ128" s="816"/>
      <c r="DA128" s="609"/>
      <c r="DB128" s="609"/>
      <c r="DC128" s="816"/>
      <c r="DD128" s="816"/>
      <c r="DE128" s="609"/>
      <c r="DF128" s="609"/>
      <c r="DG128" s="816"/>
      <c r="DH128" s="816"/>
      <c r="DI128" s="816"/>
      <c r="DJ128" s="816"/>
      <c r="DK128" s="816"/>
      <c r="DL128" s="816"/>
      <c r="DM128" s="609"/>
      <c r="DN128" s="609"/>
      <c r="DO128" s="816"/>
      <c r="DP128" s="816"/>
      <c r="DQ128" s="609"/>
      <c r="DR128" s="609"/>
      <c r="DS128" s="816"/>
      <c r="DT128" s="816"/>
      <c r="DU128" s="609"/>
      <c r="DV128" s="609"/>
      <c r="DW128" s="816"/>
      <c r="DX128" s="816"/>
      <c r="DY128" s="816"/>
      <c r="DZ128" s="816"/>
      <c r="EA128" s="816"/>
      <c r="EB128" s="816"/>
      <c r="EC128" s="821"/>
      <c r="ED128" s="609"/>
      <c r="EE128" s="816"/>
      <c r="EF128" s="816"/>
      <c r="EG128" s="822"/>
      <c r="EH128" s="609"/>
      <c r="EI128" s="816"/>
      <c r="EJ128" s="816"/>
      <c r="EK128" s="609"/>
      <c r="EL128" s="816"/>
      <c r="EM128" s="816"/>
      <c r="EN128" s="816"/>
      <c r="EO128" s="816"/>
      <c r="EP128" s="816"/>
      <c r="EQ128" s="816"/>
      <c r="ER128" s="816"/>
      <c r="ES128" s="816"/>
      <c r="ET128" s="816"/>
      <c r="EU128" s="816"/>
      <c r="EV128" s="816"/>
      <c r="EW128" s="823"/>
      <c r="EX128" s="824"/>
      <c r="EY128" s="825"/>
      <c r="EZ128" s="825"/>
      <c r="FA128" s="816"/>
      <c r="FC128" s="826"/>
      <c r="FD128" s="826"/>
      <c r="FE128" s="826"/>
      <c r="FF128" s="826"/>
    </row>
    <row r="129" spans="2:162" s="780" customFormat="1"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816"/>
      <c r="S129" s="816"/>
      <c r="T129" s="816"/>
      <c r="U129" s="816"/>
      <c r="V129" s="816"/>
      <c r="W129" s="816"/>
      <c r="X129" s="609"/>
      <c r="Y129" s="609"/>
      <c r="Z129" s="816"/>
      <c r="AA129" s="816"/>
      <c r="AB129" s="609"/>
      <c r="AC129" s="609"/>
      <c r="AD129" s="816"/>
      <c r="AE129" s="816"/>
      <c r="AF129" s="609"/>
      <c r="AG129" s="609"/>
      <c r="AH129" s="816"/>
      <c r="AI129" s="816"/>
      <c r="AJ129" s="817"/>
      <c r="AK129" s="609"/>
      <c r="AL129" s="609"/>
      <c r="AM129" s="816"/>
      <c r="AN129" s="816"/>
      <c r="AO129" s="816"/>
      <c r="AP129" s="816"/>
      <c r="AQ129" s="816"/>
      <c r="AR129" s="816"/>
      <c r="AS129" s="816"/>
      <c r="AT129" s="609"/>
      <c r="AU129" s="609"/>
      <c r="AV129" s="609"/>
      <c r="AW129" s="818"/>
      <c r="AX129" s="816"/>
      <c r="AY129" s="816"/>
      <c r="AZ129" s="609"/>
      <c r="BA129" s="609"/>
      <c r="BB129" s="816"/>
      <c r="BC129" s="816"/>
      <c r="BD129" s="609"/>
      <c r="BE129" s="609"/>
      <c r="BF129" s="816"/>
      <c r="BG129" s="816"/>
      <c r="BH129" s="816"/>
      <c r="BI129" s="816"/>
      <c r="BJ129" s="816"/>
      <c r="BK129" s="816"/>
      <c r="BL129" s="816"/>
      <c r="BM129" s="816"/>
      <c r="BN129" s="816"/>
      <c r="BO129" s="816"/>
      <c r="BP129" s="816"/>
      <c r="BQ129" s="816"/>
      <c r="BR129" s="816"/>
      <c r="BS129" s="816"/>
      <c r="BT129" s="816"/>
      <c r="BU129" s="816"/>
      <c r="BV129" s="816"/>
      <c r="BW129" s="816"/>
      <c r="BX129" s="609"/>
      <c r="BY129" s="609"/>
      <c r="BZ129" s="816"/>
      <c r="CA129" s="816"/>
      <c r="CB129" s="609"/>
      <c r="CC129" s="609"/>
      <c r="CD129" s="816"/>
      <c r="CE129" s="816"/>
      <c r="CF129" s="816"/>
      <c r="CG129" s="816"/>
      <c r="CH129" s="816"/>
      <c r="CI129" s="816"/>
      <c r="CJ129" s="816"/>
      <c r="CK129" s="816"/>
      <c r="CL129" s="819"/>
      <c r="CM129" s="816"/>
      <c r="CN129" s="820"/>
      <c r="CO129" s="820"/>
      <c r="CP129" s="820"/>
      <c r="CQ129" s="820"/>
      <c r="CR129" s="609"/>
      <c r="CS129" s="609"/>
      <c r="CT129" s="816"/>
      <c r="CU129" s="816"/>
      <c r="CV129" s="816"/>
      <c r="CW129" s="816"/>
      <c r="CX129" s="816"/>
      <c r="CY129" s="816"/>
      <c r="CZ129" s="816"/>
      <c r="DA129" s="609"/>
      <c r="DB129" s="609"/>
      <c r="DC129" s="816"/>
      <c r="DD129" s="816"/>
      <c r="DE129" s="609"/>
      <c r="DF129" s="609"/>
      <c r="DG129" s="816"/>
      <c r="DH129" s="816"/>
      <c r="DI129" s="816"/>
      <c r="DJ129" s="816"/>
      <c r="DK129" s="816"/>
      <c r="DL129" s="816"/>
      <c r="DM129" s="609"/>
      <c r="DN129" s="609"/>
      <c r="DO129" s="816"/>
      <c r="DP129" s="816"/>
      <c r="DQ129" s="609"/>
      <c r="DR129" s="609"/>
      <c r="DS129" s="816"/>
      <c r="DT129" s="816"/>
      <c r="DU129" s="609"/>
      <c r="DV129" s="609"/>
      <c r="DW129" s="816"/>
      <c r="DX129" s="816"/>
      <c r="DY129" s="816"/>
      <c r="DZ129" s="816"/>
      <c r="EA129" s="816"/>
      <c r="EB129" s="816"/>
      <c r="EC129" s="821"/>
      <c r="ED129" s="609"/>
      <c r="EE129" s="816"/>
      <c r="EF129" s="816"/>
      <c r="EG129" s="822"/>
      <c r="EH129" s="609"/>
      <c r="EI129" s="816"/>
      <c r="EJ129" s="816"/>
      <c r="EK129" s="609"/>
      <c r="EL129" s="816"/>
      <c r="EM129" s="816"/>
      <c r="EN129" s="816"/>
      <c r="EO129" s="816"/>
      <c r="EP129" s="816"/>
      <c r="EQ129" s="816"/>
      <c r="ER129" s="816"/>
      <c r="ES129" s="816"/>
      <c r="ET129" s="816"/>
      <c r="EU129" s="816"/>
      <c r="EV129" s="816"/>
      <c r="EW129" s="823"/>
      <c r="EX129" s="824"/>
      <c r="EY129" s="825"/>
      <c r="EZ129" s="825"/>
      <c r="FA129" s="816"/>
      <c r="FC129" s="826"/>
      <c r="FD129" s="826"/>
      <c r="FE129" s="826"/>
      <c r="FF129" s="826"/>
    </row>
    <row r="130" spans="2:162" s="780" customFormat="1">
      <c r="B130" s="609"/>
      <c r="C130" s="609"/>
      <c r="D130" s="609"/>
      <c r="E130" s="609"/>
      <c r="F130" s="609"/>
      <c r="G130" s="609"/>
      <c r="H130" s="609"/>
      <c r="I130" s="609"/>
      <c r="J130" s="609"/>
      <c r="K130" s="609"/>
      <c r="L130" s="609"/>
      <c r="M130" s="609"/>
      <c r="N130" s="609"/>
      <c r="O130" s="609"/>
      <c r="P130" s="609"/>
      <c r="Q130" s="609"/>
      <c r="R130" s="816"/>
      <c r="S130" s="816"/>
      <c r="T130" s="816"/>
      <c r="U130" s="816"/>
      <c r="V130" s="816"/>
      <c r="W130" s="816"/>
      <c r="X130" s="609"/>
      <c r="Y130" s="609"/>
      <c r="Z130" s="816"/>
      <c r="AA130" s="816"/>
      <c r="AB130" s="609"/>
      <c r="AC130" s="609"/>
      <c r="AD130" s="816"/>
      <c r="AE130" s="816"/>
      <c r="AF130" s="609"/>
      <c r="AG130" s="609"/>
      <c r="AH130" s="816"/>
      <c r="AI130" s="816"/>
      <c r="AJ130" s="817"/>
      <c r="AK130" s="609"/>
      <c r="AL130" s="609"/>
      <c r="AM130" s="816"/>
      <c r="AN130" s="816"/>
      <c r="AO130" s="816"/>
      <c r="AP130" s="816"/>
      <c r="AQ130" s="816"/>
      <c r="AR130" s="816"/>
      <c r="AS130" s="816"/>
      <c r="AT130" s="609"/>
      <c r="AU130" s="609"/>
      <c r="AV130" s="609"/>
      <c r="AW130" s="818"/>
      <c r="AX130" s="816"/>
      <c r="AY130" s="816"/>
      <c r="AZ130" s="609"/>
      <c r="BA130" s="609"/>
      <c r="BB130" s="816"/>
      <c r="BC130" s="816"/>
      <c r="BD130" s="609"/>
      <c r="BE130" s="609"/>
      <c r="BF130" s="816"/>
      <c r="BG130" s="816"/>
      <c r="BH130" s="816"/>
      <c r="BI130" s="816"/>
      <c r="BJ130" s="816"/>
      <c r="BK130" s="816"/>
      <c r="BL130" s="816"/>
      <c r="BM130" s="816"/>
      <c r="BN130" s="816"/>
      <c r="BO130" s="816"/>
      <c r="BP130" s="816"/>
      <c r="BQ130" s="816"/>
      <c r="BR130" s="816"/>
      <c r="BS130" s="816"/>
      <c r="BT130" s="816"/>
      <c r="BU130" s="816"/>
      <c r="BV130" s="816"/>
      <c r="BW130" s="816"/>
      <c r="BX130" s="609"/>
      <c r="BY130" s="609"/>
      <c r="BZ130" s="816"/>
      <c r="CA130" s="816"/>
      <c r="CB130" s="609"/>
      <c r="CC130" s="609"/>
      <c r="CD130" s="816"/>
      <c r="CE130" s="816"/>
      <c r="CF130" s="816"/>
      <c r="CG130" s="816"/>
      <c r="CH130" s="816"/>
      <c r="CI130" s="816"/>
      <c r="CJ130" s="816"/>
      <c r="CK130" s="816"/>
      <c r="CL130" s="819"/>
      <c r="CM130" s="816"/>
      <c r="CN130" s="820"/>
      <c r="CO130" s="820"/>
      <c r="CP130" s="820"/>
      <c r="CQ130" s="820"/>
      <c r="CR130" s="609"/>
      <c r="CS130" s="609"/>
      <c r="CT130" s="816"/>
      <c r="CU130" s="816"/>
      <c r="CV130" s="816"/>
      <c r="CW130" s="816"/>
      <c r="CX130" s="816"/>
      <c r="CY130" s="816"/>
      <c r="CZ130" s="816"/>
      <c r="DA130" s="609"/>
      <c r="DB130" s="609"/>
      <c r="DC130" s="816"/>
      <c r="DD130" s="816"/>
      <c r="DE130" s="609"/>
      <c r="DF130" s="609"/>
      <c r="DG130" s="816"/>
      <c r="DH130" s="816"/>
      <c r="DI130" s="816"/>
      <c r="DJ130" s="816"/>
      <c r="DK130" s="816"/>
      <c r="DL130" s="816"/>
      <c r="DM130" s="609"/>
      <c r="DN130" s="609"/>
      <c r="DO130" s="816"/>
      <c r="DP130" s="816"/>
      <c r="DQ130" s="609"/>
      <c r="DR130" s="609"/>
      <c r="DS130" s="816"/>
      <c r="DT130" s="816"/>
      <c r="DU130" s="609"/>
      <c r="DV130" s="609"/>
      <c r="DW130" s="816"/>
      <c r="DX130" s="816"/>
      <c r="DY130" s="816"/>
      <c r="DZ130" s="816"/>
      <c r="EA130" s="816"/>
      <c r="EB130" s="816"/>
      <c r="EC130" s="821"/>
      <c r="ED130" s="609"/>
      <c r="EE130" s="816"/>
      <c r="EF130" s="816"/>
      <c r="EG130" s="822"/>
      <c r="EH130" s="609"/>
      <c r="EI130" s="816"/>
      <c r="EJ130" s="816"/>
      <c r="EK130" s="609"/>
      <c r="EL130" s="816"/>
      <c r="EM130" s="816"/>
      <c r="EN130" s="816"/>
      <c r="EO130" s="816"/>
      <c r="EP130" s="816"/>
      <c r="EQ130" s="816"/>
      <c r="ER130" s="816"/>
      <c r="ES130" s="816"/>
      <c r="ET130" s="816"/>
      <c r="EU130" s="816"/>
      <c r="EV130" s="816"/>
      <c r="EW130" s="823"/>
      <c r="EX130" s="824"/>
      <c r="EY130" s="825"/>
      <c r="EZ130" s="825"/>
      <c r="FA130" s="816"/>
      <c r="FC130" s="826"/>
      <c r="FD130" s="826"/>
      <c r="FE130" s="826"/>
      <c r="FF130" s="826"/>
    </row>
    <row r="131" spans="2:162" s="780" customFormat="1">
      <c r="B131" s="609"/>
      <c r="C131" s="609"/>
      <c r="D131" s="609"/>
      <c r="E131" s="609"/>
      <c r="F131" s="609"/>
      <c r="G131" s="609"/>
      <c r="H131" s="609"/>
      <c r="I131" s="609"/>
      <c r="J131" s="609"/>
      <c r="K131" s="609"/>
      <c r="L131" s="609"/>
      <c r="M131" s="609"/>
      <c r="N131" s="609"/>
      <c r="O131" s="609"/>
      <c r="P131" s="609"/>
      <c r="Q131" s="609"/>
      <c r="R131" s="816"/>
      <c r="S131" s="816"/>
      <c r="T131" s="816"/>
      <c r="U131" s="816"/>
      <c r="V131" s="816"/>
      <c r="W131" s="816"/>
      <c r="X131" s="609"/>
      <c r="Y131" s="609"/>
      <c r="Z131" s="816"/>
      <c r="AA131" s="816"/>
      <c r="AB131" s="609"/>
      <c r="AC131" s="609"/>
      <c r="AD131" s="816"/>
      <c r="AE131" s="816"/>
      <c r="AF131" s="609"/>
      <c r="AG131" s="609"/>
      <c r="AH131" s="816"/>
      <c r="AI131" s="816"/>
      <c r="AJ131" s="817"/>
      <c r="AK131" s="609"/>
      <c r="AL131" s="609"/>
      <c r="AM131" s="816"/>
      <c r="AN131" s="816"/>
      <c r="AO131" s="816"/>
      <c r="AP131" s="816"/>
      <c r="AQ131" s="816"/>
      <c r="AR131" s="816"/>
      <c r="AS131" s="816"/>
      <c r="AT131" s="609"/>
      <c r="AU131" s="609"/>
      <c r="AV131" s="609"/>
      <c r="AW131" s="818"/>
      <c r="AX131" s="816"/>
      <c r="AY131" s="816"/>
      <c r="AZ131" s="609"/>
      <c r="BA131" s="609"/>
      <c r="BB131" s="816"/>
      <c r="BC131" s="816"/>
      <c r="BD131" s="609"/>
      <c r="BE131" s="609"/>
      <c r="BF131" s="816"/>
      <c r="BG131" s="816"/>
      <c r="BH131" s="816"/>
      <c r="BI131" s="816"/>
      <c r="BJ131" s="816"/>
      <c r="BK131" s="816"/>
      <c r="BL131" s="816"/>
      <c r="BM131" s="816"/>
      <c r="BN131" s="816"/>
      <c r="BO131" s="816"/>
      <c r="BP131" s="816"/>
      <c r="BQ131" s="816"/>
      <c r="BR131" s="816"/>
      <c r="BS131" s="816"/>
      <c r="BT131" s="816"/>
      <c r="BU131" s="816"/>
      <c r="BV131" s="816"/>
      <c r="BW131" s="816"/>
      <c r="BX131" s="609"/>
      <c r="BY131" s="609"/>
      <c r="BZ131" s="816"/>
      <c r="CA131" s="816"/>
      <c r="CB131" s="609"/>
      <c r="CC131" s="609"/>
      <c r="CD131" s="816"/>
      <c r="CE131" s="816"/>
      <c r="CF131" s="816"/>
      <c r="CG131" s="816"/>
      <c r="CH131" s="816"/>
      <c r="CI131" s="816"/>
      <c r="CJ131" s="816"/>
      <c r="CK131" s="816"/>
      <c r="CL131" s="819"/>
      <c r="CM131" s="816"/>
      <c r="CN131" s="820"/>
      <c r="CO131" s="820"/>
      <c r="CP131" s="820"/>
      <c r="CQ131" s="820"/>
      <c r="CR131" s="609"/>
      <c r="CS131" s="609"/>
      <c r="CT131" s="816"/>
      <c r="CU131" s="816"/>
      <c r="CV131" s="816"/>
      <c r="CW131" s="816"/>
      <c r="CX131" s="816"/>
      <c r="CY131" s="816"/>
      <c r="CZ131" s="816"/>
      <c r="DA131" s="609"/>
      <c r="DB131" s="609"/>
      <c r="DC131" s="816"/>
      <c r="DD131" s="816"/>
      <c r="DE131" s="609"/>
      <c r="DF131" s="609"/>
      <c r="DG131" s="816"/>
      <c r="DH131" s="816"/>
      <c r="DI131" s="816"/>
      <c r="DJ131" s="816"/>
      <c r="DK131" s="816"/>
      <c r="DL131" s="816"/>
      <c r="DM131" s="609"/>
      <c r="DN131" s="609"/>
      <c r="DO131" s="816"/>
      <c r="DP131" s="816"/>
      <c r="DQ131" s="609"/>
      <c r="DR131" s="609"/>
      <c r="DS131" s="816"/>
      <c r="DT131" s="816"/>
      <c r="DU131" s="609"/>
      <c r="DV131" s="609"/>
      <c r="DW131" s="816"/>
      <c r="DX131" s="816"/>
      <c r="DY131" s="816"/>
      <c r="DZ131" s="816"/>
      <c r="EA131" s="816"/>
      <c r="EB131" s="816"/>
      <c r="EC131" s="821"/>
      <c r="ED131" s="609"/>
      <c r="EE131" s="816"/>
      <c r="EF131" s="816"/>
      <c r="EG131" s="822"/>
      <c r="EH131" s="609"/>
      <c r="EI131" s="816"/>
      <c r="EJ131" s="816"/>
      <c r="EK131" s="609"/>
      <c r="EL131" s="816"/>
      <c r="EM131" s="816"/>
      <c r="EN131" s="816"/>
      <c r="EO131" s="816"/>
      <c r="EP131" s="816"/>
      <c r="EQ131" s="816"/>
      <c r="ER131" s="816"/>
      <c r="ES131" s="816"/>
      <c r="ET131" s="816"/>
      <c r="EU131" s="816"/>
      <c r="EV131" s="816"/>
      <c r="EW131" s="823"/>
      <c r="EX131" s="824"/>
      <c r="EY131" s="825"/>
      <c r="EZ131" s="825"/>
      <c r="FA131" s="816"/>
      <c r="FC131" s="826"/>
      <c r="FD131" s="826"/>
      <c r="FE131" s="826"/>
      <c r="FF131" s="826"/>
    </row>
    <row r="132" spans="2:162" s="780" customFormat="1">
      <c r="B132" s="609"/>
      <c r="C132" s="609"/>
      <c r="D132" s="609"/>
      <c r="E132" s="609"/>
      <c r="F132" s="609"/>
      <c r="G132" s="609"/>
      <c r="H132" s="609"/>
      <c r="I132" s="609"/>
      <c r="J132" s="609"/>
      <c r="K132" s="609"/>
      <c r="L132" s="609"/>
      <c r="M132" s="609"/>
      <c r="N132" s="609"/>
      <c r="O132" s="609"/>
      <c r="P132" s="609"/>
      <c r="Q132" s="609"/>
      <c r="R132" s="816"/>
      <c r="S132" s="816"/>
      <c r="T132" s="816"/>
      <c r="U132" s="816"/>
      <c r="V132" s="816"/>
      <c r="W132" s="816"/>
      <c r="X132" s="609"/>
      <c r="Y132" s="609"/>
      <c r="Z132" s="816"/>
      <c r="AA132" s="816"/>
      <c r="AB132" s="609"/>
      <c r="AC132" s="609"/>
      <c r="AD132" s="816"/>
      <c r="AE132" s="816"/>
      <c r="AF132" s="609"/>
      <c r="AG132" s="609"/>
      <c r="AH132" s="816"/>
      <c r="AI132" s="816"/>
      <c r="AJ132" s="817"/>
      <c r="AK132" s="609"/>
      <c r="AL132" s="609"/>
      <c r="AM132" s="816"/>
      <c r="AN132" s="816"/>
      <c r="AO132" s="816"/>
      <c r="AP132" s="816"/>
      <c r="AQ132" s="816"/>
      <c r="AR132" s="816"/>
      <c r="AS132" s="816"/>
      <c r="AT132" s="609"/>
      <c r="AU132" s="609"/>
      <c r="AV132" s="609"/>
      <c r="AW132" s="818"/>
      <c r="AX132" s="816"/>
      <c r="AY132" s="816"/>
      <c r="AZ132" s="609"/>
      <c r="BA132" s="609"/>
      <c r="BB132" s="816"/>
      <c r="BC132" s="816"/>
      <c r="BD132" s="609"/>
      <c r="BE132" s="609"/>
      <c r="BF132" s="816"/>
      <c r="BG132" s="816"/>
      <c r="BH132" s="816"/>
      <c r="BI132" s="816"/>
      <c r="BJ132" s="816"/>
      <c r="BK132" s="816"/>
      <c r="BL132" s="816"/>
      <c r="BM132" s="816"/>
      <c r="BN132" s="816"/>
      <c r="BO132" s="816"/>
      <c r="BP132" s="816"/>
      <c r="BQ132" s="816"/>
      <c r="BR132" s="816"/>
      <c r="BS132" s="816"/>
      <c r="BT132" s="816"/>
      <c r="BU132" s="816"/>
      <c r="BV132" s="816"/>
      <c r="BW132" s="816"/>
      <c r="BX132" s="609"/>
      <c r="BY132" s="609"/>
      <c r="BZ132" s="816"/>
      <c r="CA132" s="816"/>
      <c r="CB132" s="609"/>
      <c r="CC132" s="609"/>
      <c r="CD132" s="816"/>
      <c r="CE132" s="816"/>
      <c r="CF132" s="816"/>
      <c r="CG132" s="816"/>
      <c r="CH132" s="816"/>
      <c r="CI132" s="816"/>
      <c r="CJ132" s="816"/>
      <c r="CK132" s="816"/>
      <c r="CL132" s="819"/>
      <c r="CM132" s="816"/>
      <c r="CN132" s="820"/>
      <c r="CO132" s="820"/>
      <c r="CP132" s="820"/>
      <c r="CQ132" s="820"/>
      <c r="CR132" s="609"/>
      <c r="CS132" s="609"/>
      <c r="CT132" s="816"/>
      <c r="CU132" s="816"/>
      <c r="CV132" s="816"/>
      <c r="CW132" s="816"/>
      <c r="CX132" s="816"/>
      <c r="CY132" s="816"/>
      <c r="CZ132" s="816"/>
      <c r="DA132" s="609"/>
      <c r="DB132" s="609"/>
      <c r="DC132" s="816"/>
      <c r="DD132" s="816"/>
      <c r="DE132" s="609"/>
      <c r="DF132" s="609"/>
      <c r="DG132" s="816"/>
      <c r="DH132" s="816"/>
      <c r="DI132" s="816"/>
      <c r="DJ132" s="816"/>
      <c r="DK132" s="816"/>
      <c r="DL132" s="816"/>
      <c r="DM132" s="609"/>
      <c r="DN132" s="609"/>
      <c r="DO132" s="816"/>
      <c r="DP132" s="816"/>
      <c r="DQ132" s="609"/>
      <c r="DR132" s="609"/>
      <c r="DS132" s="816"/>
      <c r="DT132" s="816"/>
      <c r="DU132" s="609"/>
      <c r="DV132" s="609"/>
      <c r="DW132" s="816"/>
      <c r="DX132" s="816"/>
      <c r="DY132" s="816"/>
      <c r="DZ132" s="816"/>
      <c r="EA132" s="816"/>
      <c r="EB132" s="816"/>
      <c r="EC132" s="821"/>
      <c r="ED132" s="609"/>
      <c r="EE132" s="816"/>
      <c r="EF132" s="816"/>
      <c r="EG132" s="822"/>
      <c r="EH132" s="609"/>
      <c r="EI132" s="816"/>
      <c r="EJ132" s="816"/>
      <c r="EK132" s="609"/>
      <c r="EL132" s="816"/>
      <c r="EM132" s="816"/>
      <c r="EN132" s="816"/>
      <c r="EO132" s="816"/>
      <c r="EP132" s="816"/>
      <c r="EQ132" s="816"/>
      <c r="ER132" s="816"/>
      <c r="ES132" s="816"/>
      <c r="ET132" s="816"/>
      <c r="EU132" s="816"/>
      <c r="EV132" s="816"/>
      <c r="EW132" s="823"/>
      <c r="EX132" s="824"/>
      <c r="EY132" s="825"/>
      <c r="EZ132" s="825"/>
      <c r="FA132" s="816"/>
      <c r="FC132" s="826"/>
      <c r="FD132" s="826"/>
      <c r="FE132" s="826"/>
      <c r="FF132" s="826"/>
    </row>
    <row r="133" spans="2:162" s="780" customFormat="1">
      <c r="B133" s="609"/>
      <c r="C133" s="609"/>
      <c r="D133" s="609"/>
      <c r="E133" s="609"/>
      <c r="F133" s="609"/>
      <c r="G133" s="609"/>
      <c r="H133" s="609"/>
      <c r="I133" s="609"/>
      <c r="J133" s="609"/>
      <c r="K133" s="609"/>
      <c r="L133" s="609"/>
      <c r="M133" s="609"/>
      <c r="N133" s="609"/>
      <c r="O133" s="609"/>
      <c r="P133" s="609"/>
      <c r="Q133" s="609"/>
      <c r="R133" s="816"/>
      <c r="S133" s="816"/>
      <c r="T133" s="816"/>
      <c r="U133" s="816"/>
      <c r="V133" s="816"/>
      <c r="W133" s="816"/>
      <c r="X133" s="609"/>
      <c r="Y133" s="609"/>
      <c r="Z133" s="816"/>
      <c r="AA133" s="816"/>
      <c r="AB133" s="609"/>
      <c r="AC133" s="609"/>
      <c r="AD133" s="816"/>
      <c r="AE133" s="816"/>
      <c r="AF133" s="609"/>
      <c r="AG133" s="609"/>
      <c r="AH133" s="816"/>
      <c r="AI133" s="816"/>
      <c r="AJ133" s="817"/>
      <c r="AK133" s="609"/>
      <c r="AL133" s="609"/>
      <c r="AM133" s="816"/>
      <c r="AN133" s="816"/>
      <c r="AO133" s="816"/>
      <c r="AP133" s="816"/>
      <c r="AQ133" s="816"/>
      <c r="AR133" s="816"/>
      <c r="AS133" s="816"/>
      <c r="AT133" s="609"/>
      <c r="AU133" s="609"/>
      <c r="AV133" s="609"/>
      <c r="AW133" s="818"/>
      <c r="AX133" s="816"/>
      <c r="AY133" s="816"/>
      <c r="AZ133" s="609"/>
      <c r="BA133" s="609"/>
      <c r="BB133" s="816"/>
      <c r="BC133" s="816"/>
      <c r="BD133" s="609"/>
      <c r="BE133" s="609"/>
      <c r="BF133" s="816"/>
      <c r="BG133" s="816"/>
      <c r="BH133" s="816"/>
      <c r="BI133" s="816"/>
      <c r="BJ133" s="816"/>
      <c r="BK133" s="816"/>
      <c r="BL133" s="816"/>
      <c r="BM133" s="816"/>
      <c r="BN133" s="816"/>
      <c r="BO133" s="816"/>
      <c r="BP133" s="816"/>
      <c r="BQ133" s="816"/>
      <c r="BR133" s="816"/>
      <c r="BS133" s="816"/>
      <c r="BT133" s="816"/>
      <c r="BU133" s="816"/>
      <c r="BV133" s="816"/>
      <c r="BW133" s="816"/>
      <c r="BX133" s="609"/>
      <c r="BY133" s="609"/>
      <c r="BZ133" s="816"/>
      <c r="CA133" s="816"/>
      <c r="CB133" s="609"/>
      <c r="CC133" s="609"/>
      <c r="CD133" s="816"/>
      <c r="CE133" s="816"/>
      <c r="CF133" s="816"/>
      <c r="CG133" s="816"/>
      <c r="CH133" s="816"/>
      <c r="CI133" s="816"/>
      <c r="CJ133" s="816"/>
      <c r="CK133" s="816"/>
      <c r="CL133" s="819"/>
      <c r="CM133" s="816"/>
      <c r="CN133" s="820"/>
      <c r="CO133" s="820"/>
      <c r="CP133" s="820"/>
      <c r="CQ133" s="820"/>
      <c r="CR133" s="609"/>
      <c r="CS133" s="609"/>
      <c r="CT133" s="816"/>
      <c r="CU133" s="816"/>
      <c r="CV133" s="816"/>
      <c r="CW133" s="816"/>
      <c r="CX133" s="816"/>
      <c r="CY133" s="816"/>
      <c r="CZ133" s="816"/>
      <c r="DA133" s="609"/>
      <c r="DB133" s="609"/>
      <c r="DC133" s="816"/>
      <c r="DD133" s="816"/>
      <c r="DE133" s="609"/>
      <c r="DF133" s="609"/>
      <c r="DG133" s="816"/>
      <c r="DH133" s="816"/>
      <c r="DI133" s="816"/>
      <c r="DJ133" s="816"/>
      <c r="DK133" s="816"/>
      <c r="DL133" s="816"/>
      <c r="DM133" s="609"/>
      <c r="DN133" s="609"/>
      <c r="DO133" s="816"/>
      <c r="DP133" s="816"/>
      <c r="DQ133" s="609"/>
      <c r="DR133" s="609"/>
      <c r="DS133" s="816"/>
      <c r="DT133" s="816"/>
      <c r="DU133" s="609"/>
      <c r="DV133" s="609"/>
      <c r="DW133" s="816"/>
      <c r="DX133" s="816"/>
      <c r="DY133" s="816"/>
      <c r="DZ133" s="816"/>
      <c r="EA133" s="816"/>
      <c r="EB133" s="816"/>
      <c r="EC133" s="821"/>
      <c r="ED133" s="609"/>
      <c r="EE133" s="816"/>
      <c r="EF133" s="816"/>
      <c r="EG133" s="822"/>
      <c r="EH133" s="609"/>
      <c r="EI133" s="816"/>
      <c r="EJ133" s="816"/>
      <c r="EK133" s="609"/>
      <c r="EL133" s="816"/>
      <c r="EM133" s="816"/>
      <c r="EN133" s="816"/>
      <c r="EO133" s="816"/>
      <c r="EP133" s="816"/>
      <c r="EQ133" s="816"/>
      <c r="ER133" s="816"/>
      <c r="ES133" s="816"/>
      <c r="ET133" s="816"/>
      <c r="EU133" s="816"/>
      <c r="EV133" s="816"/>
      <c r="EW133" s="823"/>
      <c r="EX133" s="824"/>
      <c r="EY133" s="825"/>
      <c r="EZ133" s="825"/>
      <c r="FA133" s="816"/>
      <c r="FC133" s="826"/>
      <c r="FD133" s="826"/>
      <c r="FE133" s="826"/>
      <c r="FF133" s="826"/>
    </row>
    <row r="134" spans="2:162" s="780" customFormat="1">
      <c r="B134" s="609"/>
      <c r="C134" s="609"/>
      <c r="D134" s="609"/>
      <c r="E134" s="609"/>
      <c r="F134" s="609"/>
      <c r="G134" s="609"/>
      <c r="H134" s="609"/>
      <c r="I134" s="609"/>
      <c r="J134" s="609"/>
      <c r="K134" s="609"/>
      <c r="L134" s="609"/>
      <c r="M134" s="609"/>
      <c r="N134" s="609"/>
      <c r="O134" s="609"/>
      <c r="P134" s="609"/>
      <c r="Q134" s="609"/>
      <c r="R134" s="816"/>
      <c r="S134" s="816"/>
      <c r="T134" s="816"/>
      <c r="U134" s="816"/>
      <c r="V134" s="816"/>
      <c r="W134" s="816"/>
      <c r="X134" s="609"/>
      <c r="Y134" s="609"/>
      <c r="Z134" s="816"/>
      <c r="AA134" s="816"/>
      <c r="AB134" s="609"/>
      <c r="AC134" s="609"/>
      <c r="AD134" s="816"/>
      <c r="AE134" s="816"/>
      <c r="AF134" s="609"/>
      <c r="AG134" s="609"/>
      <c r="AH134" s="816"/>
      <c r="AI134" s="816"/>
      <c r="AJ134" s="817"/>
      <c r="AK134" s="609"/>
      <c r="AL134" s="609"/>
      <c r="AM134" s="816"/>
      <c r="AN134" s="816"/>
      <c r="AO134" s="816"/>
      <c r="AP134" s="816"/>
      <c r="AQ134" s="816"/>
      <c r="AR134" s="816"/>
      <c r="AS134" s="816"/>
      <c r="AT134" s="609"/>
      <c r="AU134" s="609"/>
      <c r="AV134" s="609"/>
      <c r="AW134" s="818"/>
      <c r="AX134" s="816"/>
      <c r="AY134" s="816"/>
      <c r="AZ134" s="609"/>
      <c r="BA134" s="609"/>
      <c r="BB134" s="816"/>
      <c r="BC134" s="816"/>
      <c r="BD134" s="609"/>
      <c r="BE134" s="609"/>
      <c r="BF134" s="816"/>
      <c r="BG134" s="816"/>
      <c r="BH134" s="816"/>
      <c r="BI134" s="816"/>
      <c r="BJ134" s="816"/>
      <c r="BK134" s="816"/>
      <c r="BL134" s="816"/>
      <c r="BM134" s="816"/>
      <c r="BN134" s="816"/>
      <c r="BO134" s="816"/>
      <c r="BP134" s="816"/>
      <c r="BQ134" s="816"/>
      <c r="BR134" s="816"/>
      <c r="BS134" s="816"/>
      <c r="BT134" s="816"/>
      <c r="BU134" s="816"/>
      <c r="BV134" s="816"/>
      <c r="BW134" s="816"/>
      <c r="BX134" s="609"/>
      <c r="BY134" s="609"/>
      <c r="BZ134" s="816"/>
      <c r="CA134" s="816"/>
      <c r="CB134" s="609"/>
      <c r="CC134" s="609"/>
      <c r="CD134" s="816"/>
      <c r="CE134" s="816"/>
      <c r="CF134" s="816"/>
      <c r="CG134" s="816"/>
      <c r="CH134" s="816"/>
      <c r="CI134" s="816"/>
      <c r="CJ134" s="816"/>
      <c r="CK134" s="816"/>
      <c r="CL134" s="819"/>
      <c r="CM134" s="816"/>
      <c r="CN134" s="820"/>
      <c r="CO134" s="820"/>
      <c r="CP134" s="820"/>
      <c r="CQ134" s="820"/>
      <c r="CR134" s="609"/>
      <c r="CS134" s="609"/>
      <c r="CT134" s="816"/>
      <c r="CU134" s="816"/>
      <c r="CV134" s="816"/>
      <c r="CW134" s="816"/>
      <c r="CX134" s="816"/>
      <c r="CY134" s="816"/>
      <c r="CZ134" s="816"/>
      <c r="DA134" s="609"/>
      <c r="DB134" s="609"/>
      <c r="DC134" s="816"/>
      <c r="DD134" s="816"/>
      <c r="DE134" s="609"/>
      <c r="DF134" s="609"/>
      <c r="DG134" s="816"/>
      <c r="DH134" s="816"/>
      <c r="DI134" s="816"/>
      <c r="DJ134" s="816"/>
      <c r="DK134" s="816"/>
      <c r="DL134" s="816"/>
      <c r="DM134" s="609"/>
      <c r="DN134" s="609"/>
      <c r="DO134" s="816"/>
      <c r="DP134" s="816"/>
      <c r="DQ134" s="609"/>
      <c r="DR134" s="609"/>
      <c r="DS134" s="816"/>
      <c r="DT134" s="816"/>
      <c r="DU134" s="609"/>
      <c r="DV134" s="609"/>
      <c r="DW134" s="816"/>
      <c r="DX134" s="816"/>
      <c r="DY134" s="816"/>
      <c r="DZ134" s="816"/>
      <c r="EA134" s="816"/>
      <c r="EB134" s="816"/>
      <c r="EC134" s="821"/>
      <c r="ED134" s="609"/>
      <c r="EE134" s="816"/>
      <c r="EF134" s="816"/>
      <c r="EG134" s="822"/>
      <c r="EH134" s="609"/>
      <c r="EI134" s="816"/>
      <c r="EJ134" s="816"/>
      <c r="EK134" s="609"/>
      <c r="EL134" s="816"/>
      <c r="EM134" s="816"/>
      <c r="EN134" s="816"/>
      <c r="EO134" s="816"/>
      <c r="EP134" s="816"/>
      <c r="EQ134" s="816"/>
      <c r="ER134" s="816"/>
      <c r="ES134" s="816"/>
      <c r="ET134" s="816"/>
      <c r="EU134" s="816"/>
      <c r="EV134" s="816"/>
      <c r="EW134" s="823"/>
      <c r="EX134" s="824"/>
      <c r="EY134" s="825"/>
      <c r="EZ134" s="825"/>
      <c r="FA134" s="816"/>
      <c r="FC134" s="826"/>
      <c r="FD134" s="826"/>
      <c r="FE134" s="826"/>
      <c r="FF134" s="826"/>
    </row>
    <row r="135" spans="2:162" s="780" customFormat="1">
      <c r="B135" s="609"/>
      <c r="C135" s="609"/>
      <c r="D135" s="609"/>
      <c r="E135" s="609"/>
      <c r="F135" s="609"/>
      <c r="G135" s="609"/>
      <c r="H135" s="609"/>
      <c r="I135" s="609"/>
      <c r="J135" s="609"/>
      <c r="K135" s="609"/>
      <c r="L135" s="609"/>
      <c r="M135" s="609"/>
      <c r="N135" s="609"/>
      <c r="O135" s="609"/>
      <c r="P135" s="609"/>
      <c r="Q135" s="609"/>
      <c r="R135" s="816"/>
      <c r="S135" s="816"/>
      <c r="T135" s="816"/>
      <c r="U135" s="816"/>
      <c r="V135" s="816"/>
      <c r="W135" s="816"/>
      <c r="X135" s="609"/>
      <c r="Y135" s="609"/>
      <c r="Z135" s="816"/>
      <c r="AA135" s="816"/>
      <c r="AB135" s="609"/>
      <c r="AC135" s="609"/>
      <c r="AD135" s="816"/>
      <c r="AE135" s="816"/>
      <c r="AF135" s="609"/>
      <c r="AG135" s="609"/>
      <c r="AH135" s="816"/>
      <c r="AI135" s="816"/>
      <c r="AJ135" s="817"/>
      <c r="AK135" s="609"/>
      <c r="AL135" s="609"/>
      <c r="AM135" s="816"/>
      <c r="AN135" s="816"/>
      <c r="AO135" s="816"/>
      <c r="AP135" s="816"/>
      <c r="AQ135" s="816"/>
      <c r="AR135" s="816"/>
      <c r="AS135" s="816"/>
      <c r="AT135" s="609"/>
      <c r="AU135" s="609"/>
      <c r="AV135" s="609"/>
      <c r="AW135" s="818"/>
      <c r="AX135" s="816"/>
      <c r="AY135" s="816"/>
      <c r="AZ135" s="609"/>
      <c r="BA135" s="609"/>
      <c r="BB135" s="816"/>
      <c r="BC135" s="816"/>
      <c r="BD135" s="609"/>
      <c r="BE135" s="609"/>
      <c r="BF135" s="816"/>
      <c r="BG135" s="816"/>
      <c r="BH135" s="816"/>
      <c r="BI135" s="816"/>
      <c r="BJ135" s="816"/>
      <c r="BK135" s="816"/>
      <c r="BL135" s="816"/>
      <c r="BM135" s="816"/>
      <c r="BN135" s="816"/>
      <c r="BO135" s="816"/>
      <c r="BP135" s="816"/>
      <c r="BQ135" s="816"/>
      <c r="BR135" s="816"/>
      <c r="BS135" s="816"/>
      <c r="BT135" s="816"/>
      <c r="BU135" s="816"/>
      <c r="BV135" s="816"/>
      <c r="BW135" s="816"/>
      <c r="BX135" s="609"/>
      <c r="BY135" s="609"/>
      <c r="BZ135" s="816"/>
      <c r="CA135" s="816"/>
      <c r="CB135" s="609"/>
      <c r="CC135" s="609"/>
      <c r="CD135" s="816"/>
      <c r="CE135" s="816"/>
      <c r="CF135" s="816"/>
      <c r="CG135" s="816"/>
      <c r="CH135" s="816"/>
      <c r="CI135" s="816"/>
      <c r="CJ135" s="816"/>
      <c r="CK135" s="816"/>
      <c r="CL135" s="819"/>
      <c r="CM135" s="816"/>
      <c r="CN135" s="820"/>
      <c r="CO135" s="820"/>
      <c r="CP135" s="820"/>
      <c r="CQ135" s="820"/>
      <c r="CR135" s="609"/>
      <c r="CS135" s="609"/>
      <c r="CT135" s="816"/>
      <c r="CU135" s="816"/>
      <c r="CV135" s="816"/>
      <c r="CW135" s="816"/>
      <c r="CX135" s="816"/>
      <c r="CY135" s="816"/>
      <c r="CZ135" s="816"/>
      <c r="DA135" s="609"/>
      <c r="DB135" s="609"/>
      <c r="DC135" s="816"/>
      <c r="DD135" s="816"/>
      <c r="DE135" s="609"/>
      <c r="DF135" s="609"/>
      <c r="DG135" s="816"/>
      <c r="DH135" s="816"/>
      <c r="DI135" s="816"/>
      <c r="DJ135" s="816"/>
      <c r="DK135" s="816"/>
      <c r="DL135" s="816"/>
      <c r="DM135" s="609"/>
      <c r="DN135" s="609"/>
      <c r="DO135" s="816"/>
      <c r="DP135" s="816"/>
      <c r="DQ135" s="609"/>
      <c r="DR135" s="609"/>
      <c r="DS135" s="816"/>
      <c r="DT135" s="816"/>
      <c r="DU135" s="609"/>
      <c r="DV135" s="609"/>
      <c r="DW135" s="816"/>
      <c r="DX135" s="816"/>
      <c r="DY135" s="816"/>
      <c r="DZ135" s="816"/>
      <c r="EA135" s="816"/>
      <c r="EB135" s="816"/>
      <c r="EC135" s="821"/>
      <c r="ED135" s="609"/>
      <c r="EE135" s="816"/>
      <c r="EF135" s="816"/>
      <c r="EG135" s="822"/>
      <c r="EH135" s="609"/>
      <c r="EI135" s="816"/>
      <c r="EJ135" s="816"/>
      <c r="EK135" s="609"/>
      <c r="EL135" s="816"/>
      <c r="EM135" s="816"/>
      <c r="EN135" s="816"/>
      <c r="EO135" s="816"/>
      <c r="EP135" s="816"/>
      <c r="EQ135" s="816"/>
      <c r="ER135" s="816"/>
      <c r="ES135" s="816"/>
      <c r="ET135" s="816"/>
      <c r="EU135" s="816"/>
      <c r="EV135" s="816"/>
      <c r="EW135" s="823"/>
      <c r="EX135" s="824"/>
      <c r="EY135" s="825"/>
      <c r="EZ135" s="825"/>
      <c r="FA135" s="816"/>
      <c r="FC135" s="826"/>
      <c r="FD135" s="826"/>
      <c r="FE135" s="826"/>
      <c r="FF135" s="826"/>
    </row>
    <row r="136" spans="2:162" s="780" customFormat="1">
      <c r="B136" s="609"/>
      <c r="C136" s="609"/>
      <c r="D136" s="609"/>
      <c r="E136" s="609"/>
      <c r="F136" s="609"/>
      <c r="G136" s="609"/>
      <c r="H136" s="609"/>
      <c r="I136" s="609"/>
      <c r="J136" s="609"/>
      <c r="K136" s="609"/>
      <c r="L136" s="609"/>
      <c r="M136" s="609"/>
      <c r="N136" s="609"/>
      <c r="O136" s="609"/>
      <c r="P136" s="609"/>
      <c r="Q136" s="609"/>
      <c r="R136" s="816"/>
      <c r="S136" s="816"/>
      <c r="T136" s="816"/>
      <c r="U136" s="816"/>
      <c r="V136" s="816"/>
      <c r="W136" s="816"/>
      <c r="X136" s="609"/>
      <c r="Y136" s="609"/>
      <c r="Z136" s="816"/>
      <c r="AA136" s="816"/>
      <c r="AB136" s="609"/>
      <c r="AC136" s="609"/>
      <c r="AD136" s="816"/>
      <c r="AE136" s="816"/>
      <c r="AF136" s="609"/>
      <c r="AG136" s="609"/>
      <c r="AH136" s="816"/>
      <c r="AI136" s="816"/>
      <c r="AJ136" s="817"/>
      <c r="AK136" s="609"/>
      <c r="AL136" s="609"/>
      <c r="AM136" s="816"/>
      <c r="AN136" s="816"/>
      <c r="AO136" s="816"/>
      <c r="AP136" s="816"/>
      <c r="AQ136" s="816"/>
      <c r="AR136" s="816"/>
      <c r="AS136" s="816"/>
      <c r="AT136" s="609"/>
      <c r="AU136" s="609"/>
      <c r="AV136" s="609"/>
      <c r="AW136" s="818"/>
      <c r="AX136" s="816"/>
      <c r="AY136" s="816"/>
      <c r="AZ136" s="609"/>
      <c r="BA136" s="609"/>
      <c r="BB136" s="816"/>
      <c r="BC136" s="816"/>
      <c r="BD136" s="609"/>
      <c r="BE136" s="609"/>
      <c r="BF136" s="816"/>
      <c r="BG136" s="816"/>
      <c r="BH136" s="816"/>
      <c r="BI136" s="816"/>
      <c r="BJ136" s="816"/>
      <c r="BK136" s="816"/>
      <c r="BL136" s="816"/>
      <c r="BM136" s="816"/>
      <c r="BN136" s="816"/>
      <c r="BO136" s="816"/>
      <c r="BP136" s="816"/>
      <c r="BQ136" s="816"/>
      <c r="BR136" s="816"/>
      <c r="BS136" s="816"/>
      <c r="BT136" s="816"/>
      <c r="BU136" s="816"/>
      <c r="BV136" s="816"/>
      <c r="BW136" s="816"/>
      <c r="BX136" s="609"/>
      <c r="BY136" s="609"/>
      <c r="BZ136" s="816"/>
      <c r="CA136" s="816"/>
      <c r="CB136" s="609"/>
      <c r="CC136" s="609"/>
      <c r="CD136" s="816"/>
      <c r="CE136" s="816"/>
      <c r="CF136" s="816"/>
      <c r="CG136" s="816"/>
      <c r="CH136" s="816"/>
      <c r="CI136" s="816"/>
      <c r="CJ136" s="816"/>
      <c r="CK136" s="816"/>
      <c r="CL136" s="819"/>
      <c r="CM136" s="816"/>
      <c r="CN136" s="820"/>
      <c r="CO136" s="820"/>
      <c r="CP136" s="820"/>
      <c r="CQ136" s="820"/>
      <c r="CR136" s="609"/>
      <c r="CS136" s="609"/>
      <c r="CT136" s="816"/>
      <c r="CU136" s="816"/>
      <c r="CV136" s="816"/>
      <c r="CW136" s="816"/>
      <c r="CX136" s="816"/>
      <c r="CY136" s="816"/>
      <c r="CZ136" s="816"/>
      <c r="DA136" s="609"/>
      <c r="DB136" s="609"/>
      <c r="DC136" s="816"/>
      <c r="DD136" s="816"/>
      <c r="DE136" s="609"/>
      <c r="DF136" s="609"/>
      <c r="DG136" s="816"/>
      <c r="DH136" s="816"/>
      <c r="DI136" s="816"/>
      <c r="DJ136" s="816"/>
      <c r="DK136" s="816"/>
      <c r="DL136" s="816"/>
      <c r="DM136" s="609"/>
      <c r="DN136" s="609"/>
      <c r="DO136" s="816"/>
      <c r="DP136" s="816"/>
      <c r="DQ136" s="609"/>
      <c r="DR136" s="609"/>
      <c r="DS136" s="816"/>
      <c r="DT136" s="816"/>
      <c r="DU136" s="609"/>
      <c r="DV136" s="609"/>
      <c r="DW136" s="816"/>
      <c r="DX136" s="816"/>
      <c r="DY136" s="816"/>
      <c r="DZ136" s="816"/>
      <c r="EA136" s="816"/>
      <c r="EB136" s="816"/>
      <c r="EC136" s="821"/>
      <c r="ED136" s="609"/>
      <c r="EE136" s="816"/>
      <c r="EF136" s="816"/>
      <c r="EG136" s="822"/>
      <c r="EH136" s="609"/>
      <c r="EI136" s="816"/>
      <c r="EJ136" s="816"/>
      <c r="EK136" s="609"/>
      <c r="EL136" s="816"/>
      <c r="EM136" s="816"/>
      <c r="EN136" s="816"/>
      <c r="EO136" s="816"/>
      <c r="EP136" s="816"/>
      <c r="EQ136" s="816"/>
      <c r="ER136" s="816"/>
      <c r="ES136" s="816"/>
      <c r="ET136" s="816"/>
      <c r="EU136" s="816"/>
      <c r="EV136" s="816"/>
      <c r="EW136" s="823"/>
      <c r="EX136" s="824"/>
      <c r="EY136" s="825"/>
      <c r="EZ136" s="825"/>
      <c r="FA136" s="816"/>
      <c r="FC136" s="826"/>
      <c r="FD136" s="826"/>
      <c r="FE136" s="826"/>
      <c r="FF136" s="826"/>
    </row>
    <row r="137" spans="2:162" s="780" customFormat="1"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816"/>
      <c r="S137" s="816"/>
      <c r="T137" s="816"/>
      <c r="U137" s="816"/>
      <c r="V137" s="816"/>
      <c r="W137" s="816"/>
      <c r="X137" s="609"/>
      <c r="Y137" s="609"/>
      <c r="Z137" s="816"/>
      <c r="AA137" s="816"/>
      <c r="AB137" s="609"/>
      <c r="AC137" s="609"/>
      <c r="AD137" s="816"/>
      <c r="AE137" s="816"/>
      <c r="AF137" s="609"/>
      <c r="AG137" s="609"/>
      <c r="AH137" s="816"/>
      <c r="AI137" s="816"/>
      <c r="AJ137" s="817"/>
      <c r="AK137" s="609"/>
      <c r="AL137" s="609"/>
      <c r="AM137" s="816"/>
      <c r="AN137" s="816"/>
      <c r="AO137" s="816"/>
      <c r="AP137" s="816"/>
      <c r="AQ137" s="816"/>
      <c r="AR137" s="816"/>
      <c r="AS137" s="816"/>
      <c r="AT137" s="609"/>
      <c r="AU137" s="609"/>
      <c r="AV137" s="609"/>
      <c r="AW137" s="818"/>
      <c r="AX137" s="816"/>
      <c r="AY137" s="816"/>
      <c r="AZ137" s="609"/>
      <c r="BA137" s="609"/>
      <c r="BB137" s="816"/>
      <c r="BC137" s="816"/>
      <c r="BD137" s="609"/>
      <c r="BE137" s="609"/>
      <c r="BF137" s="816"/>
      <c r="BG137" s="816"/>
      <c r="BH137" s="816"/>
      <c r="BI137" s="816"/>
      <c r="BJ137" s="816"/>
      <c r="BK137" s="816"/>
      <c r="BL137" s="816"/>
      <c r="BM137" s="816"/>
      <c r="BN137" s="816"/>
      <c r="BO137" s="816"/>
      <c r="BP137" s="816"/>
      <c r="BQ137" s="816"/>
      <c r="BR137" s="816"/>
      <c r="BS137" s="816"/>
      <c r="BT137" s="816"/>
      <c r="BU137" s="816"/>
      <c r="BV137" s="816"/>
      <c r="BW137" s="816"/>
      <c r="BX137" s="609"/>
      <c r="BY137" s="609"/>
      <c r="BZ137" s="816"/>
      <c r="CA137" s="816"/>
      <c r="CB137" s="609"/>
      <c r="CC137" s="609"/>
      <c r="CD137" s="816"/>
      <c r="CE137" s="816"/>
      <c r="CF137" s="816"/>
      <c r="CG137" s="816"/>
      <c r="CH137" s="816"/>
      <c r="CI137" s="816"/>
      <c r="CJ137" s="816"/>
      <c r="CK137" s="816"/>
      <c r="CL137" s="819"/>
      <c r="CM137" s="816"/>
      <c r="CN137" s="820"/>
      <c r="CO137" s="820"/>
      <c r="CP137" s="820"/>
      <c r="CQ137" s="820"/>
      <c r="CR137" s="609"/>
      <c r="CS137" s="609"/>
      <c r="CT137" s="816"/>
      <c r="CU137" s="816"/>
      <c r="CV137" s="816"/>
      <c r="CW137" s="816"/>
      <c r="CX137" s="816"/>
      <c r="CY137" s="816"/>
      <c r="CZ137" s="816"/>
      <c r="DA137" s="609"/>
      <c r="DB137" s="609"/>
      <c r="DC137" s="816"/>
      <c r="DD137" s="816"/>
      <c r="DE137" s="609"/>
      <c r="DF137" s="609"/>
      <c r="DG137" s="816"/>
      <c r="DH137" s="816"/>
      <c r="DI137" s="816"/>
      <c r="DJ137" s="816"/>
      <c r="DK137" s="816"/>
      <c r="DL137" s="816"/>
      <c r="DM137" s="609"/>
      <c r="DN137" s="609"/>
      <c r="DO137" s="816"/>
      <c r="DP137" s="816"/>
      <c r="DQ137" s="609"/>
      <c r="DR137" s="609"/>
      <c r="DS137" s="816"/>
      <c r="DT137" s="816"/>
      <c r="DU137" s="609"/>
      <c r="DV137" s="609"/>
      <c r="DW137" s="816"/>
      <c r="DX137" s="816"/>
      <c r="DY137" s="816"/>
      <c r="DZ137" s="816"/>
      <c r="EA137" s="816"/>
      <c r="EB137" s="816"/>
      <c r="EC137" s="821"/>
      <c r="ED137" s="609"/>
      <c r="EE137" s="816"/>
      <c r="EF137" s="816"/>
      <c r="EG137" s="822"/>
      <c r="EH137" s="609"/>
      <c r="EI137" s="816"/>
      <c r="EJ137" s="816"/>
      <c r="EK137" s="609"/>
      <c r="EL137" s="816"/>
      <c r="EM137" s="816"/>
      <c r="EN137" s="816"/>
      <c r="EO137" s="816"/>
      <c r="EP137" s="816"/>
      <c r="EQ137" s="816"/>
      <c r="ER137" s="816"/>
      <c r="ES137" s="816"/>
      <c r="ET137" s="816"/>
      <c r="EU137" s="816"/>
      <c r="EV137" s="816"/>
      <c r="EW137" s="823"/>
      <c r="EX137" s="824"/>
      <c r="EY137" s="825"/>
      <c r="EZ137" s="825"/>
      <c r="FA137" s="816"/>
      <c r="FC137" s="826"/>
      <c r="FD137" s="826"/>
      <c r="FE137" s="826"/>
      <c r="FF137" s="826"/>
    </row>
    <row r="138" spans="2:162" s="780" customFormat="1">
      <c r="B138" s="609"/>
      <c r="C138" s="609"/>
      <c r="D138" s="609"/>
      <c r="E138" s="609"/>
      <c r="F138" s="609"/>
      <c r="G138" s="609"/>
      <c r="H138" s="609"/>
      <c r="I138" s="609"/>
      <c r="J138" s="609"/>
      <c r="K138" s="609"/>
      <c r="L138" s="609"/>
      <c r="M138" s="609"/>
      <c r="N138" s="609"/>
      <c r="O138" s="609"/>
      <c r="P138" s="609"/>
      <c r="Q138" s="609"/>
      <c r="R138" s="816"/>
      <c r="S138" s="816"/>
      <c r="T138" s="816"/>
      <c r="U138" s="816"/>
      <c r="V138" s="816"/>
      <c r="W138" s="816"/>
      <c r="X138" s="609"/>
      <c r="Y138" s="609"/>
      <c r="Z138" s="816"/>
      <c r="AA138" s="816"/>
      <c r="AB138" s="609"/>
      <c r="AC138" s="609"/>
      <c r="AD138" s="816"/>
      <c r="AE138" s="816"/>
      <c r="AF138" s="609"/>
      <c r="AG138" s="609"/>
      <c r="AH138" s="816"/>
      <c r="AI138" s="816"/>
      <c r="AJ138" s="817"/>
      <c r="AK138" s="609"/>
      <c r="AL138" s="609"/>
      <c r="AM138" s="816"/>
      <c r="AN138" s="816"/>
      <c r="AO138" s="816"/>
      <c r="AP138" s="816"/>
      <c r="AQ138" s="816"/>
      <c r="AR138" s="816"/>
      <c r="AS138" s="816"/>
      <c r="AT138" s="609"/>
      <c r="AU138" s="609"/>
      <c r="AV138" s="609"/>
      <c r="AW138" s="818"/>
      <c r="AX138" s="816"/>
      <c r="AY138" s="816"/>
      <c r="AZ138" s="609"/>
      <c r="BA138" s="609"/>
      <c r="BB138" s="816"/>
      <c r="BC138" s="816"/>
      <c r="BD138" s="609"/>
      <c r="BE138" s="609"/>
      <c r="BF138" s="816"/>
      <c r="BG138" s="816"/>
      <c r="BH138" s="816"/>
      <c r="BI138" s="816"/>
      <c r="BJ138" s="816"/>
      <c r="BK138" s="816"/>
      <c r="BL138" s="816"/>
      <c r="BM138" s="816"/>
      <c r="BN138" s="816"/>
      <c r="BO138" s="816"/>
      <c r="BP138" s="816"/>
      <c r="BQ138" s="816"/>
      <c r="BR138" s="816"/>
      <c r="BS138" s="816"/>
      <c r="BT138" s="816"/>
      <c r="BU138" s="816"/>
      <c r="BV138" s="816"/>
      <c r="BW138" s="816"/>
      <c r="BX138" s="609"/>
      <c r="BY138" s="609"/>
      <c r="BZ138" s="816"/>
      <c r="CA138" s="816"/>
      <c r="CB138" s="609"/>
      <c r="CC138" s="609"/>
      <c r="CD138" s="816"/>
      <c r="CE138" s="816"/>
      <c r="CF138" s="816"/>
      <c r="CG138" s="816"/>
      <c r="CH138" s="816"/>
      <c r="CI138" s="816"/>
      <c r="CJ138" s="816"/>
      <c r="CK138" s="816"/>
      <c r="CL138" s="819"/>
      <c r="CM138" s="816"/>
      <c r="CN138" s="820"/>
      <c r="CO138" s="820"/>
      <c r="CP138" s="820"/>
      <c r="CQ138" s="820"/>
      <c r="CR138" s="609"/>
      <c r="CS138" s="609"/>
      <c r="CT138" s="816"/>
      <c r="CU138" s="816"/>
      <c r="CV138" s="816"/>
      <c r="CW138" s="816"/>
      <c r="CX138" s="816"/>
      <c r="CY138" s="816"/>
      <c r="CZ138" s="816"/>
      <c r="DA138" s="609"/>
      <c r="DB138" s="609"/>
      <c r="DC138" s="816"/>
      <c r="DD138" s="816"/>
      <c r="DE138" s="609"/>
      <c r="DF138" s="609"/>
      <c r="DG138" s="816"/>
      <c r="DH138" s="816"/>
      <c r="DI138" s="816"/>
      <c r="DJ138" s="816"/>
      <c r="DK138" s="816"/>
      <c r="DL138" s="816"/>
      <c r="DM138" s="609"/>
      <c r="DN138" s="609"/>
      <c r="DO138" s="816"/>
      <c r="DP138" s="816"/>
      <c r="DQ138" s="609"/>
      <c r="DR138" s="609"/>
      <c r="DS138" s="816"/>
      <c r="DT138" s="816"/>
      <c r="DU138" s="609"/>
      <c r="DV138" s="609"/>
      <c r="DW138" s="816"/>
      <c r="DX138" s="816"/>
      <c r="DY138" s="816"/>
      <c r="DZ138" s="816"/>
      <c r="EA138" s="816"/>
      <c r="EB138" s="816"/>
      <c r="EC138" s="821"/>
      <c r="ED138" s="609"/>
      <c r="EE138" s="816"/>
      <c r="EF138" s="816"/>
      <c r="EG138" s="822"/>
      <c r="EH138" s="609"/>
      <c r="EI138" s="816"/>
      <c r="EJ138" s="816"/>
      <c r="EK138" s="609"/>
      <c r="EL138" s="816"/>
      <c r="EM138" s="816"/>
      <c r="EN138" s="816"/>
      <c r="EO138" s="816"/>
      <c r="EP138" s="816"/>
      <c r="EQ138" s="816"/>
      <c r="ER138" s="816"/>
      <c r="ES138" s="816"/>
      <c r="ET138" s="816"/>
      <c r="EU138" s="816"/>
      <c r="EV138" s="816"/>
      <c r="EW138" s="823"/>
      <c r="EX138" s="824"/>
      <c r="EY138" s="825"/>
      <c r="EZ138" s="825"/>
      <c r="FA138" s="816"/>
      <c r="FC138" s="826"/>
      <c r="FD138" s="826"/>
      <c r="FE138" s="826"/>
      <c r="FF138" s="826"/>
    </row>
    <row r="139" spans="2:162" s="780" customFormat="1">
      <c r="B139" s="609"/>
      <c r="C139" s="609"/>
      <c r="D139" s="609"/>
      <c r="E139" s="609"/>
      <c r="F139" s="609"/>
      <c r="G139" s="609"/>
      <c r="H139" s="609"/>
      <c r="I139" s="609"/>
      <c r="J139" s="609"/>
      <c r="K139" s="609"/>
      <c r="L139" s="609"/>
      <c r="M139" s="609"/>
      <c r="N139" s="609"/>
      <c r="O139" s="609"/>
      <c r="P139" s="609"/>
      <c r="Q139" s="609"/>
      <c r="R139" s="816"/>
      <c r="S139" s="816"/>
      <c r="T139" s="816"/>
      <c r="U139" s="816"/>
      <c r="V139" s="816"/>
      <c r="W139" s="816"/>
      <c r="X139" s="609"/>
      <c r="Y139" s="609"/>
      <c r="Z139" s="816"/>
      <c r="AA139" s="816"/>
      <c r="AB139" s="609"/>
      <c r="AC139" s="609"/>
      <c r="AD139" s="816"/>
      <c r="AE139" s="816"/>
      <c r="AF139" s="609"/>
      <c r="AG139" s="609"/>
      <c r="AH139" s="816"/>
      <c r="AI139" s="816"/>
      <c r="AJ139" s="817"/>
      <c r="AK139" s="609"/>
      <c r="AL139" s="609"/>
      <c r="AM139" s="816"/>
      <c r="AN139" s="816"/>
      <c r="AO139" s="816"/>
      <c r="AP139" s="816"/>
      <c r="AQ139" s="816"/>
      <c r="AR139" s="816"/>
      <c r="AS139" s="816"/>
      <c r="AT139" s="609"/>
      <c r="AU139" s="609"/>
      <c r="AV139" s="609"/>
      <c r="AW139" s="818"/>
      <c r="AX139" s="816"/>
      <c r="AY139" s="816"/>
      <c r="AZ139" s="609"/>
      <c r="BA139" s="609"/>
      <c r="BB139" s="816"/>
      <c r="BC139" s="816"/>
      <c r="BD139" s="609"/>
      <c r="BE139" s="609"/>
      <c r="BF139" s="816"/>
      <c r="BG139" s="816"/>
      <c r="BH139" s="816"/>
      <c r="BI139" s="816"/>
      <c r="BJ139" s="816"/>
      <c r="BK139" s="816"/>
      <c r="BL139" s="816"/>
      <c r="BM139" s="816"/>
      <c r="BN139" s="816"/>
      <c r="BO139" s="816"/>
      <c r="BP139" s="816"/>
      <c r="BQ139" s="816"/>
      <c r="BR139" s="816"/>
      <c r="BS139" s="816"/>
      <c r="BT139" s="816"/>
      <c r="BU139" s="816"/>
      <c r="BV139" s="816"/>
      <c r="BW139" s="816"/>
      <c r="BX139" s="609"/>
      <c r="BY139" s="609"/>
      <c r="BZ139" s="816"/>
      <c r="CA139" s="816"/>
      <c r="CB139" s="609"/>
      <c r="CC139" s="609"/>
      <c r="CD139" s="816"/>
      <c r="CE139" s="816"/>
      <c r="CF139" s="816"/>
      <c r="CG139" s="816"/>
      <c r="CH139" s="816"/>
      <c r="CI139" s="816"/>
      <c r="CJ139" s="816"/>
      <c r="CK139" s="816"/>
      <c r="CL139" s="819"/>
      <c r="CM139" s="816"/>
      <c r="CN139" s="820"/>
      <c r="CO139" s="820"/>
      <c r="CP139" s="820"/>
      <c r="CQ139" s="820"/>
      <c r="CR139" s="609"/>
      <c r="CS139" s="609"/>
      <c r="CT139" s="816"/>
      <c r="CU139" s="816"/>
      <c r="CV139" s="816"/>
      <c r="CW139" s="816"/>
      <c r="CX139" s="816"/>
      <c r="CY139" s="816"/>
      <c r="CZ139" s="816"/>
      <c r="DA139" s="609"/>
      <c r="DB139" s="609"/>
      <c r="DC139" s="816"/>
      <c r="DD139" s="816"/>
      <c r="DE139" s="609"/>
      <c r="DF139" s="609"/>
      <c r="DG139" s="816"/>
      <c r="DH139" s="816"/>
      <c r="DI139" s="816"/>
      <c r="DJ139" s="816"/>
      <c r="DK139" s="816"/>
      <c r="DL139" s="816"/>
      <c r="DM139" s="609"/>
      <c r="DN139" s="609"/>
      <c r="DO139" s="816"/>
      <c r="DP139" s="816"/>
      <c r="DQ139" s="609"/>
      <c r="DR139" s="609"/>
      <c r="DS139" s="816"/>
      <c r="DT139" s="816"/>
      <c r="DU139" s="609"/>
      <c r="DV139" s="609"/>
      <c r="DW139" s="816"/>
      <c r="DX139" s="816"/>
      <c r="DY139" s="816"/>
      <c r="DZ139" s="816"/>
      <c r="EA139" s="816"/>
      <c r="EB139" s="816"/>
      <c r="EC139" s="821"/>
      <c r="ED139" s="609"/>
      <c r="EE139" s="816"/>
      <c r="EF139" s="816"/>
      <c r="EG139" s="822"/>
      <c r="EH139" s="609"/>
      <c r="EI139" s="816"/>
      <c r="EJ139" s="816"/>
      <c r="EK139" s="609"/>
      <c r="EL139" s="816"/>
      <c r="EM139" s="816"/>
      <c r="EN139" s="816"/>
      <c r="EO139" s="816"/>
      <c r="EP139" s="816"/>
      <c r="EQ139" s="816"/>
      <c r="ER139" s="816"/>
      <c r="ES139" s="816"/>
      <c r="ET139" s="816"/>
      <c r="EU139" s="816"/>
      <c r="EV139" s="816"/>
      <c r="EW139" s="823"/>
      <c r="EX139" s="824"/>
      <c r="EY139" s="825"/>
      <c r="EZ139" s="825"/>
      <c r="FA139" s="816"/>
      <c r="FC139" s="826"/>
      <c r="FD139" s="826"/>
      <c r="FE139" s="826"/>
      <c r="FF139" s="826"/>
    </row>
    <row r="140" spans="2:162" s="780" customFormat="1"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816"/>
      <c r="S140" s="816"/>
      <c r="T140" s="816"/>
      <c r="U140" s="816"/>
      <c r="V140" s="816"/>
      <c r="W140" s="816"/>
      <c r="X140" s="609"/>
      <c r="Y140" s="609"/>
      <c r="Z140" s="816"/>
      <c r="AA140" s="816"/>
      <c r="AB140" s="609"/>
      <c r="AC140" s="609"/>
      <c r="AD140" s="816"/>
      <c r="AE140" s="816"/>
      <c r="AF140" s="609"/>
      <c r="AG140" s="609"/>
      <c r="AH140" s="816"/>
      <c r="AI140" s="816"/>
      <c r="AJ140" s="817"/>
      <c r="AK140" s="609"/>
      <c r="AL140" s="609"/>
      <c r="AM140" s="816"/>
      <c r="AN140" s="816"/>
      <c r="AO140" s="816"/>
      <c r="AP140" s="816"/>
      <c r="AQ140" s="816"/>
      <c r="AR140" s="816"/>
      <c r="AS140" s="816"/>
      <c r="AT140" s="609"/>
      <c r="AU140" s="609"/>
      <c r="AV140" s="609"/>
      <c r="AW140" s="818"/>
      <c r="AX140" s="816"/>
      <c r="AY140" s="816"/>
      <c r="AZ140" s="609"/>
      <c r="BA140" s="609"/>
      <c r="BB140" s="816"/>
      <c r="BC140" s="816"/>
      <c r="BD140" s="609"/>
      <c r="BE140" s="609"/>
      <c r="BF140" s="816"/>
      <c r="BG140" s="816"/>
      <c r="BH140" s="816"/>
      <c r="BI140" s="816"/>
      <c r="BJ140" s="816"/>
      <c r="BK140" s="816"/>
      <c r="BL140" s="816"/>
      <c r="BM140" s="816"/>
      <c r="BN140" s="816"/>
      <c r="BO140" s="816"/>
      <c r="BP140" s="816"/>
      <c r="BQ140" s="816"/>
      <c r="BR140" s="816"/>
      <c r="BS140" s="816"/>
      <c r="BT140" s="816"/>
      <c r="BU140" s="816"/>
      <c r="BV140" s="816"/>
      <c r="BW140" s="816"/>
      <c r="BX140" s="609"/>
      <c r="BY140" s="609"/>
      <c r="BZ140" s="816"/>
      <c r="CA140" s="816"/>
      <c r="CB140" s="609"/>
      <c r="CC140" s="609"/>
      <c r="CD140" s="816"/>
      <c r="CE140" s="816"/>
      <c r="CF140" s="816"/>
      <c r="CG140" s="816"/>
      <c r="CH140" s="816"/>
      <c r="CI140" s="816"/>
      <c r="CJ140" s="816"/>
      <c r="CK140" s="816"/>
      <c r="CL140" s="819"/>
      <c r="CM140" s="816"/>
      <c r="CN140" s="820"/>
      <c r="CO140" s="820"/>
      <c r="CP140" s="820"/>
      <c r="CQ140" s="820"/>
      <c r="CR140" s="609"/>
      <c r="CS140" s="609"/>
      <c r="CT140" s="816"/>
      <c r="CU140" s="816"/>
      <c r="CV140" s="816"/>
      <c r="CW140" s="816"/>
      <c r="CX140" s="816"/>
      <c r="CY140" s="816"/>
      <c r="CZ140" s="816"/>
      <c r="DA140" s="609"/>
      <c r="DB140" s="609"/>
      <c r="DC140" s="816"/>
      <c r="DD140" s="816"/>
      <c r="DE140" s="609"/>
      <c r="DF140" s="609"/>
      <c r="DG140" s="816"/>
      <c r="DH140" s="816"/>
      <c r="DI140" s="816"/>
      <c r="DJ140" s="816"/>
      <c r="DK140" s="816"/>
      <c r="DL140" s="816"/>
      <c r="DM140" s="609"/>
      <c r="DN140" s="609"/>
      <c r="DO140" s="816"/>
      <c r="DP140" s="816"/>
      <c r="DQ140" s="609"/>
      <c r="DR140" s="609"/>
      <c r="DS140" s="816"/>
      <c r="DT140" s="816"/>
      <c r="DU140" s="609"/>
      <c r="DV140" s="609"/>
      <c r="DW140" s="816"/>
      <c r="DX140" s="816"/>
      <c r="DY140" s="816"/>
      <c r="DZ140" s="816"/>
      <c r="EA140" s="816"/>
      <c r="EB140" s="816"/>
      <c r="EC140" s="821"/>
      <c r="ED140" s="609"/>
      <c r="EE140" s="816"/>
      <c r="EF140" s="816"/>
      <c r="EG140" s="822"/>
      <c r="EH140" s="609"/>
      <c r="EI140" s="816"/>
      <c r="EJ140" s="816"/>
      <c r="EK140" s="609"/>
      <c r="EL140" s="816"/>
      <c r="EM140" s="816"/>
      <c r="EN140" s="816"/>
      <c r="EO140" s="816"/>
      <c r="EP140" s="816"/>
      <c r="EQ140" s="816"/>
      <c r="ER140" s="816"/>
      <c r="ES140" s="816"/>
      <c r="ET140" s="816"/>
      <c r="EU140" s="816"/>
      <c r="EV140" s="816"/>
      <c r="EW140" s="823"/>
      <c r="EX140" s="824"/>
      <c r="EY140" s="825"/>
      <c r="EZ140" s="825"/>
      <c r="FA140" s="816"/>
      <c r="FC140" s="826"/>
      <c r="FD140" s="826"/>
      <c r="FE140" s="826"/>
      <c r="FF140" s="826"/>
    </row>
    <row r="141" spans="2:162" s="780" customFormat="1"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816"/>
      <c r="S141" s="816"/>
      <c r="T141" s="816"/>
      <c r="U141" s="816"/>
      <c r="V141" s="816"/>
      <c r="W141" s="816"/>
      <c r="X141" s="609"/>
      <c r="Y141" s="609"/>
      <c r="Z141" s="816"/>
      <c r="AA141" s="816"/>
      <c r="AB141" s="609"/>
      <c r="AC141" s="609"/>
      <c r="AD141" s="816"/>
      <c r="AE141" s="816"/>
      <c r="AF141" s="609"/>
      <c r="AG141" s="609"/>
      <c r="AH141" s="816"/>
      <c r="AI141" s="816"/>
      <c r="AJ141" s="817"/>
      <c r="AK141" s="609"/>
      <c r="AL141" s="609"/>
      <c r="AM141" s="816"/>
      <c r="AN141" s="816"/>
      <c r="AO141" s="816"/>
      <c r="AP141" s="816"/>
      <c r="AQ141" s="816"/>
      <c r="AR141" s="816"/>
      <c r="AS141" s="816"/>
      <c r="AT141" s="609"/>
      <c r="AU141" s="609"/>
      <c r="AV141" s="609"/>
      <c r="AW141" s="818"/>
      <c r="AX141" s="816"/>
      <c r="AY141" s="816"/>
      <c r="AZ141" s="609"/>
      <c r="BA141" s="609"/>
      <c r="BB141" s="816"/>
      <c r="BC141" s="816"/>
      <c r="BD141" s="609"/>
      <c r="BE141" s="609"/>
      <c r="BF141" s="816"/>
      <c r="BG141" s="816"/>
      <c r="BH141" s="816"/>
      <c r="BI141" s="816"/>
      <c r="BJ141" s="816"/>
      <c r="BK141" s="816"/>
      <c r="BL141" s="816"/>
      <c r="BM141" s="816"/>
      <c r="BN141" s="816"/>
      <c r="BO141" s="816"/>
      <c r="BP141" s="816"/>
      <c r="BQ141" s="816"/>
      <c r="BR141" s="816"/>
      <c r="BS141" s="816"/>
      <c r="BT141" s="816"/>
      <c r="BU141" s="816"/>
      <c r="BV141" s="816"/>
      <c r="BW141" s="816"/>
      <c r="BX141" s="609"/>
      <c r="BY141" s="609"/>
      <c r="BZ141" s="816"/>
      <c r="CA141" s="816"/>
      <c r="CB141" s="609"/>
      <c r="CC141" s="609"/>
      <c r="CD141" s="816"/>
      <c r="CE141" s="816"/>
      <c r="CF141" s="816"/>
      <c r="CG141" s="816"/>
      <c r="CH141" s="816"/>
      <c r="CI141" s="816"/>
      <c r="CJ141" s="816"/>
      <c r="CK141" s="816"/>
      <c r="CL141" s="819"/>
      <c r="CM141" s="816"/>
      <c r="CN141" s="820"/>
      <c r="CO141" s="820"/>
      <c r="CP141" s="820"/>
      <c r="CQ141" s="820"/>
      <c r="CR141" s="609"/>
      <c r="CS141" s="609"/>
      <c r="CT141" s="816"/>
      <c r="CU141" s="816"/>
      <c r="CV141" s="816"/>
      <c r="CW141" s="816"/>
      <c r="CX141" s="816"/>
      <c r="CY141" s="816"/>
      <c r="CZ141" s="816"/>
      <c r="DA141" s="609"/>
      <c r="DB141" s="609"/>
      <c r="DC141" s="816"/>
      <c r="DD141" s="816"/>
      <c r="DE141" s="609"/>
      <c r="DF141" s="609"/>
      <c r="DG141" s="816"/>
      <c r="DH141" s="816"/>
      <c r="DI141" s="816"/>
      <c r="DJ141" s="816"/>
      <c r="DK141" s="816"/>
      <c r="DL141" s="816"/>
      <c r="DM141" s="609"/>
      <c r="DN141" s="609"/>
      <c r="DO141" s="816"/>
      <c r="DP141" s="816"/>
      <c r="DQ141" s="609"/>
      <c r="DR141" s="609"/>
      <c r="DS141" s="816"/>
      <c r="DT141" s="816"/>
      <c r="DU141" s="609"/>
      <c r="DV141" s="609"/>
      <c r="DW141" s="816"/>
      <c r="DX141" s="816"/>
      <c r="DY141" s="816"/>
      <c r="DZ141" s="816"/>
      <c r="EA141" s="816"/>
      <c r="EB141" s="816"/>
      <c r="EC141" s="821"/>
      <c r="ED141" s="609"/>
      <c r="EE141" s="816"/>
      <c r="EF141" s="816"/>
      <c r="EG141" s="822"/>
      <c r="EH141" s="609"/>
      <c r="EI141" s="816"/>
      <c r="EJ141" s="816"/>
      <c r="EK141" s="609"/>
      <c r="EL141" s="816"/>
      <c r="EM141" s="816"/>
      <c r="EN141" s="816"/>
      <c r="EO141" s="816"/>
      <c r="EP141" s="816"/>
      <c r="EQ141" s="816"/>
      <c r="ER141" s="816"/>
      <c r="ES141" s="816"/>
      <c r="ET141" s="816"/>
      <c r="EU141" s="816"/>
      <c r="EV141" s="816"/>
      <c r="EW141" s="823"/>
      <c r="EX141" s="824"/>
      <c r="EY141" s="825"/>
      <c r="EZ141" s="825"/>
      <c r="FA141" s="816"/>
      <c r="FC141" s="826"/>
      <c r="FD141" s="826"/>
      <c r="FE141" s="826"/>
      <c r="FF141" s="826"/>
    </row>
    <row r="142" spans="2:162" s="780" customFormat="1">
      <c r="B142" s="609"/>
      <c r="C142" s="609"/>
      <c r="D142" s="609"/>
      <c r="E142" s="609"/>
      <c r="F142" s="609"/>
      <c r="G142" s="609"/>
      <c r="H142" s="609"/>
      <c r="I142" s="609"/>
      <c r="J142" s="609"/>
      <c r="K142" s="609"/>
      <c r="L142" s="609"/>
      <c r="M142" s="609"/>
      <c r="N142" s="609"/>
      <c r="O142" s="609"/>
      <c r="P142" s="609"/>
      <c r="Q142" s="609"/>
      <c r="R142" s="816"/>
      <c r="S142" s="816"/>
      <c r="T142" s="816"/>
      <c r="U142" s="816"/>
      <c r="V142" s="816"/>
      <c r="W142" s="816"/>
      <c r="X142" s="609"/>
      <c r="Y142" s="609"/>
      <c r="Z142" s="816"/>
      <c r="AA142" s="816"/>
      <c r="AB142" s="609"/>
      <c r="AC142" s="609"/>
      <c r="AD142" s="816"/>
      <c r="AE142" s="816"/>
      <c r="AF142" s="609"/>
      <c r="AG142" s="609"/>
      <c r="AH142" s="816"/>
      <c r="AI142" s="816"/>
      <c r="AJ142" s="817"/>
      <c r="AK142" s="609"/>
      <c r="AL142" s="609"/>
      <c r="AM142" s="816"/>
      <c r="AN142" s="816"/>
      <c r="AO142" s="816"/>
      <c r="AP142" s="816"/>
      <c r="AQ142" s="816"/>
      <c r="AR142" s="816"/>
      <c r="AS142" s="816"/>
      <c r="AT142" s="609"/>
      <c r="AU142" s="609"/>
      <c r="AV142" s="609"/>
      <c r="AW142" s="818"/>
      <c r="AX142" s="816"/>
      <c r="AY142" s="816"/>
      <c r="AZ142" s="609"/>
      <c r="BA142" s="609"/>
      <c r="BB142" s="816"/>
      <c r="BC142" s="816"/>
      <c r="BD142" s="609"/>
      <c r="BE142" s="609"/>
      <c r="BF142" s="816"/>
      <c r="BG142" s="816"/>
      <c r="BH142" s="816"/>
      <c r="BI142" s="816"/>
      <c r="BJ142" s="816"/>
      <c r="BK142" s="816"/>
      <c r="BL142" s="816"/>
      <c r="BM142" s="816"/>
      <c r="BN142" s="816"/>
      <c r="BO142" s="816"/>
      <c r="BP142" s="816"/>
      <c r="BQ142" s="816"/>
      <c r="BR142" s="816"/>
      <c r="BS142" s="816"/>
      <c r="BT142" s="816"/>
      <c r="BU142" s="816"/>
      <c r="BV142" s="816"/>
      <c r="BW142" s="816"/>
      <c r="BX142" s="609"/>
      <c r="BY142" s="609"/>
      <c r="BZ142" s="816"/>
      <c r="CA142" s="816"/>
      <c r="CB142" s="609"/>
      <c r="CC142" s="609"/>
      <c r="CD142" s="816"/>
      <c r="CE142" s="816"/>
      <c r="CF142" s="816"/>
      <c r="CG142" s="816"/>
      <c r="CH142" s="816"/>
      <c r="CI142" s="816"/>
      <c r="CJ142" s="816"/>
      <c r="CK142" s="816"/>
      <c r="CL142" s="819"/>
      <c r="CM142" s="816"/>
      <c r="CN142" s="820"/>
      <c r="CO142" s="820"/>
      <c r="CP142" s="820"/>
      <c r="CQ142" s="820"/>
      <c r="CR142" s="609"/>
      <c r="CS142" s="609"/>
      <c r="CT142" s="816"/>
      <c r="CU142" s="816"/>
      <c r="CV142" s="816"/>
      <c r="CW142" s="816"/>
      <c r="CX142" s="816"/>
      <c r="CY142" s="816"/>
      <c r="CZ142" s="816"/>
      <c r="DA142" s="609"/>
      <c r="DB142" s="609"/>
      <c r="DC142" s="816"/>
      <c r="DD142" s="816"/>
      <c r="DE142" s="609"/>
      <c r="DF142" s="609"/>
      <c r="DG142" s="816"/>
      <c r="DH142" s="816"/>
      <c r="DI142" s="816"/>
      <c r="DJ142" s="816"/>
      <c r="DK142" s="816"/>
      <c r="DL142" s="816"/>
      <c r="DM142" s="609"/>
      <c r="DN142" s="609"/>
      <c r="DO142" s="816"/>
      <c r="DP142" s="816"/>
      <c r="DQ142" s="609"/>
      <c r="DR142" s="609"/>
      <c r="DS142" s="816"/>
      <c r="DT142" s="816"/>
      <c r="DU142" s="609"/>
      <c r="DV142" s="609"/>
      <c r="DW142" s="816"/>
      <c r="DX142" s="816"/>
      <c r="DY142" s="816"/>
      <c r="DZ142" s="816"/>
      <c r="EA142" s="816"/>
      <c r="EB142" s="816"/>
      <c r="EC142" s="821"/>
      <c r="ED142" s="609"/>
      <c r="EE142" s="816"/>
      <c r="EF142" s="816"/>
      <c r="EG142" s="822"/>
      <c r="EH142" s="609"/>
      <c r="EI142" s="816"/>
      <c r="EJ142" s="816"/>
      <c r="EK142" s="609"/>
      <c r="EL142" s="816"/>
      <c r="EM142" s="816"/>
      <c r="EN142" s="816"/>
      <c r="EO142" s="816"/>
      <c r="EP142" s="816"/>
      <c r="EQ142" s="816"/>
      <c r="ER142" s="816"/>
      <c r="ES142" s="816"/>
      <c r="ET142" s="816"/>
      <c r="EU142" s="816"/>
      <c r="EV142" s="816"/>
      <c r="EW142" s="823"/>
      <c r="EX142" s="824"/>
      <c r="EY142" s="825"/>
      <c r="EZ142" s="825"/>
      <c r="FA142" s="816"/>
      <c r="FC142" s="826"/>
      <c r="FD142" s="826"/>
      <c r="FE142" s="826"/>
      <c r="FF142" s="826"/>
    </row>
    <row r="143" spans="2:162" s="780" customFormat="1">
      <c r="B143" s="609"/>
      <c r="C143" s="609"/>
      <c r="D143" s="609"/>
      <c r="E143" s="609"/>
      <c r="F143" s="609"/>
      <c r="G143" s="609"/>
      <c r="H143" s="609"/>
      <c r="I143" s="609"/>
      <c r="J143" s="609"/>
      <c r="K143" s="609"/>
      <c r="L143" s="609"/>
      <c r="M143" s="609"/>
      <c r="N143" s="609"/>
      <c r="O143" s="609"/>
      <c r="P143" s="609"/>
      <c r="Q143" s="609"/>
      <c r="R143" s="816"/>
      <c r="S143" s="816"/>
      <c r="T143" s="816"/>
      <c r="U143" s="816"/>
      <c r="V143" s="816"/>
      <c r="W143" s="816"/>
      <c r="X143" s="609"/>
      <c r="Y143" s="609"/>
      <c r="Z143" s="816"/>
      <c r="AA143" s="816"/>
      <c r="AB143" s="609"/>
      <c r="AC143" s="609"/>
      <c r="AD143" s="816"/>
      <c r="AE143" s="816"/>
      <c r="AF143" s="609"/>
      <c r="AG143" s="609"/>
      <c r="AH143" s="816"/>
      <c r="AI143" s="816"/>
      <c r="AJ143" s="817"/>
      <c r="AK143" s="609"/>
      <c r="AL143" s="609"/>
      <c r="AM143" s="816"/>
      <c r="AN143" s="816"/>
      <c r="AO143" s="816"/>
      <c r="AP143" s="816"/>
      <c r="AQ143" s="816"/>
      <c r="AR143" s="816"/>
      <c r="AS143" s="816"/>
      <c r="AT143" s="609"/>
      <c r="AU143" s="609"/>
      <c r="AV143" s="609"/>
      <c r="AW143" s="818"/>
      <c r="AX143" s="816"/>
      <c r="AY143" s="816"/>
      <c r="AZ143" s="609"/>
      <c r="BA143" s="609"/>
      <c r="BB143" s="816"/>
      <c r="BC143" s="816"/>
      <c r="BD143" s="609"/>
      <c r="BE143" s="609"/>
      <c r="BF143" s="816"/>
      <c r="BG143" s="816"/>
      <c r="BH143" s="816"/>
      <c r="BI143" s="816"/>
      <c r="BJ143" s="816"/>
      <c r="BK143" s="816"/>
      <c r="BL143" s="816"/>
      <c r="BM143" s="816"/>
      <c r="BN143" s="816"/>
      <c r="BO143" s="816"/>
      <c r="BP143" s="816"/>
      <c r="BQ143" s="816"/>
      <c r="BR143" s="816"/>
      <c r="BS143" s="816"/>
      <c r="BT143" s="816"/>
      <c r="BU143" s="816"/>
      <c r="BV143" s="816"/>
      <c r="BW143" s="816"/>
      <c r="BX143" s="609"/>
      <c r="BY143" s="609"/>
      <c r="BZ143" s="816"/>
      <c r="CA143" s="816"/>
      <c r="CB143" s="609"/>
      <c r="CC143" s="609"/>
      <c r="CD143" s="816"/>
      <c r="CE143" s="816"/>
      <c r="CF143" s="816"/>
      <c r="CG143" s="816"/>
      <c r="CH143" s="816"/>
      <c r="CI143" s="816"/>
      <c r="CJ143" s="816"/>
      <c r="CK143" s="816"/>
      <c r="CL143" s="819"/>
      <c r="CM143" s="816"/>
      <c r="CN143" s="820"/>
      <c r="CO143" s="820"/>
      <c r="CP143" s="820"/>
      <c r="CQ143" s="820"/>
      <c r="CR143" s="609"/>
      <c r="CS143" s="609"/>
      <c r="CT143" s="816"/>
      <c r="CU143" s="816"/>
      <c r="CV143" s="816"/>
      <c r="CW143" s="816"/>
      <c r="CX143" s="816"/>
      <c r="CY143" s="816"/>
      <c r="CZ143" s="816"/>
      <c r="DA143" s="609"/>
      <c r="DB143" s="609"/>
      <c r="DC143" s="816"/>
      <c r="DD143" s="816"/>
      <c r="DE143" s="609"/>
      <c r="DF143" s="609"/>
      <c r="DG143" s="816"/>
      <c r="DH143" s="816"/>
      <c r="DI143" s="816"/>
      <c r="DJ143" s="816"/>
      <c r="DK143" s="816"/>
      <c r="DL143" s="816"/>
      <c r="DM143" s="609"/>
      <c r="DN143" s="609"/>
      <c r="DO143" s="816"/>
      <c r="DP143" s="816"/>
      <c r="DQ143" s="609"/>
      <c r="DR143" s="609"/>
      <c r="DS143" s="816"/>
      <c r="DT143" s="816"/>
      <c r="DU143" s="609"/>
      <c r="DV143" s="609"/>
      <c r="DW143" s="816"/>
      <c r="DX143" s="816"/>
      <c r="DY143" s="816"/>
      <c r="DZ143" s="816"/>
      <c r="EA143" s="816"/>
      <c r="EB143" s="816"/>
      <c r="EC143" s="821"/>
      <c r="ED143" s="609"/>
      <c r="EE143" s="816"/>
      <c r="EF143" s="816"/>
      <c r="EG143" s="822"/>
      <c r="EH143" s="609"/>
      <c r="EI143" s="816"/>
      <c r="EJ143" s="816"/>
      <c r="EK143" s="609"/>
      <c r="EL143" s="816"/>
      <c r="EM143" s="816"/>
      <c r="EN143" s="816"/>
      <c r="EO143" s="816"/>
      <c r="EP143" s="816"/>
      <c r="EQ143" s="816"/>
      <c r="ER143" s="816"/>
      <c r="ES143" s="816"/>
      <c r="ET143" s="816"/>
      <c r="EU143" s="816"/>
      <c r="EV143" s="816"/>
      <c r="EW143" s="823"/>
      <c r="EX143" s="824"/>
      <c r="EY143" s="825"/>
      <c r="EZ143" s="825"/>
      <c r="FA143" s="816"/>
      <c r="FC143" s="826"/>
      <c r="FD143" s="826"/>
      <c r="FE143" s="826"/>
      <c r="FF143" s="826"/>
    </row>
    <row r="144" spans="2:162" s="780" customFormat="1">
      <c r="B144" s="609"/>
      <c r="C144" s="609"/>
      <c r="D144" s="609"/>
      <c r="E144" s="609"/>
      <c r="F144" s="609"/>
      <c r="G144" s="609"/>
      <c r="H144" s="609"/>
      <c r="I144" s="609"/>
      <c r="J144" s="609"/>
      <c r="K144" s="609"/>
      <c r="L144" s="609"/>
      <c r="M144" s="609"/>
      <c r="N144" s="609"/>
      <c r="O144" s="609"/>
      <c r="P144" s="609"/>
      <c r="Q144" s="609"/>
      <c r="R144" s="816"/>
      <c r="S144" s="816"/>
      <c r="T144" s="816"/>
      <c r="U144" s="816"/>
      <c r="V144" s="816"/>
      <c r="W144" s="816"/>
      <c r="X144" s="609"/>
      <c r="Y144" s="609"/>
      <c r="Z144" s="816"/>
      <c r="AA144" s="816"/>
      <c r="AB144" s="609"/>
      <c r="AC144" s="609"/>
      <c r="AD144" s="816"/>
      <c r="AE144" s="816"/>
      <c r="AF144" s="609"/>
      <c r="AG144" s="609"/>
      <c r="AH144" s="816"/>
      <c r="AI144" s="816"/>
      <c r="AJ144" s="817"/>
      <c r="AK144" s="609"/>
      <c r="AL144" s="609"/>
      <c r="AM144" s="816"/>
      <c r="AN144" s="816"/>
      <c r="AO144" s="816"/>
      <c r="AP144" s="816"/>
      <c r="AQ144" s="816"/>
      <c r="AR144" s="816"/>
      <c r="AS144" s="816"/>
      <c r="AT144" s="609"/>
      <c r="AU144" s="609"/>
      <c r="AV144" s="609"/>
      <c r="AW144" s="818"/>
      <c r="AX144" s="816"/>
      <c r="AY144" s="816"/>
      <c r="AZ144" s="609"/>
      <c r="BA144" s="609"/>
      <c r="BB144" s="816"/>
      <c r="BC144" s="816"/>
      <c r="BD144" s="609"/>
      <c r="BE144" s="609"/>
      <c r="BF144" s="816"/>
      <c r="BG144" s="816"/>
      <c r="BH144" s="816"/>
      <c r="BI144" s="816"/>
      <c r="BJ144" s="816"/>
      <c r="BK144" s="816"/>
      <c r="BL144" s="816"/>
      <c r="BM144" s="816"/>
      <c r="BN144" s="816"/>
      <c r="BO144" s="816"/>
      <c r="BP144" s="816"/>
      <c r="BQ144" s="816"/>
      <c r="BR144" s="816"/>
      <c r="BS144" s="816"/>
      <c r="BT144" s="816"/>
      <c r="BU144" s="816"/>
      <c r="BV144" s="816"/>
      <c r="BW144" s="816"/>
      <c r="BX144" s="609"/>
      <c r="BY144" s="609"/>
      <c r="BZ144" s="816"/>
      <c r="CA144" s="816"/>
      <c r="CB144" s="609"/>
      <c r="CC144" s="609"/>
      <c r="CD144" s="816"/>
      <c r="CE144" s="816"/>
      <c r="CF144" s="816"/>
      <c r="CG144" s="816"/>
      <c r="CH144" s="816"/>
      <c r="CI144" s="816"/>
      <c r="CJ144" s="816"/>
      <c r="CK144" s="816"/>
      <c r="CL144" s="819"/>
      <c r="CM144" s="816"/>
      <c r="CN144" s="820"/>
      <c r="CO144" s="820"/>
      <c r="CP144" s="820"/>
      <c r="CQ144" s="820"/>
      <c r="CR144" s="609"/>
      <c r="CS144" s="609"/>
      <c r="CT144" s="816"/>
      <c r="CU144" s="816"/>
      <c r="CV144" s="816"/>
      <c r="CW144" s="816"/>
      <c r="CX144" s="816"/>
      <c r="CY144" s="816"/>
      <c r="CZ144" s="816"/>
      <c r="DA144" s="609"/>
      <c r="DB144" s="609"/>
      <c r="DC144" s="816"/>
      <c r="DD144" s="816"/>
      <c r="DE144" s="609"/>
      <c r="DF144" s="609"/>
      <c r="DG144" s="816"/>
      <c r="DH144" s="816"/>
      <c r="DI144" s="816"/>
      <c r="DJ144" s="816"/>
      <c r="DK144" s="816"/>
      <c r="DL144" s="816"/>
      <c r="DM144" s="609"/>
      <c r="DN144" s="609"/>
      <c r="DO144" s="816"/>
      <c r="DP144" s="816"/>
      <c r="DQ144" s="609"/>
      <c r="DR144" s="609"/>
      <c r="DS144" s="816"/>
      <c r="DT144" s="816"/>
      <c r="DU144" s="609"/>
      <c r="DV144" s="609"/>
      <c r="DW144" s="816"/>
      <c r="DX144" s="816"/>
      <c r="DY144" s="816"/>
      <c r="DZ144" s="816"/>
      <c r="EA144" s="816"/>
      <c r="EB144" s="816"/>
      <c r="EC144" s="821"/>
      <c r="ED144" s="609"/>
      <c r="EE144" s="816"/>
      <c r="EF144" s="816"/>
      <c r="EG144" s="822"/>
      <c r="EH144" s="609"/>
      <c r="EI144" s="816"/>
      <c r="EJ144" s="816"/>
      <c r="EK144" s="609"/>
      <c r="EL144" s="816"/>
      <c r="EM144" s="816"/>
      <c r="EN144" s="816"/>
      <c r="EO144" s="816"/>
      <c r="EP144" s="816"/>
      <c r="EQ144" s="816"/>
      <c r="ER144" s="816"/>
      <c r="ES144" s="816"/>
      <c r="ET144" s="816"/>
      <c r="EU144" s="816"/>
      <c r="EV144" s="816"/>
      <c r="EW144" s="823"/>
      <c r="EX144" s="824"/>
      <c r="EY144" s="825"/>
      <c r="EZ144" s="825"/>
      <c r="FA144" s="816"/>
      <c r="FC144" s="826"/>
      <c r="FD144" s="826"/>
      <c r="FE144" s="826"/>
      <c r="FF144" s="826"/>
    </row>
    <row r="145" spans="2:162" s="780" customFormat="1">
      <c r="B145" s="609"/>
      <c r="C145" s="609"/>
      <c r="D145" s="609"/>
      <c r="E145" s="609"/>
      <c r="F145" s="609"/>
      <c r="G145" s="609"/>
      <c r="H145" s="609"/>
      <c r="I145" s="609"/>
      <c r="J145" s="609"/>
      <c r="K145" s="609"/>
      <c r="L145" s="609"/>
      <c r="M145" s="609"/>
      <c r="N145" s="609"/>
      <c r="O145" s="609"/>
      <c r="P145" s="609"/>
      <c r="Q145" s="609"/>
      <c r="R145" s="816"/>
      <c r="S145" s="816"/>
      <c r="T145" s="816"/>
      <c r="U145" s="816"/>
      <c r="V145" s="816"/>
      <c r="W145" s="816"/>
      <c r="X145" s="609"/>
      <c r="Y145" s="609"/>
      <c r="Z145" s="816"/>
      <c r="AA145" s="816"/>
      <c r="AB145" s="609"/>
      <c r="AC145" s="609"/>
      <c r="AD145" s="816"/>
      <c r="AE145" s="816"/>
      <c r="AF145" s="609"/>
      <c r="AG145" s="609"/>
      <c r="AH145" s="816"/>
      <c r="AI145" s="816"/>
      <c r="AJ145" s="817"/>
      <c r="AK145" s="609"/>
      <c r="AL145" s="609"/>
      <c r="AM145" s="816"/>
      <c r="AN145" s="816"/>
      <c r="AO145" s="816"/>
      <c r="AP145" s="816"/>
      <c r="AQ145" s="816"/>
      <c r="AR145" s="816"/>
      <c r="AS145" s="816"/>
      <c r="AT145" s="609"/>
      <c r="AU145" s="609"/>
      <c r="AV145" s="609"/>
      <c r="AW145" s="818"/>
      <c r="AX145" s="816"/>
      <c r="AY145" s="816"/>
      <c r="AZ145" s="609"/>
      <c r="BA145" s="609"/>
      <c r="BB145" s="816"/>
      <c r="BC145" s="816"/>
      <c r="BD145" s="609"/>
      <c r="BE145" s="609"/>
      <c r="BF145" s="816"/>
      <c r="BG145" s="816"/>
      <c r="BH145" s="816"/>
      <c r="BI145" s="816"/>
      <c r="BJ145" s="816"/>
      <c r="BK145" s="816"/>
      <c r="BL145" s="816"/>
      <c r="BM145" s="816"/>
      <c r="BN145" s="816"/>
      <c r="BO145" s="816"/>
      <c r="BP145" s="816"/>
      <c r="BQ145" s="816"/>
      <c r="BR145" s="816"/>
      <c r="BS145" s="816"/>
      <c r="BT145" s="816"/>
      <c r="BU145" s="816"/>
      <c r="BV145" s="816"/>
      <c r="BW145" s="816"/>
      <c r="BX145" s="609"/>
      <c r="BY145" s="609"/>
      <c r="BZ145" s="816"/>
      <c r="CA145" s="816"/>
      <c r="CB145" s="609"/>
      <c r="CC145" s="609"/>
      <c r="CD145" s="816"/>
      <c r="CE145" s="816"/>
      <c r="CF145" s="816"/>
      <c r="CG145" s="816"/>
      <c r="CH145" s="816"/>
      <c r="CI145" s="816"/>
      <c r="CJ145" s="816"/>
      <c r="CK145" s="816"/>
      <c r="CL145" s="819"/>
      <c r="CM145" s="816"/>
      <c r="CN145" s="820"/>
      <c r="CO145" s="820"/>
      <c r="CP145" s="820"/>
      <c r="CQ145" s="820"/>
      <c r="CR145" s="609"/>
      <c r="CS145" s="609"/>
      <c r="CT145" s="816"/>
      <c r="CU145" s="816"/>
      <c r="CV145" s="816"/>
      <c r="CW145" s="816"/>
      <c r="CX145" s="816"/>
      <c r="CY145" s="816"/>
      <c r="CZ145" s="816"/>
      <c r="DA145" s="609"/>
      <c r="DB145" s="609"/>
      <c r="DC145" s="816"/>
      <c r="DD145" s="816"/>
      <c r="DE145" s="609"/>
      <c r="DF145" s="609"/>
      <c r="DG145" s="816"/>
      <c r="DH145" s="816"/>
      <c r="DI145" s="816"/>
      <c r="DJ145" s="816"/>
      <c r="DK145" s="816"/>
      <c r="DL145" s="816"/>
      <c r="DM145" s="609"/>
      <c r="DN145" s="609"/>
      <c r="DO145" s="816"/>
      <c r="DP145" s="816"/>
      <c r="DQ145" s="609"/>
      <c r="DR145" s="609"/>
      <c r="DS145" s="816"/>
      <c r="DT145" s="816"/>
      <c r="DU145" s="609"/>
      <c r="DV145" s="609"/>
      <c r="DW145" s="816"/>
      <c r="DX145" s="816"/>
      <c r="DY145" s="816"/>
      <c r="DZ145" s="816"/>
      <c r="EA145" s="816"/>
      <c r="EB145" s="816"/>
      <c r="EC145" s="821"/>
      <c r="ED145" s="609"/>
      <c r="EE145" s="816"/>
      <c r="EF145" s="816"/>
      <c r="EG145" s="822"/>
      <c r="EH145" s="609"/>
      <c r="EI145" s="816"/>
      <c r="EJ145" s="816"/>
      <c r="EK145" s="609"/>
      <c r="EL145" s="816"/>
      <c r="EM145" s="816"/>
      <c r="EN145" s="816"/>
      <c r="EO145" s="816"/>
      <c r="EP145" s="816"/>
      <c r="EQ145" s="816"/>
      <c r="ER145" s="816"/>
      <c r="ES145" s="816"/>
      <c r="ET145" s="816"/>
      <c r="EU145" s="816"/>
      <c r="EV145" s="816"/>
      <c r="EW145" s="823"/>
      <c r="EX145" s="824"/>
      <c r="EY145" s="825"/>
      <c r="EZ145" s="825"/>
      <c r="FA145" s="816"/>
      <c r="FC145" s="826"/>
      <c r="FD145" s="826"/>
      <c r="FE145" s="826"/>
      <c r="FF145" s="826"/>
    </row>
    <row r="146" spans="2:162" s="780" customFormat="1">
      <c r="B146" s="609"/>
      <c r="C146" s="609"/>
      <c r="D146" s="609"/>
      <c r="E146" s="609"/>
      <c r="F146" s="609"/>
      <c r="G146" s="609"/>
      <c r="H146" s="609"/>
      <c r="I146" s="609"/>
      <c r="J146" s="609"/>
      <c r="K146" s="609"/>
      <c r="L146" s="609"/>
      <c r="M146" s="609"/>
      <c r="N146" s="609"/>
      <c r="O146" s="609"/>
      <c r="P146" s="609"/>
      <c r="Q146" s="609"/>
      <c r="R146" s="816"/>
      <c r="S146" s="816"/>
      <c r="T146" s="816"/>
      <c r="U146" s="816"/>
      <c r="V146" s="816"/>
      <c r="W146" s="816"/>
      <c r="X146" s="609"/>
      <c r="Y146" s="609"/>
      <c r="Z146" s="816"/>
      <c r="AA146" s="816"/>
      <c r="AB146" s="609"/>
      <c r="AC146" s="609"/>
      <c r="AD146" s="816"/>
      <c r="AE146" s="816"/>
      <c r="AF146" s="609"/>
      <c r="AG146" s="609"/>
      <c r="AH146" s="816"/>
      <c r="AI146" s="816"/>
      <c r="AJ146" s="817"/>
      <c r="AK146" s="609"/>
      <c r="AL146" s="609"/>
      <c r="AM146" s="816"/>
      <c r="AN146" s="816"/>
      <c r="AO146" s="816"/>
      <c r="AP146" s="816"/>
      <c r="AQ146" s="816"/>
      <c r="AR146" s="816"/>
      <c r="AS146" s="816"/>
      <c r="AT146" s="609"/>
      <c r="AU146" s="609"/>
      <c r="AV146" s="609"/>
      <c r="AW146" s="818"/>
      <c r="AX146" s="816"/>
      <c r="AY146" s="816"/>
      <c r="AZ146" s="609"/>
      <c r="BA146" s="609"/>
      <c r="BB146" s="816"/>
      <c r="BC146" s="816"/>
      <c r="BD146" s="609"/>
      <c r="BE146" s="609"/>
      <c r="BF146" s="816"/>
      <c r="BG146" s="816"/>
      <c r="BH146" s="816"/>
      <c r="BI146" s="816"/>
      <c r="BJ146" s="816"/>
      <c r="BK146" s="816"/>
      <c r="BL146" s="816"/>
      <c r="BM146" s="816"/>
      <c r="BN146" s="816"/>
      <c r="BO146" s="816"/>
      <c r="BP146" s="816"/>
      <c r="BQ146" s="816"/>
      <c r="BR146" s="816"/>
      <c r="BS146" s="816"/>
      <c r="BT146" s="816"/>
      <c r="BU146" s="816"/>
      <c r="BV146" s="816"/>
      <c r="BW146" s="816"/>
      <c r="BX146" s="609"/>
      <c r="BY146" s="609"/>
      <c r="BZ146" s="816"/>
      <c r="CA146" s="816"/>
      <c r="CB146" s="609"/>
      <c r="CC146" s="609"/>
      <c r="CD146" s="816"/>
      <c r="CE146" s="816"/>
      <c r="CF146" s="816"/>
      <c r="CG146" s="816"/>
      <c r="CH146" s="816"/>
      <c r="CI146" s="816"/>
      <c r="CJ146" s="816"/>
      <c r="CK146" s="816"/>
      <c r="CL146" s="819"/>
      <c r="CM146" s="816"/>
      <c r="CN146" s="820"/>
      <c r="CO146" s="820"/>
      <c r="CP146" s="820"/>
      <c r="CQ146" s="820"/>
      <c r="CR146" s="609"/>
      <c r="CS146" s="609"/>
      <c r="CT146" s="816"/>
      <c r="CU146" s="816"/>
      <c r="CV146" s="816"/>
      <c r="CW146" s="816"/>
      <c r="CX146" s="816"/>
      <c r="CY146" s="816"/>
      <c r="CZ146" s="816"/>
      <c r="DA146" s="609"/>
      <c r="DB146" s="609"/>
      <c r="DC146" s="816"/>
      <c r="DD146" s="816"/>
      <c r="DE146" s="609"/>
      <c r="DF146" s="609"/>
      <c r="DG146" s="816"/>
      <c r="DH146" s="816"/>
      <c r="DI146" s="816"/>
      <c r="DJ146" s="816"/>
      <c r="DK146" s="816"/>
      <c r="DL146" s="816"/>
      <c r="DM146" s="609"/>
      <c r="DN146" s="609"/>
      <c r="DO146" s="816"/>
      <c r="DP146" s="816"/>
      <c r="DQ146" s="609"/>
      <c r="DR146" s="609"/>
      <c r="DS146" s="816"/>
      <c r="DT146" s="816"/>
      <c r="DU146" s="609"/>
      <c r="DV146" s="609"/>
      <c r="DW146" s="816"/>
      <c r="DX146" s="816"/>
      <c r="DY146" s="816"/>
      <c r="DZ146" s="816"/>
      <c r="EA146" s="816"/>
      <c r="EB146" s="816"/>
      <c r="EC146" s="821"/>
      <c r="ED146" s="609"/>
      <c r="EE146" s="816"/>
      <c r="EF146" s="816"/>
      <c r="EG146" s="822"/>
      <c r="EH146" s="609"/>
      <c r="EI146" s="816"/>
      <c r="EJ146" s="816"/>
      <c r="EK146" s="609"/>
      <c r="EL146" s="816"/>
      <c r="EM146" s="816"/>
      <c r="EN146" s="816"/>
      <c r="EO146" s="816"/>
      <c r="EP146" s="816"/>
      <c r="EQ146" s="816"/>
      <c r="ER146" s="816"/>
      <c r="ES146" s="816"/>
      <c r="ET146" s="816"/>
      <c r="EU146" s="816"/>
      <c r="EV146" s="816"/>
      <c r="EW146" s="823"/>
      <c r="EX146" s="824"/>
      <c r="EY146" s="825"/>
      <c r="EZ146" s="825"/>
      <c r="FA146" s="816"/>
      <c r="FC146" s="833"/>
      <c r="FD146" s="833"/>
      <c r="FE146" s="833"/>
      <c r="FF146" s="833"/>
    </row>
    <row r="147" spans="2:162" s="780" customFormat="1">
      <c r="B147" s="609"/>
      <c r="C147" s="609"/>
      <c r="D147" s="609"/>
      <c r="E147" s="609"/>
      <c r="F147" s="609"/>
      <c r="G147" s="609"/>
      <c r="H147" s="609"/>
      <c r="I147" s="609"/>
      <c r="J147" s="609"/>
      <c r="K147" s="609"/>
      <c r="L147" s="609"/>
      <c r="M147" s="609"/>
      <c r="N147" s="609"/>
      <c r="O147" s="609"/>
      <c r="P147" s="609"/>
      <c r="Q147" s="609"/>
      <c r="R147" s="816"/>
      <c r="S147" s="816"/>
      <c r="T147" s="816"/>
      <c r="U147" s="816"/>
      <c r="V147" s="816"/>
      <c r="W147" s="816"/>
      <c r="X147" s="609"/>
      <c r="Y147" s="609"/>
      <c r="Z147" s="816"/>
      <c r="AA147" s="816"/>
      <c r="AB147" s="609"/>
      <c r="AC147" s="609"/>
      <c r="AD147" s="816"/>
      <c r="AE147" s="816"/>
      <c r="AF147" s="609"/>
      <c r="AG147" s="609"/>
      <c r="AH147" s="816"/>
      <c r="AI147" s="816"/>
      <c r="AJ147" s="817"/>
      <c r="AK147" s="609"/>
      <c r="AL147" s="609"/>
      <c r="AM147" s="816"/>
      <c r="AN147" s="816"/>
      <c r="AO147" s="816"/>
      <c r="AP147" s="816"/>
      <c r="AQ147" s="816"/>
      <c r="AR147" s="816"/>
      <c r="AS147" s="816"/>
      <c r="AT147" s="609"/>
      <c r="AU147" s="609"/>
      <c r="AV147" s="609"/>
      <c r="AW147" s="818"/>
      <c r="AX147" s="816"/>
      <c r="AY147" s="816"/>
      <c r="AZ147" s="609"/>
      <c r="BA147" s="609"/>
      <c r="BB147" s="816"/>
      <c r="BC147" s="816"/>
      <c r="BD147" s="609"/>
      <c r="BE147" s="609"/>
      <c r="BF147" s="816"/>
      <c r="BG147" s="816"/>
      <c r="BH147" s="816"/>
      <c r="BI147" s="816"/>
      <c r="BJ147" s="816"/>
      <c r="BK147" s="816"/>
      <c r="BL147" s="816"/>
      <c r="BM147" s="816"/>
      <c r="BN147" s="816"/>
      <c r="BO147" s="816"/>
      <c r="BP147" s="816"/>
      <c r="BQ147" s="816"/>
      <c r="BR147" s="816"/>
      <c r="BS147" s="816"/>
      <c r="BT147" s="816"/>
      <c r="BU147" s="816"/>
      <c r="BV147" s="816"/>
      <c r="BW147" s="816"/>
      <c r="BX147" s="609"/>
      <c r="BY147" s="609"/>
      <c r="BZ147" s="816"/>
      <c r="CA147" s="816"/>
      <c r="CB147" s="609"/>
      <c r="CC147" s="609"/>
      <c r="CD147" s="816"/>
      <c r="CE147" s="816"/>
      <c r="CF147" s="816"/>
      <c r="CG147" s="816"/>
      <c r="CH147" s="816"/>
      <c r="CI147" s="816"/>
      <c r="CJ147" s="816"/>
      <c r="CK147" s="816"/>
      <c r="CL147" s="819"/>
      <c r="CM147" s="816"/>
      <c r="CN147" s="820"/>
      <c r="CO147" s="820"/>
      <c r="CP147" s="820"/>
      <c r="CQ147" s="820"/>
      <c r="CR147" s="609"/>
      <c r="CS147" s="609"/>
      <c r="CT147" s="816"/>
      <c r="CU147" s="816"/>
      <c r="CV147" s="816"/>
      <c r="CW147" s="816"/>
      <c r="CX147" s="816"/>
      <c r="CY147" s="816"/>
      <c r="CZ147" s="816"/>
      <c r="DA147" s="609"/>
      <c r="DB147" s="609"/>
      <c r="DC147" s="816"/>
      <c r="DD147" s="816"/>
      <c r="DE147" s="609"/>
      <c r="DF147" s="609"/>
      <c r="DG147" s="816"/>
      <c r="DH147" s="816"/>
      <c r="DI147" s="816"/>
      <c r="DJ147" s="816"/>
      <c r="DK147" s="816"/>
      <c r="DL147" s="816"/>
      <c r="DM147" s="609"/>
      <c r="DN147" s="609"/>
      <c r="DO147" s="816"/>
      <c r="DP147" s="816"/>
      <c r="DQ147" s="609"/>
      <c r="DR147" s="609"/>
      <c r="DS147" s="816"/>
      <c r="DT147" s="816"/>
      <c r="DU147" s="609"/>
      <c r="DV147" s="609"/>
      <c r="DW147" s="816"/>
      <c r="DX147" s="816"/>
      <c r="DY147" s="816"/>
      <c r="DZ147" s="816"/>
      <c r="EA147" s="816"/>
      <c r="EB147" s="816"/>
      <c r="EC147" s="821"/>
      <c r="ED147" s="609"/>
      <c r="EE147" s="816"/>
      <c r="EF147" s="816"/>
      <c r="EG147" s="822"/>
      <c r="EH147" s="609"/>
      <c r="EI147" s="816"/>
      <c r="EJ147" s="816"/>
      <c r="EK147" s="609"/>
      <c r="EL147" s="816"/>
      <c r="EM147" s="816"/>
      <c r="EN147" s="816"/>
      <c r="EO147" s="816"/>
      <c r="EP147" s="816"/>
      <c r="EQ147" s="816"/>
      <c r="ER147" s="816"/>
      <c r="ES147" s="816"/>
      <c r="ET147" s="816"/>
      <c r="EU147" s="816"/>
      <c r="EV147" s="816"/>
      <c r="EW147" s="823"/>
      <c r="EX147" s="824"/>
      <c r="EY147" s="825"/>
      <c r="EZ147" s="825"/>
      <c r="FA147" s="816"/>
      <c r="FC147" s="826"/>
      <c r="FD147" s="826"/>
      <c r="FE147" s="826"/>
      <c r="FF147" s="826"/>
    </row>
    <row r="148" spans="2:162" s="780" customFormat="1">
      <c r="B148" s="609"/>
      <c r="C148" s="609"/>
      <c r="D148" s="609"/>
      <c r="E148" s="609"/>
      <c r="F148" s="609"/>
      <c r="G148" s="609"/>
      <c r="H148" s="609"/>
      <c r="I148" s="609"/>
      <c r="J148" s="609"/>
      <c r="K148" s="609"/>
      <c r="L148" s="609"/>
      <c r="M148" s="609"/>
      <c r="N148" s="609"/>
      <c r="O148" s="609"/>
      <c r="P148" s="609"/>
      <c r="Q148" s="609"/>
      <c r="R148" s="816"/>
      <c r="S148" s="816"/>
      <c r="T148" s="816"/>
      <c r="U148" s="816"/>
      <c r="V148" s="816"/>
      <c r="W148" s="816"/>
      <c r="X148" s="609"/>
      <c r="Y148" s="609"/>
      <c r="Z148" s="816"/>
      <c r="AA148" s="816"/>
      <c r="AB148" s="609"/>
      <c r="AC148" s="609"/>
      <c r="AD148" s="816"/>
      <c r="AE148" s="816"/>
      <c r="AF148" s="609"/>
      <c r="AG148" s="609"/>
      <c r="AH148" s="816"/>
      <c r="AI148" s="816"/>
      <c r="AJ148" s="817"/>
      <c r="AK148" s="609"/>
      <c r="AL148" s="609"/>
      <c r="AM148" s="816"/>
      <c r="AN148" s="816"/>
      <c r="AO148" s="816"/>
      <c r="AP148" s="816"/>
      <c r="AQ148" s="816"/>
      <c r="AR148" s="816"/>
      <c r="AS148" s="816"/>
      <c r="AT148" s="609"/>
      <c r="AU148" s="609"/>
      <c r="AV148" s="609"/>
      <c r="AW148" s="818"/>
      <c r="AX148" s="816"/>
      <c r="AY148" s="816"/>
      <c r="AZ148" s="609"/>
      <c r="BA148" s="609"/>
      <c r="BB148" s="816"/>
      <c r="BC148" s="816"/>
      <c r="BD148" s="609"/>
      <c r="BE148" s="609"/>
      <c r="BF148" s="816"/>
      <c r="BG148" s="816"/>
      <c r="BH148" s="816"/>
      <c r="BI148" s="816"/>
      <c r="BJ148" s="816"/>
      <c r="BK148" s="816"/>
      <c r="BL148" s="816"/>
      <c r="BM148" s="816"/>
      <c r="BN148" s="816"/>
      <c r="BO148" s="816"/>
      <c r="BP148" s="816"/>
      <c r="BQ148" s="816"/>
      <c r="BR148" s="816"/>
      <c r="BS148" s="816"/>
      <c r="BT148" s="816"/>
      <c r="BU148" s="816"/>
      <c r="BV148" s="816"/>
      <c r="BW148" s="816"/>
      <c r="BX148" s="609"/>
      <c r="BY148" s="609"/>
      <c r="BZ148" s="816"/>
      <c r="CA148" s="816"/>
      <c r="CB148" s="609"/>
      <c r="CC148" s="609"/>
      <c r="CD148" s="816"/>
      <c r="CE148" s="816"/>
      <c r="CF148" s="816"/>
      <c r="CG148" s="816"/>
      <c r="CH148" s="816"/>
      <c r="CI148" s="816"/>
      <c r="CJ148" s="816"/>
      <c r="CK148" s="816"/>
      <c r="CL148" s="819"/>
      <c r="CM148" s="816"/>
      <c r="CN148" s="820"/>
      <c r="CO148" s="820"/>
      <c r="CP148" s="820"/>
      <c r="CQ148" s="820"/>
      <c r="CR148" s="609"/>
      <c r="CS148" s="609"/>
      <c r="CT148" s="816"/>
      <c r="CU148" s="816"/>
      <c r="CV148" s="816"/>
      <c r="CW148" s="816"/>
      <c r="CX148" s="816"/>
      <c r="CY148" s="816"/>
      <c r="CZ148" s="816"/>
      <c r="DA148" s="609"/>
      <c r="DB148" s="609"/>
      <c r="DC148" s="816"/>
      <c r="DD148" s="816"/>
      <c r="DE148" s="609"/>
      <c r="DF148" s="609"/>
      <c r="DG148" s="816"/>
      <c r="DH148" s="816"/>
      <c r="DI148" s="816"/>
      <c r="DJ148" s="816"/>
      <c r="DK148" s="816"/>
      <c r="DL148" s="816"/>
      <c r="DM148" s="609"/>
      <c r="DN148" s="609"/>
      <c r="DO148" s="816"/>
      <c r="DP148" s="816"/>
      <c r="DQ148" s="609"/>
      <c r="DR148" s="609"/>
      <c r="DS148" s="816"/>
      <c r="DT148" s="816"/>
      <c r="DU148" s="609"/>
      <c r="DV148" s="609"/>
      <c r="DW148" s="816"/>
      <c r="DX148" s="816"/>
      <c r="DY148" s="816"/>
      <c r="DZ148" s="816"/>
      <c r="EA148" s="816"/>
      <c r="EB148" s="816"/>
      <c r="EC148" s="821"/>
      <c r="ED148" s="609"/>
      <c r="EE148" s="816"/>
      <c r="EF148" s="816"/>
      <c r="EG148" s="822"/>
      <c r="EH148" s="609"/>
      <c r="EI148" s="816"/>
      <c r="EJ148" s="816"/>
      <c r="EK148" s="609"/>
      <c r="EL148" s="816"/>
      <c r="EM148" s="816"/>
      <c r="EN148" s="816"/>
      <c r="EO148" s="816"/>
      <c r="EP148" s="816"/>
      <c r="EQ148" s="816"/>
      <c r="ER148" s="816"/>
      <c r="ES148" s="816"/>
      <c r="ET148" s="816"/>
      <c r="EU148" s="816"/>
      <c r="EV148" s="816"/>
      <c r="EW148" s="823"/>
      <c r="EX148" s="824"/>
      <c r="EY148" s="825"/>
      <c r="EZ148" s="825"/>
      <c r="FA148" s="816"/>
      <c r="FC148" s="826"/>
      <c r="FD148" s="826"/>
      <c r="FE148" s="826"/>
      <c r="FF148" s="826"/>
    </row>
    <row r="149" spans="2:162" s="780" customFormat="1">
      <c r="B149" s="609"/>
      <c r="C149" s="609"/>
      <c r="D149" s="609"/>
      <c r="E149" s="609"/>
      <c r="F149" s="609"/>
      <c r="G149" s="609"/>
      <c r="H149" s="609"/>
      <c r="I149" s="609"/>
      <c r="J149" s="609"/>
      <c r="K149" s="609"/>
      <c r="L149" s="609"/>
      <c r="M149" s="609"/>
      <c r="N149" s="609"/>
      <c r="O149" s="609"/>
      <c r="P149" s="609"/>
      <c r="Q149" s="609"/>
      <c r="R149" s="816"/>
      <c r="S149" s="816"/>
      <c r="T149" s="816"/>
      <c r="U149" s="816"/>
      <c r="V149" s="816"/>
      <c r="W149" s="816"/>
      <c r="X149" s="609"/>
      <c r="Y149" s="609"/>
      <c r="Z149" s="816"/>
      <c r="AA149" s="816"/>
      <c r="AB149" s="609"/>
      <c r="AC149" s="609"/>
      <c r="AD149" s="816"/>
      <c r="AE149" s="816"/>
      <c r="AF149" s="609"/>
      <c r="AG149" s="609"/>
      <c r="AH149" s="816"/>
      <c r="AI149" s="816"/>
      <c r="AJ149" s="817"/>
      <c r="AK149" s="609"/>
      <c r="AL149" s="609"/>
      <c r="AM149" s="816"/>
      <c r="AN149" s="816"/>
      <c r="AO149" s="816"/>
      <c r="AP149" s="816"/>
      <c r="AQ149" s="816"/>
      <c r="AR149" s="816"/>
      <c r="AS149" s="816"/>
      <c r="AT149" s="609"/>
      <c r="AU149" s="609"/>
      <c r="AV149" s="609"/>
      <c r="AW149" s="818"/>
      <c r="AX149" s="816"/>
      <c r="AY149" s="816"/>
      <c r="AZ149" s="609"/>
      <c r="BA149" s="609"/>
      <c r="BB149" s="816"/>
      <c r="BC149" s="816"/>
      <c r="BD149" s="609"/>
      <c r="BE149" s="609"/>
      <c r="BF149" s="816"/>
      <c r="BG149" s="816"/>
      <c r="BH149" s="816"/>
      <c r="BI149" s="816"/>
      <c r="BJ149" s="816"/>
      <c r="BK149" s="816"/>
      <c r="BL149" s="816"/>
      <c r="BM149" s="816"/>
      <c r="BN149" s="816"/>
      <c r="BO149" s="816"/>
      <c r="BP149" s="816"/>
      <c r="BQ149" s="816"/>
      <c r="BR149" s="816"/>
      <c r="BS149" s="816"/>
      <c r="BT149" s="816"/>
      <c r="BU149" s="816"/>
      <c r="BV149" s="816"/>
      <c r="BW149" s="816"/>
      <c r="BX149" s="609"/>
      <c r="BY149" s="609"/>
      <c r="BZ149" s="816"/>
      <c r="CA149" s="816"/>
      <c r="CB149" s="609"/>
      <c r="CC149" s="609"/>
      <c r="CD149" s="816"/>
      <c r="CE149" s="816"/>
      <c r="CF149" s="816"/>
      <c r="CG149" s="816"/>
      <c r="CH149" s="816"/>
      <c r="CI149" s="816"/>
      <c r="CJ149" s="816"/>
      <c r="CK149" s="816"/>
      <c r="CL149" s="819"/>
      <c r="CM149" s="816"/>
      <c r="CN149" s="820"/>
      <c r="CO149" s="820"/>
      <c r="CP149" s="820"/>
      <c r="CQ149" s="820"/>
      <c r="CR149" s="609"/>
      <c r="CS149" s="609"/>
      <c r="CT149" s="816"/>
      <c r="CU149" s="816"/>
      <c r="CV149" s="816"/>
      <c r="CW149" s="816"/>
      <c r="CX149" s="816"/>
      <c r="CY149" s="816"/>
      <c r="CZ149" s="816"/>
      <c r="DA149" s="609"/>
      <c r="DB149" s="609"/>
      <c r="DC149" s="816"/>
      <c r="DD149" s="816"/>
      <c r="DE149" s="609"/>
      <c r="DF149" s="609"/>
      <c r="DG149" s="816"/>
      <c r="DH149" s="816"/>
      <c r="DI149" s="816"/>
      <c r="DJ149" s="816"/>
      <c r="DK149" s="816"/>
      <c r="DL149" s="816"/>
      <c r="DM149" s="609"/>
      <c r="DN149" s="609"/>
      <c r="DO149" s="816"/>
      <c r="DP149" s="816"/>
      <c r="DQ149" s="609"/>
      <c r="DR149" s="609"/>
      <c r="DS149" s="816"/>
      <c r="DT149" s="816"/>
      <c r="DU149" s="609"/>
      <c r="DV149" s="609"/>
      <c r="DW149" s="816"/>
      <c r="DX149" s="816"/>
      <c r="DY149" s="816"/>
      <c r="DZ149" s="816"/>
      <c r="EA149" s="816"/>
      <c r="EB149" s="816"/>
      <c r="EC149" s="821"/>
      <c r="ED149" s="609"/>
      <c r="EE149" s="816"/>
      <c r="EF149" s="816"/>
      <c r="EG149" s="822"/>
      <c r="EH149" s="609"/>
      <c r="EI149" s="816"/>
      <c r="EJ149" s="816"/>
      <c r="EK149" s="609"/>
      <c r="EL149" s="816"/>
      <c r="EM149" s="816"/>
      <c r="EN149" s="816"/>
      <c r="EO149" s="816"/>
      <c r="EP149" s="816"/>
      <c r="EQ149" s="816"/>
      <c r="ER149" s="816"/>
      <c r="ES149" s="816"/>
      <c r="ET149" s="816"/>
      <c r="EU149" s="816"/>
      <c r="EV149" s="816"/>
      <c r="EW149" s="823"/>
      <c r="EX149" s="824"/>
      <c r="EY149" s="825"/>
      <c r="EZ149" s="825"/>
      <c r="FA149" s="816"/>
      <c r="FC149" s="826"/>
      <c r="FD149" s="826"/>
      <c r="FE149" s="826"/>
      <c r="FF149" s="826"/>
    </row>
    <row r="150" spans="2:162" s="780" customFormat="1">
      <c r="B150" s="609"/>
      <c r="C150" s="609"/>
      <c r="D150" s="609"/>
      <c r="E150" s="609"/>
      <c r="F150" s="609"/>
      <c r="G150" s="609"/>
      <c r="H150" s="609"/>
      <c r="I150" s="609"/>
      <c r="J150" s="609"/>
      <c r="K150" s="609"/>
      <c r="L150" s="609"/>
      <c r="M150" s="609"/>
      <c r="N150" s="609"/>
      <c r="O150" s="609"/>
      <c r="P150" s="609"/>
      <c r="Q150" s="609"/>
      <c r="R150" s="816"/>
      <c r="S150" s="816"/>
      <c r="T150" s="816"/>
      <c r="U150" s="816"/>
      <c r="V150" s="816"/>
      <c r="W150" s="816"/>
      <c r="X150" s="609"/>
      <c r="Y150" s="609"/>
      <c r="Z150" s="816"/>
      <c r="AA150" s="816"/>
      <c r="AB150" s="609"/>
      <c r="AC150" s="609"/>
      <c r="AD150" s="816"/>
      <c r="AE150" s="816"/>
      <c r="AF150" s="609"/>
      <c r="AG150" s="609"/>
      <c r="AH150" s="816"/>
      <c r="AI150" s="816"/>
      <c r="AJ150" s="817"/>
      <c r="AK150" s="609"/>
      <c r="AL150" s="609"/>
      <c r="AM150" s="816"/>
      <c r="AN150" s="816"/>
      <c r="AO150" s="816"/>
      <c r="AP150" s="816"/>
      <c r="AQ150" s="816"/>
      <c r="AR150" s="816"/>
      <c r="AS150" s="816"/>
      <c r="AT150" s="609"/>
      <c r="AU150" s="609"/>
      <c r="AV150" s="609"/>
      <c r="AW150" s="818"/>
      <c r="AX150" s="816"/>
      <c r="AY150" s="816"/>
      <c r="AZ150" s="609"/>
      <c r="BA150" s="609"/>
      <c r="BB150" s="816"/>
      <c r="BC150" s="816"/>
      <c r="BD150" s="609"/>
      <c r="BE150" s="609"/>
      <c r="BF150" s="816"/>
      <c r="BG150" s="816"/>
      <c r="BH150" s="816"/>
      <c r="BI150" s="816"/>
      <c r="BJ150" s="816"/>
      <c r="BK150" s="816"/>
      <c r="BL150" s="816"/>
      <c r="BM150" s="816"/>
      <c r="BN150" s="816"/>
      <c r="BO150" s="816"/>
      <c r="BP150" s="816"/>
      <c r="BQ150" s="816"/>
      <c r="BR150" s="816"/>
      <c r="BS150" s="816"/>
      <c r="BT150" s="816"/>
      <c r="BU150" s="816"/>
      <c r="BV150" s="816"/>
      <c r="BW150" s="816"/>
      <c r="BX150" s="609"/>
      <c r="BY150" s="609"/>
      <c r="BZ150" s="816"/>
      <c r="CA150" s="816"/>
      <c r="CB150" s="609"/>
      <c r="CC150" s="609"/>
      <c r="CD150" s="816"/>
      <c r="CE150" s="816"/>
      <c r="CF150" s="816"/>
      <c r="CG150" s="816"/>
      <c r="CH150" s="816"/>
      <c r="CI150" s="816"/>
      <c r="CJ150" s="816"/>
      <c r="CK150" s="816"/>
      <c r="CL150" s="819"/>
      <c r="CM150" s="816"/>
      <c r="CN150" s="820"/>
      <c r="CO150" s="820"/>
      <c r="CP150" s="820"/>
      <c r="CQ150" s="820"/>
      <c r="CR150" s="609"/>
      <c r="CS150" s="609"/>
      <c r="CT150" s="816"/>
      <c r="CU150" s="816"/>
      <c r="CV150" s="816"/>
      <c r="CW150" s="816"/>
      <c r="CX150" s="816"/>
      <c r="CY150" s="816"/>
      <c r="CZ150" s="816"/>
      <c r="DA150" s="609"/>
      <c r="DB150" s="609"/>
      <c r="DC150" s="816"/>
      <c r="DD150" s="816"/>
      <c r="DE150" s="609"/>
      <c r="DF150" s="609"/>
      <c r="DG150" s="816"/>
      <c r="DH150" s="816"/>
      <c r="DI150" s="816"/>
      <c r="DJ150" s="816"/>
      <c r="DK150" s="816"/>
      <c r="DL150" s="816"/>
      <c r="DM150" s="609"/>
      <c r="DN150" s="609"/>
      <c r="DO150" s="816"/>
      <c r="DP150" s="816"/>
      <c r="DQ150" s="609"/>
      <c r="DR150" s="609"/>
      <c r="DS150" s="816"/>
      <c r="DT150" s="816"/>
      <c r="DU150" s="609"/>
      <c r="DV150" s="609"/>
      <c r="DW150" s="816"/>
      <c r="DX150" s="816"/>
      <c r="DY150" s="816"/>
      <c r="DZ150" s="816"/>
      <c r="EA150" s="816"/>
      <c r="EB150" s="816"/>
      <c r="EC150" s="821"/>
      <c r="ED150" s="609"/>
      <c r="EE150" s="816"/>
      <c r="EF150" s="816"/>
      <c r="EG150" s="822"/>
      <c r="EH150" s="609"/>
      <c r="EI150" s="816"/>
      <c r="EJ150" s="816"/>
      <c r="EK150" s="609"/>
      <c r="EL150" s="816"/>
      <c r="EM150" s="816"/>
      <c r="EN150" s="816"/>
      <c r="EO150" s="816"/>
      <c r="EP150" s="816"/>
      <c r="EQ150" s="816"/>
      <c r="ER150" s="816"/>
      <c r="ES150" s="816"/>
      <c r="ET150" s="816"/>
      <c r="EU150" s="816"/>
      <c r="EV150" s="816"/>
      <c r="EW150" s="823"/>
      <c r="EX150" s="824"/>
      <c r="EY150" s="825"/>
      <c r="EZ150" s="825"/>
      <c r="FA150" s="816"/>
      <c r="FC150" s="826"/>
      <c r="FD150" s="826"/>
      <c r="FE150" s="826"/>
      <c r="FF150" s="826"/>
    </row>
    <row r="151" spans="2:162" s="780" customFormat="1">
      <c r="B151" s="609"/>
      <c r="C151" s="609"/>
      <c r="D151" s="609"/>
      <c r="E151" s="609"/>
      <c r="F151" s="609"/>
      <c r="G151" s="609"/>
      <c r="H151" s="609"/>
      <c r="I151" s="609"/>
      <c r="J151" s="609"/>
      <c r="K151" s="609"/>
      <c r="L151" s="609"/>
      <c r="M151" s="609"/>
      <c r="N151" s="609"/>
      <c r="O151" s="609"/>
      <c r="P151" s="609"/>
      <c r="Q151" s="609"/>
      <c r="R151" s="816"/>
      <c r="S151" s="816"/>
      <c r="T151" s="816"/>
      <c r="U151" s="816"/>
      <c r="V151" s="816"/>
      <c r="W151" s="816"/>
      <c r="X151" s="609"/>
      <c r="Y151" s="609"/>
      <c r="Z151" s="816"/>
      <c r="AA151" s="816"/>
      <c r="AB151" s="609"/>
      <c r="AC151" s="609"/>
      <c r="AD151" s="816"/>
      <c r="AE151" s="816"/>
      <c r="AF151" s="609"/>
      <c r="AG151" s="609"/>
      <c r="AH151" s="816"/>
      <c r="AI151" s="816"/>
      <c r="AJ151" s="817"/>
      <c r="AK151" s="609"/>
      <c r="AL151" s="609"/>
      <c r="AM151" s="816"/>
      <c r="AN151" s="816"/>
      <c r="AO151" s="816"/>
      <c r="AP151" s="816"/>
      <c r="AQ151" s="816"/>
      <c r="AR151" s="816"/>
      <c r="AS151" s="816"/>
      <c r="AT151" s="609"/>
      <c r="AU151" s="609"/>
      <c r="AV151" s="609"/>
      <c r="AW151" s="818"/>
      <c r="AX151" s="816"/>
      <c r="AY151" s="816"/>
      <c r="AZ151" s="609"/>
      <c r="BA151" s="609"/>
      <c r="BB151" s="816"/>
      <c r="BC151" s="816"/>
      <c r="BD151" s="609"/>
      <c r="BE151" s="609"/>
      <c r="BF151" s="816"/>
      <c r="BG151" s="816"/>
      <c r="BH151" s="816"/>
      <c r="BI151" s="816"/>
      <c r="BJ151" s="816"/>
      <c r="BK151" s="816"/>
      <c r="BL151" s="816"/>
      <c r="BM151" s="816"/>
      <c r="BN151" s="816"/>
      <c r="BO151" s="816"/>
      <c r="BP151" s="816"/>
      <c r="BQ151" s="816"/>
      <c r="BR151" s="816"/>
      <c r="BS151" s="816"/>
      <c r="BT151" s="816"/>
      <c r="BU151" s="816"/>
      <c r="BV151" s="816"/>
      <c r="BW151" s="816"/>
      <c r="BX151" s="609"/>
      <c r="BY151" s="609"/>
      <c r="BZ151" s="816"/>
      <c r="CA151" s="816"/>
      <c r="CB151" s="609"/>
      <c r="CC151" s="609"/>
      <c r="CD151" s="816"/>
      <c r="CE151" s="816"/>
      <c r="CF151" s="816"/>
      <c r="CG151" s="816"/>
      <c r="CH151" s="816"/>
      <c r="CI151" s="816"/>
      <c r="CJ151" s="816"/>
      <c r="CK151" s="816"/>
      <c r="CL151" s="819"/>
      <c r="CM151" s="816"/>
      <c r="CN151" s="820"/>
      <c r="CO151" s="820"/>
      <c r="CP151" s="820"/>
      <c r="CQ151" s="820"/>
      <c r="CR151" s="609"/>
      <c r="CS151" s="609"/>
      <c r="CT151" s="816"/>
      <c r="CU151" s="816"/>
      <c r="CV151" s="816"/>
      <c r="CW151" s="816"/>
      <c r="CX151" s="816"/>
      <c r="CY151" s="816"/>
      <c r="CZ151" s="816"/>
      <c r="DA151" s="609"/>
      <c r="DB151" s="609"/>
      <c r="DC151" s="816"/>
      <c r="DD151" s="816"/>
      <c r="DE151" s="609"/>
      <c r="DF151" s="609"/>
      <c r="DG151" s="816"/>
      <c r="DH151" s="816"/>
      <c r="DI151" s="816"/>
      <c r="DJ151" s="816"/>
      <c r="DK151" s="816"/>
      <c r="DL151" s="816"/>
      <c r="DM151" s="609"/>
      <c r="DN151" s="609"/>
      <c r="DO151" s="816"/>
      <c r="DP151" s="816"/>
      <c r="DQ151" s="609"/>
      <c r="DR151" s="609"/>
      <c r="DS151" s="816"/>
      <c r="DT151" s="816"/>
      <c r="DU151" s="609"/>
      <c r="DV151" s="609"/>
      <c r="DW151" s="816"/>
      <c r="DX151" s="816"/>
      <c r="DY151" s="816"/>
      <c r="DZ151" s="816"/>
      <c r="EA151" s="816"/>
      <c r="EB151" s="816"/>
      <c r="EC151" s="821"/>
      <c r="ED151" s="609"/>
      <c r="EE151" s="816"/>
      <c r="EF151" s="816"/>
      <c r="EG151" s="822"/>
      <c r="EH151" s="609"/>
      <c r="EI151" s="816"/>
      <c r="EJ151" s="816"/>
      <c r="EK151" s="609"/>
      <c r="EL151" s="816"/>
      <c r="EM151" s="816"/>
      <c r="EN151" s="816"/>
      <c r="EO151" s="816"/>
      <c r="EP151" s="816"/>
      <c r="EQ151" s="816"/>
      <c r="ER151" s="816"/>
      <c r="ES151" s="816"/>
      <c r="ET151" s="816"/>
      <c r="EU151" s="816"/>
      <c r="EV151" s="816"/>
      <c r="EW151" s="823"/>
      <c r="EX151" s="824"/>
      <c r="EY151" s="825"/>
      <c r="EZ151" s="825"/>
      <c r="FA151" s="816"/>
      <c r="FC151" s="826"/>
      <c r="FD151" s="826"/>
      <c r="FE151" s="826"/>
      <c r="FF151" s="826"/>
    </row>
    <row r="152" spans="2:162" s="780" customFormat="1">
      <c r="B152" s="609"/>
      <c r="C152" s="609"/>
      <c r="D152" s="609"/>
      <c r="E152" s="609"/>
      <c r="F152" s="609"/>
      <c r="G152" s="609"/>
      <c r="H152" s="609"/>
      <c r="I152" s="609"/>
      <c r="J152" s="609"/>
      <c r="K152" s="609"/>
      <c r="L152" s="609"/>
      <c r="M152" s="609"/>
      <c r="N152" s="609"/>
      <c r="O152" s="609"/>
      <c r="P152" s="609"/>
      <c r="Q152" s="609"/>
      <c r="R152" s="816"/>
      <c r="S152" s="816"/>
      <c r="T152" s="816"/>
      <c r="U152" s="816"/>
      <c r="V152" s="816"/>
      <c r="W152" s="816"/>
      <c r="X152" s="609"/>
      <c r="Y152" s="609"/>
      <c r="Z152" s="816"/>
      <c r="AA152" s="816"/>
      <c r="AB152" s="609"/>
      <c r="AC152" s="609"/>
      <c r="AD152" s="816"/>
      <c r="AE152" s="816"/>
      <c r="AF152" s="609"/>
      <c r="AG152" s="609"/>
      <c r="AH152" s="816"/>
      <c r="AI152" s="816"/>
      <c r="AJ152" s="817"/>
      <c r="AK152" s="609"/>
      <c r="AL152" s="609"/>
      <c r="AM152" s="816"/>
      <c r="AN152" s="816"/>
      <c r="AO152" s="816"/>
      <c r="AP152" s="816"/>
      <c r="AQ152" s="816"/>
      <c r="AR152" s="816"/>
      <c r="AS152" s="816"/>
      <c r="AT152" s="609"/>
      <c r="AU152" s="609"/>
      <c r="AV152" s="609"/>
      <c r="AW152" s="818"/>
      <c r="AX152" s="816"/>
      <c r="AY152" s="816"/>
      <c r="AZ152" s="609"/>
      <c r="BA152" s="609"/>
      <c r="BB152" s="816"/>
      <c r="BC152" s="816"/>
      <c r="BD152" s="609"/>
      <c r="BE152" s="609"/>
      <c r="BF152" s="816"/>
      <c r="BG152" s="816"/>
      <c r="BH152" s="816"/>
      <c r="BI152" s="816"/>
      <c r="BJ152" s="816"/>
      <c r="BK152" s="816"/>
      <c r="BL152" s="816"/>
      <c r="BM152" s="816"/>
      <c r="BN152" s="816"/>
      <c r="BO152" s="816"/>
      <c r="BP152" s="816"/>
      <c r="BQ152" s="816"/>
      <c r="BR152" s="816"/>
      <c r="BS152" s="816"/>
      <c r="BT152" s="816"/>
      <c r="BU152" s="816"/>
      <c r="BV152" s="816"/>
      <c r="BW152" s="816"/>
      <c r="BX152" s="609"/>
      <c r="BY152" s="609"/>
      <c r="BZ152" s="816"/>
      <c r="CA152" s="816"/>
      <c r="CB152" s="609"/>
      <c r="CC152" s="609"/>
      <c r="CD152" s="816"/>
      <c r="CE152" s="816"/>
      <c r="CF152" s="816"/>
      <c r="CG152" s="816"/>
      <c r="CH152" s="816"/>
      <c r="CI152" s="816"/>
      <c r="CJ152" s="816"/>
      <c r="CK152" s="816"/>
      <c r="CL152" s="819"/>
      <c r="CM152" s="816"/>
      <c r="CN152" s="820"/>
      <c r="CO152" s="820"/>
      <c r="CP152" s="820"/>
      <c r="CQ152" s="820"/>
      <c r="CR152" s="609"/>
      <c r="CS152" s="609"/>
      <c r="CT152" s="816"/>
      <c r="CU152" s="816"/>
      <c r="CV152" s="816"/>
      <c r="CW152" s="816"/>
      <c r="CX152" s="816"/>
      <c r="CY152" s="816"/>
      <c r="CZ152" s="816"/>
      <c r="DA152" s="609"/>
      <c r="DB152" s="609"/>
      <c r="DC152" s="816"/>
      <c r="DD152" s="816"/>
      <c r="DE152" s="609"/>
      <c r="DF152" s="609"/>
      <c r="DG152" s="816"/>
      <c r="DH152" s="816"/>
      <c r="DI152" s="816"/>
      <c r="DJ152" s="816"/>
      <c r="DK152" s="816"/>
      <c r="DL152" s="816"/>
      <c r="DM152" s="609"/>
      <c r="DN152" s="609"/>
      <c r="DO152" s="816"/>
      <c r="DP152" s="816"/>
      <c r="DQ152" s="609"/>
      <c r="DR152" s="609"/>
      <c r="DS152" s="816"/>
      <c r="DT152" s="816"/>
      <c r="DU152" s="609"/>
      <c r="DV152" s="609"/>
      <c r="DW152" s="816"/>
      <c r="DX152" s="816"/>
      <c r="DY152" s="816"/>
      <c r="DZ152" s="816"/>
      <c r="EA152" s="816"/>
      <c r="EB152" s="816"/>
      <c r="EC152" s="821"/>
      <c r="ED152" s="609"/>
      <c r="EE152" s="816"/>
      <c r="EF152" s="816"/>
      <c r="EG152" s="822"/>
      <c r="EH152" s="609"/>
      <c r="EI152" s="816"/>
      <c r="EJ152" s="816"/>
      <c r="EK152" s="609"/>
      <c r="EL152" s="816"/>
      <c r="EM152" s="816"/>
      <c r="EN152" s="816"/>
      <c r="EO152" s="816"/>
      <c r="EP152" s="816"/>
      <c r="EQ152" s="816"/>
      <c r="ER152" s="816"/>
      <c r="ES152" s="816"/>
      <c r="ET152" s="816"/>
      <c r="EU152" s="816"/>
      <c r="EV152" s="816"/>
      <c r="EW152" s="823"/>
      <c r="EX152" s="824"/>
      <c r="EY152" s="825"/>
      <c r="EZ152" s="825"/>
      <c r="FA152" s="816"/>
      <c r="FC152" s="826"/>
      <c r="FD152" s="826"/>
      <c r="FE152" s="826"/>
      <c r="FF152" s="826"/>
    </row>
    <row r="153" spans="2:162" s="780" customFormat="1">
      <c r="B153" s="609"/>
      <c r="C153" s="609"/>
      <c r="D153" s="609"/>
      <c r="E153" s="609"/>
      <c r="F153" s="609"/>
      <c r="G153" s="609"/>
      <c r="H153" s="609"/>
      <c r="I153" s="609"/>
      <c r="J153" s="609"/>
      <c r="K153" s="609"/>
      <c r="L153" s="609"/>
      <c r="M153" s="609"/>
      <c r="N153" s="609"/>
      <c r="O153" s="609"/>
      <c r="P153" s="609"/>
      <c r="Q153" s="609"/>
      <c r="R153" s="816"/>
      <c r="S153" s="816"/>
      <c r="T153" s="816"/>
      <c r="U153" s="816"/>
      <c r="V153" s="816"/>
      <c r="W153" s="816"/>
      <c r="X153" s="609"/>
      <c r="Y153" s="609"/>
      <c r="Z153" s="816"/>
      <c r="AA153" s="816"/>
      <c r="AB153" s="609"/>
      <c r="AC153" s="609"/>
      <c r="AD153" s="816"/>
      <c r="AE153" s="816"/>
      <c r="AF153" s="609"/>
      <c r="AG153" s="609"/>
      <c r="AH153" s="816"/>
      <c r="AI153" s="816"/>
      <c r="AJ153" s="817"/>
      <c r="AK153" s="609"/>
      <c r="AL153" s="609"/>
      <c r="AM153" s="816"/>
      <c r="AN153" s="816"/>
      <c r="AO153" s="816"/>
      <c r="AP153" s="816"/>
      <c r="AQ153" s="816"/>
      <c r="AR153" s="816"/>
      <c r="AS153" s="816"/>
      <c r="AT153" s="609"/>
      <c r="AU153" s="609"/>
      <c r="AV153" s="609"/>
      <c r="AW153" s="818"/>
      <c r="AX153" s="816"/>
      <c r="AY153" s="816"/>
      <c r="AZ153" s="609"/>
      <c r="BA153" s="609"/>
      <c r="BB153" s="816"/>
      <c r="BC153" s="816"/>
      <c r="BD153" s="609"/>
      <c r="BE153" s="609"/>
      <c r="BF153" s="816"/>
      <c r="BG153" s="816"/>
      <c r="BH153" s="816"/>
      <c r="BI153" s="816"/>
      <c r="BJ153" s="816"/>
      <c r="BK153" s="816"/>
      <c r="BL153" s="816"/>
      <c r="BM153" s="816"/>
      <c r="BN153" s="816"/>
      <c r="BO153" s="816"/>
      <c r="BP153" s="816"/>
      <c r="BQ153" s="816"/>
      <c r="BR153" s="816"/>
      <c r="BS153" s="816"/>
      <c r="BT153" s="816"/>
      <c r="BU153" s="816"/>
      <c r="BV153" s="816"/>
      <c r="BW153" s="816"/>
      <c r="BX153" s="609"/>
      <c r="BY153" s="609"/>
      <c r="BZ153" s="816"/>
      <c r="CA153" s="816"/>
      <c r="CB153" s="609"/>
      <c r="CC153" s="609"/>
      <c r="CD153" s="816"/>
      <c r="CE153" s="816"/>
      <c r="CF153" s="816"/>
      <c r="CG153" s="816"/>
      <c r="CH153" s="816"/>
      <c r="CI153" s="816"/>
      <c r="CJ153" s="816"/>
      <c r="CK153" s="816"/>
      <c r="CL153" s="819"/>
      <c r="CM153" s="816"/>
      <c r="CN153" s="820"/>
      <c r="CO153" s="820"/>
      <c r="CP153" s="820"/>
      <c r="CQ153" s="820"/>
      <c r="CR153" s="609"/>
      <c r="CS153" s="609"/>
      <c r="CT153" s="816"/>
      <c r="CU153" s="816"/>
      <c r="CV153" s="816"/>
      <c r="CW153" s="816"/>
      <c r="CX153" s="816"/>
      <c r="CY153" s="816"/>
      <c r="CZ153" s="816"/>
      <c r="DA153" s="609"/>
      <c r="DB153" s="609"/>
      <c r="DC153" s="816"/>
      <c r="DD153" s="816"/>
      <c r="DE153" s="609"/>
      <c r="DF153" s="609"/>
      <c r="DG153" s="816"/>
      <c r="DH153" s="816"/>
      <c r="DI153" s="816"/>
      <c r="DJ153" s="816"/>
      <c r="DK153" s="816"/>
      <c r="DL153" s="816"/>
      <c r="DM153" s="609"/>
      <c r="DN153" s="609"/>
      <c r="DO153" s="816"/>
      <c r="DP153" s="816"/>
      <c r="DQ153" s="609"/>
      <c r="DR153" s="609"/>
      <c r="DS153" s="816"/>
      <c r="DT153" s="816"/>
      <c r="DU153" s="609"/>
      <c r="DV153" s="609"/>
      <c r="DW153" s="816"/>
      <c r="DX153" s="816"/>
      <c r="DY153" s="816"/>
      <c r="DZ153" s="816"/>
      <c r="EA153" s="816"/>
      <c r="EB153" s="816"/>
      <c r="EC153" s="821"/>
      <c r="ED153" s="609"/>
      <c r="EE153" s="816"/>
      <c r="EF153" s="816"/>
      <c r="EG153" s="822"/>
      <c r="EH153" s="609"/>
      <c r="EI153" s="816"/>
      <c r="EJ153" s="816"/>
      <c r="EK153" s="609"/>
      <c r="EL153" s="816"/>
      <c r="EM153" s="816"/>
      <c r="EN153" s="816"/>
      <c r="EO153" s="816"/>
      <c r="EP153" s="816"/>
      <c r="EQ153" s="816"/>
      <c r="ER153" s="816"/>
      <c r="ES153" s="816"/>
      <c r="ET153" s="816"/>
      <c r="EU153" s="816"/>
      <c r="EV153" s="816"/>
      <c r="EW153" s="823"/>
      <c r="EX153" s="824"/>
      <c r="EY153" s="825"/>
      <c r="EZ153" s="825"/>
      <c r="FA153" s="816"/>
      <c r="FC153" s="826"/>
      <c r="FD153" s="826"/>
      <c r="FE153" s="826"/>
      <c r="FF153" s="826"/>
    </row>
    <row r="154" spans="2:162" s="780" customFormat="1">
      <c r="B154" s="609"/>
      <c r="C154" s="609"/>
      <c r="D154" s="609"/>
      <c r="E154" s="609"/>
      <c r="F154" s="609"/>
      <c r="G154" s="609"/>
      <c r="H154" s="609"/>
      <c r="I154" s="609"/>
      <c r="J154" s="609"/>
      <c r="K154" s="609"/>
      <c r="L154" s="609"/>
      <c r="M154" s="609"/>
      <c r="N154" s="609"/>
      <c r="O154" s="609"/>
      <c r="P154" s="609"/>
      <c r="Q154" s="609"/>
      <c r="R154" s="816"/>
      <c r="S154" s="816"/>
      <c r="T154" s="816"/>
      <c r="U154" s="816"/>
      <c r="V154" s="816"/>
      <c r="W154" s="816"/>
      <c r="X154" s="609"/>
      <c r="Y154" s="609"/>
      <c r="Z154" s="816"/>
      <c r="AA154" s="816"/>
      <c r="AB154" s="609"/>
      <c r="AC154" s="609"/>
      <c r="AD154" s="816"/>
      <c r="AE154" s="816"/>
      <c r="AF154" s="609"/>
      <c r="AG154" s="609"/>
      <c r="AH154" s="816"/>
      <c r="AI154" s="816"/>
      <c r="AJ154" s="817"/>
      <c r="AK154" s="609"/>
      <c r="AL154" s="609"/>
      <c r="AM154" s="816"/>
      <c r="AN154" s="816"/>
      <c r="AO154" s="816"/>
      <c r="AP154" s="816"/>
      <c r="AQ154" s="816"/>
      <c r="AR154" s="816"/>
      <c r="AS154" s="816"/>
      <c r="AT154" s="609"/>
      <c r="AU154" s="609"/>
      <c r="AV154" s="609"/>
      <c r="AW154" s="818"/>
      <c r="AX154" s="816"/>
      <c r="AY154" s="816"/>
      <c r="AZ154" s="609"/>
      <c r="BA154" s="609"/>
      <c r="BB154" s="816"/>
      <c r="BC154" s="816"/>
      <c r="BD154" s="609"/>
      <c r="BE154" s="609"/>
      <c r="BF154" s="816"/>
      <c r="BG154" s="816"/>
      <c r="BH154" s="816"/>
      <c r="BI154" s="816"/>
      <c r="BJ154" s="816"/>
      <c r="BK154" s="816"/>
      <c r="BL154" s="816"/>
      <c r="BM154" s="816"/>
      <c r="BN154" s="816"/>
      <c r="BO154" s="816"/>
      <c r="BP154" s="816"/>
      <c r="BQ154" s="816"/>
      <c r="BR154" s="816"/>
      <c r="BS154" s="816"/>
      <c r="BT154" s="816"/>
      <c r="BU154" s="816"/>
      <c r="BV154" s="816"/>
      <c r="BW154" s="816"/>
      <c r="BX154" s="609"/>
      <c r="BY154" s="609"/>
      <c r="BZ154" s="816"/>
      <c r="CA154" s="816"/>
      <c r="CB154" s="609"/>
      <c r="CC154" s="609"/>
      <c r="CD154" s="816"/>
      <c r="CE154" s="816"/>
      <c r="CF154" s="816"/>
      <c r="CG154" s="816"/>
      <c r="CH154" s="816"/>
      <c r="CI154" s="816"/>
      <c r="CJ154" s="816"/>
      <c r="CK154" s="816"/>
      <c r="CL154" s="819"/>
      <c r="CM154" s="816"/>
      <c r="CN154" s="820"/>
      <c r="CO154" s="820"/>
      <c r="CP154" s="820"/>
      <c r="CQ154" s="820"/>
      <c r="CR154" s="609"/>
      <c r="CS154" s="609"/>
      <c r="CT154" s="816"/>
      <c r="CU154" s="816"/>
      <c r="CV154" s="816"/>
      <c r="CW154" s="816"/>
      <c r="CX154" s="816"/>
      <c r="CY154" s="816"/>
      <c r="CZ154" s="816"/>
      <c r="DA154" s="609"/>
      <c r="DB154" s="609"/>
      <c r="DC154" s="816"/>
      <c r="DD154" s="816"/>
      <c r="DE154" s="609"/>
      <c r="DF154" s="609"/>
      <c r="DG154" s="816"/>
      <c r="DH154" s="816"/>
      <c r="DI154" s="816"/>
      <c r="DJ154" s="816"/>
      <c r="DK154" s="816"/>
      <c r="DL154" s="816"/>
      <c r="DM154" s="609"/>
      <c r="DN154" s="609"/>
      <c r="DO154" s="816"/>
      <c r="DP154" s="816"/>
      <c r="DQ154" s="609"/>
      <c r="DR154" s="609"/>
      <c r="DS154" s="816"/>
      <c r="DT154" s="816"/>
      <c r="DU154" s="609"/>
      <c r="DV154" s="609"/>
      <c r="DW154" s="816"/>
      <c r="DX154" s="816"/>
      <c r="DY154" s="816"/>
      <c r="DZ154" s="816"/>
      <c r="EA154" s="816"/>
      <c r="EB154" s="816"/>
      <c r="EC154" s="821"/>
      <c r="ED154" s="609"/>
      <c r="EE154" s="816"/>
      <c r="EF154" s="816"/>
      <c r="EG154" s="822"/>
      <c r="EH154" s="609"/>
      <c r="EI154" s="816"/>
      <c r="EJ154" s="816"/>
      <c r="EK154" s="609"/>
      <c r="EL154" s="816"/>
      <c r="EM154" s="816"/>
      <c r="EN154" s="816"/>
      <c r="EO154" s="816"/>
      <c r="EP154" s="816"/>
      <c r="EQ154" s="816"/>
      <c r="ER154" s="816"/>
      <c r="ES154" s="816"/>
      <c r="ET154" s="816"/>
      <c r="EU154" s="816"/>
      <c r="EV154" s="816"/>
      <c r="EW154" s="823"/>
      <c r="EX154" s="824"/>
      <c r="EY154" s="825"/>
      <c r="EZ154" s="825"/>
      <c r="FA154" s="816"/>
      <c r="FC154" s="826"/>
      <c r="FD154" s="826"/>
      <c r="FE154" s="826"/>
      <c r="FF154" s="826"/>
    </row>
    <row r="155" spans="2:162" s="780" customFormat="1">
      <c r="B155" s="609"/>
      <c r="C155" s="609"/>
      <c r="D155" s="609"/>
      <c r="E155" s="609"/>
      <c r="F155" s="609"/>
      <c r="G155" s="609"/>
      <c r="H155" s="609"/>
      <c r="I155" s="609"/>
      <c r="J155" s="609"/>
      <c r="K155" s="609"/>
      <c r="L155" s="609"/>
      <c r="M155" s="609"/>
      <c r="N155" s="609"/>
      <c r="O155" s="609"/>
      <c r="P155" s="609"/>
      <c r="Q155" s="609"/>
      <c r="R155" s="816"/>
      <c r="S155" s="816"/>
      <c r="T155" s="816"/>
      <c r="U155" s="816"/>
      <c r="V155" s="816"/>
      <c r="W155" s="816"/>
      <c r="X155" s="609"/>
      <c r="Y155" s="609"/>
      <c r="Z155" s="816"/>
      <c r="AA155" s="816"/>
      <c r="AB155" s="609"/>
      <c r="AC155" s="609"/>
      <c r="AD155" s="816"/>
      <c r="AE155" s="816"/>
      <c r="AF155" s="609"/>
      <c r="AG155" s="609"/>
      <c r="AH155" s="816"/>
      <c r="AI155" s="816"/>
      <c r="AJ155" s="817"/>
      <c r="AK155" s="609"/>
      <c r="AL155" s="609"/>
      <c r="AM155" s="816"/>
      <c r="AN155" s="816"/>
      <c r="AO155" s="816"/>
      <c r="AP155" s="816"/>
      <c r="AQ155" s="816"/>
      <c r="AR155" s="816"/>
      <c r="AS155" s="816"/>
      <c r="AT155" s="609"/>
      <c r="AU155" s="609"/>
      <c r="AV155" s="609"/>
      <c r="AW155" s="818"/>
      <c r="AX155" s="816"/>
      <c r="AY155" s="816"/>
      <c r="AZ155" s="609"/>
      <c r="BA155" s="609"/>
      <c r="BB155" s="816"/>
      <c r="BC155" s="816"/>
      <c r="BD155" s="609"/>
      <c r="BE155" s="609"/>
      <c r="BF155" s="816"/>
      <c r="BG155" s="816"/>
      <c r="BH155" s="816"/>
      <c r="BI155" s="816"/>
      <c r="BJ155" s="816"/>
      <c r="BK155" s="816"/>
      <c r="BL155" s="816"/>
      <c r="BM155" s="816"/>
      <c r="BN155" s="816"/>
      <c r="BO155" s="816"/>
      <c r="BP155" s="816"/>
      <c r="BQ155" s="816"/>
      <c r="BR155" s="816"/>
      <c r="BS155" s="816"/>
      <c r="BT155" s="816"/>
      <c r="BU155" s="816"/>
      <c r="BV155" s="816"/>
      <c r="BW155" s="816"/>
      <c r="BX155" s="609"/>
      <c r="BY155" s="609"/>
      <c r="BZ155" s="816"/>
      <c r="CA155" s="816"/>
      <c r="CB155" s="609"/>
      <c r="CC155" s="609"/>
      <c r="CD155" s="816"/>
      <c r="CE155" s="816"/>
      <c r="CF155" s="816"/>
      <c r="CG155" s="816"/>
      <c r="CH155" s="816"/>
      <c r="CI155" s="816"/>
      <c r="CJ155" s="816"/>
      <c r="CK155" s="816"/>
      <c r="CL155" s="819"/>
      <c r="CM155" s="816"/>
      <c r="CN155" s="820"/>
      <c r="CO155" s="820"/>
      <c r="CP155" s="820"/>
      <c r="CQ155" s="820"/>
      <c r="CR155" s="609"/>
      <c r="CS155" s="609"/>
      <c r="CT155" s="816"/>
      <c r="CU155" s="816"/>
      <c r="CV155" s="816"/>
      <c r="CW155" s="816"/>
      <c r="CX155" s="816"/>
      <c r="CY155" s="816"/>
      <c r="CZ155" s="816"/>
      <c r="DA155" s="609"/>
      <c r="DB155" s="609"/>
      <c r="DC155" s="816"/>
      <c r="DD155" s="816"/>
      <c r="DE155" s="609"/>
      <c r="DF155" s="609"/>
      <c r="DG155" s="816"/>
      <c r="DH155" s="816"/>
      <c r="DI155" s="816"/>
      <c r="DJ155" s="816"/>
      <c r="DK155" s="816"/>
      <c r="DL155" s="816"/>
      <c r="DM155" s="609"/>
      <c r="DN155" s="609"/>
      <c r="DO155" s="816"/>
      <c r="DP155" s="816"/>
      <c r="DQ155" s="609"/>
      <c r="DR155" s="609"/>
      <c r="DS155" s="816"/>
      <c r="DT155" s="816"/>
      <c r="DU155" s="609"/>
      <c r="DV155" s="609"/>
      <c r="DW155" s="816"/>
      <c r="DX155" s="816"/>
      <c r="DY155" s="816"/>
      <c r="DZ155" s="816"/>
      <c r="EA155" s="816"/>
      <c r="EB155" s="816"/>
      <c r="EC155" s="821"/>
      <c r="ED155" s="609"/>
      <c r="EE155" s="816"/>
      <c r="EF155" s="816"/>
      <c r="EG155" s="822"/>
      <c r="EH155" s="609"/>
      <c r="EI155" s="816"/>
      <c r="EJ155" s="816"/>
      <c r="EK155" s="609"/>
      <c r="EL155" s="816"/>
      <c r="EM155" s="816"/>
      <c r="EN155" s="816"/>
      <c r="EO155" s="816"/>
      <c r="EP155" s="816"/>
      <c r="EQ155" s="816"/>
      <c r="ER155" s="816"/>
      <c r="ES155" s="816"/>
      <c r="ET155" s="816"/>
      <c r="EU155" s="816"/>
      <c r="EV155" s="816"/>
      <c r="EW155" s="823"/>
      <c r="EX155" s="824"/>
      <c r="EY155" s="825"/>
      <c r="EZ155" s="825"/>
      <c r="FA155" s="816"/>
      <c r="FC155" s="826"/>
      <c r="FD155" s="826"/>
      <c r="FE155" s="826"/>
      <c r="FF155" s="826"/>
    </row>
    <row r="156" spans="2:162" s="780" customFormat="1"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816"/>
      <c r="S156" s="816"/>
      <c r="T156" s="816"/>
      <c r="U156" s="816"/>
      <c r="V156" s="816"/>
      <c r="W156" s="816"/>
      <c r="X156" s="609"/>
      <c r="Y156" s="609"/>
      <c r="Z156" s="816"/>
      <c r="AA156" s="816"/>
      <c r="AB156" s="609"/>
      <c r="AC156" s="609"/>
      <c r="AD156" s="816"/>
      <c r="AE156" s="816"/>
      <c r="AF156" s="609"/>
      <c r="AG156" s="609"/>
      <c r="AH156" s="816"/>
      <c r="AI156" s="816"/>
      <c r="AJ156" s="817"/>
      <c r="AK156" s="609"/>
      <c r="AL156" s="609"/>
      <c r="AM156" s="816"/>
      <c r="AN156" s="816"/>
      <c r="AO156" s="816"/>
      <c r="AP156" s="816"/>
      <c r="AQ156" s="816"/>
      <c r="AR156" s="816"/>
      <c r="AS156" s="816"/>
      <c r="AT156" s="609"/>
      <c r="AU156" s="609"/>
      <c r="AV156" s="609"/>
      <c r="AW156" s="818"/>
      <c r="AX156" s="816"/>
      <c r="AY156" s="816"/>
      <c r="AZ156" s="609"/>
      <c r="BA156" s="609"/>
      <c r="BB156" s="816"/>
      <c r="BC156" s="816"/>
      <c r="BD156" s="609"/>
      <c r="BE156" s="609"/>
      <c r="BF156" s="816"/>
      <c r="BG156" s="816"/>
      <c r="BH156" s="816"/>
      <c r="BI156" s="816"/>
      <c r="BJ156" s="816"/>
      <c r="BK156" s="816"/>
      <c r="BL156" s="816"/>
      <c r="BM156" s="816"/>
      <c r="BN156" s="816"/>
      <c r="BO156" s="816"/>
      <c r="BP156" s="816"/>
      <c r="BQ156" s="816"/>
      <c r="BR156" s="816"/>
      <c r="BS156" s="816"/>
      <c r="BT156" s="816"/>
      <c r="BU156" s="816"/>
      <c r="BV156" s="816"/>
      <c r="BW156" s="816"/>
      <c r="BX156" s="609"/>
      <c r="BY156" s="609"/>
      <c r="BZ156" s="816"/>
      <c r="CA156" s="816"/>
      <c r="CB156" s="609"/>
      <c r="CC156" s="609"/>
      <c r="CD156" s="816"/>
      <c r="CE156" s="816"/>
      <c r="CF156" s="816"/>
      <c r="CG156" s="816"/>
      <c r="CH156" s="816"/>
      <c r="CI156" s="816"/>
      <c r="CJ156" s="816"/>
      <c r="CK156" s="816"/>
      <c r="CL156" s="819"/>
      <c r="CM156" s="816"/>
      <c r="CN156" s="820"/>
      <c r="CO156" s="820"/>
      <c r="CP156" s="820"/>
      <c r="CQ156" s="820"/>
      <c r="CR156" s="609"/>
      <c r="CS156" s="609"/>
      <c r="CT156" s="816"/>
      <c r="CU156" s="816"/>
      <c r="CV156" s="816"/>
      <c r="CW156" s="816"/>
      <c r="CX156" s="816"/>
      <c r="CY156" s="816"/>
      <c r="CZ156" s="816"/>
      <c r="DA156" s="609"/>
      <c r="DB156" s="609"/>
      <c r="DC156" s="816"/>
      <c r="DD156" s="816"/>
      <c r="DE156" s="609"/>
      <c r="DF156" s="609"/>
      <c r="DG156" s="816"/>
      <c r="DH156" s="816"/>
      <c r="DI156" s="816"/>
      <c r="DJ156" s="816"/>
      <c r="DK156" s="816"/>
      <c r="DL156" s="816"/>
      <c r="DM156" s="609"/>
      <c r="DN156" s="609"/>
      <c r="DO156" s="816"/>
      <c r="DP156" s="816"/>
      <c r="DQ156" s="609"/>
      <c r="DR156" s="609"/>
      <c r="DS156" s="816"/>
      <c r="DT156" s="816"/>
      <c r="DU156" s="609"/>
      <c r="DV156" s="609"/>
      <c r="DW156" s="816"/>
      <c r="DX156" s="816"/>
      <c r="DY156" s="816"/>
      <c r="DZ156" s="816"/>
      <c r="EA156" s="816"/>
      <c r="EB156" s="816"/>
      <c r="EC156" s="821"/>
      <c r="ED156" s="609"/>
      <c r="EE156" s="816"/>
      <c r="EF156" s="816"/>
      <c r="EG156" s="822"/>
      <c r="EH156" s="609"/>
      <c r="EI156" s="816"/>
      <c r="EJ156" s="816"/>
      <c r="EK156" s="609"/>
      <c r="EL156" s="816"/>
      <c r="EM156" s="816"/>
      <c r="EN156" s="816"/>
      <c r="EO156" s="816"/>
      <c r="EP156" s="816"/>
      <c r="EQ156" s="816"/>
      <c r="ER156" s="816"/>
      <c r="ES156" s="816"/>
      <c r="ET156" s="816"/>
      <c r="EU156" s="816"/>
      <c r="EV156" s="816"/>
      <c r="EW156" s="823"/>
      <c r="EX156" s="824"/>
      <c r="EY156" s="825"/>
      <c r="EZ156" s="825"/>
      <c r="FA156" s="816"/>
      <c r="FC156" s="826"/>
      <c r="FD156" s="826"/>
      <c r="FE156" s="826"/>
      <c r="FF156" s="826"/>
    </row>
    <row r="157" spans="2:162" s="780" customFormat="1"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816"/>
      <c r="S157" s="816"/>
      <c r="T157" s="816"/>
      <c r="U157" s="816"/>
      <c r="V157" s="816"/>
      <c r="W157" s="816"/>
      <c r="X157" s="609"/>
      <c r="Y157" s="609"/>
      <c r="Z157" s="816"/>
      <c r="AA157" s="816"/>
      <c r="AB157" s="609"/>
      <c r="AC157" s="609"/>
      <c r="AD157" s="816"/>
      <c r="AE157" s="816"/>
      <c r="AF157" s="609"/>
      <c r="AG157" s="609"/>
      <c r="AH157" s="816"/>
      <c r="AI157" s="816"/>
      <c r="AJ157" s="817"/>
      <c r="AK157" s="609"/>
      <c r="AL157" s="609"/>
      <c r="AM157" s="816"/>
      <c r="AN157" s="816"/>
      <c r="AO157" s="816"/>
      <c r="AP157" s="816"/>
      <c r="AQ157" s="816"/>
      <c r="AR157" s="816"/>
      <c r="AS157" s="816"/>
      <c r="AT157" s="609"/>
      <c r="AU157" s="609"/>
      <c r="AV157" s="609"/>
      <c r="AW157" s="818"/>
      <c r="AX157" s="816"/>
      <c r="AY157" s="816"/>
      <c r="AZ157" s="609"/>
      <c r="BA157" s="609"/>
      <c r="BB157" s="816"/>
      <c r="BC157" s="816"/>
      <c r="BD157" s="609"/>
      <c r="BE157" s="609"/>
      <c r="BF157" s="816"/>
      <c r="BG157" s="816"/>
      <c r="BH157" s="816"/>
      <c r="BI157" s="816"/>
      <c r="BJ157" s="816"/>
      <c r="BK157" s="816"/>
      <c r="BL157" s="816"/>
      <c r="BM157" s="816"/>
      <c r="BN157" s="816"/>
      <c r="BO157" s="816"/>
      <c r="BP157" s="816"/>
      <c r="BQ157" s="816"/>
      <c r="BR157" s="816"/>
      <c r="BS157" s="816"/>
      <c r="BT157" s="816"/>
      <c r="BU157" s="816"/>
      <c r="BV157" s="816"/>
      <c r="BW157" s="816"/>
      <c r="BX157" s="609"/>
      <c r="BY157" s="609"/>
      <c r="BZ157" s="816"/>
      <c r="CA157" s="816"/>
      <c r="CB157" s="609"/>
      <c r="CC157" s="609"/>
      <c r="CD157" s="816"/>
      <c r="CE157" s="816"/>
      <c r="CF157" s="816"/>
      <c r="CG157" s="816"/>
      <c r="CH157" s="816"/>
      <c r="CI157" s="816"/>
      <c r="CJ157" s="816"/>
      <c r="CK157" s="816"/>
      <c r="CL157" s="819"/>
      <c r="CM157" s="816"/>
      <c r="CN157" s="820"/>
      <c r="CO157" s="820"/>
      <c r="CP157" s="820"/>
      <c r="CQ157" s="820"/>
      <c r="CR157" s="609"/>
      <c r="CS157" s="609"/>
      <c r="CT157" s="816"/>
      <c r="CU157" s="816"/>
      <c r="CV157" s="816"/>
      <c r="CW157" s="816"/>
      <c r="CX157" s="816"/>
      <c r="CY157" s="816"/>
      <c r="CZ157" s="816"/>
      <c r="DA157" s="609"/>
      <c r="DB157" s="609"/>
      <c r="DC157" s="816"/>
      <c r="DD157" s="816"/>
      <c r="DE157" s="609"/>
      <c r="DF157" s="609"/>
      <c r="DG157" s="816"/>
      <c r="DH157" s="816"/>
      <c r="DI157" s="816"/>
      <c r="DJ157" s="816"/>
      <c r="DK157" s="816"/>
      <c r="DL157" s="816"/>
      <c r="DM157" s="609"/>
      <c r="DN157" s="609"/>
      <c r="DO157" s="816"/>
      <c r="DP157" s="816"/>
      <c r="DQ157" s="609"/>
      <c r="DR157" s="609"/>
      <c r="DS157" s="816"/>
      <c r="DT157" s="816"/>
      <c r="DU157" s="609"/>
      <c r="DV157" s="609"/>
      <c r="DW157" s="816"/>
      <c r="DX157" s="816"/>
      <c r="DY157" s="816"/>
      <c r="DZ157" s="816"/>
      <c r="EA157" s="816"/>
      <c r="EB157" s="816"/>
      <c r="EC157" s="821"/>
      <c r="ED157" s="609"/>
      <c r="EE157" s="816"/>
      <c r="EF157" s="816"/>
      <c r="EG157" s="822"/>
      <c r="EH157" s="609"/>
      <c r="EI157" s="816"/>
      <c r="EJ157" s="816"/>
      <c r="EK157" s="609"/>
      <c r="EL157" s="816"/>
      <c r="EM157" s="816"/>
      <c r="EN157" s="816"/>
      <c r="EO157" s="816"/>
      <c r="EP157" s="816"/>
      <c r="EQ157" s="816"/>
      <c r="ER157" s="816"/>
      <c r="ES157" s="816"/>
      <c r="ET157" s="816"/>
      <c r="EU157" s="816"/>
      <c r="EV157" s="816"/>
      <c r="EW157" s="823"/>
      <c r="EX157" s="824"/>
      <c r="EY157" s="825"/>
      <c r="EZ157" s="825"/>
      <c r="FA157" s="816"/>
      <c r="FC157" s="826"/>
      <c r="FD157" s="826"/>
      <c r="FE157" s="826"/>
      <c r="FF157" s="826"/>
    </row>
    <row r="158" spans="2:162" s="780" customFormat="1">
      <c r="B158" s="609"/>
      <c r="C158" s="609"/>
      <c r="D158" s="609"/>
      <c r="E158" s="609"/>
      <c r="F158" s="609"/>
      <c r="G158" s="609"/>
      <c r="H158" s="609"/>
      <c r="I158" s="609"/>
      <c r="J158" s="609"/>
      <c r="K158" s="609"/>
      <c r="L158" s="609"/>
      <c r="M158" s="609"/>
      <c r="N158" s="609"/>
      <c r="O158" s="609"/>
      <c r="P158" s="609"/>
      <c r="Q158" s="609"/>
      <c r="R158" s="816"/>
      <c r="S158" s="816"/>
      <c r="T158" s="816"/>
      <c r="U158" s="816"/>
      <c r="V158" s="816"/>
      <c r="W158" s="816"/>
      <c r="X158" s="609"/>
      <c r="Y158" s="609"/>
      <c r="Z158" s="816"/>
      <c r="AA158" s="816"/>
      <c r="AB158" s="609"/>
      <c r="AC158" s="609"/>
      <c r="AD158" s="816"/>
      <c r="AE158" s="816"/>
      <c r="AF158" s="609"/>
      <c r="AG158" s="609"/>
      <c r="AH158" s="816"/>
      <c r="AI158" s="816"/>
      <c r="AJ158" s="817"/>
      <c r="AK158" s="609"/>
      <c r="AL158" s="609"/>
      <c r="AM158" s="816"/>
      <c r="AN158" s="816"/>
      <c r="AO158" s="816"/>
      <c r="AP158" s="816"/>
      <c r="AQ158" s="816"/>
      <c r="AR158" s="816"/>
      <c r="AS158" s="816"/>
      <c r="AT158" s="609"/>
      <c r="AU158" s="609"/>
      <c r="AV158" s="609"/>
      <c r="AW158" s="818"/>
      <c r="AX158" s="816"/>
      <c r="AY158" s="816"/>
      <c r="AZ158" s="609"/>
      <c r="BA158" s="609"/>
      <c r="BB158" s="816"/>
      <c r="BC158" s="816"/>
      <c r="BD158" s="609"/>
      <c r="BE158" s="609"/>
      <c r="BF158" s="816"/>
      <c r="BG158" s="816"/>
      <c r="BH158" s="816"/>
      <c r="BI158" s="816"/>
      <c r="BJ158" s="816"/>
      <c r="BK158" s="816"/>
      <c r="BL158" s="816"/>
      <c r="BM158" s="816"/>
      <c r="BN158" s="816"/>
      <c r="BO158" s="816"/>
      <c r="BP158" s="816"/>
      <c r="BQ158" s="816"/>
      <c r="BR158" s="816"/>
      <c r="BS158" s="816"/>
      <c r="BT158" s="816"/>
      <c r="BU158" s="816"/>
      <c r="BV158" s="816"/>
      <c r="BW158" s="816"/>
      <c r="BX158" s="609"/>
      <c r="BY158" s="609"/>
      <c r="BZ158" s="816"/>
      <c r="CA158" s="816"/>
      <c r="CB158" s="609"/>
      <c r="CC158" s="609"/>
      <c r="CD158" s="816"/>
      <c r="CE158" s="816"/>
      <c r="CF158" s="816"/>
      <c r="CG158" s="816"/>
      <c r="CH158" s="816"/>
      <c r="CI158" s="816"/>
      <c r="CJ158" s="816"/>
      <c r="CK158" s="816"/>
      <c r="CL158" s="819"/>
      <c r="CM158" s="816"/>
      <c r="CN158" s="820"/>
      <c r="CO158" s="820"/>
      <c r="CP158" s="820"/>
      <c r="CQ158" s="820"/>
      <c r="CR158" s="609"/>
      <c r="CS158" s="609"/>
      <c r="CT158" s="816"/>
      <c r="CU158" s="816"/>
      <c r="CV158" s="816"/>
      <c r="CW158" s="816"/>
      <c r="CX158" s="816"/>
      <c r="CY158" s="816"/>
      <c r="CZ158" s="816"/>
      <c r="DA158" s="609"/>
      <c r="DB158" s="609"/>
      <c r="DC158" s="816"/>
      <c r="DD158" s="816"/>
      <c r="DE158" s="609"/>
      <c r="DF158" s="609"/>
      <c r="DG158" s="816"/>
      <c r="DH158" s="816"/>
      <c r="DI158" s="816"/>
      <c r="DJ158" s="816"/>
      <c r="DK158" s="816"/>
      <c r="DL158" s="816"/>
      <c r="DM158" s="609"/>
      <c r="DN158" s="609"/>
      <c r="DO158" s="816"/>
      <c r="DP158" s="816"/>
      <c r="DQ158" s="609"/>
      <c r="DR158" s="609"/>
      <c r="DS158" s="816"/>
      <c r="DT158" s="816"/>
      <c r="DU158" s="609"/>
      <c r="DV158" s="609"/>
      <c r="DW158" s="816"/>
      <c r="DX158" s="816"/>
      <c r="DY158" s="816"/>
      <c r="DZ158" s="816"/>
      <c r="EA158" s="816"/>
      <c r="EB158" s="816"/>
      <c r="EC158" s="821"/>
      <c r="ED158" s="609"/>
      <c r="EE158" s="816"/>
      <c r="EF158" s="816"/>
      <c r="EG158" s="822"/>
      <c r="EH158" s="609"/>
      <c r="EI158" s="816"/>
      <c r="EJ158" s="816"/>
      <c r="EK158" s="609"/>
      <c r="EL158" s="816"/>
      <c r="EM158" s="816"/>
      <c r="EN158" s="816"/>
      <c r="EO158" s="816"/>
      <c r="EP158" s="816"/>
      <c r="EQ158" s="816"/>
      <c r="ER158" s="816"/>
      <c r="ES158" s="816"/>
      <c r="ET158" s="816"/>
      <c r="EU158" s="816"/>
      <c r="EV158" s="816"/>
      <c r="EW158" s="823"/>
      <c r="EX158" s="824"/>
      <c r="EY158" s="825"/>
      <c r="EZ158" s="825"/>
      <c r="FA158" s="816"/>
      <c r="FC158" s="826"/>
      <c r="FD158" s="826"/>
      <c r="FE158" s="826"/>
      <c r="FF158" s="826"/>
    </row>
    <row r="159" spans="2:162" s="780" customFormat="1">
      <c r="B159" s="609"/>
      <c r="C159" s="609"/>
      <c r="D159" s="609"/>
      <c r="E159" s="609"/>
      <c r="F159" s="609"/>
      <c r="G159" s="609"/>
      <c r="H159" s="609"/>
      <c r="I159" s="609"/>
      <c r="J159" s="609"/>
      <c r="K159" s="609"/>
      <c r="L159" s="609"/>
      <c r="M159" s="609"/>
      <c r="N159" s="609"/>
      <c r="O159" s="609"/>
      <c r="P159" s="609"/>
      <c r="Q159" s="609"/>
      <c r="R159" s="816"/>
      <c r="S159" s="816"/>
      <c r="T159" s="816"/>
      <c r="U159" s="816"/>
      <c r="V159" s="816"/>
      <c r="W159" s="816"/>
      <c r="X159" s="609"/>
      <c r="Y159" s="609"/>
      <c r="Z159" s="816"/>
      <c r="AA159" s="816"/>
      <c r="AB159" s="609"/>
      <c r="AC159" s="609"/>
      <c r="AD159" s="816"/>
      <c r="AE159" s="816"/>
      <c r="AF159" s="609"/>
      <c r="AG159" s="609"/>
      <c r="AH159" s="816"/>
      <c r="AI159" s="816"/>
      <c r="AJ159" s="817"/>
      <c r="AK159" s="609"/>
      <c r="AL159" s="609"/>
      <c r="AM159" s="816"/>
      <c r="AN159" s="816"/>
      <c r="AO159" s="816"/>
      <c r="AP159" s="816"/>
      <c r="AQ159" s="816"/>
      <c r="AR159" s="816"/>
      <c r="AS159" s="816"/>
      <c r="AT159" s="609"/>
      <c r="AU159" s="609"/>
      <c r="AV159" s="609"/>
      <c r="AW159" s="818"/>
      <c r="AX159" s="816"/>
      <c r="AY159" s="816"/>
      <c r="AZ159" s="609"/>
      <c r="BA159" s="609"/>
      <c r="BB159" s="816"/>
      <c r="BC159" s="816"/>
      <c r="BD159" s="609"/>
      <c r="BE159" s="609"/>
      <c r="BF159" s="816"/>
      <c r="BG159" s="816"/>
      <c r="BH159" s="816"/>
      <c r="BI159" s="816"/>
      <c r="BJ159" s="816"/>
      <c r="BK159" s="816"/>
      <c r="BL159" s="816"/>
      <c r="BM159" s="816"/>
      <c r="BN159" s="816"/>
      <c r="BO159" s="816"/>
      <c r="BP159" s="816"/>
      <c r="BQ159" s="816"/>
      <c r="BR159" s="816"/>
      <c r="BS159" s="816"/>
      <c r="BT159" s="816"/>
      <c r="BU159" s="816"/>
      <c r="BV159" s="816"/>
      <c r="BW159" s="816"/>
      <c r="BX159" s="609"/>
      <c r="BY159" s="609"/>
      <c r="BZ159" s="816"/>
      <c r="CA159" s="816"/>
      <c r="CB159" s="609"/>
      <c r="CC159" s="609"/>
      <c r="CD159" s="816"/>
      <c r="CE159" s="816"/>
      <c r="CF159" s="816"/>
      <c r="CG159" s="816"/>
      <c r="CH159" s="816"/>
      <c r="CI159" s="816"/>
      <c r="CJ159" s="816"/>
      <c r="CK159" s="816"/>
      <c r="CL159" s="819"/>
      <c r="CM159" s="816"/>
      <c r="CN159" s="820"/>
      <c r="CO159" s="820"/>
      <c r="CP159" s="820"/>
      <c r="CQ159" s="820"/>
      <c r="CR159" s="609"/>
      <c r="CS159" s="609"/>
      <c r="CT159" s="816"/>
      <c r="CU159" s="816"/>
      <c r="CV159" s="816"/>
      <c r="CW159" s="816"/>
      <c r="CX159" s="816"/>
      <c r="CY159" s="816"/>
      <c r="CZ159" s="816"/>
      <c r="DA159" s="609"/>
      <c r="DB159" s="609"/>
      <c r="DC159" s="816"/>
      <c r="DD159" s="816"/>
      <c r="DE159" s="609"/>
      <c r="DF159" s="609"/>
      <c r="DG159" s="816"/>
      <c r="DH159" s="816"/>
      <c r="DI159" s="816"/>
      <c r="DJ159" s="816"/>
      <c r="DK159" s="816"/>
      <c r="DL159" s="816"/>
      <c r="DM159" s="609"/>
      <c r="DN159" s="609"/>
      <c r="DO159" s="816"/>
      <c r="DP159" s="816"/>
      <c r="DQ159" s="609"/>
      <c r="DR159" s="609"/>
      <c r="DS159" s="816"/>
      <c r="DT159" s="816"/>
      <c r="DU159" s="609"/>
      <c r="DV159" s="609"/>
      <c r="DW159" s="816"/>
      <c r="DX159" s="816"/>
      <c r="DY159" s="816"/>
      <c r="DZ159" s="816"/>
      <c r="EA159" s="816"/>
      <c r="EB159" s="816"/>
      <c r="EC159" s="821"/>
      <c r="ED159" s="609"/>
      <c r="EE159" s="816"/>
      <c r="EF159" s="816"/>
      <c r="EG159" s="822"/>
      <c r="EH159" s="609"/>
      <c r="EI159" s="816"/>
      <c r="EJ159" s="816"/>
      <c r="EK159" s="609"/>
      <c r="EL159" s="816"/>
      <c r="EM159" s="816"/>
      <c r="EN159" s="816"/>
      <c r="EO159" s="816"/>
      <c r="EP159" s="816"/>
      <c r="EQ159" s="816"/>
      <c r="ER159" s="816"/>
      <c r="ES159" s="816"/>
      <c r="ET159" s="816"/>
      <c r="EU159" s="816"/>
      <c r="EV159" s="816"/>
      <c r="EW159" s="823"/>
      <c r="EX159" s="824"/>
      <c r="EY159" s="825"/>
      <c r="EZ159" s="825"/>
      <c r="FA159" s="816"/>
      <c r="FC159" s="826"/>
      <c r="FD159" s="826"/>
      <c r="FE159" s="826"/>
      <c r="FF159" s="826"/>
    </row>
    <row r="160" spans="2:162" s="780" customFormat="1">
      <c r="B160" s="609"/>
      <c r="C160" s="609"/>
      <c r="D160" s="609"/>
      <c r="E160" s="609"/>
      <c r="F160" s="609"/>
      <c r="G160" s="609"/>
      <c r="H160" s="609"/>
      <c r="I160" s="609"/>
      <c r="J160" s="609"/>
      <c r="K160" s="609"/>
      <c r="L160" s="609"/>
      <c r="M160" s="609"/>
      <c r="N160" s="609"/>
      <c r="O160" s="609"/>
      <c r="P160" s="609"/>
      <c r="Q160" s="609"/>
      <c r="R160" s="816"/>
      <c r="S160" s="816"/>
      <c r="T160" s="816"/>
      <c r="U160" s="816"/>
      <c r="V160" s="816"/>
      <c r="W160" s="816"/>
      <c r="X160" s="609"/>
      <c r="Y160" s="609"/>
      <c r="Z160" s="816"/>
      <c r="AA160" s="816"/>
      <c r="AB160" s="609"/>
      <c r="AC160" s="609"/>
      <c r="AD160" s="816"/>
      <c r="AE160" s="816"/>
      <c r="AF160" s="609"/>
      <c r="AG160" s="609"/>
      <c r="AH160" s="816"/>
      <c r="AI160" s="816"/>
      <c r="AJ160" s="817"/>
      <c r="AK160" s="609"/>
      <c r="AL160" s="609"/>
      <c r="AM160" s="816"/>
      <c r="AN160" s="816"/>
      <c r="AO160" s="816"/>
      <c r="AP160" s="816"/>
      <c r="AQ160" s="816"/>
      <c r="AR160" s="816"/>
      <c r="AS160" s="816"/>
      <c r="AT160" s="609"/>
      <c r="AU160" s="609"/>
      <c r="AV160" s="609"/>
      <c r="AW160" s="818"/>
      <c r="AX160" s="816"/>
      <c r="AY160" s="816"/>
      <c r="AZ160" s="609"/>
      <c r="BA160" s="609"/>
      <c r="BB160" s="816"/>
      <c r="BC160" s="816"/>
      <c r="BD160" s="609"/>
      <c r="BE160" s="609"/>
      <c r="BF160" s="816"/>
      <c r="BG160" s="816"/>
      <c r="BH160" s="816"/>
      <c r="BI160" s="816"/>
      <c r="BJ160" s="816"/>
      <c r="BK160" s="816"/>
      <c r="BL160" s="816"/>
      <c r="BM160" s="816"/>
      <c r="BN160" s="816"/>
      <c r="BO160" s="816"/>
      <c r="BP160" s="816"/>
      <c r="BQ160" s="816"/>
      <c r="BR160" s="816"/>
      <c r="BS160" s="816"/>
      <c r="BT160" s="816"/>
      <c r="BU160" s="816"/>
      <c r="BV160" s="816"/>
      <c r="BW160" s="816"/>
      <c r="BX160" s="609"/>
      <c r="BY160" s="609"/>
      <c r="BZ160" s="816"/>
      <c r="CA160" s="816"/>
      <c r="CB160" s="609"/>
      <c r="CC160" s="609"/>
      <c r="CD160" s="816"/>
      <c r="CE160" s="816"/>
      <c r="CF160" s="816"/>
      <c r="CG160" s="816"/>
      <c r="CH160" s="816"/>
      <c r="CI160" s="816"/>
      <c r="CJ160" s="816"/>
      <c r="CK160" s="816"/>
      <c r="CL160" s="819"/>
      <c r="CM160" s="816"/>
      <c r="CN160" s="820"/>
      <c r="CO160" s="820"/>
      <c r="CP160" s="820"/>
      <c r="CQ160" s="820"/>
      <c r="CR160" s="609"/>
      <c r="CS160" s="609"/>
      <c r="CT160" s="816"/>
      <c r="CU160" s="816"/>
      <c r="CV160" s="816"/>
      <c r="CW160" s="816"/>
      <c r="CX160" s="816"/>
      <c r="CY160" s="816"/>
      <c r="CZ160" s="816"/>
      <c r="DA160" s="609"/>
      <c r="DB160" s="609"/>
      <c r="DC160" s="816"/>
      <c r="DD160" s="816"/>
      <c r="DE160" s="609"/>
      <c r="DF160" s="609"/>
      <c r="DG160" s="816"/>
      <c r="DH160" s="816"/>
      <c r="DI160" s="816"/>
      <c r="DJ160" s="816"/>
      <c r="DK160" s="816"/>
      <c r="DL160" s="816"/>
      <c r="DM160" s="609"/>
      <c r="DN160" s="609"/>
      <c r="DO160" s="816"/>
      <c r="DP160" s="816"/>
      <c r="DQ160" s="609"/>
      <c r="DR160" s="609"/>
      <c r="DS160" s="816"/>
      <c r="DT160" s="816"/>
      <c r="DU160" s="609"/>
      <c r="DV160" s="609"/>
      <c r="DW160" s="816"/>
      <c r="DX160" s="816"/>
      <c r="DY160" s="816"/>
      <c r="DZ160" s="816"/>
      <c r="EA160" s="816"/>
      <c r="EB160" s="816"/>
      <c r="EC160" s="821"/>
      <c r="ED160" s="609"/>
      <c r="EE160" s="816"/>
      <c r="EF160" s="816"/>
      <c r="EG160" s="822"/>
      <c r="EH160" s="609"/>
      <c r="EI160" s="816"/>
      <c r="EJ160" s="816"/>
      <c r="EK160" s="609"/>
      <c r="EL160" s="816"/>
      <c r="EM160" s="816"/>
      <c r="EN160" s="816"/>
      <c r="EO160" s="816"/>
      <c r="EP160" s="816"/>
      <c r="EQ160" s="816"/>
      <c r="ER160" s="816"/>
      <c r="ES160" s="816"/>
      <c r="ET160" s="816"/>
      <c r="EU160" s="816"/>
      <c r="EV160" s="816"/>
      <c r="EW160" s="823"/>
      <c r="EX160" s="824"/>
      <c r="EY160" s="825"/>
      <c r="EZ160" s="825"/>
      <c r="FA160" s="816"/>
      <c r="FC160" s="826"/>
      <c r="FD160" s="826"/>
      <c r="FE160" s="826"/>
      <c r="FF160" s="826"/>
    </row>
    <row r="161" spans="2:162" s="780" customFormat="1">
      <c r="B161" s="609"/>
      <c r="C161" s="609"/>
      <c r="D161" s="609"/>
      <c r="E161" s="609"/>
      <c r="F161" s="609"/>
      <c r="G161" s="609"/>
      <c r="H161" s="609"/>
      <c r="I161" s="609"/>
      <c r="J161" s="609"/>
      <c r="K161" s="609"/>
      <c r="L161" s="609"/>
      <c r="M161" s="609"/>
      <c r="N161" s="609"/>
      <c r="O161" s="609"/>
      <c r="P161" s="609"/>
      <c r="Q161" s="609"/>
      <c r="R161" s="816"/>
      <c r="S161" s="816"/>
      <c r="T161" s="816"/>
      <c r="U161" s="816"/>
      <c r="V161" s="816"/>
      <c r="W161" s="816"/>
      <c r="X161" s="609"/>
      <c r="Y161" s="609"/>
      <c r="Z161" s="816"/>
      <c r="AA161" s="816"/>
      <c r="AB161" s="609"/>
      <c r="AC161" s="609"/>
      <c r="AD161" s="816"/>
      <c r="AE161" s="816"/>
      <c r="AF161" s="609"/>
      <c r="AG161" s="609"/>
      <c r="AH161" s="816"/>
      <c r="AI161" s="816"/>
      <c r="AJ161" s="817"/>
      <c r="AK161" s="609"/>
      <c r="AL161" s="609"/>
      <c r="AM161" s="816"/>
      <c r="AN161" s="816"/>
      <c r="AO161" s="816"/>
      <c r="AP161" s="816"/>
      <c r="AQ161" s="816"/>
      <c r="AR161" s="816"/>
      <c r="AS161" s="816"/>
      <c r="AT161" s="609"/>
      <c r="AU161" s="609"/>
      <c r="AV161" s="609"/>
      <c r="AW161" s="818"/>
      <c r="AX161" s="816"/>
      <c r="AY161" s="816"/>
      <c r="AZ161" s="609"/>
      <c r="BA161" s="609"/>
      <c r="BB161" s="816"/>
      <c r="BC161" s="816"/>
      <c r="BD161" s="609"/>
      <c r="BE161" s="609"/>
      <c r="BF161" s="816"/>
      <c r="BG161" s="816"/>
      <c r="BH161" s="816"/>
      <c r="BI161" s="816"/>
      <c r="BJ161" s="816"/>
      <c r="BK161" s="816"/>
      <c r="BL161" s="816"/>
      <c r="BM161" s="816"/>
      <c r="BN161" s="816"/>
      <c r="BO161" s="816"/>
      <c r="BP161" s="816"/>
      <c r="BQ161" s="816"/>
      <c r="BR161" s="816"/>
      <c r="BS161" s="816"/>
      <c r="BT161" s="816"/>
      <c r="BU161" s="816"/>
      <c r="BV161" s="816"/>
      <c r="BW161" s="816"/>
      <c r="BX161" s="609"/>
      <c r="BY161" s="609"/>
      <c r="BZ161" s="816"/>
      <c r="CA161" s="816"/>
      <c r="CB161" s="609"/>
      <c r="CC161" s="609"/>
      <c r="CD161" s="816"/>
      <c r="CE161" s="816"/>
      <c r="CF161" s="816"/>
      <c r="CG161" s="816"/>
      <c r="CH161" s="816"/>
      <c r="CI161" s="816"/>
      <c r="CJ161" s="816"/>
      <c r="CK161" s="816"/>
      <c r="CL161" s="819"/>
      <c r="CM161" s="816"/>
      <c r="CN161" s="820"/>
      <c r="CO161" s="820"/>
      <c r="CP161" s="820"/>
      <c r="CQ161" s="820"/>
      <c r="CR161" s="609"/>
      <c r="CS161" s="609"/>
      <c r="CT161" s="816"/>
      <c r="CU161" s="816"/>
      <c r="CV161" s="816"/>
      <c r="CW161" s="816"/>
      <c r="CX161" s="816"/>
      <c r="CY161" s="816"/>
      <c r="CZ161" s="816"/>
      <c r="DA161" s="609"/>
      <c r="DB161" s="609"/>
      <c r="DC161" s="816"/>
      <c r="DD161" s="816"/>
      <c r="DE161" s="609"/>
      <c r="DF161" s="609"/>
      <c r="DG161" s="816"/>
      <c r="DH161" s="816"/>
      <c r="DI161" s="816"/>
      <c r="DJ161" s="816"/>
      <c r="DK161" s="816"/>
      <c r="DL161" s="816"/>
      <c r="DM161" s="609"/>
      <c r="DN161" s="609"/>
      <c r="DO161" s="816"/>
      <c r="DP161" s="816"/>
      <c r="DQ161" s="609"/>
      <c r="DR161" s="609"/>
      <c r="DS161" s="816"/>
      <c r="DT161" s="816"/>
      <c r="DU161" s="609"/>
      <c r="DV161" s="609"/>
      <c r="DW161" s="816"/>
      <c r="DX161" s="816"/>
      <c r="DY161" s="816"/>
      <c r="DZ161" s="816"/>
      <c r="EA161" s="816"/>
      <c r="EB161" s="816"/>
      <c r="EC161" s="821"/>
      <c r="ED161" s="609"/>
      <c r="EE161" s="816"/>
      <c r="EF161" s="816"/>
      <c r="EG161" s="822"/>
      <c r="EH161" s="609"/>
      <c r="EI161" s="816"/>
      <c r="EJ161" s="816"/>
      <c r="EK161" s="609"/>
      <c r="EL161" s="816"/>
      <c r="EM161" s="816"/>
      <c r="EN161" s="816"/>
      <c r="EO161" s="816"/>
      <c r="EP161" s="816"/>
      <c r="EQ161" s="816"/>
      <c r="ER161" s="816"/>
      <c r="ES161" s="816"/>
      <c r="ET161" s="816"/>
      <c r="EU161" s="816"/>
      <c r="EV161" s="816"/>
      <c r="EW161" s="823"/>
      <c r="EX161" s="824"/>
      <c r="EY161" s="825"/>
      <c r="EZ161" s="825"/>
      <c r="FA161" s="816"/>
      <c r="FC161" s="826"/>
      <c r="FD161" s="826"/>
      <c r="FE161" s="826"/>
      <c r="FF161" s="826"/>
    </row>
    <row r="162" spans="2:162" s="780" customFormat="1">
      <c r="B162" s="609"/>
      <c r="C162" s="609"/>
      <c r="D162" s="609"/>
      <c r="E162" s="609"/>
      <c r="F162" s="609"/>
      <c r="G162" s="609"/>
      <c r="H162" s="609"/>
      <c r="I162" s="609"/>
      <c r="J162" s="609"/>
      <c r="K162" s="609"/>
      <c r="L162" s="609"/>
      <c r="M162" s="609"/>
      <c r="N162" s="609"/>
      <c r="O162" s="609"/>
      <c r="P162" s="609"/>
      <c r="Q162" s="609"/>
      <c r="R162" s="816"/>
      <c r="S162" s="816"/>
      <c r="T162" s="816"/>
      <c r="U162" s="816"/>
      <c r="V162" s="816"/>
      <c r="W162" s="816"/>
      <c r="X162" s="609"/>
      <c r="Y162" s="609"/>
      <c r="Z162" s="816"/>
      <c r="AA162" s="816"/>
      <c r="AB162" s="609"/>
      <c r="AC162" s="609"/>
      <c r="AD162" s="816"/>
      <c r="AE162" s="816"/>
      <c r="AF162" s="609"/>
      <c r="AG162" s="609"/>
      <c r="AH162" s="816"/>
      <c r="AI162" s="816"/>
      <c r="AJ162" s="817"/>
      <c r="AK162" s="609"/>
      <c r="AL162" s="609"/>
      <c r="AM162" s="816"/>
      <c r="AN162" s="816"/>
      <c r="AO162" s="816"/>
      <c r="AP162" s="816"/>
      <c r="AQ162" s="816"/>
      <c r="AR162" s="816"/>
      <c r="AS162" s="816"/>
      <c r="AT162" s="609"/>
      <c r="AU162" s="609"/>
      <c r="AV162" s="609"/>
      <c r="AW162" s="818"/>
      <c r="AX162" s="816"/>
      <c r="AY162" s="816"/>
      <c r="AZ162" s="609"/>
      <c r="BA162" s="609"/>
      <c r="BB162" s="816"/>
      <c r="BC162" s="816"/>
      <c r="BD162" s="609"/>
      <c r="BE162" s="609"/>
      <c r="BF162" s="816"/>
      <c r="BG162" s="816"/>
      <c r="BH162" s="816"/>
      <c r="BI162" s="816"/>
      <c r="BJ162" s="816"/>
      <c r="BK162" s="816"/>
      <c r="BL162" s="816"/>
      <c r="BM162" s="816"/>
      <c r="BN162" s="816"/>
      <c r="BO162" s="816"/>
      <c r="BP162" s="816"/>
      <c r="BQ162" s="816"/>
      <c r="BR162" s="816"/>
      <c r="BS162" s="816"/>
      <c r="BT162" s="816"/>
      <c r="BU162" s="816"/>
      <c r="BV162" s="816"/>
      <c r="BW162" s="816"/>
      <c r="BX162" s="609"/>
      <c r="BY162" s="609"/>
      <c r="BZ162" s="816"/>
      <c r="CA162" s="816"/>
      <c r="CB162" s="609"/>
      <c r="CC162" s="609"/>
      <c r="CD162" s="816"/>
      <c r="CE162" s="816"/>
      <c r="CF162" s="816"/>
      <c r="CG162" s="816"/>
      <c r="CH162" s="816"/>
      <c r="CI162" s="816"/>
      <c r="CJ162" s="816"/>
      <c r="CK162" s="816"/>
      <c r="CL162" s="819"/>
      <c r="CM162" s="816"/>
      <c r="CN162" s="820"/>
      <c r="CO162" s="820"/>
      <c r="CP162" s="820"/>
      <c r="CQ162" s="820"/>
      <c r="CR162" s="609"/>
      <c r="CS162" s="609"/>
      <c r="CT162" s="816"/>
      <c r="CU162" s="816"/>
      <c r="CV162" s="816"/>
      <c r="CW162" s="816"/>
      <c r="CX162" s="816"/>
      <c r="CY162" s="816"/>
      <c r="CZ162" s="816"/>
      <c r="DA162" s="609"/>
      <c r="DB162" s="609"/>
      <c r="DC162" s="816"/>
      <c r="DD162" s="816"/>
      <c r="DE162" s="609"/>
      <c r="DF162" s="609"/>
      <c r="DG162" s="816"/>
      <c r="DH162" s="816"/>
      <c r="DI162" s="816"/>
      <c r="DJ162" s="816"/>
      <c r="DK162" s="816"/>
      <c r="DL162" s="816"/>
      <c r="DM162" s="609"/>
      <c r="DN162" s="609"/>
      <c r="DO162" s="816"/>
      <c r="DP162" s="816"/>
      <c r="DQ162" s="609"/>
      <c r="DR162" s="609"/>
      <c r="DS162" s="816"/>
      <c r="DT162" s="816"/>
      <c r="DU162" s="609"/>
      <c r="DV162" s="609"/>
      <c r="DW162" s="816"/>
      <c r="DX162" s="816"/>
      <c r="DY162" s="816"/>
      <c r="DZ162" s="816"/>
      <c r="EA162" s="816"/>
      <c r="EB162" s="816"/>
      <c r="EC162" s="821"/>
      <c r="ED162" s="609"/>
      <c r="EE162" s="816"/>
      <c r="EF162" s="816"/>
      <c r="EG162" s="822"/>
      <c r="EH162" s="609"/>
      <c r="EI162" s="816"/>
      <c r="EJ162" s="816"/>
      <c r="EK162" s="609"/>
      <c r="EL162" s="816"/>
      <c r="EM162" s="816"/>
      <c r="EN162" s="816"/>
      <c r="EO162" s="816"/>
      <c r="EP162" s="816"/>
      <c r="EQ162" s="816"/>
      <c r="ER162" s="816"/>
      <c r="ES162" s="816"/>
      <c r="ET162" s="816"/>
      <c r="EU162" s="816"/>
      <c r="EV162" s="816"/>
      <c r="EW162" s="823"/>
      <c r="EX162" s="824"/>
      <c r="EY162" s="825"/>
      <c r="EZ162" s="825"/>
      <c r="FA162" s="816"/>
      <c r="FC162" s="826"/>
      <c r="FD162" s="826"/>
      <c r="FE162" s="826"/>
      <c r="FF162" s="826"/>
    </row>
    <row r="163" spans="2:162" s="780" customFormat="1">
      <c r="B163" s="609"/>
      <c r="C163" s="609"/>
      <c r="D163" s="609"/>
      <c r="E163" s="609"/>
      <c r="F163" s="609"/>
      <c r="G163" s="609"/>
      <c r="H163" s="609"/>
      <c r="I163" s="609"/>
      <c r="J163" s="609"/>
      <c r="K163" s="609"/>
      <c r="L163" s="609"/>
      <c r="M163" s="609"/>
      <c r="N163" s="609"/>
      <c r="O163" s="609"/>
      <c r="P163" s="609"/>
      <c r="Q163" s="609"/>
      <c r="R163" s="816"/>
      <c r="S163" s="816"/>
      <c r="T163" s="816"/>
      <c r="U163" s="816"/>
      <c r="V163" s="816"/>
      <c r="W163" s="816"/>
      <c r="X163" s="609"/>
      <c r="Y163" s="609"/>
      <c r="Z163" s="816"/>
      <c r="AA163" s="816"/>
      <c r="AB163" s="609"/>
      <c r="AC163" s="609"/>
      <c r="AD163" s="816"/>
      <c r="AE163" s="816"/>
      <c r="AF163" s="609"/>
      <c r="AG163" s="609"/>
      <c r="AH163" s="816"/>
      <c r="AI163" s="816"/>
      <c r="AJ163" s="817"/>
      <c r="AK163" s="609"/>
      <c r="AL163" s="609"/>
      <c r="AM163" s="816"/>
      <c r="AN163" s="816"/>
      <c r="AO163" s="816"/>
      <c r="AP163" s="816"/>
      <c r="AQ163" s="816"/>
      <c r="AR163" s="816"/>
      <c r="AS163" s="816"/>
      <c r="AT163" s="609"/>
      <c r="AU163" s="609"/>
      <c r="AV163" s="609"/>
      <c r="AW163" s="818"/>
      <c r="AX163" s="816"/>
      <c r="AY163" s="816"/>
      <c r="AZ163" s="609"/>
      <c r="BA163" s="609"/>
      <c r="BB163" s="816"/>
      <c r="BC163" s="816"/>
      <c r="BD163" s="609"/>
      <c r="BE163" s="609"/>
      <c r="BF163" s="816"/>
      <c r="BG163" s="816"/>
      <c r="BH163" s="816"/>
      <c r="BI163" s="816"/>
      <c r="BJ163" s="816"/>
      <c r="BK163" s="816"/>
      <c r="BL163" s="816"/>
      <c r="BM163" s="816"/>
      <c r="BN163" s="816"/>
      <c r="BO163" s="816"/>
      <c r="BP163" s="816"/>
      <c r="BQ163" s="816"/>
      <c r="BR163" s="816"/>
      <c r="BS163" s="816"/>
      <c r="BT163" s="816"/>
      <c r="BU163" s="816"/>
      <c r="BV163" s="816"/>
      <c r="BW163" s="816"/>
      <c r="BX163" s="609"/>
      <c r="BY163" s="609"/>
      <c r="BZ163" s="816"/>
      <c r="CA163" s="816"/>
      <c r="CB163" s="609"/>
      <c r="CC163" s="609"/>
      <c r="CD163" s="816"/>
      <c r="CE163" s="816"/>
      <c r="CF163" s="816"/>
      <c r="CG163" s="816"/>
      <c r="CH163" s="816"/>
      <c r="CI163" s="816"/>
      <c r="CJ163" s="816"/>
      <c r="CK163" s="816"/>
      <c r="CL163" s="819"/>
      <c r="CM163" s="816"/>
      <c r="CN163" s="820"/>
      <c r="CO163" s="820"/>
      <c r="CP163" s="820"/>
      <c r="CQ163" s="820"/>
      <c r="CR163" s="609"/>
      <c r="CS163" s="609"/>
      <c r="CT163" s="816"/>
      <c r="CU163" s="816"/>
      <c r="CV163" s="816"/>
      <c r="CW163" s="816"/>
      <c r="CX163" s="816"/>
      <c r="CY163" s="816"/>
      <c r="CZ163" s="816"/>
      <c r="DA163" s="609"/>
      <c r="DB163" s="609"/>
      <c r="DC163" s="816"/>
      <c r="DD163" s="816"/>
      <c r="DE163" s="609"/>
      <c r="DF163" s="609"/>
      <c r="DG163" s="816"/>
      <c r="DH163" s="816"/>
      <c r="DI163" s="816"/>
      <c r="DJ163" s="816"/>
      <c r="DK163" s="816"/>
      <c r="DL163" s="816"/>
      <c r="DM163" s="609"/>
      <c r="DN163" s="609"/>
      <c r="DO163" s="816"/>
      <c r="DP163" s="816"/>
      <c r="DQ163" s="609"/>
      <c r="DR163" s="609"/>
      <c r="DS163" s="816"/>
      <c r="DT163" s="816"/>
      <c r="DU163" s="609"/>
      <c r="DV163" s="609"/>
      <c r="DW163" s="816"/>
      <c r="DX163" s="816"/>
      <c r="DY163" s="816"/>
      <c r="DZ163" s="816"/>
      <c r="EA163" s="816"/>
      <c r="EB163" s="816"/>
      <c r="EC163" s="821"/>
      <c r="ED163" s="609"/>
      <c r="EE163" s="816"/>
      <c r="EF163" s="816"/>
      <c r="EG163" s="822"/>
      <c r="EH163" s="609"/>
      <c r="EI163" s="816"/>
      <c r="EJ163" s="816"/>
      <c r="EK163" s="609"/>
      <c r="EL163" s="816"/>
      <c r="EM163" s="816"/>
      <c r="EN163" s="816"/>
      <c r="EO163" s="816"/>
      <c r="EP163" s="816"/>
      <c r="EQ163" s="816"/>
      <c r="ER163" s="816"/>
      <c r="ES163" s="816"/>
      <c r="ET163" s="816"/>
      <c r="EU163" s="816"/>
      <c r="EV163" s="816"/>
      <c r="EW163" s="823"/>
      <c r="EX163" s="824"/>
      <c r="EY163" s="825"/>
      <c r="EZ163" s="825"/>
      <c r="FA163" s="816"/>
      <c r="FC163" s="826"/>
      <c r="FD163" s="826"/>
      <c r="FE163" s="826"/>
      <c r="FF163" s="826"/>
    </row>
    <row r="164" spans="2:162" s="780" customFormat="1">
      <c r="B164" s="609"/>
      <c r="C164" s="609"/>
      <c r="D164" s="609"/>
      <c r="E164" s="609"/>
      <c r="F164" s="609"/>
      <c r="G164" s="609"/>
      <c r="H164" s="609"/>
      <c r="I164" s="609"/>
      <c r="J164" s="609"/>
      <c r="K164" s="609"/>
      <c r="L164" s="609"/>
      <c r="M164" s="609"/>
      <c r="N164" s="609"/>
      <c r="O164" s="609"/>
      <c r="P164" s="609"/>
      <c r="Q164" s="609"/>
      <c r="R164" s="816"/>
      <c r="S164" s="816"/>
      <c r="T164" s="816"/>
      <c r="U164" s="816"/>
      <c r="V164" s="816"/>
      <c r="W164" s="816"/>
      <c r="X164" s="609"/>
      <c r="Y164" s="609"/>
      <c r="Z164" s="816"/>
      <c r="AA164" s="816"/>
      <c r="AB164" s="609"/>
      <c r="AC164" s="609"/>
      <c r="AD164" s="816"/>
      <c r="AE164" s="816"/>
      <c r="AF164" s="609"/>
      <c r="AG164" s="609"/>
      <c r="AH164" s="816"/>
      <c r="AI164" s="816"/>
      <c r="AJ164" s="817"/>
      <c r="AK164" s="609"/>
      <c r="AL164" s="609"/>
      <c r="AM164" s="816"/>
      <c r="AN164" s="816"/>
      <c r="AO164" s="816"/>
      <c r="AP164" s="816"/>
      <c r="AQ164" s="816"/>
      <c r="AR164" s="816"/>
      <c r="AS164" s="816"/>
      <c r="AT164" s="609"/>
      <c r="AU164" s="609"/>
      <c r="AV164" s="609"/>
      <c r="AW164" s="818"/>
      <c r="AX164" s="816"/>
      <c r="AY164" s="816"/>
      <c r="AZ164" s="609"/>
      <c r="BA164" s="609"/>
      <c r="BB164" s="816"/>
      <c r="BC164" s="816"/>
      <c r="BD164" s="609"/>
      <c r="BE164" s="609"/>
      <c r="BF164" s="816"/>
      <c r="BG164" s="816"/>
      <c r="BH164" s="816"/>
      <c r="BI164" s="816"/>
      <c r="BJ164" s="816"/>
      <c r="BK164" s="816"/>
      <c r="BL164" s="816"/>
      <c r="BM164" s="816"/>
      <c r="BN164" s="816"/>
      <c r="BO164" s="816"/>
      <c r="BP164" s="816"/>
      <c r="BQ164" s="816"/>
      <c r="BR164" s="816"/>
      <c r="BS164" s="816"/>
      <c r="BT164" s="816"/>
      <c r="BU164" s="816"/>
      <c r="BV164" s="816"/>
      <c r="BW164" s="816"/>
      <c r="BX164" s="609"/>
      <c r="BY164" s="609"/>
      <c r="BZ164" s="816"/>
      <c r="CA164" s="816"/>
      <c r="CB164" s="609"/>
      <c r="CC164" s="609"/>
      <c r="CD164" s="816"/>
      <c r="CE164" s="816"/>
      <c r="CF164" s="816"/>
      <c r="CG164" s="816"/>
      <c r="CH164" s="816"/>
      <c r="CI164" s="816"/>
      <c r="CJ164" s="816"/>
      <c r="CK164" s="816"/>
      <c r="CL164" s="819"/>
      <c r="CM164" s="816"/>
      <c r="CN164" s="820"/>
      <c r="CO164" s="820"/>
      <c r="CP164" s="820"/>
      <c r="CQ164" s="820"/>
      <c r="CR164" s="609"/>
      <c r="CS164" s="609"/>
      <c r="CT164" s="816"/>
      <c r="CU164" s="816"/>
      <c r="CV164" s="816"/>
      <c r="CW164" s="816"/>
      <c r="CX164" s="816"/>
      <c r="CY164" s="816"/>
      <c r="CZ164" s="816"/>
      <c r="DA164" s="609"/>
      <c r="DB164" s="609"/>
      <c r="DC164" s="816"/>
      <c r="DD164" s="816"/>
      <c r="DE164" s="609"/>
      <c r="DF164" s="609"/>
      <c r="DG164" s="816"/>
      <c r="DH164" s="816"/>
      <c r="DI164" s="816"/>
      <c r="DJ164" s="816"/>
      <c r="DK164" s="816"/>
      <c r="DL164" s="816"/>
      <c r="DM164" s="609"/>
      <c r="DN164" s="609"/>
      <c r="DO164" s="816"/>
      <c r="DP164" s="816"/>
      <c r="DQ164" s="609"/>
      <c r="DR164" s="609"/>
      <c r="DS164" s="816"/>
      <c r="DT164" s="816"/>
      <c r="DU164" s="609"/>
      <c r="DV164" s="609"/>
      <c r="DW164" s="816"/>
      <c r="DX164" s="816"/>
      <c r="DY164" s="816"/>
      <c r="DZ164" s="816"/>
      <c r="EA164" s="816"/>
      <c r="EB164" s="816"/>
      <c r="EC164" s="821"/>
      <c r="ED164" s="609"/>
      <c r="EE164" s="816"/>
      <c r="EF164" s="816"/>
      <c r="EG164" s="822"/>
      <c r="EH164" s="609"/>
      <c r="EI164" s="816"/>
      <c r="EJ164" s="816"/>
      <c r="EK164" s="609"/>
      <c r="EL164" s="816"/>
      <c r="EM164" s="816"/>
      <c r="EN164" s="816"/>
      <c r="EO164" s="816"/>
      <c r="EP164" s="816"/>
      <c r="EQ164" s="816"/>
      <c r="ER164" s="816"/>
      <c r="ES164" s="816"/>
      <c r="ET164" s="816"/>
      <c r="EU164" s="816"/>
      <c r="EV164" s="816"/>
      <c r="EW164" s="823"/>
      <c r="EX164" s="824"/>
      <c r="EY164" s="825"/>
      <c r="EZ164" s="825"/>
      <c r="FA164" s="816"/>
      <c r="FC164" s="834"/>
      <c r="FD164" s="834"/>
      <c r="FE164" s="826"/>
      <c r="FF164" s="834"/>
    </row>
    <row r="165" spans="2:162" s="780" customFormat="1"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816"/>
      <c r="S165" s="816"/>
      <c r="T165" s="816"/>
      <c r="U165" s="816"/>
      <c r="V165" s="816"/>
      <c r="W165" s="816"/>
      <c r="X165" s="609"/>
      <c r="Y165" s="609"/>
      <c r="Z165" s="816"/>
      <c r="AA165" s="816"/>
      <c r="AB165" s="609"/>
      <c r="AC165" s="609"/>
      <c r="AD165" s="816"/>
      <c r="AE165" s="816"/>
      <c r="AF165" s="609"/>
      <c r="AG165" s="609"/>
      <c r="AH165" s="816"/>
      <c r="AI165" s="816"/>
      <c r="AJ165" s="817"/>
      <c r="AK165" s="609"/>
      <c r="AL165" s="609"/>
      <c r="AM165" s="816"/>
      <c r="AN165" s="816"/>
      <c r="AO165" s="816"/>
      <c r="AP165" s="816"/>
      <c r="AQ165" s="816"/>
      <c r="AR165" s="816"/>
      <c r="AS165" s="816"/>
      <c r="AT165" s="609"/>
      <c r="AU165" s="609"/>
      <c r="AV165" s="609"/>
      <c r="AW165" s="818"/>
      <c r="AX165" s="816"/>
      <c r="AY165" s="816"/>
      <c r="AZ165" s="609"/>
      <c r="BA165" s="609"/>
      <c r="BB165" s="816"/>
      <c r="BC165" s="816"/>
      <c r="BD165" s="609"/>
      <c r="BE165" s="609"/>
      <c r="BF165" s="816"/>
      <c r="BG165" s="816"/>
      <c r="BH165" s="816"/>
      <c r="BI165" s="816"/>
      <c r="BJ165" s="816"/>
      <c r="BK165" s="816"/>
      <c r="BL165" s="816"/>
      <c r="BM165" s="816"/>
      <c r="BN165" s="816"/>
      <c r="BO165" s="816"/>
      <c r="BP165" s="816"/>
      <c r="BQ165" s="816"/>
      <c r="BR165" s="816"/>
      <c r="BS165" s="816"/>
      <c r="BT165" s="816"/>
      <c r="BU165" s="816"/>
      <c r="BV165" s="816"/>
      <c r="BW165" s="816"/>
      <c r="BX165" s="609"/>
      <c r="BY165" s="609"/>
      <c r="BZ165" s="816"/>
      <c r="CA165" s="816"/>
      <c r="CB165" s="609"/>
      <c r="CC165" s="609"/>
      <c r="CD165" s="816"/>
      <c r="CE165" s="816"/>
      <c r="CF165" s="816"/>
      <c r="CG165" s="816"/>
      <c r="CH165" s="816"/>
      <c r="CI165" s="816"/>
      <c r="CJ165" s="816"/>
      <c r="CK165" s="816"/>
      <c r="CL165" s="819"/>
      <c r="CM165" s="816"/>
      <c r="CN165" s="820"/>
      <c r="CO165" s="820"/>
      <c r="CP165" s="820"/>
      <c r="CQ165" s="820"/>
      <c r="CR165" s="609"/>
      <c r="CS165" s="609"/>
      <c r="CT165" s="816"/>
      <c r="CU165" s="816"/>
      <c r="CV165" s="816"/>
      <c r="CW165" s="816"/>
      <c r="CX165" s="816"/>
      <c r="CY165" s="816"/>
      <c r="CZ165" s="816"/>
      <c r="DA165" s="609"/>
      <c r="DB165" s="609"/>
      <c r="DC165" s="816"/>
      <c r="DD165" s="816"/>
      <c r="DE165" s="609"/>
      <c r="DF165" s="609"/>
      <c r="DG165" s="816"/>
      <c r="DH165" s="816"/>
      <c r="DI165" s="816"/>
      <c r="DJ165" s="816"/>
      <c r="DK165" s="816"/>
      <c r="DL165" s="816"/>
      <c r="DM165" s="609"/>
      <c r="DN165" s="609"/>
      <c r="DO165" s="816"/>
      <c r="DP165" s="816"/>
      <c r="DQ165" s="609"/>
      <c r="DR165" s="609"/>
      <c r="DS165" s="816"/>
      <c r="DT165" s="816"/>
      <c r="DU165" s="609"/>
      <c r="DV165" s="609"/>
      <c r="DW165" s="816"/>
      <c r="DX165" s="816"/>
      <c r="DY165" s="816"/>
      <c r="DZ165" s="816"/>
      <c r="EA165" s="816"/>
      <c r="EB165" s="816"/>
      <c r="EC165" s="821"/>
      <c r="ED165" s="609"/>
      <c r="EE165" s="816"/>
      <c r="EF165" s="816"/>
      <c r="EG165" s="822"/>
      <c r="EH165" s="609"/>
      <c r="EI165" s="816"/>
      <c r="EJ165" s="816"/>
      <c r="EK165" s="609"/>
      <c r="EL165" s="816"/>
      <c r="EM165" s="816"/>
      <c r="EN165" s="816"/>
      <c r="EO165" s="816"/>
      <c r="EP165" s="816"/>
      <c r="EQ165" s="816"/>
      <c r="ER165" s="816"/>
      <c r="ES165" s="816"/>
      <c r="ET165" s="816"/>
      <c r="EU165" s="816"/>
      <c r="EV165" s="816"/>
      <c r="EW165" s="823"/>
      <c r="EX165" s="824"/>
      <c r="EY165" s="825"/>
      <c r="EZ165" s="825"/>
      <c r="FA165" s="816"/>
      <c r="FC165" s="834"/>
      <c r="FD165" s="834"/>
      <c r="FE165" s="826"/>
      <c r="FF165" s="834"/>
    </row>
    <row r="166" spans="2:162" s="780" customFormat="1">
      <c r="B166" s="609"/>
      <c r="C166" s="609"/>
      <c r="D166" s="609"/>
      <c r="E166" s="609"/>
      <c r="F166" s="609"/>
      <c r="G166" s="609"/>
      <c r="H166" s="609"/>
      <c r="I166" s="609"/>
      <c r="J166" s="609"/>
      <c r="K166" s="609"/>
      <c r="L166" s="609"/>
      <c r="M166" s="609"/>
      <c r="N166" s="609"/>
      <c r="O166" s="609"/>
      <c r="P166" s="609"/>
      <c r="Q166" s="609"/>
      <c r="R166" s="816"/>
      <c r="S166" s="816"/>
      <c r="T166" s="816"/>
      <c r="U166" s="816"/>
      <c r="V166" s="816"/>
      <c r="W166" s="816"/>
      <c r="X166" s="609"/>
      <c r="Y166" s="609"/>
      <c r="Z166" s="816"/>
      <c r="AA166" s="816"/>
      <c r="AB166" s="609"/>
      <c r="AC166" s="609"/>
      <c r="AD166" s="816"/>
      <c r="AE166" s="816"/>
      <c r="AF166" s="609"/>
      <c r="AG166" s="609"/>
      <c r="AH166" s="816"/>
      <c r="AI166" s="816"/>
      <c r="AJ166" s="817"/>
      <c r="AK166" s="609"/>
      <c r="AL166" s="609"/>
      <c r="AM166" s="816"/>
      <c r="AN166" s="816"/>
      <c r="AO166" s="816"/>
      <c r="AP166" s="816"/>
      <c r="AQ166" s="816"/>
      <c r="AR166" s="816"/>
      <c r="AS166" s="816"/>
      <c r="AT166" s="609"/>
      <c r="AU166" s="609"/>
      <c r="AV166" s="609"/>
      <c r="AW166" s="818"/>
      <c r="AX166" s="816"/>
      <c r="AY166" s="816"/>
      <c r="AZ166" s="609"/>
      <c r="BA166" s="609"/>
      <c r="BB166" s="816"/>
      <c r="BC166" s="816"/>
      <c r="BD166" s="609"/>
      <c r="BE166" s="609"/>
      <c r="BF166" s="816"/>
      <c r="BG166" s="816"/>
      <c r="BH166" s="816"/>
      <c r="BI166" s="816"/>
      <c r="BJ166" s="816"/>
      <c r="BK166" s="816"/>
      <c r="BL166" s="816"/>
      <c r="BM166" s="816"/>
      <c r="BN166" s="816"/>
      <c r="BO166" s="816"/>
      <c r="BP166" s="816"/>
      <c r="BQ166" s="816"/>
      <c r="BR166" s="816"/>
      <c r="BS166" s="816"/>
      <c r="BT166" s="816"/>
      <c r="BU166" s="816"/>
      <c r="BV166" s="816"/>
      <c r="BW166" s="816"/>
      <c r="BX166" s="609"/>
      <c r="BY166" s="609"/>
      <c r="BZ166" s="816"/>
      <c r="CA166" s="816"/>
      <c r="CB166" s="609"/>
      <c r="CC166" s="609"/>
      <c r="CD166" s="816"/>
      <c r="CE166" s="816"/>
      <c r="CF166" s="816"/>
      <c r="CG166" s="816"/>
      <c r="CH166" s="816"/>
      <c r="CI166" s="816"/>
      <c r="CJ166" s="816"/>
      <c r="CK166" s="816"/>
      <c r="CL166" s="819"/>
      <c r="CM166" s="816"/>
      <c r="CN166" s="820"/>
      <c r="CO166" s="820"/>
      <c r="CP166" s="820"/>
      <c r="CQ166" s="820"/>
      <c r="CR166" s="609"/>
      <c r="CS166" s="609"/>
      <c r="CT166" s="816"/>
      <c r="CU166" s="816"/>
      <c r="CV166" s="816"/>
      <c r="CW166" s="816"/>
      <c r="CX166" s="816"/>
      <c r="CY166" s="816"/>
      <c r="CZ166" s="816"/>
      <c r="DA166" s="609"/>
      <c r="DB166" s="609"/>
      <c r="DC166" s="816"/>
      <c r="DD166" s="816"/>
      <c r="DE166" s="609"/>
      <c r="DF166" s="609"/>
      <c r="DG166" s="816"/>
      <c r="DH166" s="816"/>
      <c r="DI166" s="816"/>
      <c r="DJ166" s="816"/>
      <c r="DK166" s="816"/>
      <c r="DL166" s="816"/>
      <c r="DM166" s="609"/>
      <c r="DN166" s="609"/>
      <c r="DO166" s="816"/>
      <c r="DP166" s="816"/>
      <c r="DQ166" s="609"/>
      <c r="DR166" s="609"/>
      <c r="DS166" s="816"/>
      <c r="DT166" s="816"/>
      <c r="DU166" s="609"/>
      <c r="DV166" s="609"/>
      <c r="DW166" s="816"/>
      <c r="DX166" s="816"/>
      <c r="DY166" s="816"/>
      <c r="DZ166" s="816"/>
      <c r="EA166" s="816"/>
      <c r="EB166" s="816"/>
      <c r="EC166" s="821"/>
      <c r="ED166" s="609"/>
      <c r="EE166" s="816"/>
      <c r="EF166" s="816"/>
      <c r="EG166" s="822"/>
      <c r="EH166" s="609"/>
      <c r="EI166" s="816"/>
      <c r="EJ166" s="816"/>
      <c r="EK166" s="609"/>
      <c r="EL166" s="816"/>
      <c r="EM166" s="816"/>
      <c r="EN166" s="816"/>
      <c r="EO166" s="816"/>
      <c r="EP166" s="816"/>
      <c r="EQ166" s="816"/>
      <c r="ER166" s="816"/>
      <c r="ES166" s="816"/>
      <c r="ET166" s="816"/>
      <c r="EU166" s="816"/>
      <c r="EV166" s="816"/>
      <c r="EW166" s="823"/>
      <c r="EX166" s="824"/>
      <c r="EY166" s="825"/>
      <c r="EZ166" s="825"/>
      <c r="FA166" s="816"/>
      <c r="FC166" s="834"/>
      <c r="FD166" s="834"/>
      <c r="FE166" s="826"/>
      <c r="FF166" s="834"/>
    </row>
    <row r="167" spans="2:162" s="780" customFormat="1">
      <c r="B167" s="609"/>
      <c r="C167" s="609"/>
      <c r="D167" s="609"/>
      <c r="E167" s="609"/>
      <c r="F167" s="609"/>
      <c r="G167" s="609"/>
      <c r="H167" s="609"/>
      <c r="I167" s="609"/>
      <c r="J167" s="609"/>
      <c r="K167" s="609"/>
      <c r="L167" s="609"/>
      <c r="M167" s="609"/>
      <c r="N167" s="609"/>
      <c r="O167" s="609"/>
      <c r="P167" s="609"/>
      <c r="Q167" s="609"/>
      <c r="R167" s="816"/>
      <c r="S167" s="816"/>
      <c r="T167" s="816"/>
      <c r="U167" s="816"/>
      <c r="V167" s="816"/>
      <c r="W167" s="816"/>
      <c r="X167" s="609"/>
      <c r="Y167" s="609"/>
      <c r="Z167" s="816"/>
      <c r="AA167" s="816"/>
      <c r="AB167" s="609"/>
      <c r="AC167" s="609"/>
      <c r="AD167" s="816"/>
      <c r="AE167" s="816"/>
      <c r="AF167" s="609"/>
      <c r="AG167" s="609"/>
      <c r="AH167" s="816"/>
      <c r="AI167" s="816"/>
      <c r="AJ167" s="817"/>
      <c r="AK167" s="609"/>
      <c r="AL167" s="609"/>
      <c r="AM167" s="816"/>
      <c r="AN167" s="816"/>
      <c r="AO167" s="816"/>
      <c r="AP167" s="816"/>
      <c r="AQ167" s="816"/>
      <c r="AR167" s="816"/>
      <c r="AS167" s="816"/>
      <c r="AT167" s="609"/>
      <c r="AU167" s="609"/>
      <c r="AV167" s="609"/>
      <c r="AW167" s="818"/>
      <c r="AX167" s="816"/>
      <c r="AY167" s="816"/>
      <c r="AZ167" s="609"/>
      <c r="BA167" s="609"/>
      <c r="BB167" s="816"/>
      <c r="BC167" s="816"/>
      <c r="BD167" s="609"/>
      <c r="BE167" s="609"/>
      <c r="BF167" s="816"/>
      <c r="BG167" s="816"/>
      <c r="BH167" s="816"/>
      <c r="BI167" s="816"/>
      <c r="BJ167" s="816"/>
      <c r="BK167" s="816"/>
      <c r="BL167" s="816"/>
      <c r="BM167" s="816"/>
      <c r="BN167" s="816"/>
      <c r="BO167" s="816"/>
      <c r="BP167" s="816"/>
      <c r="BQ167" s="816"/>
      <c r="BR167" s="816"/>
      <c r="BS167" s="816"/>
      <c r="BT167" s="816"/>
      <c r="BU167" s="816"/>
      <c r="BV167" s="816"/>
      <c r="BW167" s="816"/>
      <c r="BX167" s="609"/>
      <c r="BY167" s="609"/>
      <c r="BZ167" s="816"/>
      <c r="CA167" s="816"/>
      <c r="CB167" s="609"/>
      <c r="CC167" s="609"/>
      <c r="CD167" s="816"/>
      <c r="CE167" s="816"/>
      <c r="CF167" s="816"/>
      <c r="CG167" s="816"/>
      <c r="CH167" s="816"/>
      <c r="CI167" s="816"/>
      <c r="CJ167" s="816"/>
      <c r="CK167" s="816"/>
      <c r="CL167" s="819"/>
      <c r="CM167" s="816"/>
      <c r="CN167" s="820"/>
      <c r="CO167" s="820"/>
      <c r="CP167" s="820"/>
      <c r="CQ167" s="820"/>
      <c r="CR167" s="609"/>
      <c r="CS167" s="609"/>
      <c r="CT167" s="816"/>
      <c r="CU167" s="816"/>
      <c r="CV167" s="816"/>
      <c r="CW167" s="816"/>
      <c r="CX167" s="816"/>
      <c r="CY167" s="816"/>
      <c r="CZ167" s="816"/>
      <c r="DA167" s="609"/>
      <c r="DB167" s="609"/>
      <c r="DC167" s="816"/>
      <c r="DD167" s="816"/>
      <c r="DE167" s="609"/>
      <c r="DF167" s="609"/>
      <c r="DG167" s="816"/>
      <c r="DH167" s="816"/>
      <c r="DI167" s="816"/>
      <c r="DJ167" s="816"/>
      <c r="DK167" s="816"/>
      <c r="DL167" s="816"/>
      <c r="DM167" s="609"/>
      <c r="DN167" s="609"/>
      <c r="DO167" s="816"/>
      <c r="DP167" s="816"/>
      <c r="DQ167" s="609"/>
      <c r="DR167" s="609"/>
      <c r="DS167" s="816"/>
      <c r="DT167" s="816"/>
      <c r="DU167" s="609"/>
      <c r="DV167" s="609"/>
      <c r="DW167" s="816"/>
      <c r="DX167" s="816"/>
      <c r="DY167" s="816"/>
      <c r="DZ167" s="816"/>
      <c r="EA167" s="816"/>
      <c r="EB167" s="816"/>
      <c r="EC167" s="821"/>
      <c r="ED167" s="609"/>
      <c r="EE167" s="816"/>
      <c r="EF167" s="816"/>
      <c r="EG167" s="822"/>
      <c r="EH167" s="609"/>
      <c r="EI167" s="816"/>
      <c r="EJ167" s="816"/>
      <c r="EK167" s="609"/>
      <c r="EL167" s="816"/>
      <c r="EM167" s="816"/>
      <c r="EN167" s="816"/>
      <c r="EO167" s="816"/>
      <c r="EP167" s="816"/>
      <c r="EQ167" s="816"/>
      <c r="ER167" s="816"/>
      <c r="ES167" s="816"/>
      <c r="ET167" s="816"/>
      <c r="EU167" s="816"/>
      <c r="EV167" s="816"/>
      <c r="EW167" s="823"/>
      <c r="EX167" s="824"/>
      <c r="EY167" s="825"/>
      <c r="EZ167" s="825"/>
      <c r="FA167" s="816"/>
      <c r="FC167" s="834"/>
      <c r="FD167" s="834"/>
      <c r="FE167" s="826"/>
      <c r="FF167" s="834"/>
    </row>
    <row r="168" spans="2:162" s="780" customFormat="1"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816"/>
      <c r="S168" s="816"/>
      <c r="T168" s="816"/>
      <c r="U168" s="816"/>
      <c r="V168" s="816"/>
      <c r="W168" s="816"/>
      <c r="X168" s="609"/>
      <c r="Y168" s="609"/>
      <c r="Z168" s="816"/>
      <c r="AA168" s="816"/>
      <c r="AB168" s="609"/>
      <c r="AC168" s="609"/>
      <c r="AD168" s="816"/>
      <c r="AE168" s="816"/>
      <c r="AF168" s="609"/>
      <c r="AG168" s="609"/>
      <c r="AH168" s="816"/>
      <c r="AI168" s="816"/>
      <c r="AJ168" s="817"/>
      <c r="AK168" s="609"/>
      <c r="AL168" s="609"/>
      <c r="AM168" s="816"/>
      <c r="AN168" s="816"/>
      <c r="AO168" s="816"/>
      <c r="AP168" s="816"/>
      <c r="AQ168" s="816"/>
      <c r="AR168" s="816"/>
      <c r="AS168" s="816"/>
      <c r="AT168" s="609"/>
      <c r="AU168" s="609"/>
      <c r="AV168" s="609"/>
      <c r="AW168" s="818"/>
      <c r="AX168" s="816"/>
      <c r="AY168" s="816"/>
      <c r="AZ168" s="609"/>
      <c r="BA168" s="609"/>
      <c r="BB168" s="816"/>
      <c r="BC168" s="816"/>
      <c r="BD168" s="609"/>
      <c r="BE168" s="609"/>
      <c r="BF168" s="816"/>
      <c r="BG168" s="816"/>
      <c r="BH168" s="816"/>
      <c r="BI168" s="816"/>
      <c r="BJ168" s="816"/>
      <c r="BK168" s="816"/>
      <c r="BL168" s="816"/>
      <c r="BM168" s="816"/>
      <c r="BN168" s="816"/>
      <c r="BO168" s="816"/>
      <c r="BP168" s="816"/>
      <c r="BQ168" s="816"/>
      <c r="BR168" s="816"/>
      <c r="BS168" s="816"/>
      <c r="BT168" s="816"/>
      <c r="BU168" s="816"/>
      <c r="BV168" s="816"/>
      <c r="BW168" s="816"/>
      <c r="BX168" s="609"/>
      <c r="BY168" s="609"/>
      <c r="BZ168" s="816"/>
      <c r="CA168" s="816"/>
      <c r="CB168" s="609"/>
      <c r="CC168" s="609"/>
      <c r="CD168" s="816"/>
      <c r="CE168" s="816"/>
      <c r="CF168" s="816"/>
      <c r="CG168" s="816"/>
      <c r="CH168" s="816"/>
      <c r="CI168" s="816"/>
      <c r="CJ168" s="816"/>
      <c r="CK168" s="816"/>
      <c r="CL168" s="819"/>
      <c r="CM168" s="816"/>
      <c r="CN168" s="820"/>
      <c r="CO168" s="820"/>
      <c r="CP168" s="820"/>
      <c r="CQ168" s="820"/>
      <c r="CR168" s="609"/>
      <c r="CS168" s="609"/>
      <c r="CT168" s="816"/>
      <c r="CU168" s="816"/>
      <c r="CV168" s="816"/>
      <c r="CW168" s="816"/>
      <c r="CX168" s="816"/>
      <c r="CY168" s="816"/>
      <c r="CZ168" s="816"/>
      <c r="DA168" s="609"/>
      <c r="DB168" s="609"/>
      <c r="DC168" s="816"/>
      <c r="DD168" s="816"/>
      <c r="DE168" s="609"/>
      <c r="DF168" s="609"/>
      <c r="DG168" s="816"/>
      <c r="DH168" s="816"/>
      <c r="DI168" s="816"/>
      <c r="DJ168" s="816"/>
      <c r="DK168" s="816"/>
      <c r="DL168" s="816"/>
      <c r="DM168" s="609"/>
      <c r="DN168" s="609"/>
      <c r="DO168" s="816"/>
      <c r="DP168" s="816"/>
      <c r="DQ168" s="609"/>
      <c r="DR168" s="609"/>
      <c r="DS168" s="816"/>
      <c r="DT168" s="816"/>
      <c r="DU168" s="609"/>
      <c r="DV168" s="609"/>
      <c r="DW168" s="816"/>
      <c r="DX168" s="816"/>
      <c r="DY168" s="816"/>
      <c r="DZ168" s="816"/>
      <c r="EA168" s="816"/>
      <c r="EB168" s="816"/>
      <c r="EC168" s="821"/>
      <c r="ED168" s="609"/>
      <c r="EE168" s="816"/>
      <c r="EF168" s="816"/>
      <c r="EG168" s="822"/>
      <c r="EH168" s="609"/>
      <c r="EI168" s="816"/>
      <c r="EJ168" s="816"/>
      <c r="EK168" s="609"/>
      <c r="EL168" s="816"/>
      <c r="EM168" s="816"/>
      <c r="EN168" s="816"/>
      <c r="EO168" s="816"/>
      <c r="EP168" s="816"/>
      <c r="EQ168" s="816"/>
      <c r="ER168" s="816"/>
      <c r="ES168" s="816"/>
      <c r="ET168" s="816"/>
      <c r="EU168" s="816"/>
      <c r="EV168" s="816"/>
      <c r="EW168" s="823"/>
      <c r="EX168" s="824"/>
      <c r="EY168" s="825"/>
      <c r="EZ168" s="825"/>
      <c r="FA168" s="816"/>
      <c r="FC168" s="834"/>
      <c r="FD168" s="834"/>
      <c r="FE168" s="826"/>
      <c r="FF168" s="834"/>
    </row>
    <row r="169" spans="2:162" s="780" customFormat="1"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816"/>
      <c r="S169" s="816"/>
      <c r="T169" s="816"/>
      <c r="U169" s="816"/>
      <c r="V169" s="816"/>
      <c r="W169" s="816"/>
      <c r="X169" s="609"/>
      <c r="Y169" s="609"/>
      <c r="Z169" s="816"/>
      <c r="AA169" s="816"/>
      <c r="AB169" s="609"/>
      <c r="AC169" s="609"/>
      <c r="AD169" s="816"/>
      <c r="AE169" s="816"/>
      <c r="AF169" s="609"/>
      <c r="AG169" s="609"/>
      <c r="AH169" s="816"/>
      <c r="AI169" s="816"/>
      <c r="AJ169" s="817"/>
      <c r="AK169" s="609"/>
      <c r="AL169" s="609"/>
      <c r="AM169" s="816"/>
      <c r="AN169" s="816"/>
      <c r="AO169" s="816"/>
      <c r="AP169" s="816"/>
      <c r="AQ169" s="816"/>
      <c r="AR169" s="816"/>
      <c r="AS169" s="816"/>
      <c r="AT169" s="609"/>
      <c r="AU169" s="609"/>
      <c r="AV169" s="609"/>
      <c r="AW169" s="818"/>
      <c r="AX169" s="816"/>
      <c r="AY169" s="816"/>
      <c r="AZ169" s="609"/>
      <c r="BA169" s="609"/>
      <c r="BB169" s="816"/>
      <c r="BC169" s="816"/>
      <c r="BD169" s="609"/>
      <c r="BE169" s="609"/>
      <c r="BF169" s="816"/>
      <c r="BG169" s="816"/>
      <c r="BH169" s="816"/>
      <c r="BI169" s="816"/>
      <c r="BJ169" s="816"/>
      <c r="BK169" s="816"/>
      <c r="BL169" s="816"/>
      <c r="BM169" s="816"/>
      <c r="BN169" s="816"/>
      <c r="BO169" s="816"/>
      <c r="BP169" s="816"/>
      <c r="BQ169" s="816"/>
      <c r="BR169" s="816"/>
      <c r="BS169" s="816"/>
      <c r="BT169" s="816"/>
      <c r="BU169" s="816"/>
      <c r="BV169" s="816"/>
      <c r="BW169" s="816"/>
      <c r="BX169" s="609"/>
      <c r="BY169" s="609"/>
      <c r="BZ169" s="816"/>
      <c r="CA169" s="816"/>
      <c r="CB169" s="609"/>
      <c r="CC169" s="609"/>
      <c r="CD169" s="816"/>
      <c r="CE169" s="816"/>
      <c r="CF169" s="816"/>
      <c r="CG169" s="816"/>
      <c r="CH169" s="816"/>
      <c r="CI169" s="816"/>
      <c r="CJ169" s="816"/>
      <c r="CK169" s="816"/>
      <c r="CL169" s="819"/>
      <c r="CM169" s="816"/>
      <c r="CN169" s="820"/>
      <c r="CO169" s="820"/>
      <c r="CP169" s="820"/>
      <c r="CQ169" s="820"/>
      <c r="CR169" s="609"/>
      <c r="CS169" s="609"/>
      <c r="CT169" s="816"/>
      <c r="CU169" s="816"/>
      <c r="CV169" s="816"/>
      <c r="CW169" s="816"/>
      <c r="CX169" s="816"/>
      <c r="CY169" s="816"/>
      <c r="CZ169" s="816"/>
      <c r="DA169" s="609"/>
      <c r="DB169" s="609"/>
      <c r="DC169" s="816"/>
      <c r="DD169" s="816"/>
      <c r="DE169" s="609"/>
      <c r="DF169" s="609"/>
      <c r="DG169" s="816"/>
      <c r="DH169" s="816"/>
      <c r="DI169" s="816"/>
      <c r="DJ169" s="816"/>
      <c r="DK169" s="816"/>
      <c r="DL169" s="816"/>
      <c r="DM169" s="609"/>
      <c r="DN169" s="609"/>
      <c r="DO169" s="816"/>
      <c r="DP169" s="816"/>
      <c r="DQ169" s="609"/>
      <c r="DR169" s="609"/>
      <c r="DS169" s="816"/>
      <c r="DT169" s="816"/>
      <c r="DU169" s="609"/>
      <c r="DV169" s="609"/>
      <c r="DW169" s="816"/>
      <c r="DX169" s="816"/>
      <c r="DY169" s="816"/>
      <c r="DZ169" s="816"/>
      <c r="EA169" s="816"/>
      <c r="EB169" s="816"/>
      <c r="EC169" s="821"/>
      <c r="ED169" s="609"/>
      <c r="EE169" s="816"/>
      <c r="EF169" s="816"/>
      <c r="EG169" s="822"/>
      <c r="EH169" s="609"/>
      <c r="EI169" s="816"/>
      <c r="EJ169" s="816"/>
      <c r="EK169" s="609"/>
      <c r="EL169" s="816"/>
      <c r="EM169" s="816"/>
      <c r="EN169" s="816"/>
      <c r="EO169" s="816"/>
      <c r="EP169" s="816"/>
      <c r="EQ169" s="816"/>
      <c r="ER169" s="816"/>
      <c r="ES169" s="816"/>
      <c r="ET169" s="816"/>
      <c r="EU169" s="816"/>
      <c r="EV169" s="816"/>
      <c r="EW169" s="823"/>
      <c r="EX169" s="824"/>
      <c r="EY169" s="825"/>
      <c r="EZ169" s="825"/>
      <c r="FA169" s="816"/>
      <c r="FC169" s="834"/>
      <c r="FD169" s="834"/>
      <c r="FE169" s="826"/>
      <c r="FF169" s="834"/>
    </row>
    <row r="170" spans="2:162" s="780" customFormat="1">
      <c r="B170" s="609"/>
      <c r="C170" s="609"/>
      <c r="D170" s="609"/>
      <c r="E170" s="609"/>
      <c r="F170" s="609"/>
      <c r="G170" s="609"/>
      <c r="H170" s="609"/>
      <c r="I170" s="609"/>
      <c r="J170" s="609"/>
      <c r="K170" s="609"/>
      <c r="L170" s="609"/>
      <c r="M170" s="609"/>
      <c r="N170" s="609"/>
      <c r="O170" s="609"/>
      <c r="P170" s="609"/>
      <c r="Q170" s="609"/>
      <c r="R170" s="816"/>
      <c r="S170" s="816"/>
      <c r="T170" s="816"/>
      <c r="U170" s="816"/>
      <c r="V170" s="816"/>
      <c r="W170" s="816"/>
      <c r="X170" s="609"/>
      <c r="Y170" s="609"/>
      <c r="Z170" s="816"/>
      <c r="AA170" s="816"/>
      <c r="AB170" s="609"/>
      <c r="AC170" s="609"/>
      <c r="AD170" s="816"/>
      <c r="AE170" s="816"/>
      <c r="AF170" s="609"/>
      <c r="AG170" s="609"/>
      <c r="AH170" s="816"/>
      <c r="AI170" s="816"/>
      <c r="AJ170" s="817"/>
      <c r="AK170" s="609"/>
      <c r="AL170" s="609"/>
      <c r="AM170" s="816"/>
      <c r="AN170" s="816"/>
      <c r="AO170" s="816"/>
      <c r="AP170" s="816"/>
      <c r="AQ170" s="816"/>
      <c r="AR170" s="816"/>
      <c r="AS170" s="816"/>
      <c r="AT170" s="609"/>
      <c r="AU170" s="609"/>
      <c r="AV170" s="609"/>
      <c r="AW170" s="818"/>
      <c r="AX170" s="816"/>
      <c r="AY170" s="816"/>
      <c r="AZ170" s="609"/>
      <c r="BA170" s="609"/>
      <c r="BB170" s="816"/>
      <c r="BC170" s="816"/>
      <c r="BD170" s="609"/>
      <c r="BE170" s="609"/>
      <c r="BF170" s="816"/>
      <c r="BG170" s="816"/>
      <c r="BH170" s="816"/>
      <c r="BI170" s="816"/>
      <c r="BJ170" s="816"/>
      <c r="BK170" s="816"/>
      <c r="BL170" s="816"/>
      <c r="BM170" s="816"/>
      <c r="BN170" s="816"/>
      <c r="BO170" s="816"/>
      <c r="BP170" s="816"/>
      <c r="BQ170" s="816"/>
      <c r="BR170" s="816"/>
      <c r="BS170" s="816"/>
      <c r="BT170" s="816"/>
      <c r="BU170" s="816"/>
      <c r="BV170" s="816"/>
      <c r="BW170" s="816"/>
      <c r="BX170" s="609"/>
      <c r="BY170" s="609"/>
      <c r="BZ170" s="816"/>
      <c r="CA170" s="816"/>
      <c r="CB170" s="609"/>
      <c r="CC170" s="609"/>
      <c r="CD170" s="816"/>
      <c r="CE170" s="816"/>
      <c r="CF170" s="816"/>
      <c r="CG170" s="816"/>
      <c r="CH170" s="816"/>
      <c r="CI170" s="816"/>
      <c r="CJ170" s="816"/>
      <c r="CK170" s="816"/>
      <c r="CL170" s="819"/>
      <c r="CM170" s="816"/>
      <c r="CN170" s="820"/>
      <c r="CO170" s="820"/>
      <c r="CP170" s="820"/>
      <c r="CQ170" s="820"/>
      <c r="CR170" s="609"/>
      <c r="CS170" s="609"/>
      <c r="CT170" s="816"/>
      <c r="CU170" s="816"/>
      <c r="CV170" s="816"/>
      <c r="CW170" s="816"/>
      <c r="CX170" s="816"/>
      <c r="CY170" s="816"/>
      <c r="CZ170" s="816"/>
      <c r="DA170" s="609"/>
      <c r="DB170" s="609"/>
      <c r="DC170" s="816"/>
      <c r="DD170" s="816"/>
      <c r="DE170" s="609"/>
      <c r="DF170" s="609"/>
      <c r="DG170" s="816"/>
      <c r="DH170" s="816"/>
      <c r="DI170" s="816"/>
      <c r="DJ170" s="816"/>
      <c r="DK170" s="816"/>
      <c r="DL170" s="816"/>
      <c r="DM170" s="609"/>
      <c r="DN170" s="609"/>
      <c r="DO170" s="816"/>
      <c r="DP170" s="816"/>
      <c r="DQ170" s="609"/>
      <c r="DR170" s="609"/>
      <c r="DS170" s="816"/>
      <c r="DT170" s="816"/>
      <c r="DU170" s="609"/>
      <c r="DV170" s="609"/>
      <c r="DW170" s="816"/>
      <c r="DX170" s="816"/>
      <c r="DY170" s="816"/>
      <c r="DZ170" s="816"/>
      <c r="EA170" s="816"/>
      <c r="EB170" s="816"/>
      <c r="EC170" s="821"/>
      <c r="ED170" s="609"/>
      <c r="EE170" s="816"/>
      <c r="EF170" s="816"/>
      <c r="EG170" s="822"/>
      <c r="EH170" s="609"/>
      <c r="EI170" s="816"/>
      <c r="EJ170" s="816"/>
      <c r="EK170" s="609"/>
      <c r="EL170" s="816"/>
      <c r="EM170" s="816"/>
      <c r="EN170" s="816"/>
      <c r="EO170" s="816"/>
      <c r="EP170" s="816"/>
      <c r="EQ170" s="816"/>
      <c r="ER170" s="816"/>
      <c r="ES170" s="816"/>
      <c r="ET170" s="816"/>
      <c r="EU170" s="816"/>
      <c r="EV170" s="816"/>
      <c r="EW170" s="823"/>
      <c r="EX170" s="824"/>
      <c r="EY170" s="825"/>
      <c r="EZ170" s="825"/>
      <c r="FA170" s="816"/>
      <c r="FC170" s="834"/>
      <c r="FD170" s="834"/>
      <c r="FE170" s="826"/>
      <c r="FF170" s="834"/>
    </row>
    <row r="171" spans="2:162" s="780" customFormat="1">
      <c r="B171" s="609"/>
      <c r="C171" s="609"/>
      <c r="D171" s="609"/>
      <c r="E171" s="609"/>
      <c r="F171" s="609"/>
      <c r="G171" s="609"/>
      <c r="H171" s="609"/>
      <c r="I171" s="609"/>
      <c r="J171" s="609"/>
      <c r="K171" s="609"/>
      <c r="L171" s="609"/>
      <c r="M171" s="609"/>
      <c r="N171" s="609"/>
      <c r="O171" s="609"/>
      <c r="P171" s="609"/>
      <c r="Q171" s="609"/>
      <c r="R171" s="816"/>
      <c r="S171" s="816"/>
      <c r="T171" s="816"/>
      <c r="U171" s="816"/>
      <c r="V171" s="816"/>
      <c r="W171" s="816"/>
      <c r="X171" s="609"/>
      <c r="Y171" s="609"/>
      <c r="Z171" s="816"/>
      <c r="AA171" s="816"/>
      <c r="AB171" s="609"/>
      <c r="AC171" s="609"/>
      <c r="AD171" s="816"/>
      <c r="AE171" s="816"/>
      <c r="AF171" s="609"/>
      <c r="AG171" s="609"/>
      <c r="AH171" s="816"/>
      <c r="AI171" s="816"/>
      <c r="AJ171" s="817"/>
      <c r="AK171" s="609"/>
      <c r="AL171" s="609"/>
      <c r="AM171" s="816"/>
      <c r="AN171" s="816"/>
      <c r="AO171" s="816"/>
      <c r="AP171" s="816"/>
      <c r="AQ171" s="816"/>
      <c r="AR171" s="816"/>
      <c r="AS171" s="816"/>
      <c r="AT171" s="609"/>
      <c r="AU171" s="609"/>
      <c r="AV171" s="609"/>
      <c r="AW171" s="818"/>
      <c r="AX171" s="816"/>
      <c r="AY171" s="816"/>
      <c r="AZ171" s="609"/>
      <c r="BA171" s="609"/>
      <c r="BB171" s="816"/>
      <c r="BC171" s="816"/>
      <c r="BD171" s="609"/>
      <c r="BE171" s="609"/>
      <c r="BF171" s="816"/>
      <c r="BG171" s="816"/>
      <c r="BH171" s="816"/>
      <c r="BI171" s="816"/>
      <c r="BJ171" s="816"/>
      <c r="BK171" s="816"/>
      <c r="BL171" s="816"/>
      <c r="BM171" s="816"/>
      <c r="BN171" s="816"/>
      <c r="BO171" s="816"/>
      <c r="BP171" s="816"/>
      <c r="BQ171" s="816"/>
      <c r="BR171" s="816"/>
      <c r="BS171" s="816"/>
      <c r="BT171" s="816"/>
      <c r="BU171" s="816"/>
      <c r="BV171" s="816"/>
      <c r="BW171" s="816"/>
      <c r="BX171" s="609"/>
      <c r="BY171" s="609"/>
      <c r="BZ171" s="816"/>
      <c r="CA171" s="816"/>
      <c r="CB171" s="609"/>
      <c r="CC171" s="609"/>
      <c r="CD171" s="816"/>
      <c r="CE171" s="816"/>
      <c r="CF171" s="816"/>
      <c r="CG171" s="816"/>
      <c r="CH171" s="816"/>
      <c r="CI171" s="816"/>
      <c r="CJ171" s="816"/>
      <c r="CK171" s="816"/>
      <c r="CL171" s="819"/>
      <c r="CM171" s="816"/>
      <c r="CN171" s="820"/>
      <c r="CO171" s="820"/>
      <c r="CP171" s="820"/>
      <c r="CQ171" s="820"/>
      <c r="CR171" s="609"/>
      <c r="CS171" s="609"/>
      <c r="CT171" s="816"/>
      <c r="CU171" s="816"/>
      <c r="CV171" s="816"/>
      <c r="CW171" s="816"/>
      <c r="CX171" s="816"/>
      <c r="CY171" s="816"/>
      <c r="CZ171" s="816"/>
      <c r="DA171" s="609"/>
      <c r="DB171" s="609"/>
      <c r="DC171" s="816"/>
      <c r="DD171" s="816"/>
      <c r="DE171" s="609"/>
      <c r="DF171" s="609"/>
      <c r="DG171" s="816"/>
      <c r="DH171" s="816"/>
      <c r="DI171" s="816"/>
      <c r="DJ171" s="816"/>
      <c r="DK171" s="816"/>
      <c r="DL171" s="816"/>
      <c r="DM171" s="609"/>
      <c r="DN171" s="609"/>
      <c r="DO171" s="816"/>
      <c r="DP171" s="816"/>
      <c r="DQ171" s="609"/>
      <c r="DR171" s="609"/>
      <c r="DS171" s="816"/>
      <c r="DT171" s="816"/>
      <c r="DU171" s="609"/>
      <c r="DV171" s="609"/>
      <c r="DW171" s="816"/>
      <c r="DX171" s="816"/>
      <c r="DY171" s="816"/>
      <c r="DZ171" s="816"/>
      <c r="EA171" s="816"/>
      <c r="EB171" s="816"/>
      <c r="EC171" s="821"/>
      <c r="ED171" s="609"/>
      <c r="EE171" s="816"/>
      <c r="EF171" s="816"/>
      <c r="EG171" s="822"/>
      <c r="EH171" s="609"/>
      <c r="EI171" s="816"/>
      <c r="EJ171" s="816"/>
      <c r="EK171" s="609"/>
      <c r="EL171" s="816"/>
      <c r="EM171" s="816"/>
      <c r="EN171" s="816"/>
      <c r="EO171" s="816"/>
      <c r="EP171" s="816"/>
      <c r="EQ171" s="816"/>
      <c r="ER171" s="816"/>
      <c r="ES171" s="816"/>
      <c r="ET171" s="816"/>
      <c r="EU171" s="816"/>
      <c r="EV171" s="816"/>
      <c r="EW171" s="823"/>
      <c r="EX171" s="824"/>
      <c r="EY171" s="825"/>
      <c r="EZ171" s="825"/>
      <c r="FA171" s="816"/>
      <c r="FC171" s="834"/>
      <c r="FD171" s="834"/>
      <c r="FE171" s="826"/>
      <c r="FF171" s="834"/>
    </row>
    <row r="172" spans="2:162" s="780" customFormat="1">
      <c r="B172" s="609"/>
      <c r="C172" s="609"/>
      <c r="D172" s="609"/>
      <c r="E172" s="609"/>
      <c r="F172" s="609"/>
      <c r="G172" s="609"/>
      <c r="H172" s="609"/>
      <c r="I172" s="609"/>
      <c r="J172" s="609"/>
      <c r="K172" s="609"/>
      <c r="L172" s="609"/>
      <c r="M172" s="609"/>
      <c r="N172" s="609"/>
      <c r="O172" s="609"/>
      <c r="P172" s="609"/>
      <c r="Q172" s="609"/>
      <c r="R172" s="816"/>
      <c r="S172" s="816"/>
      <c r="T172" s="816"/>
      <c r="U172" s="816"/>
      <c r="V172" s="816"/>
      <c r="W172" s="816"/>
      <c r="X172" s="609"/>
      <c r="Y172" s="609"/>
      <c r="Z172" s="816"/>
      <c r="AA172" s="816"/>
      <c r="AB172" s="609"/>
      <c r="AC172" s="609"/>
      <c r="AD172" s="816"/>
      <c r="AE172" s="816"/>
      <c r="AF172" s="609"/>
      <c r="AG172" s="609"/>
      <c r="AH172" s="816"/>
      <c r="AI172" s="816"/>
      <c r="AJ172" s="817"/>
      <c r="AK172" s="609"/>
      <c r="AL172" s="609"/>
      <c r="AM172" s="816"/>
      <c r="AN172" s="816"/>
      <c r="AO172" s="816"/>
      <c r="AP172" s="816"/>
      <c r="AQ172" s="816"/>
      <c r="AR172" s="816"/>
      <c r="AS172" s="816"/>
      <c r="AT172" s="609"/>
      <c r="AU172" s="609"/>
      <c r="AV172" s="609"/>
      <c r="AW172" s="818"/>
      <c r="AX172" s="816"/>
      <c r="AY172" s="816"/>
      <c r="AZ172" s="609"/>
      <c r="BA172" s="609"/>
      <c r="BB172" s="816"/>
      <c r="BC172" s="816"/>
      <c r="BD172" s="609"/>
      <c r="BE172" s="609"/>
      <c r="BF172" s="816"/>
      <c r="BG172" s="816"/>
      <c r="BH172" s="816"/>
      <c r="BI172" s="816"/>
      <c r="BJ172" s="816"/>
      <c r="BK172" s="816"/>
      <c r="BL172" s="816"/>
      <c r="BM172" s="816"/>
      <c r="BN172" s="816"/>
      <c r="BO172" s="816"/>
      <c r="BP172" s="816"/>
      <c r="BQ172" s="816"/>
      <c r="BR172" s="816"/>
      <c r="BS172" s="816"/>
      <c r="BT172" s="816"/>
      <c r="BU172" s="816"/>
      <c r="BV172" s="816"/>
      <c r="BW172" s="816"/>
      <c r="BX172" s="609"/>
      <c r="BY172" s="609"/>
      <c r="BZ172" s="816"/>
      <c r="CA172" s="816"/>
      <c r="CB172" s="609"/>
      <c r="CC172" s="609"/>
      <c r="CD172" s="816"/>
      <c r="CE172" s="816"/>
      <c r="CF172" s="816"/>
      <c r="CG172" s="816"/>
      <c r="CH172" s="816"/>
      <c r="CI172" s="816"/>
      <c r="CJ172" s="816"/>
      <c r="CK172" s="816"/>
      <c r="CL172" s="819"/>
      <c r="CM172" s="816"/>
      <c r="CN172" s="820"/>
      <c r="CO172" s="820"/>
      <c r="CP172" s="820"/>
      <c r="CQ172" s="820"/>
      <c r="CR172" s="609"/>
      <c r="CS172" s="609"/>
      <c r="CT172" s="816"/>
      <c r="CU172" s="816"/>
      <c r="CV172" s="816"/>
      <c r="CW172" s="816"/>
      <c r="CX172" s="816"/>
      <c r="CY172" s="816"/>
      <c r="CZ172" s="816"/>
      <c r="DA172" s="609"/>
      <c r="DB172" s="609"/>
      <c r="DC172" s="816"/>
      <c r="DD172" s="816"/>
      <c r="DE172" s="609"/>
      <c r="DF172" s="609"/>
      <c r="DG172" s="816"/>
      <c r="DH172" s="816"/>
      <c r="DI172" s="816"/>
      <c r="DJ172" s="816"/>
      <c r="DK172" s="816"/>
      <c r="DL172" s="816"/>
      <c r="DM172" s="609"/>
      <c r="DN172" s="609"/>
      <c r="DO172" s="816"/>
      <c r="DP172" s="816"/>
      <c r="DQ172" s="609"/>
      <c r="DR172" s="609"/>
      <c r="DS172" s="816"/>
      <c r="DT172" s="816"/>
      <c r="DU172" s="609"/>
      <c r="DV172" s="609"/>
      <c r="DW172" s="816"/>
      <c r="DX172" s="816"/>
      <c r="DY172" s="816"/>
      <c r="DZ172" s="816"/>
      <c r="EA172" s="816"/>
      <c r="EB172" s="816"/>
      <c r="EC172" s="821"/>
      <c r="ED172" s="609"/>
      <c r="EE172" s="816"/>
      <c r="EF172" s="816"/>
      <c r="EG172" s="822"/>
      <c r="EH172" s="609"/>
      <c r="EI172" s="816"/>
      <c r="EJ172" s="816"/>
      <c r="EK172" s="609"/>
      <c r="EL172" s="816"/>
      <c r="EM172" s="816"/>
      <c r="EN172" s="816"/>
      <c r="EO172" s="816"/>
      <c r="EP172" s="816"/>
      <c r="EQ172" s="816"/>
      <c r="ER172" s="816"/>
      <c r="ES172" s="816"/>
      <c r="ET172" s="816"/>
      <c r="EU172" s="816"/>
      <c r="EV172" s="816"/>
      <c r="EW172" s="823"/>
      <c r="EX172" s="824"/>
      <c r="EY172" s="825"/>
      <c r="EZ172" s="825"/>
      <c r="FA172" s="816"/>
      <c r="FC172" s="834"/>
      <c r="FD172" s="834"/>
      <c r="FE172" s="826"/>
      <c r="FF172" s="834"/>
    </row>
    <row r="173" spans="2:162" s="780" customFormat="1">
      <c r="B173" s="609"/>
      <c r="C173" s="609"/>
      <c r="D173" s="609"/>
      <c r="E173" s="609"/>
      <c r="F173" s="609"/>
      <c r="G173" s="609"/>
      <c r="H173" s="609"/>
      <c r="I173" s="609"/>
      <c r="J173" s="609"/>
      <c r="K173" s="609"/>
      <c r="L173" s="609"/>
      <c r="M173" s="609"/>
      <c r="N173" s="609"/>
      <c r="O173" s="609"/>
      <c r="P173" s="609"/>
      <c r="Q173" s="609"/>
      <c r="R173" s="816"/>
      <c r="S173" s="816"/>
      <c r="T173" s="816"/>
      <c r="U173" s="816"/>
      <c r="V173" s="816"/>
      <c r="W173" s="816"/>
      <c r="X173" s="609"/>
      <c r="Y173" s="609"/>
      <c r="Z173" s="816"/>
      <c r="AA173" s="816"/>
      <c r="AB173" s="609"/>
      <c r="AC173" s="609"/>
      <c r="AD173" s="816"/>
      <c r="AE173" s="816"/>
      <c r="AF173" s="609"/>
      <c r="AG173" s="609"/>
      <c r="AH173" s="816"/>
      <c r="AI173" s="816"/>
      <c r="AJ173" s="817"/>
      <c r="AK173" s="609"/>
      <c r="AL173" s="609"/>
      <c r="AM173" s="816"/>
      <c r="AN173" s="816"/>
      <c r="AO173" s="816"/>
      <c r="AP173" s="816"/>
      <c r="AQ173" s="816"/>
      <c r="AR173" s="816"/>
      <c r="AS173" s="816"/>
      <c r="AT173" s="609"/>
      <c r="AU173" s="609"/>
      <c r="AV173" s="609"/>
      <c r="AW173" s="818"/>
      <c r="AX173" s="816"/>
      <c r="AY173" s="816"/>
      <c r="AZ173" s="609"/>
      <c r="BA173" s="609"/>
      <c r="BB173" s="816"/>
      <c r="BC173" s="816"/>
      <c r="BD173" s="609"/>
      <c r="BE173" s="609"/>
      <c r="BF173" s="816"/>
      <c r="BG173" s="816"/>
      <c r="BH173" s="816"/>
      <c r="BI173" s="816"/>
      <c r="BJ173" s="816"/>
      <c r="BK173" s="816"/>
      <c r="BL173" s="816"/>
      <c r="BM173" s="816"/>
      <c r="BN173" s="816"/>
      <c r="BO173" s="816"/>
      <c r="BP173" s="816"/>
      <c r="BQ173" s="816"/>
      <c r="BR173" s="816"/>
      <c r="BS173" s="816"/>
      <c r="BT173" s="816"/>
      <c r="BU173" s="816"/>
      <c r="BV173" s="816"/>
      <c r="BW173" s="816"/>
      <c r="BX173" s="609"/>
      <c r="BY173" s="609"/>
      <c r="BZ173" s="816"/>
      <c r="CA173" s="816"/>
      <c r="CB173" s="609"/>
      <c r="CC173" s="609"/>
      <c r="CD173" s="816"/>
      <c r="CE173" s="816"/>
      <c r="CF173" s="816"/>
      <c r="CG173" s="816"/>
      <c r="CH173" s="816"/>
      <c r="CI173" s="816"/>
      <c r="CJ173" s="816"/>
      <c r="CK173" s="816"/>
      <c r="CL173" s="819"/>
      <c r="CM173" s="816"/>
      <c r="CN173" s="820"/>
      <c r="CO173" s="820"/>
      <c r="CP173" s="820"/>
      <c r="CQ173" s="820"/>
      <c r="CR173" s="609"/>
      <c r="CS173" s="609"/>
      <c r="CT173" s="816"/>
      <c r="CU173" s="816"/>
      <c r="CV173" s="816"/>
      <c r="CW173" s="816"/>
      <c r="CX173" s="816"/>
      <c r="CY173" s="816"/>
      <c r="CZ173" s="816"/>
      <c r="DA173" s="609"/>
      <c r="DB173" s="609"/>
      <c r="DC173" s="816"/>
      <c r="DD173" s="816"/>
      <c r="DE173" s="609"/>
      <c r="DF173" s="609"/>
      <c r="DG173" s="816"/>
      <c r="DH173" s="816"/>
      <c r="DI173" s="816"/>
      <c r="DJ173" s="816"/>
      <c r="DK173" s="816"/>
      <c r="DL173" s="816"/>
      <c r="DM173" s="609"/>
      <c r="DN173" s="609"/>
      <c r="DO173" s="816"/>
      <c r="DP173" s="816"/>
      <c r="DQ173" s="609"/>
      <c r="DR173" s="609"/>
      <c r="DS173" s="816"/>
      <c r="DT173" s="816"/>
      <c r="DU173" s="609"/>
      <c r="DV173" s="609"/>
      <c r="DW173" s="816"/>
      <c r="DX173" s="816"/>
      <c r="DY173" s="816"/>
      <c r="DZ173" s="816"/>
      <c r="EA173" s="816"/>
      <c r="EB173" s="816"/>
      <c r="EC173" s="821"/>
      <c r="ED173" s="609"/>
      <c r="EE173" s="816"/>
      <c r="EF173" s="816"/>
      <c r="EG173" s="822"/>
      <c r="EH173" s="609"/>
      <c r="EI173" s="816"/>
      <c r="EJ173" s="816"/>
      <c r="EK173" s="609"/>
      <c r="EL173" s="816"/>
      <c r="EM173" s="816"/>
      <c r="EN173" s="816"/>
      <c r="EO173" s="816"/>
      <c r="EP173" s="816"/>
      <c r="EQ173" s="816"/>
      <c r="ER173" s="816"/>
      <c r="ES173" s="816"/>
      <c r="ET173" s="816"/>
      <c r="EU173" s="816"/>
      <c r="EV173" s="816"/>
      <c r="EW173" s="823"/>
      <c r="EX173" s="824"/>
      <c r="EY173" s="825"/>
      <c r="EZ173" s="825"/>
      <c r="FA173" s="816"/>
      <c r="FC173" s="834"/>
      <c r="FD173" s="834"/>
      <c r="FE173" s="826"/>
      <c r="FF173" s="834"/>
    </row>
    <row r="174" spans="2:162" s="780" customFormat="1">
      <c r="B174" s="609"/>
      <c r="C174" s="609"/>
      <c r="D174" s="609"/>
      <c r="E174" s="609"/>
      <c r="F174" s="609"/>
      <c r="G174" s="609"/>
      <c r="H174" s="609"/>
      <c r="I174" s="609"/>
      <c r="J174" s="609"/>
      <c r="K174" s="609"/>
      <c r="L174" s="609"/>
      <c r="M174" s="609"/>
      <c r="N174" s="609"/>
      <c r="O174" s="609"/>
      <c r="P174" s="609"/>
      <c r="Q174" s="609"/>
      <c r="R174" s="816"/>
      <c r="S174" s="816"/>
      <c r="T174" s="816"/>
      <c r="U174" s="816"/>
      <c r="V174" s="816"/>
      <c r="W174" s="816"/>
      <c r="X174" s="609"/>
      <c r="Y174" s="609"/>
      <c r="Z174" s="816"/>
      <c r="AA174" s="816"/>
      <c r="AB174" s="609"/>
      <c r="AC174" s="609"/>
      <c r="AD174" s="816"/>
      <c r="AE174" s="816"/>
      <c r="AF174" s="609"/>
      <c r="AG174" s="609"/>
      <c r="AH174" s="816"/>
      <c r="AI174" s="816"/>
      <c r="AJ174" s="817"/>
      <c r="AK174" s="609"/>
      <c r="AL174" s="609"/>
      <c r="AM174" s="816"/>
      <c r="AN174" s="816"/>
      <c r="AO174" s="816"/>
      <c r="AP174" s="816"/>
      <c r="AQ174" s="816"/>
      <c r="AR174" s="816"/>
      <c r="AS174" s="816"/>
      <c r="AT174" s="609"/>
      <c r="AU174" s="609"/>
      <c r="AV174" s="609"/>
      <c r="AW174" s="818"/>
      <c r="AX174" s="816"/>
      <c r="AY174" s="816"/>
      <c r="AZ174" s="609"/>
      <c r="BA174" s="609"/>
      <c r="BB174" s="816"/>
      <c r="BC174" s="816"/>
      <c r="BD174" s="609"/>
      <c r="BE174" s="609"/>
      <c r="BF174" s="816"/>
      <c r="BG174" s="816"/>
      <c r="BH174" s="816"/>
      <c r="BI174" s="816"/>
      <c r="BJ174" s="816"/>
      <c r="BK174" s="816"/>
      <c r="BL174" s="816"/>
      <c r="BM174" s="816"/>
      <c r="BN174" s="816"/>
      <c r="BO174" s="816"/>
      <c r="BP174" s="816"/>
      <c r="BQ174" s="816"/>
      <c r="BR174" s="816"/>
      <c r="BS174" s="816"/>
      <c r="BT174" s="816"/>
      <c r="BU174" s="816"/>
      <c r="BV174" s="816"/>
      <c r="BW174" s="816"/>
      <c r="BX174" s="609"/>
      <c r="BY174" s="609"/>
      <c r="BZ174" s="816"/>
      <c r="CA174" s="816"/>
      <c r="CB174" s="609"/>
      <c r="CC174" s="609"/>
      <c r="CD174" s="816"/>
      <c r="CE174" s="816"/>
      <c r="CF174" s="816"/>
      <c r="CG174" s="816"/>
      <c r="CH174" s="816"/>
      <c r="CI174" s="816"/>
      <c r="CJ174" s="816"/>
      <c r="CK174" s="816"/>
      <c r="CL174" s="819"/>
      <c r="CM174" s="816"/>
      <c r="CN174" s="820"/>
      <c r="CO174" s="820"/>
      <c r="CP174" s="820"/>
      <c r="CQ174" s="820"/>
      <c r="CR174" s="609"/>
      <c r="CS174" s="609"/>
      <c r="CT174" s="816"/>
      <c r="CU174" s="816"/>
      <c r="CV174" s="816"/>
      <c r="CW174" s="816"/>
      <c r="CX174" s="816"/>
      <c r="CY174" s="816"/>
      <c r="CZ174" s="816"/>
      <c r="DA174" s="609"/>
      <c r="DB174" s="609"/>
      <c r="DC174" s="816"/>
      <c r="DD174" s="816"/>
      <c r="DE174" s="609"/>
      <c r="DF174" s="609"/>
      <c r="DG174" s="816"/>
      <c r="DH174" s="816"/>
      <c r="DI174" s="816"/>
      <c r="DJ174" s="816"/>
      <c r="DK174" s="816"/>
      <c r="DL174" s="816"/>
      <c r="DM174" s="609"/>
      <c r="DN174" s="609"/>
      <c r="DO174" s="816"/>
      <c r="DP174" s="816"/>
      <c r="DQ174" s="609"/>
      <c r="DR174" s="609"/>
      <c r="DS174" s="816"/>
      <c r="DT174" s="816"/>
      <c r="DU174" s="609"/>
      <c r="DV174" s="609"/>
      <c r="DW174" s="816"/>
      <c r="DX174" s="816"/>
      <c r="DY174" s="816"/>
      <c r="DZ174" s="816"/>
      <c r="EA174" s="816"/>
      <c r="EB174" s="816"/>
      <c r="EC174" s="821"/>
      <c r="ED174" s="609"/>
      <c r="EE174" s="816"/>
      <c r="EF174" s="816"/>
      <c r="EG174" s="822"/>
      <c r="EH174" s="609"/>
      <c r="EI174" s="816"/>
      <c r="EJ174" s="816"/>
      <c r="EK174" s="609"/>
      <c r="EL174" s="816"/>
      <c r="EM174" s="816"/>
      <c r="EN174" s="816"/>
      <c r="EO174" s="816"/>
      <c r="EP174" s="816"/>
      <c r="EQ174" s="816"/>
      <c r="ER174" s="816"/>
      <c r="ES174" s="816"/>
      <c r="ET174" s="816"/>
      <c r="EU174" s="816"/>
      <c r="EV174" s="816"/>
      <c r="EW174" s="823"/>
      <c r="EX174" s="824"/>
      <c r="EY174" s="825"/>
      <c r="EZ174" s="825"/>
      <c r="FA174" s="816"/>
      <c r="FC174" s="834"/>
      <c r="FD174" s="834"/>
      <c r="FE174" s="826"/>
      <c r="FF174" s="834"/>
    </row>
    <row r="175" spans="2:162" s="780" customFormat="1">
      <c r="B175" s="609"/>
      <c r="C175" s="609"/>
      <c r="D175" s="609"/>
      <c r="E175" s="609"/>
      <c r="F175" s="609"/>
      <c r="G175" s="609"/>
      <c r="H175" s="609"/>
      <c r="I175" s="609"/>
      <c r="J175" s="609"/>
      <c r="K175" s="609"/>
      <c r="L175" s="609"/>
      <c r="M175" s="609"/>
      <c r="N175" s="609"/>
      <c r="O175" s="609"/>
      <c r="P175" s="609"/>
      <c r="Q175" s="609"/>
      <c r="R175" s="816"/>
      <c r="S175" s="816"/>
      <c r="T175" s="816"/>
      <c r="U175" s="816"/>
      <c r="V175" s="816"/>
      <c r="W175" s="816"/>
      <c r="X175" s="609"/>
      <c r="Y175" s="609"/>
      <c r="Z175" s="816"/>
      <c r="AA175" s="816"/>
      <c r="AB175" s="609"/>
      <c r="AC175" s="609"/>
      <c r="AD175" s="816"/>
      <c r="AE175" s="816"/>
      <c r="AF175" s="609"/>
      <c r="AG175" s="609"/>
      <c r="AH175" s="816"/>
      <c r="AI175" s="816"/>
      <c r="AJ175" s="817"/>
      <c r="AK175" s="609"/>
      <c r="AL175" s="609"/>
      <c r="AM175" s="816"/>
      <c r="AN175" s="816"/>
      <c r="AO175" s="816"/>
      <c r="AP175" s="816"/>
      <c r="AQ175" s="816"/>
      <c r="AR175" s="816"/>
      <c r="AS175" s="816"/>
      <c r="AT175" s="609"/>
      <c r="AU175" s="609"/>
      <c r="AV175" s="609"/>
      <c r="AW175" s="818"/>
      <c r="AX175" s="816"/>
      <c r="AY175" s="816"/>
      <c r="AZ175" s="609"/>
      <c r="BA175" s="609"/>
      <c r="BB175" s="816"/>
      <c r="BC175" s="816"/>
      <c r="BD175" s="609"/>
      <c r="BE175" s="609"/>
      <c r="BF175" s="816"/>
      <c r="BG175" s="816"/>
      <c r="BH175" s="816"/>
      <c r="BI175" s="816"/>
      <c r="BJ175" s="816"/>
      <c r="BK175" s="816"/>
      <c r="BL175" s="816"/>
      <c r="BM175" s="816"/>
      <c r="BN175" s="816"/>
      <c r="BO175" s="816"/>
      <c r="BP175" s="816"/>
      <c r="BQ175" s="816"/>
      <c r="BR175" s="816"/>
      <c r="BS175" s="816"/>
      <c r="BT175" s="816"/>
      <c r="BU175" s="816"/>
      <c r="BV175" s="816"/>
      <c r="BW175" s="816"/>
      <c r="BX175" s="609"/>
      <c r="BY175" s="609"/>
      <c r="BZ175" s="816"/>
      <c r="CA175" s="816"/>
      <c r="CB175" s="609"/>
      <c r="CC175" s="609"/>
      <c r="CD175" s="816"/>
      <c r="CE175" s="816"/>
      <c r="CF175" s="816"/>
      <c r="CG175" s="816"/>
      <c r="CH175" s="816"/>
      <c r="CI175" s="816"/>
      <c r="CJ175" s="816"/>
      <c r="CK175" s="816"/>
      <c r="CL175" s="819"/>
      <c r="CM175" s="816"/>
      <c r="CN175" s="820"/>
      <c r="CO175" s="820"/>
      <c r="CP175" s="820"/>
      <c r="CQ175" s="820"/>
      <c r="CR175" s="609"/>
      <c r="CS175" s="609"/>
      <c r="CT175" s="816"/>
      <c r="CU175" s="816"/>
      <c r="CV175" s="816"/>
      <c r="CW175" s="816"/>
      <c r="CX175" s="816"/>
      <c r="CY175" s="816"/>
      <c r="CZ175" s="816"/>
      <c r="DA175" s="609"/>
      <c r="DB175" s="609"/>
      <c r="DC175" s="816"/>
      <c r="DD175" s="816"/>
      <c r="DE175" s="609"/>
      <c r="DF175" s="609"/>
      <c r="DG175" s="816"/>
      <c r="DH175" s="816"/>
      <c r="DI175" s="816"/>
      <c r="DJ175" s="816"/>
      <c r="DK175" s="816"/>
      <c r="DL175" s="816"/>
      <c r="DM175" s="609"/>
      <c r="DN175" s="609"/>
      <c r="DO175" s="816"/>
      <c r="DP175" s="816"/>
      <c r="DQ175" s="609"/>
      <c r="DR175" s="609"/>
      <c r="DS175" s="816"/>
      <c r="DT175" s="816"/>
      <c r="DU175" s="609"/>
      <c r="DV175" s="609"/>
      <c r="DW175" s="816"/>
      <c r="DX175" s="816"/>
      <c r="DY175" s="816"/>
      <c r="DZ175" s="816"/>
      <c r="EA175" s="816"/>
      <c r="EB175" s="816"/>
      <c r="EC175" s="821"/>
      <c r="ED175" s="609"/>
      <c r="EE175" s="816"/>
      <c r="EF175" s="816"/>
      <c r="EG175" s="822"/>
      <c r="EH175" s="609"/>
      <c r="EI175" s="816"/>
      <c r="EJ175" s="816"/>
      <c r="EK175" s="609"/>
      <c r="EL175" s="816"/>
      <c r="EM175" s="816"/>
      <c r="EN175" s="816"/>
      <c r="EO175" s="816"/>
      <c r="EP175" s="816"/>
      <c r="EQ175" s="816"/>
      <c r="ER175" s="816"/>
      <c r="ES175" s="816"/>
      <c r="ET175" s="816"/>
      <c r="EU175" s="816"/>
      <c r="EV175" s="816"/>
      <c r="EW175" s="823"/>
      <c r="EX175" s="824"/>
      <c r="EY175" s="825"/>
      <c r="EZ175" s="825"/>
      <c r="FA175" s="816"/>
      <c r="FC175" s="834"/>
      <c r="FD175" s="834"/>
      <c r="FE175" s="826"/>
      <c r="FF175" s="834"/>
    </row>
    <row r="176" spans="2:162" s="780" customFormat="1">
      <c r="B176" s="609"/>
      <c r="C176" s="609"/>
      <c r="D176" s="609"/>
      <c r="E176" s="609"/>
      <c r="F176" s="609"/>
      <c r="G176" s="609"/>
      <c r="H176" s="609"/>
      <c r="I176" s="609"/>
      <c r="J176" s="609"/>
      <c r="K176" s="609"/>
      <c r="L176" s="609"/>
      <c r="M176" s="609"/>
      <c r="N176" s="609"/>
      <c r="O176" s="609"/>
      <c r="P176" s="609"/>
      <c r="Q176" s="609"/>
      <c r="R176" s="816"/>
      <c r="S176" s="816"/>
      <c r="T176" s="816"/>
      <c r="U176" s="816"/>
      <c r="V176" s="816"/>
      <c r="W176" s="816"/>
      <c r="X176" s="609"/>
      <c r="Y176" s="609"/>
      <c r="Z176" s="816"/>
      <c r="AA176" s="816"/>
      <c r="AB176" s="609"/>
      <c r="AC176" s="609"/>
      <c r="AD176" s="816"/>
      <c r="AE176" s="816"/>
      <c r="AF176" s="609"/>
      <c r="AG176" s="609"/>
      <c r="AH176" s="816"/>
      <c r="AI176" s="816"/>
      <c r="AJ176" s="817"/>
      <c r="AK176" s="609"/>
      <c r="AL176" s="609"/>
      <c r="AM176" s="816"/>
      <c r="AN176" s="816"/>
      <c r="AO176" s="816"/>
      <c r="AP176" s="816"/>
      <c r="AQ176" s="816"/>
      <c r="AR176" s="816"/>
      <c r="AS176" s="816"/>
      <c r="AT176" s="609"/>
      <c r="AU176" s="609"/>
      <c r="AV176" s="609"/>
      <c r="AW176" s="818"/>
      <c r="AX176" s="816"/>
      <c r="AY176" s="816"/>
      <c r="AZ176" s="609"/>
      <c r="BA176" s="609"/>
      <c r="BB176" s="816"/>
      <c r="BC176" s="816"/>
      <c r="BD176" s="609"/>
      <c r="BE176" s="609"/>
      <c r="BF176" s="816"/>
      <c r="BG176" s="816"/>
      <c r="BH176" s="816"/>
      <c r="BI176" s="816"/>
      <c r="BJ176" s="816"/>
      <c r="BK176" s="816"/>
      <c r="BL176" s="816"/>
      <c r="BM176" s="816"/>
      <c r="BN176" s="816"/>
      <c r="BO176" s="816"/>
      <c r="BP176" s="816"/>
      <c r="BQ176" s="816"/>
      <c r="BR176" s="816"/>
      <c r="BS176" s="816"/>
      <c r="BT176" s="816"/>
      <c r="BU176" s="816"/>
      <c r="BV176" s="816"/>
      <c r="BW176" s="816"/>
      <c r="BX176" s="609"/>
      <c r="BY176" s="609"/>
      <c r="BZ176" s="816"/>
      <c r="CA176" s="816"/>
      <c r="CB176" s="609"/>
      <c r="CC176" s="609"/>
      <c r="CD176" s="816"/>
      <c r="CE176" s="816"/>
      <c r="CF176" s="816"/>
      <c r="CG176" s="816"/>
      <c r="CH176" s="816"/>
      <c r="CI176" s="816"/>
      <c r="CJ176" s="816"/>
      <c r="CK176" s="816"/>
      <c r="CL176" s="819"/>
      <c r="CM176" s="816"/>
      <c r="CN176" s="820"/>
      <c r="CO176" s="820"/>
      <c r="CP176" s="820"/>
      <c r="CQ176" s="820"/>
      <c r="CR176" s="609"/>
      <c r="CS176" s="609"/>
      <c r="CT176" s="816"/>
      <c r="CU176" s="816"/>
      <c r="CV176" s="816"/>
      <c r="CW176" s="816"/>
      <c r="CX176" s="816"/>
      <c r="CY176" s="816"/>
      <c r="CZ176" s="816"/>
      <c r="DA176" s="609"/>
      <c r="DB176" s="609"/>
      <c r="DC176" s="816"/>
      <c r="DD176" s="816"/>
      <c r="DE176" s="609"/>
      <c r="DF176" s="609"/>
      <c r="DG176" s="816"/>
      <c r="DH176" s="816"/>
      <c r="DI176" s="816"/>
      <c r="DJ176" s="816"/>
      <c r="DK176" s="816"/>
      <c r="DL176" s="816"/>
      <c r="DM176" s="609"/>
      <c r="DN176" s="609"/>
      <c r="DO176" s="816"/>
      <c r="DP176" s="816"/>
      <c r="DQ176" s="609"/>
      <c r="DR176" s="609"/>
      <c r="DS176" s="816"/>
      <c r="DT176" s="816"/>
      <c r="DU176" s="609"/>
      <c r="DV176" s="609"/>
      <c r="DW176" s="816"/>
      <c r="DX176" s="816"/>
      <c r="DY176" s="816"/>
      <c r="DZ176" s="816"/>
      <c r="EA176" s="816"/>
      <c r="EB176" s="816"/>
      <c r="EC176" s="821"/>
      <c r="ED176" s="609"/>
      <c r="EE176" s="816"/>
      <c r="EF176" s="816"/>
      <c r="EG176" s="822"/>
      <c r="EH176" s="609"/>
      <c r="EI176" s="816"/>
      <c r="EJ176" s="816"/>
      <c r="EK176" s="609"/>
      <c r="EL176" s="816"/>
      <c r="EM176" s="816"/>
      <c r="EN176" s="816"/>
      <c r="EO176" s="816"/>
      <c r="EP176" s="816"/>
      <c r="EQ176" s="816"/>
      <c r="ER176" s="816"/>
      <c r="ES176" s="816"/>
      <c r="ET176" s="816"/>
      <c r="EU176" s="816"/>
      <c r="EV176" s="816"/>
      <c r="EW176" s="823"/>
      <c r="EX176" s="824"/>
      <c r="EY176" s="825"/>
      <c r="EZ176" s="825"/>
      <c r="FA176" s="816"/>
      <c r="FC176" s="834"/>
      <c r="FD176" s="834"/>
      <c r="FE176" s="826"/>
      <c r="FF176" s="834"/>
    </row>
    <row r="177" spans="2:162" s="780" customFormat="1">
      <c r="B177" s="609"/>
      <c r="C177" s="609"/>
      <c r="D177" s="609"/>
      <c r="E177" s="609"/>
      <c r="F177" s="609"/>
      <c r="G177" s="609"/>
      <c r="H177" s="609"/>
      <c r="I177" s="609"/>
      <c r="J177" s="609"/>
      <c r="K177" s="609"/>
      <c r="L177" s="609"/>
      <c r="M177" s="609"/>
      <c r="N177" s="609"/>
      <c r="O177" s="609"/>
      <c r="P177" s="609"/>
      <c r="Q177" s="609"/>
      <c r="R177" s="816"/>
      <c r="S177" s="816"/>
      <c r="T177" s="816"/>
      <c r="U177" s="816"/>
      <c r="V177" s="816"/>
      <c r="W177" s="816"/>
      <c r="X177" s="609"/>
      <c r="Y177" s="609"/>
      <c r="Z177" s="816"/>
      <c r="AA177" s="816"/>
      <c r="AB177" s="609"/>
      <c r="AC177" s="609"/>
      <c r="AD177" s="816"/>
      <c r="AE177" s="816"/>
      <c r="AF177" s="609"/>
      <c r="AG177" s="609"/>
      <c r="AH177" s="816"/>
      <c r="AI177" s="816"/>
      <c r="AJ177" s="817"/>
      <c r="AK177" s="609"/>
      <c r="AL177" s="609"/>
      <c r="AM177" s="816"/>
      <c r="AN177" s="816"/>
      <c r="AO177" s="816"/>
      <c r="AP177" s="816"/>
      <c r="AQ177" s="816"/>
      <c r="AR177" s="816"/>
      <c r="AS177" s="816"/>
      <c r="AT177" s="609"/>
      <c r="AU177" s="609"/>
      <c r="AV177" s="609"/>
      <c r="AW177" s="818"/>
      <c r="AX177" s="816"/>
      <c r="AY177" s="816"/>
      <c r="AZ177" s="609"/>
      <c r="BA177" s="609"/>
      <c r="BB177" s="816"/>
      <c r="BC177" s="816"/>
      <c r="BD177" s="609"/>
      <c r="BE177" s="609"/>
      <c r="BF177" s="816"/>
      <c r="BG177" s="816"/>
      <c r="BH177" s="816"/>
      <c r="BI177" s="816"/>
      <c r="BJ177" s="816"/>
      <c r="BK177" s="816"/>
      <c r="BL177" s="816"/>
      <c r="BM177" s="816"/>
      <c r="BN177" s="816"/>
      <c r="BO177" s="816"/>
      <c r="BP177" s="816"/>
      <c r="BQ177" s="816"/>
      <c r="BR177" s="816"/>
      <c r="BS177" s="816"/>
      <c r="BT177" s="816"/>
      <c r="BU177" s="816"/>
      <c r="BV177" s="816"/>
      <c r="BW177" s="816"/>
      <c r="BX177" s="609"/>
      <c r="BY177" s="609"/>
      <c r="BZ177" s="816"/>
      <c r="CA177" s="816"/>
      <c r="CB177" s="609"/>
      <c r="CC177" s="609"/>
      <c r="CD177" s="816"/>
      <c r="CE177" s="816"/>
      <c r="CF177" s="816"/>
      <c r="CG177" s="816"/>
      <c r="CH177" s="816"/>
      <c r="CI177" s="816"/>
      <c r="CJ177" s="816"/>
      <c r="CK177" s="816"/>
      <c r="CL177" s="819"/>
      <c r="CM177" s="816"/>
      <c r="CN177" s="820"/>
      <c r="CO177" s="820"/>
      <c r="CP177" s="820"/>
      <c r="CQ177" s="820"/>
      <c r="CR177" s="609"/>
      <c r="CS177" s="609"/>
      <c r="CT177" s="816"/>
      <c r="CU177" s="816"/>
      <c r="CV177" s="816"/>
      <c r="CW177" s="816"/>
      <c r="CX177" s="816"/>
      <c r="CY177" s="816"/>
      <c r="CZ177" s="816"/>
      <c r="DA177" s="609"/>
      <c r="DB177" s="609"/>
      <c r="DC177" s="816"/>
      <c r="DD177" s="816"/>
      <c r="DE177" s="609"/>
      <c r="DF177" s="609"/>
      <c r="DG177" s="816"/>
      <c r="DH177" s="816"/>
      <c r="DI177" s="816"/>
      <c r="DJ177" s="816"/>
      <c r="DK177" s="816"/>
      <c r="DL177" s="816"/>
      <c r="DM177" s="609"/>
      <c r="DN177" s="609"/>
      <c r="DO177" s="816"/>
      <c r="DP177" s="816"/>
      <c r="DQ177" s="609"/>
      <c r="DR177" s="609"/>
      <c r="DS177" s="816"/>
      <c r="DT177" s="816"/>
      <c r="DU177" s="609"/>
      <c r="DV177" s="609"/>
      <c r="DW177" s="816"/>
      <c r="DX177" s="816"/>
      <c r="DY177" s="816"/>
      <c r="DZ177" s="816"/>
      <c r="EA177" s="816"/>
      <c r="EB177" s="816"/>
      <c r="EC177" s="821"/>
      <c r="ED177" s="609"/>
      <c r="EE177" s="816"/>
      <c r="EF177" s="816"/>
      <c r="EG177" s="822"/>
      <c r="EH177" s="609"/>
      <c r="EI177" s="816"/>
      <c r="EJ177" s="816"/>
      <c r="EK177" s="609"/>
      <c r="EL177" s="816"/>
      <c r="EM177" s="816"/>
      <c r="EN177" s="816"/>
      <c r="EO177" s="816"/>
      <c r="EP177" s="816"/>
      <c r="EQ177" s="816"/>
      <c r="ER177" s="816"/>
      <c r="ES177" s="816"/>
      <c r="ET177" s="816"/>
      <c r="EU177" s="816"/>
      <c r="EV177" s="816"/>
      <c r="EW177" s="823"/>
      <c r="EX177" s="824"/>
      <c r="EY177" s="825"/>
      <c r="EZ177" s="825"/>
      <c r="FA177" s="816"/>
      <c r="FC177" s="834"/>
      <c r="FD177" s="834"/>
      <c r="FE177" s="826"/>
      <c r="FF177" s="834"/>
    </row>
    <row r="178" spans="2:162" s="780" customFormat="1">
      <c r="B178" s="609"/>
      <c r="C178" s="609"/>
      <c r="D178" s="609"/>
      <c r="E178" s="609"/>
      <c r="F178" s="609"/>
      <c r="G178" s="609"/>
      <c r="H178" s="609"/>
      <c r="I178" s="609"/>
      <c r="J178" s="609"/>
      <c r="K178" s="609"/>
      <c r="L178" s="609"/>
      <c r="M178" s="609"/>
      <c r="N178" s="609"/>
      <c r="O178" s="609"/>
      <c r="P178" s="609"/>
      <c r="Q178" s="609"/>
      <c r="R178" s="816"/>
      <c r="S178" s="816"/>
      <c r="T178" s="816"/>
      <c r="U178" s="816"/>
      <c r="V178" s="816"/>
      <c r="W178" s="816"/>
      <c r="X178" s="609"/>
      <c r="Y178" s="609"/>
      <c r="Z178" s="816"/>
      <c r="AA178" s="816"/>
      <c r="AB178" s="609"/>
      <c r="AC178" s="609"/>
      <c r="AD178" s="816"/>
      <c r="AE178" s="816"/>
      <c r="AF178" s="609"/>
      <c r="AG178" s="609"/>
      <c r="AH178" s="816"/>
      <c r="AI178" s="816"/>
      <c r="AJ178" s="817"/>
      <c r="AK178" s="609"/>
      <c r="AL178" s="609"/>
      <c r="AM178" s="816"/>
      <c r="AN178" s="816"/>
      <c r="AO178" s="816"/>
      <c r="AP178" s="816"/>
      <c r="AQ178" s="816"/>
      <c r="AR178" s="816"/>
      <c r="AS178" s="816"/>
      <c r="AT178" s="609"/>
      <c r="AU178" s="609"/>
      <c r="AV178" s="609"/>
      <c r="AW178" s="818"/>
      <c r="AX178" s="816"/>
      <c r="AY178" s="816"/>
      <c r="AZ178" s="609"/>
      <c r="BA178" s="609"/>
      <c r="BB178" s="816"/>
      <c r="BC178" s="816"/>
      <c r="BD178" s="609"/>
      <c r="BE178" s="609"/>
      <c r="BF178" s="816"/>
      <c r="BG178" s="816"/>
      <c r="BH178" s="816"/>
      <c r="BI178" s="816"/>
      <c r="BJ178" s="816"/>
      <c r="BK178" s="816"/>
      <c r="BL178" s="816"/>
      <c r="BM178" s="816"/>
      <c r="BN178" s="816"/>
      <c r="BO178" s="816"/>
      <c r="BP178" s="816"/>
      <c r="BQ178" s="816"/>
      <c r="BR178" s="816"/>
      <c r="BS178" s="816"/>
      <c r="BT178" s="816"/>
      <c r="BU178" s="816"/>
      <c r="BV178" s="816"/>
      <c r="BW178" s="816"/>
      <c r="BX178" s="609"/>
      <c r="BY178" s="609"/>
      <c r="BZ178" s="816"/>
      <c r="CA178" s="816"/>
      <c r="CB178" s="609"/>
      <c r="CC178" s="609"/>
      <c r="CD178" s="816"/>
      <c r="CE178" s="816"/>
      <c r="CF178" s="816"/>
      <c r="CG178" s="816"/>
      <c r="CH178" s="816"/>
      <c r="CI178" s="816"/>
      <c r="CJ178" s="816"/>
      <c r="CK178" s="816"/>
      <c r="CL178" s="819"/>
      <c r="CM178" s="816"/>
      <c r="CN178" s="820"/>
      <c r="CO178" s="820"/>
      <c r="CP178" s="820"/>
      <c r="CQ178" s="820"/>
      <c r="CR178" s="609"/>
      <c r="CS178" s="609"/>
      <c r="CT178" s="816"/>
      <c r="CU178" s="816"/>
      <c r="CV178" s="816"/>
      <c r="CW178" s="816"/>
      <c r="CX178" s="816"/>
      <c r="CY178" s="816"/>
      <c r="CZ178" s="816"/>
      <c r="DA178" s="609"/>
      <c r="DB178" s="609"/>
      <c r="DC178" s="816"/>
      <c r="DD178" s="816"/>
      <c r="DE178" s="609"/>
      <c r="DF178" s="609"/>
      <c r="DG178" s="816"/>
      <c r="DH178" s="816"/>
      <c r="DI178" s="816"/>
      <c r="DJ178" s="816"/>
      <c r="DK178" s="816"/>
      <c r="DL178" s="816"/>
      <c r="DM178" s="609"/>
      <c r="DN178" s="609"/>
      <c r="DO178" s="816"/>
      <c r="DP178" s="816"/>
      <c r="DQ178" s="609"/>
      <c r="DR178" s="609"/>
      <c r="DS178" s="816"/>
      <c r="DT178" s="816"/>
      <c r="DU178" s="609"/>
      <c r="DV178" s="609"/>
      <c r="DW178" s="816"/>
      <c r="DX178" s="816"/>
      <c r="DY178" s="816"/>
      <c r="DZ178" s="816"/>
      <c r="EA178" s="816"/>
      <c r="EB178" s="816"/>
      <c r="EC178" s="821"/>
      <c r="ED178" s="609"/>
      <c r="EE178" s="816"/>
      <c r="EF178" s="816"/>
      <c r="EG178" s="822"/>
      <c r="EH178" s="609"/>
      <c r="EI178" s="816"/>
      <c r="EJ178" s="816"/>
      <c r="EK178" s="609"/>
      <c r="EL178" s="816"/>
      <c r="EM178" s="816"/>
      <c r="EN178" s="816"/>
      <c r="EO178" s="816"/>
      <c r="EP178" s="816"/>
      <c r="EQ178" s="816"/>
      <c r="ER178" s="816"/>
      <c r="ES178" s="816"/>
      <c r="ET178" s="816"/>
      <c r="EU178" s="816"/>
      <c r="EV178" s="816"/>
      <c r="EW178" s="823"/>
      <c r="EX178" s="824"/>
      <c r="EY178" s="825"/>
      <c r="EZ178" s="825"/>
      <c r="FA178" s="816"/>
      <c r="FC178" s="834"/>
      <c r="FD178" s="834"/>
      <c r="FE178" s="826"/>
      <c r="FF178" s="834"/>
    </row>
    <row r="179" spans="2:162" s="780" customFormat="1">
      <c r="B179" s="609"/>
      <c r="C179" s="609"/>
      <c r="D179" s="609"/>
      <c r="E179" s="609"/>
      <c r="F179" s="609"/>
      <c r="G179" s="609"/>
      <c r="H179" s="609"/>
      <c r="I179" s="609"/>
      <c r="J179" s="609"/>
      <c r="K179" s="609"/>
      <c r="L179" s="609"/>
      <c r="M179" s="609"/>
      <c r="N179" s="609"/>
      <c r="O179" s="609"/>
      <c r="P179" s="609"/>
      <c r="Q179" s="609"/>
      <c r="R179" s="816"/>
      <c r="S179" s="816"/>
      <c r="T179" s="816"/>
      <c r="U179" s="816"/>
      <c r="V179" s="816"/>
      <c r="W179" s="816"/>
      <c r="X179" s="609"/>
      <c r="Y179" s="609"/>
      <c r="Z179" s="816"/>
      <c r="AA179" s="816"/>
      <c r="AB179" s="609"/>
      <c r="AC179" s="609"/>
      <c r="AD179" s="816"/>
      <c r="AE179" s="816"/>
      <c r="AF179" s="609"/>
      <c r="AG179" s="609"/>
      <c r="AH179" s="816"/>
      <c r="AI179" s="816"/>
      <c r="AJ179" s="817"/>
      <c r="AK179" s="609"/>
      <c r="AL179" s="609"/>
      <c r="AM179" s="816"/>
      <c r="AN179" s="816"/>
      <c r="AO179" s="816"/>
      <c r="AP179" s="816"/>
      <c r="AQ179" s="816"/>
      <c r="AR179" s="816"/>
      <c r="AS179" s="816"/>
      <c r="AT179" s="609"/>
      <c r="AU179" s="609"/>
      <c r="AV179" s="609"/>
      <c r="AW179" s="818"/>
      <c r="AX179" s="816"/>
      <c r="AY179" s="816"/>
      <c r="AZ179" s="609"/>
      <c r="BA179" s="609"/>
      <c r="BB179" s="816"/>
      <c r="BC179" s="816"/>
      <c r="BD179" s="609"/>
      <c r="BE179" s="609"/>
      <c r="BF179" s="816"/>
      <c r="BG179" s="816"/>
      <c r="BH179" s="816"/>
      <c r="BI179" s="816"/>
      <c r="BJ179" s="816"/>
      <c r="BK179" s="816"/>
      <c r="BL179" s="816"/>
      <c r="BM179" s="816"/>
      <c r="BN179" s="816"/>
      <c r="BO179" s="816"/>
      <c r="BP179" s="816"/>
      <c r="BQ179" s="816"/>
      <c r="BR179" s="816"/>
      <c r="BS179" s="816"/>
      <c r="BT179" s="816"/>
      <c r="BU179" s="816"/>
      <c r="BV179" s="816"/>
      <c r="BW179" s="816"/>
      <c r="BX179" s="609"/>
      <c r="BY179" s="609"/>
      <c r="BZ179" s="816"/>
      <c r="CA179" s="816"/>
      <c r="CB179" s="609"/>
      <c r="CC179" s="609"/>
      <c r="CD179" s="816"/>
      <c r="CE179" s="816"/>
      <c r="CF179" s="816"/>
      <c r="CG179" s="816"/>
      <c r="CH179" s="816"/>
      <c r="CI179" s="816"/>
      <c r="CJ179" s="816"/>
      <c r="CK179" s="816"/>
      <c r="CL179" s="819"/>
      <c r="CM179" s="816"/>
      <c r="CN179" s="820"/>
      <c r="CO179" s="820"/>
      <c r="CP179" s="820"/>
      <c r="CQ179" s="820"/>
      <c r="CR179" s="609"/>
      <c r="CS179" s="609"/>
      <c r="CT179" s="816"/>
      <c r="CU179" s="816"/>
      <c r="CV179" s="816"/>
      <c r="CW179" s="816"/>
      <c r="CX179" s="816"/>
      <c r="CY179" s="816"/>
      <c r="CZ179" s="816"/>
      <c r="DA179" s="609"/>
      <c r="DB179" s="609"/>
      <c r="DC179" s="816"/>
      <c r="DD179" s="816"/>
      <c r="DE179" s="609"/>
      <c r="DF179" s="609"/>
      <c r="DG179" s="816"/>
      <c r="DH179" s="816"/>
      <c r="DI179" s="816"/>
      <c r="DJ179" s="816"/>
      <c r="DK179" s="816"/>
      <c r="DL179" s="816"/>
      <c r="DM179" s="609"/>
      <c r="DN179" s="609"/>
      <c r="DO179" s="816"/>
      <c r="DP179" s="816"/>
      <c r="DQ179" s="609"/>
      <c r="DR179" s="609"/>
      <c r="DS179" s="816"/>
      <c r="DT179" s="816"/>
      <c r="DU179" s="609"/>
      <c r="DV179" s="609"/>
      <c r="DW179" s="816"/>
      <c r="DX179" s="816"/>
      <c r="DY179" s="816"/>
      <c r="DZ179" s="816"/>
      <c r="EA179" s="816"/>
      <c r="EB179" s="816"/>
      <c r="EC179" s="821"/>
      <c r="ED179" s="609"/>
      <c r="EE179" s="816"/>
      <c r="EF179" s="816"/>
      <c r="EG179" s="822"/>
      <c r="EH179" s="609"/>
      <c r="EI179" s="816"/>
      <c r="EJ179" s="816"/>
      <c r="EK179" s="609"/>
      <c r="EL179" s="816"/>
      <c r="EM179" s="816"/>
      <c r="EN179" s="816"/>
      <c r="EO179" s="816"/>
      <c r="EP179" s="816"/>
      <c r="EQ179" s="816"/>
      <c r="ER179" s="816"/>
      <c r="ES179" s="816"/>
      <c r="ET179" s="816"/>
      <c r="EU179" s="816"/>
      <c r="EV179" s="816"/>
      <c r="EW179" s="823"/>
      <c r="EX179" s="824"/>
      <c r="EY179" s="825"/>
      <c r="EZ179" s="825"/>
      <c r="FA179" s="816"/>
      <c r="FC179" s="834"/>
      <c r="FD179" s="834"/>
      <c r="FE179" s="826"/>
      <c r="FF179" s="834"/>
    </row>
    <row r="180" spans="2:162" s="780" customFormat="1">
      <c r="B180" s="609"/>
      <c r="C180" s="609"/>
      <c r="D180" s="609"/>
      <c r="E180" s="609"/>
      <c r="F180" s="609"/>
      <c r="G180" s="609"/>
      <c r="H180" s="609"/>
      <c r="I180" s="609"/>
      <c r="J180" s="609"/>
      <c r="K180" s="609"/>
      <c r="L180" s="609"/>
      <c r="M180" s="609"/>
      <c r="N180" s="609"/>
      <c r="O180" s="609"/>
      <c r="P180" s="609"/>
      <c r="Q180" s="609"/>
      <c r="R180" s="816"/>
      <c r="S180" s="816"/>
      <c r="T180" s="816"/>
      <c r="U180" s="816"/>
      <c r="V180" s="816"/>
      <c r="W180" s="816"/>
      <c r="X180" s="609"/>
      <c r="Y180" s="609"/>
      <c r="Z180" s="816"/>
      <c r="AA180" s="816"/>
      <c r="AB180" s="609"/>
      <c r="AC180" s="609"/>
      <c r="AD180" s="816"/>
      <c r="AE180" s="816"/>
      <c r="AF180" s="609"/>
      <c r="AG180" s="609"/>
      <c r="AH180" s="816"/>
      <c r="AI180" s="816"/>
      <c r="AJ180" s="817"/>
      <c r="AK180" s="609"/>
      <c r="AL180" s="609"/>
      <c r="AM180" s="816"/>
      <c r="AN180" s="816"/>
      <c r="AO180" s="816"/>
      <c r="AP180" s="816"/>
      <c r="AQ180" s="816"/>
      <c r="AR180" s="816"/>
      <c r="AS180" s="816"/>
      <c r="AT180" s="609"/>
      <c r="AU180" s="609"/>
      <c r="AV180" s="609"/>
      <c r="AW180" s="818"/>
      <c r="AX180" s="816"/>
      <c r="AY180" s="816"/>
      <c r="AZ180" s="609"/>
      <c r="BA180" s="609"/>
      <c r="BB180" s="816"/>
      <c r="BC180" s="816"/>
      <c r="BD180" s="609"/>
      <c r="BE180" s="609"/>
      <c r="BF180" s="816"/>
      <c r="BG180" s="816"/>
      <c r="BH180" s="816"/>
      <c r="BI180" s="816"/>
      <c r="BJ180" s="816"/>
      <c r="BK180" s="816"/>
      <c r="BL180" s="816"/>
      <c r="BM180" s="816"/>
      <c r="BN180" s="816"/>
      <c r="BO180" s="816"/>
      <c r="BP180" s="816"/>
      <c r="BQ180" s="816"/>
      <c r="BR180" s="816"/>
      <c r="BS180" s="816"/>
      <c r="BT180" s="816"/>
      <c r="BU180" s="816"/>
      <c r="BV180" s="816"/>
      <c r="BW180" s="816"/>
      <c r="BX180" s="609"/>
      <c r="BY180" s="609"/>
      <c r="BZ180" s="816"/>
      <c r="CA180" s="816"/>
      <c r="CB180" s="609"/>
      <c r="CC180" s="609"/>
      <c r="CD180" s="816"/>
      <c r="CE180" s="816"/>
      <c r="CF180" s="816"/>
      <c r="CG180" s="816"/>
      <c r="CH180" s="816"/>
      <c r="CI180" s="816"/>
      <c r="CJ180" s="816"/>
      <c r="CK180" s="816"/>
      <c r="CL180" s="819"/>
      <c r="CM180" s="816"/>
      <c r="CN180" s="820"/>
      <c r="CO180" s="820"/>
      <c r="CP180" s="820"/>
      <c r="CQ180" s="820"/>
      <c r="CR180" s="609"/>
      <c r="CS180" s="609"/>
      <c r="CT180" s="816"/>
      <c r="CU180" s="816"/>
      <c r="CV180" s="816"/>
      <c r="CW180" s="816"/>
      <c r="CX180" s="816"/>
      <c r="CY180" s="816"/>
      <c r="CZ180" s="816"/>
      <c r="DA180" s="609"/>
      <c r="DB180" s="609"/>
      <c r="DC180" s="816"/>
      <c r="DD180" s="816"/>
      <c r="DE180" s="609"/>
      <c r="DF180" s="609"/>
      <c r="DG180" s="816"/>
      <c r="DH180" s="816"/>
      <c r="DI180" s="816"/>
      <c r="DJ180" s="816"/>
      <c r="DK180" s="816"/>
      <c r="DL180" s="816"/>
      <c r="DM180" s="609"/>
      <c r="DN180" s="609"/>
      <c r="DO180" s="816"/>
      <c r="DP180" s="816"/>
      <c r="DQ180" s="609"/>
      <c r="DR180" s="609"/>
      <c r="DS180" s="816"/>
      <c r="DT180" s="816"/>
      <c r="DU180" s="609"/>
      <c r="DV180" s="609"/>
      <c r="DW180" s="816"/>
      <c r="DX180" s="816"/>
      <c r="DY180" s="816"/>
      <c r="DZ180" s="816"/>
      <c r="EA180" s="816"/>
      <c r="EB180" s="816"/>
      <c r="EC180" s="821"/>
      <c r="ED180" s="609"/>
      <c r="EE180" s="816"/>
      <c r="EF180" s="816"/>
      <c r="EG180" s="822"/>
      <c r="EH180" s="609"/>
      <c r="EI180" s="816"/>
      <c r="EJ180" s="816"/>
      <c r="EK180" s="609"/>
      <c r="EL180" s="816"/>
      <c r="EM180" s="816"/>
      <c r="EN180" s="816"/>
      <c r="EO180" s="816"/>
      <c r="EP180" s="816"/>
      <c r="EQ180" s="816"/>
      <c r="ER180" s="816"/>
      <c r="ES180" s="816"/>
      <c r="ET180" s="816"/>
      <c r="EU180" s="816"/>
      <c r="EV180" s="816"/>
      <c r="EW180" s="823"/>
      <c r="EX180" s="824"/>
      <c r="EY180" s="825"/>
      <c r="EZ180" s="825"/>
      <c r="FA180" s="816"/>
      <c r="FC180" s="834"/>
      <c r="FD180" s="834"/>
      <c r="FE180" s="826"/>
      <c r="FF180" s="834"/>
    </row>
    <row r="181" spans="2:162" s="780" customFormat="1">
      <c r="B181" s="609"/>
      <c r="C181" s="609"/>
      <c r="D181" s="609"/>
      <c r="E181" s="609"/>
      <c r="F181" s="609"/>
      <c r="G181" s="609"/>
      <c r="H181" s="609"/>
      <c r="I181" s="609"/>
      <c r="J181" s="609"/>
      <c r="K181" s="609"/>
      <c r="L181" s="609"/>
      <c r="M181" s="609"/>
      <c r="N181" s="609"/>
      <c r="O181" s="609"/>
      <c r="P181" s="609"/>
      <c r="Q181" s="609"/>
      <c r="R181" s="816"/>
      <c r="S181" s="816"/>
      <c r="T181" s="816"/>
      <c r="U181" s="816"/>
      <c r="V181" s="816"/>
      <c r="W181" s="816"/>
      <c r="X181" s="609"/>
      <c r="Y181" s="609"/>
      <c r="Z181" s="816"/>
      <c r="AA181" s="816"/>
      <c r="AB181" s="609"/>
      <c r="AC181" s="609"/>
      <c r="AD181" s="816"/>
      <c r="AE181" s="816"/>
      <c r="AF181" s="609"/>
      <c r="AG181" s="609"/>
      <c r="AH181" s="816"/>
      <c r="AI181" s="816"/>
      <c r="AJ181" s="817"/>
      <c r="AK181" s="609"/>
      <c r="AL181" s="609"/>
      <c r="AM181" s="816"/>
      <c r="AN181" s="816"/>
      <c r="AO181" s="816"/>
      <c r="AP181" s="816"/>
      <c r="AQ181" s="816"/>
      <c r="AR181" s="816"/>
      <c r="AS181" s="816"/>
      <c r="AT181" s="609"/>
      <c r="AU181" s="609"/>
      <c r="AV181" s="609"/>
      <c r="AW181" s="818"/>
      <c r="AX181" s="816"/>
      <c r="AY181" s="816"/>
      <c r="AZ181" s="609"/>
      <c r="BA181" s="609"/>
      <c r="BB181" s="816"/>
      <c r="BC181" s="816"/>
      <c r="BD181" s="609"/>
      <c r="BE181" s="609"/>
      <c r="BF181" s="816"/>
      <c r="BG181" s="816"/>
      <c r="BH181" s="816"/>
      <c r="BI181" s="816"/>
      <c r="BJ181" s="816"/>
      <c r="BK181" s="816"/>
      <c r="BL181" s="816"/>
      <c r="BM181" s="816"/>
      <c r="BN181" s="816"/>
      <c r="BO181" s="816"/>
      <c r="BP181" s="816"/>
      <c r="BQ181" s="816"/>
      <c r="BR181" s="816"/>
      <c r="BS181" s="816"/>
      <c r="BT181" s="816"/>
      <c r="BU181" s="816"/>
      <c r="BV181" s="816"/>
      <c r="BW181" s="816"/>
      <c r="BX181" s="609"/>
      <c r="BY181" s="609"/>
      <c r="BZ181" s="816"/>
      <c r="CA181" s="816"/>
      <c r="CB181" s="609"/>
      <c r="CC181" s="609"/>
      <c r="CD181" s="816"/>
      <c r="CE181" s="816"/>
      <c r="CF181" s="816"/>
      <c r="CG181" s="816"/>
      <c r="CH181" s="816"/>
      <c r="CI181" s="816"/>
      <c r="CJ181" s="816"/>
      <c r="CK181" s="816"/>
      <c r="CL181" s="819"/>
      <c r="CM181" s="816"/>
      <c r="CN181" s="820"/>
      <c r="CO181" s="820"/>
      <c r="CP181" s="820"/>
      <c r="CQ181" s="820"/>
      <c r="CR181" s="609"/>
      <c r="CS181" s="609"/>
      <c r="CT181" s="816"/>
      <c r="CU181" s="816"/>
      <c r="CV181" s="816"/>
      <c r="CW181" s="816"/>
      <c r="CX181" s="816"/>
      <c r="CY181" s="816"/>
      <c r="CZ181" s="816"/>
      <c r="DA181" s="609"/>
      <c r="DB181" s="609"/>
      <c r="DC181" s="816"/>
      <c r="DD181" s="816"/>
      <c r="DE181" s="609"/>
      <c r="DF181" s="609"/>
      <c r="DG181" s="816"/>
      <c r="DH181" s="816"/>
      <c r="DI181" s="816"/>
      <c r="DJ181" s="816"/>
      <c r="DK181" s="816"/>
      <c r="DL181" s="816"/>
      <c r="DM181" s="609"/>
      <c r="DN181" s="609"/>
      <c r="DO181" s="816"/>
      <c r="DP181" s="816"/>
      <c r="DQ181" s="609"/>
      <c r="DR181" s="609"/>
      <c r="DS181" s="816"/>
      <c r="DT181" s="816"/>
      <c r="DU181" s="609"/>
      <c r="DV181" s="609"/>
      <c r="DW181" s="816"/>
      <c r="DX181" s="816"/>
      <c r="DY181" s="816"/>
      <c r="DZ181" s="816"/>
      <c r="EA181" s="816"/>
      <c r="EB181" s="816"/>
      <c r="EC181" s="821"/>
      <c r="ED181" s="609"/>
      <c r="EE181" s="816"/>
      <c r="EF181" s="816"/>
      <c r="EG181" s="822"/>
      <c r="EH181" s="609"/>
      <c r="EI181" s="816"/>
      <c r="EJ181" s="816"/>
      <c r="EK181" s="609"/>
      <c r="EL181" s="816"/>
      <c r="EM181" s="816"/>
      <c r="EN181" s="816"/>
      <c r="EO181" s="816"/>
      <c r="EP181" s="816"/>
      <c r="EQ181" s="816"/>
      <c r="ER181" s="816"/>
      <c r="ES181" s="816"/>
      <c r="ET181" s="816"/>
      <c r="EU181" s="816"/>
      <c r="EV181" s="816"/>
      <c r="EW181" s="823"/>
      <c r="EX181" s="824"/>
      <c r="EY181" s="825"/>
      <c r="EZ181" s="825"/>
      <c r="FA181" s="816"/>
      <c r="FC181" s="834"/>
      <c r="FD181" s="834"/>
      <c r="FE181" s="826"/>
      <c r="FF181" s="834"/>
    </row>
    <row r="182" spans="2:162" s="780" customFormat="1">
      <c r="B182" s="609"/>
      <c r="C182" s="609"/>
      <c r="D182" s="609"/>
      <c r="E182" s="609"/>
      <c r="F182" s="609"/>
      <c r="G182" s="609"/>
      <c r="H182" s="609"/>
      <c r="I182" s="609"/>
      <c r="J182" s="609"/>
      <c r="K182" s="609"/>
      <c r="L182" s="609"/>
      <c r="M182" s="609"/>
      <c r="N182" s="609"/>
      <c r="O182" s="609"/>
      <c r="P182" s="609"/>
      <c r="Q182" s="609"/>
      <c r="R182" s="816"/>
      <c r="S182" s="816"/>
      <c r="T182" s="816"/>
      <c r="U182" s="816"/>
      <c r="V182" s="816"/>
      <c r="W182" s="816"/>
      <c r="X182" s="609"/>
      <c r="Y182" s="609"/>
      <c r="Z182" s="816"/>
      <c r="AA182" s="816"/>
      <c r="AB182" s="609"/>
      <c r="AC182" s="609"/>
      <c r="AD182" s="816"/>
      <c r="AE182" s="816"/>
      <c r="AF182" s="609"/>
      <c r="AG182" s="609"/>
      <c r="AH182" s="816"/>
      <c r="AI182" s="816"/>
      <c r="AJ182" s="817"/>
      <c r="AK182" s="609"/>
      <c r="AL182" s="609"/>
      <c r="AM182" s="816"/>
      <c r="AN182" s="816"/>
      <c r="AO182" s="816"/>
      <c r="AP182" s="816"/>
      <c r="AQ182" s="816"/>
      <c r="AR182" s="816"/>
      <c r="AS182" s="816"/>
      <c r="AT182" s="609"/>
      <c r="AU182" s="609"/>
      <c r="AV182" s="609"/>
      <c r="AW182" s="818"/>
      <c r="AX182" s="816"/>
      <c r="AY182" s="816"/>
      <c r="AZ182" s="609"/>
      <c r="BA182" s="609"/>
      <c r="BB182" s="816"/>
      <c r="BC182" s="816"/>
      <c r="BD182" s="609"/>
      <c r="BE182" s="609"/>
      <c r="BF182" s="816"/>
      <c r="BG182" s="816"/>
      <c r="BH182" s="816"/>
      <c r="BI182" s="816"/>
      <c r="BJ182" s="816"/>
      <c r="BK182" s="816"/>
      <c r="BL182" s="816"/>
      <c r="BM182" s="816"/>
      <c r="BN182" s="816"/>
      <c r="BO182" s="816"/>
      <c r="BP182" s="816"/>
      <c r="BQ182" s="816"/>
      <c r="BR182" s="816"/>
      <c r="BS182" s="816"/>
      <c r="BT182" s="816"/>
      <c r="BU182" s="816"/>
      <c r="BV182" s="816"/>
      <c r="BW182" s="816"/>
      <c r="BX182" s="609"/>
      <c r="BY182" s="609"/>
      <c r="BZ182" s="816"/>
      <c r="CA182" s="816"/>
      <c r="CB182" s="609"/>
      <c r="CC182" s="609"/>
      <c r="CD182" s="816"/>
      <c r="CE182" s="816"/>
      <c r="CF182" s="816"/>
      <c r="CG182" s="816"/>
      <c r="CH182" s="816"/>
      <c r="CI182" s="816"/>
      <c r="CJ182" s="816"/>
      <c r="CK182" s="816"/>
      <c r="CL182" s="819"/>
      <c r="CM182" s="816"/>
      <c r="CN182" s="820"/>
      <c r="CO182" s="820"/>
      <c r="CP182" s="820"/>
      <c r="CQ182" s="820"/>
      <c r="CR182" s="609"/>
      <c r="CS182" s="609"/>
      <c r="CT182" s="816"/>
      <c r="CU182" s="816"/>
      <c r="CV182" s="816"/>
      <c r="CW182" s="816"/>
      <c r="CX182" s="816"/>
      <c r="CY182" s="816"/>
      <c r="CZ182" s="816"/>
      <c r="DA182" s="609"/>
      <c r="DB182" s="609"/>
      <c r="DC182" s="816"/>
      <c r="DD182" s="816"/>
      <c r="DE182" s="609"/>
      <c r="DF182" s="609"/>
      <c r="DG182" s="816"/>
      <c r="DH182" s="816"/>
      <c r="DI182" s="816"/>
      <c r="DJ182" s="816"/>
      <c r="DK182" s="816"/>
      <c r="DL182" s="816"/>
      <c r="DM182" s="609"/>
      <c r="DN182" s="609"/>
      <c r="DO182" s="816"/>
      <c r="DP182" s="816"/>
      <c r="DQ182" s="609"/>
      <c r="DR182" s="609"/>
      <c r="DS182" s="816"/>
      <c r="DT182" s="816"/>
      <c r="DU182" s="609"/>
      <c r="DV182" s="609"/>
      <c r="DW182" s="816"/>
      <c r="DX182" s="816"/>
      <c r="DY182" s="816"/>
      <c r="DZ182" s="816"/>
      <c r="EA182" s="816"/>
      <c r="EB182" s="816"/>
      <c r="EC182" s="821"/>
      <c r="ED182" s="609"/>
      <c r="EE182" s="816"/>
      <c r="EF182" s="816"/>
      <c r="EG182" s="822"/>
      <c r="EH182" s="609"/>
      <c r="EI182" s="816"/>
      <c r="EJ182" s="816"/>
      <c r="EK182" s="609"/>
      <c r="EL182" s="816"/>
      <c r="EM182" s="816"/>
      <c r="EN182" s="816"/>
      <c r="EO182" s="816"/>
      <c r="EP182" s="816"/>
      <c r="EQ182" s="816"/>
      <c r="ER182" s="816"/>
      <c r="ES182" s="816"/>
      <c r="ET182" s="816"/>
      <c r="EU182" s="816"/>
      <c r="EV182" s="816"/>
      <c r="EW182" s="823"/>
      <c r="EX182" s="824"/>
      <c r="EY182" s="825"/>
      <c r="EZ182" s="825"/>
      <c r="FA182" s="816"/>
      <c r="FC182" s="834"/>
      <c r="FD182" s="834"/>
      <c r="FE182" s="826"/>
      <c r="FF182" s="834"/>
    </row>
    <row r="183" spans="2:162" s="780" customFormat="1">
      <c r="B183" s="609"/>
      <c r="C183" s="609"/>
      <c r="D183" s="609"/>
      <c r="E183" s="609"/>
      <c r="F183" s="609"/>
      <c r="G183" s="609"/>
      <c r="H183" s="609"/>
      <c r="I183" s="609"/>
      <c r="J183" s="609"/>
      <c r="K183" s="609"/>
      <c r="L183" s="609"/>
      <c r="M183" s="609"/>
      <c r="N183" s="609"/>
      <c r="O183" s="609"/>
      <c r="P183" s="609"/>
      <c r="Q183" s="609"/>
      <c r="R183" s="816"/>
      <c r="S183" s="816"/>
      <c r="T183" s="816"/>
      <c r="U183" s="816"/>
      <c r="V183" s="816"/>
      <c r="W183" s="816"/>
      <c r="X183" s="609"/>
      <c r="Y183" s="609"/>
      <c r="Z183" s="816"/>
      <c r="AA183" s="816"/>
      <c r="AB183" s="609"/>
      <c r="AC183" s="609"/>
      <c r="AD183" s="816"/>
      <c r="AE183" s="816"/>
      <c r="AF183" s="609"/>
      <c r="AG183" s="609"/>
      <c r="AH183" s="816"/>
      <c r="AI183" s="816"/>
      <c r="AJ183" s="817"/>
      <c r="AK183" s="609"/>
      <c r="AL183" s="609"/>
      <c r="AM183" s="816"/>
      <c r="AN183" s="816"/>
      <c r="AO183" s="816"/>
      <c r="AP183" s="816"/>
      <c r="AQ183" s="816"/>
      <c r="AR183" s="816"/>
      <c r="AS183" s="816"/>
      <c r="AT183" s="609"/>
      <c r="AU183" s="609"/>
      <c r="AV183" s="609"/>
      <c r="AW183" s="818"/>
      <c r="AX183" s="816"/>
      <c r="AY183" s="816"/>
      <c r="AZ183" s="609"/>
      <c r="BA183" s="609"/>
      <c r="BB183" s="816"/>
      <c r="BC183" s="816"/>
      <c r="BD183" s="609"/>
      <c r="BE183" s="609"/>
      <c r="BF183" s="816"/>
      <c r="BG183" s="816"/>
      <c r="BH183" s="816"/>
      <c r="BI183" s="816"/>
      <c r="BJ183" s="816"/>
      <c r="BK183" s="816"/>
      <c r="BL183" s="816"/>
      <c r="BM183" s="816"/>
      <c r="BN183" s="816"/>
      <c r="BO183" s="816"/>
      <c r="BP183" s="816"/>
      <c r="BQ183" s="816"/>
      <c r="BR183" s="816"/>
      <c r="BS183" s="816"/>
      <c r="BT183" s="816"/>
      <c r="BU183" s="816"/>
      <c r="BV183" s="816"/>
      <c r="BW183" s="816"/>
      <c r="BX183" s="609"/>
      <c r="BY183" s="609"/>
      <c r="BZ183" s="816"/>
      <c r="CA183" s="816"/>
      <c r="CB183" s="609"/>
      <c r="CC183" s="609"/>
      <c r="CD183" s="816"/>
      <c r="CE183" s="816"/>
      <c r="CF183" s="816"/>
      <c r="CG183" s="816"/>
      <c r="CH183" s="816"/>
      <c r="CI183" s="816"/>
      <c r="CJ183" s="816"/>
      <c r="CK183" s="816"/>
      <c r="CL183" s="819"/>
      <c r="CM183" s="816"/>
      <c r="CN183" s="820"/>
      <c r="CO183" s="820"/>
      <c r="CP183" s="820"/>
      <c r="CQ183" s="820"/>
      <c r="CR183" s="609"/>
      <c r="CS183" s="609"/>
      <c r="CT183" s="816"/>
      <c r="CU183" s="816"/>
      <c r="CV183" s="816"/>
      <c r="CW183" s="816"/>
      <c r="CX183" s="816"/>
      <c r="CY183" s="816"/>
      <c r="CZ183" s="816"/>
      <c r="DA183" s="609"/>
      <c r="DB183" s="609"/>
      <c r="DC183" s="816"/>
      <c r="DD183" s="816"/>
      <c r="DE183" s="609"/>
      <c r="DF183" s="609"/>
      <c r="DG183" s="816"/>
      <c r="DH183" s="816"/>
      <c r="DI183" s="816"/>
      <c r="DJ183" s="816"/>
      <c r="DK183" s="816"/>
      <c r="DL183" s="816"/>
      <c r="DM183" s="609"/>
      <c r="DN183" s="609"/>
      <c r="DO183" s="816"/>
      <c r="DP183" s="816"/>
      <c r="DQ183" s="609"/>
      <c r="DR183" s="609"/>
      <c r="DS183" s="816"/>
      <c r="DT183" s="816"/>
      <c r="DU183" s="609"/>
      <c r="DV183" s="609"/>
      <c r="DW183" s="816"/>
      <c r="DX183" s="816"/>
      <c r="DY183" s="816"/>
      <c r="DZ183" s="816"/>
      <c r="EA183" s="816"/>
      <c r="EB183" s="816"/>
      <c r="EC183" s="821"/>
      <c r="ED183" s="609"/>
      <c r="EE183" s="816"/>
      <c r="EF183" s="816"/>
      <c r="EG183" s="822"/>
      <c r="EH183" s="609"/>
      <c r="EI183" s="816"/>
      <c r="EJ183" s="816"/>
      <c r="EK183" s="609"/>
      <c r="EL183" s="816"/>
      <c r="EM183" s="816"/>
      <c r="EN183" s="816"/>
      <c r="EO183" s="816"/>
      <c r="EP183" s="816"/>
      <c r="EQ183" s="816"/>
      <c r="ER183" s="816"/>
      <c r="ES183" s="816"/>
      <c r="ET183" s="816"/>
      <c r="EU183" s="816"/>
      <c r="EV183" s="816"/>
      <c r="EW183" s="823"/>
      <c r="EX183" s="824"/>
      <c r="EY183" s="825"/>
      <c r="EZ183" s="825"/>
      <c r="FA183" s="816"/>
      <c r="FC183" s="834"/>
      <c r="FD183" s="834"/>
      <c r="FE183" s="826"/>
      <c r="FF183" s="834"/>
    </row>
    <row r="184" spans="2:162" s="780" customFormat="1">
      <c r="B184" s="609"/>
      <c r="C184" s="609"/>
      <c r="D184" s="609"/>
      <c r="E184" s="609"/>
      <c r="F184" s="609"/>
      <c r="G184" s="609"/>
      <c r="H184" s="609"/>
      <c r="I184" s="609"/>
      <c r="J184" s="609"/>
      <c r="K184" s="609"/>
      <c r="L184" s="609"/>
      <c r="M184" s="609"/>
      <c r="N184" s="609"/>
      <c r="O184" s="609"/>
      <c r="P184" s="609"/>
      <c r="Q184" s="609"/>
      <c r="R184" s="816"/>
      <c r="S184" s="816"/>
      <c r="T184" s="816"/>
      <c r="U184" s="816"/>
      <c r="V184" s="816"/>
      <c r="W184" s="816"/>
      <c r="X184" s="609"/>
      <c r="Y184" s="609"/>
      <c r="Z184" s="816"/>
      <c r="AA184" s="816"/>
      <c r="AB184" s="609"/>
      <c r="AC184" s="609"/>
      <c r="AD184" s="816"/>
      <c r="AE184" s="816"/>
      <c r="AF184" s="609"/>
      <c r="AG184" s="609"/>
      <c r="AH184" s="816"/>
      <c r="AI184" s="816"/>
      <c r="AJ184" s="817"/>
      <c r="AK184" s="609"/>
      <c r="AL184" s="609"/>
      <c r="AM184" s="816"/>
      <c r="AN184" s="816"/>
      <c r="AO184" s="816"/>
      <c r="AP184" s="816"/>
      <c r="AQ184" s="816"/>
      <c r="AR184" s="816"/>
      <c r="AS184" s="816"/>
      <c r="AT184" s="609"/>
      <c r="AU184" s="609"/>
      <c r="AV184" s="609"/>
      <c r="AW184" s="818"/>
      <c r="AX184" s="816"/>
      <c r="AY184" s="816"/>
      <c r="AZ184" s="609"/>
      <c r="BA184" s="609"/>
      <c r="BB184" s="816"/>
      <c r="BC184" s="816"/>
      <c r="BD184" s="609"/>
      <c r="BE184" s="609"/>
      <c r="BF184" s="816"/>
      <c r="BG184" s="816"/>
      <c r="BH184" s="816"/>
      <c r="BI184" s="816"/>
      <c r="BJ184" s="816"/>
      <c r="BK184" s="816"/>
      <c r="BL184" s="816"/>
      <c r="BM184" s="816"/>
      <c r="BN184" s="816"/>
      <c r="BO184" s="816"/>
      <c r="BP184" s="816"/>
      <c r="BQ184" s="816"/>
      <c r="BR184" s="816"/>
      <c r="BS184" s="816"/>
      <c r="BT184" s="816"/>
      <c r="BU184" s="816"/>
      <c r="BV184" s="816"/>
      <c r="BW184" s="816"/>
      <c r="BX184" s="609"/>
      <c r="BY184" s="609"/>
      <c r="BZ184" s="816"/>
      <c r="CA184" s="816"/>
      <c r="CB184" s="609"/>
      <c r="CC184" s="609"/>
      <c r="CD184" s="816"/>
      <c r="CE184" s="816"/>
      <c r="CF184" s="816"/>
      <c r="CG184" s="816"/>
      <c r="CH184" s="816"/>
      <c r="CI184" s="816"/>
      <c r="CJ184" s="816"/>
      <c r="CK184" s="816"/>
      <c r="CL184" s="819"/>
      <c r="CM184" s="816"/>
      <c r="CN184" s="820"/>
      <c r="CO184" s="820"/>
      <c r="CP184" s="820"/>
      <c r="CQ184" s="820"/>
      <c r="CR184" s="609"/>
      <c r="CS184" s="609"/>
      <c r="CT184" s="816"/>
      <c r="CU184" s="816"/>
      <c r="CV184" s="816"/>
      <c r="CW184" s="816"/>
      <c r="CX184" s="816"/>
      <c r="CY184" s="816"/>
      <c r="CZ184" s="816"/>
      <c r="DA184" s="609"/>
      <c r="DB184" s="609"/>
      <c r="DC184" s="816"/>
      <c r="DD184" s="816"/>
      <c r="DE184" s="609"/>
      <c r="DF184" s="609"/>
      <c r="DG184" s="816"/>
      <c r="DH184" s="816"/>
      <c r="DI184" s="816"/>
      <c r="DJ184" s="816"/>
      <c r="DK184" s="816"/>
      <c r="DL184" s="816"/>
      <c r="DM184" s="609"/>
      <c r="DN184" s="609"/>
      <c r="DO184" s="816"/>
      <c r="DP184" s="816"/>
      <c r="DQ184" s="609"/>
      <c r="DR184" s="609"/>
      <c r="DS184" s="816"/>
      <c r="DT184" s="816"/>
      <c r="DU184" s="609"/>
      <c r="DV184" s="609"/>
      <c r="DW184" s="816"/>
      <c r="DX184" s="816"/>
      <c r="DY184" s="816"/>
      <c r="DZ184" s="816"/>
      <c r="EA184" s="816"/>
      <c r="EB184" s="816"/>
      <c r="EC184" s="821"/>
      <c r="ED184" s="609"/>
      <c r="EE184" s="816"/>
      <c r="EF184" s="816"/>
      <c r="EG184" s="822"/>
      <c r="EH184" s="609"/>
      <c r="EI184" s="816"/>
      <c r="EJ184" s="816"/>
      <c r="EK184" s="609"/>
      <c r="EL184" s="816"/>
      <c r="EM184" s="816"/>
      <c r="EN184" s="816"/>
      <c r="EO184" s="816"/>
      <c r="EP184" s="816"/>
      <c r="EQ184" s="816"/>
      <c r="ER184" s="816"/>
      <c r="ES184" s="816"/>
      <c r="ET184" s="816"/>
      <c r="EU184" s="816"/>
      <c r="EV184" s="816"/>
      <c r="EW184" s="823"/>
      <c r="EX184" s="824"/>
      <c r="EY184" s="825"/>
      <c r="EZ184" s="825"/>
      <c r="FA184" s="816"/>
      <c r="FC184" s="834"/>
      <c r="FD184" s="834"/>
      <c r="FE184" s="826"/>
      <c r="FF184" s="834"/>
    </row>
    <row r="185" spans="2:162" s="780" customFormat="1">
      <c r="B185" s="609"/>
      <c r="C185" s="609"/>
      <c r="D185" s="609"/>
      <c r="E185" s="609"/>
      <c r="F185" s="609"/>
      <c r="G185" s="609"/>
      <c r="H185" s="609"/>
      <c r="I185" s="609"/>
      <c r="J185" s="609"/>
      <c r="K185" s="609"/>
      <c r="L185" s="609"/>
      <c r="M185" s="609"/>
      <c r="N185" s="609"/>
      <c r="O185" s="609"/>
      <c r="P185" s="609"/>
      <c r="Q185" s="609"/>
      <c r="R185" s="816"/>
      <c r="S185" s="816"/>
      <c r="T185" s="816"/>
      <c r="U185" s="816"/>
      <c r="V185" s="816"/>
      <c r="W185" s="816"/>
      <c r="X185" s="609"/>
      <c r="Y185" s="609"/>
      <c r="Z185" s="816"/>
      <c r="AA185" s="816"/>
      <c r="AB185" s="609"/>
      <c r="AC185" s="609"/>
      <c r="AD185" s="816"/>
      <c r="AE185" s="816"/>
      <c r="AF185" s="609"/>
      <c r="AG185" s="609"/>
      <c r="AH185" s="816"/>
      <c r="AI185" s="816"/>
      <c r="AJ185" s="817"/>
      <c r="AK185" s="609"/>
      <c r="AL185" s="609"/>
      <c r="AM185" s="816"/>
      <c r="AN185" s="816"/>
      <c r="AO185" s="816"/>
      <c r="AP185" s="816"/>
      <c r="AQ185" s="816"/>
      <c r="AR185" s="816"/>
      <c r="AS185" s="816"/>
      <c r="AT185" s="609"/>
      <c r="AU185" s="609"/>
      <c r="AV185" s="609"/>
      <c r="AW185" s="818"/>
      <c r="AX185" s="816"/>
      <c r="AY185" s="816"/>
      <c r="AZ185" s="609"/>
      <c r="BA185" s="609"/>
      <c r="BB185" s="816"/>
      <c r="BC185" s="816"/>
      <c r="BD185" s="609"/>
      <c r="BE185" s="609"/>
      <c r="BF185" s="816"/>
      <c r="BG185" s="816"/>
      <c r="BH185" s="816"/>
      <c r="BI185" s="816"/>
      <c r="BJ185" s="816"/>
      <c r="BK185" s="816"/>
      <c r="BL185" s="816"/>
      <c r="BM185" s="816"/>
      <c r="BN185" s="816"/>
      <c r="BO185" s="816"/>
      <c r="BP185" s="816"/>
      <c r="BQ185" s="816"/>
      <c r="BR185" s="816"/>
      <c r="BS185" s="816"/>
      <c r="BT185" s="816"/>
      <c r="BU185" s="816"/>
      <c r="BV185" s="816"/>
      <c r="BW185" s="816"/>
      <c r="BX185" s="609"/>
      <c r="BY185" s="609"/>
      <c r="BZ185" s="816"/>
      <c r="CA185" s="816"/>
      <c r="CB185" s="609"/>
      <c r="CC185" s="609"/>
      <c r="CD185" s="816"/>
      <c r="CE185" s="816"/>
      <c r="CF185" s="816"/>
      <c r="CG185" s="816"/>
      <c r="CH185" s="816"/>
      <c r="CI185" s="816"/>
      <c r="CJ185" s="816"/>
      <c r="CK185" s="816"/>
      <c r="CL185" s="819"/>
      <c r="CM185" s="816"/>
      <c r="CN185" s="820"/>
      <c r="CO185" s="820"/>
      <c r="CP185" s="820"/>
      <c r="CQ185" s="820"/>
      <c r="CR185" s="609"/>
      <c r="CS185" s="609"/>
      <c r="CT185" s="816"/>
      <c r="CU185" s="816"/>
      <c r="CV185" s="816"/>
      <c r="CW185" s="816"/>
      <c r="CX185" s="816"/>
      <c r="CY185" s="816"/>
      <c r="CZ185" s="816"/>
      <c r="DA185" s="609"/>
      <c r="DB185" s="609"/>
      <c r="DC185" s="816"/>
      <c r="DD185" s="816"/>
      <c r="DE185" s="609"/>
      <c r="DF185" s="609"/>
      <c r="DG185" s="816"/>
      <c r="DH185" s="816"/>
      <c r="DI185" s="816"/>
      <c r="DJ185" s="816"/>
      <c r="DK185" s="816"/>
      <c r="DL185" s="816"/>
      <c r="DM185" s="609"/>
      <c r="DN185" s="609"/>
      <c r="DO185" s="816"/>
      <c r="DP185" s="816"/>
      <c r="DQ185" s="609"/>
      <c r="DR185" s="609"/>
      <c r="DS185" s="816"/>
      <c r="DT185" s="816"/>
      <c r="DU185" s="609"/>
      <c r="DV185" s="609"/>
      <c r="DW185" s="816"/>
      <c r="DX185" s="816"/>
      <c r="DY185" s="816"/>
      <c r="DZ185" s="816"/>
      <c r="EA185" s="816"/>
      <c r="EB185" s="816"/>
      <c r="EC185" s="821"/>
      <c r="ED185" s="609"/>
      <c r="EE185" s="816"/>
      <c r="EF185" s="816"/>
      <c r="EG185" s="822"/>
      <c r="EH185" s="609"/>
      <c r="EI185" s="816"/>
      <c r="EJ185" s="816"/>
      <c r="EK185" s="609"/>
      <c r="EL185" s="816"/>
      <c r="EM185" s="816"/>
      <c r="EN185" s="816"/>
      <c r="EO185" s="816"/>
      <c r="EP185" s="816"/>
      <c r="EQ185" s="816"/>
      <c r="ER185" s="816"/>
      <c r="ES185" s="816"/>
      <c r="ET185" s="816"/>
      <c r="EU185" s="816"/>
      <c r="EV185" s="816"/>
      <c r="EW185" s="823"/>
      <c r="EX185" s="824"/>
      <c r="EY185" s="825"/>
      <c r="EZ185" s="825"/>
      <c r="FA185" s="816"/>
      <c r="FC185" s="834"/>
      <c r="FD185" s="834"/>
      <c r="FE185" s="826"/>
      <c r="FF185" s="834"/>
    </row>
    <row r="186" spans="2:162" s="780" customFormat="1">
      <c r="B186" s="609"/>
      <c r="C186" s="609"/>
      <c r="D186" s="609"/>
      <c r="E186" s="609"/>
      <c r="F186" s="609"/>
      <c r="G186" s="609"/>
      <c r="H186" s="609"/>
      <c r="I186" s="609"/>
      <c r="J186" s="609"/>
      <c r="K186" s="609"/>
      <c r="L186" s="609"/>
      <c r="M186" s="609"/>
      <c r="N186" s="609"/>
      <c r="O186" s="609"/>
      <c r="P186" s="609"/>
      <c r="Q186" s="609"/>
      <c r="R186" s="816"/>
      <c r="S186" s="816"/>
      <c r="T186" s="816"/>
      <c r="U186" s="816"/>
      <c r="V186" s="816"/>
      <c r="W186" s="816"/>
      <c r="X186" s="609"/>
      <c r="Y186" s="609"/>
      <c r="Z186" s="816"/>
      <c r="AA186" s="816"/>
      <c r="AB186" s="609"/>
      <c r="AC186" s="609"/>
      <c r="AD186" s="816"/>
      <c r="AE186" s="816"/>
      <c r="AF186" s="609"/>
      <c r="AG186" s="609"/>
      <c r="AH186" s="816"/>
      <c r="AI186" s="816"/>
      <c r="AJ186" s="817"/>
      <c r="AK186" s="609"/>
      <c r="AL186" s="609"/>
      <c r="AM186" s="816"/>
      <c r="AN186" s="816"/>
      <c r="AO186" s="816"/>
      <c r="AP186" s="816"/>
      <c r="AQ186" s="816"/>
      <c r="AR186" s="816"/>
      <c r="AS186" s="816"/>
      <c r="AT186" s="609"/>
      <c r="AU186" s="609"/>
      <c r="AV186" s="609"/>
      <c r="AW186" s="818"/>
      <c r="AX186" s="816"/>
      <c r="AY186" s="816"/>
      <c r="AZ186" s="609"/>
      <c r="BA186" s="609"/>
      <c r="BB186" s="816"/>
      <c r="BC186" s="816"/>
      <c r="BD186" s="609"/>
      <c r="BE186" s="609"/>
      <c r="BF186" s="816"/>
      <c r="BG186" s="816"/>
      <c r="BH186" s="816"/>
      <c r="BI186" s="816"/>
      <c r="BJ186" s="816"/>
      <c r="BK186" s="816"/>
      <c r="BL186" s="816"/>
      <c r="BM186" s="816"/>
      <c r="BN186" s="816"/>
      <c r="BO186" s="816"/>
      <c r="BP186" s="816"/>
      <c r="BQ186" s="816"/>
      <c r="BR186" s="816"/>
      <c r="BS186" s="816"/>
      <c r="BT186" s="816"/>
      <c r="BU186" s="816"/>
      <c r="BV186" s="816"/>
      <c r="BW186" s="816"/>
      <c r="BX186" s="609"/>
      <c r="BY186" s="609"/>
      <c r="BZ186" s="816"/>
      <c r="CA186" s="816"/>
      <c r="CB186" s="609"/>
      <c r="CC186" s="609"/>
      <c r="CD186" s="816"/>
      <c r="CE186" s="816"/>
      <c r="CF186" s="816"/>
      <c r="CG186" s="816"/>
      <c r="CH186" s="816"/>
      <c r="CI186" s="816"/>
      <c r="CJ186" s="816"/>
      <c r="CK186" s="816"/>
      <c r="CL186" s="819"/>
      <c r="CM186" s="816"/>
      <c r="CN186" s="820"/>
      <c r="CO186" s="820"/>
      <c r="CP186" s="820"/>
      <c r="CQ186" s="820"/>
      <c r="CR186" s="609"/>
      <c r="CS186" s="609"/>
      <c r="CT186" s="816"/>
      <c r="CU186" s="816"/>
      <c r="CV186" s="816"/>
      <c r="CW186" s="816"/>
      <c r="CX186" s="816"/>
      <c r="CY186" s="816"/>
      <c r="CZ186" s="816"/>
      <c r="DA186" s="609"/>
      <c r="DB186" s="609"/>
      <c r="DC186" s="816"/>
      <c r="DD186" s="816"/>
      <c r="DE186" s="609"/>
      <c r="DF186" s="609"/>
      <c r="DG186" s="816"/>
      <c r="DH186" s="816"/>
      <c r="DI186" s="816"/>
      <c r="DJ186" s="816"/>
      <c r="DK186" s="816"/>
      <c r="DL186" s="816"/>
      <c r="DM186" s="609"/>
      <c r="DN186" s="609"/>
      <c r="DO186" s="816"/>
      <c r="DP186" s="816"/>
      <c r="DQ186" s="609"/>
      <c r="DR186" s="609"/>
      <c r="DS186" s="816"/>
      <c r="DT186" s="816"/>
      <c r="DU186" s="609"/>
      <c r="DV186" s="609"/>
      <c r="DW186" s="816"/>
      <c r="DX186" s="816"/>
      <c r="DY186" s="816"/>
      <c r="DZ186" s="816"/>
      <c r="EA186" s="816"/>
      <c r="EB186" s="816"/>
      <c r="EC186" s="821"/>
      <c r="ED186" s="609"/>
      <c r="EE186" s="816"/>
      <c r="EF186" s="816"/>
      <c r="EG186" s="822"/>
      <c r="EH186" s="609"/>
      <c r="EI186" s="816"/>
      <c r="EJ186" s="816"/>
      <c r="EK186" s="609"/>
      <c r="EL186" s="816"/>
      <c r="EM186" s="816"/>
      <c r="EN186" s="816"/>
      <c r="EO186" s="816"/>
      <c r="EP186" s="816"/>
      <c r="EQ186" s="816"/>
      <c r="ER186" s="816"/>
      <c r="ES186" s="816"/>
      <c r="ET186" s="816"/>
      <c r="EU186" s="816"/>
      <c r="EV186" s="816"/>
      <c r="EW186" s="823"/>
      <c r="EX186" s="824"/>
      <c r="EY186" s="825"/>
      <c r="EZ186" s="825"/>
      <c r="FA186" s="816"/>
      <c r="FC186" s="834"/>
      <c r="FD186" s="834"/>
      <c r="FE186" s="826"/>
      <c r="FF186" s="834"/>
    </row>
    <row r="187" spans="2:162" s="780" customFormat="1">
      <c r="B187" s="609"/>
      <c r="C187" s="609"/>
      <c r="D187" s="609"/>
      <c r="E187" s="609"/>
      <c r="F187" s="609"/>
      <c r="G187" s="609"/>
      <c r="H187" s="609"/>
      <c r="I187" s="609"/>
      <c r="J187" s="609"/>
      <c r="K187" s="609"/>
      <c r="L187" s="609"/>
      <c r="M187" s="609"/>
      <c r="N187" s="609"/>
      <c r="O187" s="609"/>
      <c r="P187" s="609"/>
      <c r="Q187" s="609"/>
      <c r="R187" s="816"/>
      <c r="S187" s="816"/>
      <c r="T187" s="816"/>
      <c r="U187" s="816"/>
      <c r="V187" s="816"/>
      <c r="W187" s="816"/>
      <c r="X187" s="609"/>
      <c r="Y187" s="609"/>
      <c r="Z187" s="816"/>
      <c r="AA187" s="816"/>
      <c r="AB187" s="609"/>
      <c r="AC187" s="609"/>
      <c r="AD187" s="816"/>
      <c r="AE187" s="816"/>
      <c r="AF187" s="609"/>
      <c r="AG187" s="609"/>
      <c r="AH187" s="816"/>
      <c r="AI187" s="816"/>
      <c r="AJ187" s="817"/>
      <c r="AK187" s="609"/>
      <c r="AL187" s="609"/>
      <c r="AM187" s="816"/>
      <c r="AN187" s="816"/>
      <c r="AO187" s="816"/>
      <c r="AP187" s="816"/>
      <c r="AQ187" s="816"/>
      <c r="AR187" s="816"/>
      <c r="AS187" s="816"/>
      <c r="AT187" s="609"/>
      <c r="AU187" s="609"/>
      <c r="AV187" s="609"/>
      <c r="AW187" s="818"/>
      <c r="AX187" s="816"/>
      <c r="AY187" s="816"/>
      <c r="AZ187" s="609"/>
      <c r="BA187" s="609"/>
      <c r="BB187" s="816"/>
      <c r="BC187" s="816"/>
      <c r="BD187" s="609"/>
      <c r="BE187" s="609"/>
      <c r="BF187" s="816"/>
      <c r="BG187" s="816"/>
      <c r="BH187" s="816"/>
      <c r="BI187" s="816"/>
      <c r="BJ187" s="816"/>
      <c r="BK187" s="816"/>
      <c r="BL187" s="816"/>
      <c r="BM187" s="816"/>
      <c r="BN187" s="816"/>
      <c r="BO187" s="816"/>
      <c r="BP187" s="816"/>
      <c r="BQ187" s="816"/>
      <c r="BR187" s="816"/>
      <c r="BS187" s="816"/>
      <c r="BT187" s="816"/>
      <c r="BU187" s="816"/>
      <c r="BV187" s="816"/>
      <c r="BW187" s="816"/>
      <c r="BX187" s="609"/>
      <c r="BY187" s="609"/>
      <c r="BZ187" s="816"/>
      <c r="CA187" s="816"/>
      <c r="CB187" s="609"/>
      <c r="CC187" s="609"/>
      <c r="CD187" s="816"/>
      <c r="CE187" s="816"/>
      <c r="CF187" s="816"/>
      <c r="CG187" s="816"/>
      <c r="CH187" s="816"/>
      <c r="CI187" s="816"/>
      <c r="CJ187" s="816"/>
      <c r="CK187" s="816"/>
      <c r="CL187" s="819"/>
      <c r="CM187" s="816"/>
      <c r="CN187" s="820"/>
      <c r="CO187" s="820"/>
      <c r="CP187" s="820"/>
      <c r="CQ187" s="820"/>
      <c r="CR187" s="609"/>
      <c r="CS187" s="609"/>
      <c r="CT187" s="816"/>
      <c r="CU187" s="816"/>
      <c r="CV187" s="816"/>
      <c r="CW187" s="816"/>
      <c r="CX187" s="816"/>
      <c r="CY187" s="816"/>
      <c r="CZ187" s="816"/>
      <c r="DA187" s="609"/>
      <c r="DB187" s="609"/>
      <c r="DC187" s="816"/>
      <c r="DD187" s="816"/>
      <c r="DE187" s="609"/>
      <c r="DF187" s="609"/>
      <c r="DG187" s="816"/>
      <c r="DH187" s="816"/>
      <c r="DI187" s="816"/>
      <c r="DJ187" s="816"/>
      <c r="DK187" s="816"/>
      <c r="DL187" s="816"/>
      <c r="DM187" s="609"/>
      <c r="DN187" s="609"/>
      <c r="DO187" s="816"/>
      <c r="DP187" s="816"/>
      <c r="DQ187" s="609"/>
      <c r="DR187" s="609"/>
      <c r="DS187" s="816"/>
      <c r="DT187" s="816"/>
      <c r="DU187" s="609"/>
      <c r="DV187" s="609"/>
      <c r="DW187" s="816"/>
      <c r="DX187" s="816"/>
      <c r="DY187" s="816"/>
      <c r="DZ187" s="816"/>
      <c r="EA187" s="816"/>
      <c r="EB187" s="816"/>
      <c r="EC187" s="821"/>
      <c r="ED187" s="609"/>
      <c r="EE187" s="816"/>
      <c r="EF187" s="816"/>
      <c r="EG187" s="822"/>
      <c r="EH187" s="609"/>
      <c r="EI187" s="816"/>
      <c r="EJ187" s="816"/>
      <c r="EK187" s="609"/>
      <c r="EL187" s="816"/>
      <c r="EM187" s="816"/>
      <c r="EN187" s="816"/>
      <c r="EO187" s="816"/>
      <c r="EP187" s="816"/>
      <c r="EQ187" s="816"/>
      <c r="ER187" s="816"/>
      <c r="ES187" s="816"/>
      <c r="ET187" s="816"/>
      <c r="EU187" s="816"/>
      <c r="EV187" s="816"/>
      <c r="EW187" s="823"/>
      <c r="EX187" s="824"/>
      <c r="EY187" s="825"/>
      <c r="EZ187" s="825"/>
      <c r="FA187" s="816"/>
      <c r="FC187" s="834"/>
      <c r="FD187" s="834"/>
      <c r="FE187" s="826"/>
      <c r="FF187" s="834"/>
    </row>
    <row r="188" spans="2:162" s="780" customFormat="1">
      <c r="B188" s="609"/>
      <c r="C188" s="609"/>
      <c r="D188" s="609"/>
      <c r="E188" s="609"/>
      <c r="F188" s="609"/>
      <c r="G188" s="609"/>
      <c r="H188" s="609"/>
      <c r="I188" s="609"/>
      <c r="J188" s="609"/>
      <c r="K188" s="609"/>
      <c r="L188" s="609"/>
      <c r="M188" s="609"/>
      <c r="N188" s="609"/>
      <c r="O188" s="609"/>
      <c r="P188" s="609"/>
      <c r="Q188" s="609"/>
      <c r="R188" s="816"/>
      <c r="S188" s="816"/>
      <c r="T188" s="816"/>
      <c r="U188" s="816"/>
      <c r="V188" s="816"/>
      <c r="W188" s="816"/>
      <c r="X188" s="609"/>
      <c r="Y188" s="609"/>
      <c r="Z188" s="816"/>
      <c r="AA188" s="816"/>
      <c r="AB188" s="609"/>
      <c r="AC188" s="609"/>
      <c r="AD188" s="816"/>
      <c r="AE188" s="816"/>
      <c r="AF188" s="609"/>
      <c r="AG188" s="609"/>
      <c r="AH188" s="816"/>
      <c r="AI188" s="816"/>
      <c r="AJ188" s="817"/>
      <c r="AK188" s="609"/>
      <c r="AL188" s="609"/>
      <c r="AM188" s="816"/>
      <c r="AN188" s="816"/>
      <c r="AO188" s="816"/>
      <c r="AP188" s="816"/>
      <c r="AQ188" s="816"/>
      <c r="AR188" s="816"/>
      <c r="AS188" s="816"/>
      <c r="AT188" s="609"/>
      <c r="AU188" s="609"/>
      <c r="AV188" s="609"/>
      <c r="AW188" s="818"/>
      <c r="AX188" s="816"/>
      <c r="AY188" s="816"/>
      <c r="AZ188" s="609"/>
      <c r="BA188" s="609"/>
      <c r="BB188" s="816"/>
      <c r="BC188" s="816"/>
      <c r="BD188" s="609"/>
      <c r="BE188" s="609"/>
      <c r="BF188" s="816"/>
      <c r="BG188" s="816"/>
      <c r="BH188" s="816"/>
      <c r="BI188" s="816"/>
      <c r="BJ188" s="816"/>
      <c r="BK188" s="816"/>
      <c r="BL188" s="816"/>
      <c r="BM188" s="816"/>
      <c r="BN188" s="816"/>
      <c r="BO188" s="816"/>
      <c r="BP188" s="816"/>
      <c r="BQ188" s="816"/>
      <c r="BR188" s="816"/>
      <c r="BS188" s="816"/>
      <c r="BT188" s="816"/>
      <c r="BU188" s="816"/>
      <c r="BV188" s="816"/>
      <c r="BW188" s="816"/>
      <c r="BX188" s="609"/>
      <c r="BY188" s="609"/>
      <c r="BZ188" s="816"/>
      <c r="CA188" s="816"/>
      <c r="CB188" s="609"/>
      <c r="CC188" s="609"/>
      <c r="CD188" s="816"/>
      <c r="CE188" s="816"/>
      <c r="CF188" s="816"/>
      <c r="CG188" s="816"/>
      <c r="CH188" s="816"/>
      <c r="CI188" s="816"/>
      <c r="CJ188" s="816"/>
      <c r="CK188" s="816"/>
      <c r="CL188" s="819"/>
      <c r="CM188" s="816"/>
      <c r="CN188" s="820"/>
      <c r="CO188" s="820"/>
      <c r="CP188" s="820"/>
      <c r="CQ188" s="820"/>
      <c r="CR188" s="609"/>
      <c r="CS188" s="609"/>
      <c r="CT188" s="816"/>
      <c r="CU188" s="816"/>
      <c r="CV188" s="816"/>
      <c r="CW188" s="816"/>
      <c r="CX188" s="816"/>
      <c r="CY188" s="816"/>
      <c r="CZ188" s="816"/>
      <c r="DA188" s="609"/>
      <c r="DB188" s="609"/>
      <c r="DC188" s="816"/>
      <c r="DD188" s="816"/>
      <c r="DE188" s="609"/>
      <c r="DF188" s="609"/>
      <c r="DG188" s="816"/>
      <c r="DH188" s="816"/>
      <c r="DI188" s="816"/>
      <c r="DJ188" s="816"/>
      <c r="DK188" s="816"/>
      <c r="DL188" s="816"/>
      <c r="DM188" s="609"/>
      <c r="DN188" s="609"/>
      <c r="DO188" s="816"/>
      <c r="DP188" s="816"/>
      <c r="DQ188" s="609"/>
      <c r="DR188" s="609"/>
      <c r="DS188" s="816"/>
      <c r="DT188" s="816"/>
      <c r="DU188" s="609"/>
      <c r="DV188" s="609"/>
      <c r="DW188" s="816"/>
      <c r="DX188" s="816"/>
      <c r="DY188" s="816"/>
      <c r="DZ188" s="816"/>
      <c r="EA188" s="816"/>
      <c r="EB188" s="816"/>
      <c r="EC188" s="821"/>
      <c r="ED188" s="609"/>
      <c r="EE188" s="816"/>
      <c r="EF188" s="816"/>
      <c r="EG188" s="822"/>
      <c r="EH188" s="609"/>
      <c r="EI188" s="816"/>
      <c r="EJ188" s="816"/>
      <c r="EK188" s="609"/>
      <c r="EL188" s="816"/>
      <c r="EM188" s="816"/>
      <c r="EN188" s="816"/>
      <c r="EO188" s="816"/>
      <c r="EP188" s="816"/>
      <c r="EQ188" s="816"/>
      <c r="ER188" s="816"/>
      <c r="ES188" s="816"/>
      <c r="ET188" s="816"/>
      <c r="EU188" s="816"/>
      <c r="EV188" s="816"/>
      <c r="EW188" s="823"/>
      <c r="EX188" s="824"/>
      <c r="EY188" s="825"/>
      <c r="EZ188" s="825"/>
      <c r="FA188" s="816"/>
      <c r="FC188" s="834"/>
      <c r="FD188" s="834"/>
      <c r="FE188" s="826"/>
      <c r="FF188" s="834"/>
    </row>
    <row r="189" spans="2:162" s="780" customFormat="1">
      <c r="B189" s="609"/>
      <c r="C189" s="609"/>
      <c r="D189" s="609"/>
      <c r="E189" s="609"/>
      <c r="F189" s="609"/>
      <c r="G189" s="609"/>
      <c r="H189" s="609"/>
      <c r="I189" s="609"/>
      <c r="J189" s="609"/>
      <c r="K189" s="609"/>
      <c r="L189" s="609"/>
      <c r="M189" s="609"/>
      <c r="N189" s="609"/>
      <c r="O189" s="609"/>
      <c r="P189" s="609"/>
      <c r="Q189" s="609"/>
      <c r="R189" s="816"/>
      <c r="S189" s="816"/>
      <c r="T189" s="816"/>
      <c r="U189" s="816"/>
      <c r="V189" s="816"/>
      <c r="W189" s="816"/>
      <c r="X189" s="609"/>
      <c r="Y189" s="609"/>
      <c r="Z189" s="816"/>
      <c r="AA189" s="816"/>
      <c r="AB189" s="609"/>
      <c r="AC189" s="609"/>
      <c r="AD189" s="816"/>
      <c r="AE189" s="816"/>
      <c r="AF189" s="609"/>
      <c r="AG189" s="609"/>
      <c r="AH189" s="816"/>
      <c r="AI189" s="816"/>
      <c r="AJ189" s="817"/>
      <c r="AK189" s="609"/>
      <c r="AL189" s="609"/>
      <c r="AM189" s="816"/>
      <c r="AN189" s="816"/>
      <c r="AO189" s="816"/>
      <c r="AP189" s="816"/>
      <c r="AQ189" s="816"/>
      <c r="AR189" s="816"/>
      <c r="AS189" s="816"/>
      <c r="AT189" s="609"/>
      <c r="AU189" s="609"/>
      <c r="AV189" s="609"/>
      <c r="AW189" s="818"/>
      <c r="AX189" s="816"/>
      <c r="AY189" s="816"/>
      <c r="AZ189" s="609"/>
      <c r="BA189" s="609"/>
      <c r="BB189" s="816"/>
      <c r="BC189" s="816"/>
      <c r="BD189" s="609"/>
      <c r="BE189" s="609"/>
      <c r="BF189" s="816"/>
      <c r="BG189" s="816"/>
      <c r="BH189" s="816"/>
      <c r="BI189" s="816"/>
      <c r="BJ189" s="816"/>
      <c r="BK189" s="816"/>
      <c r="BL189" s="816"/>
      <c r="BM189" s="816"/>
      <c r="BN189" s="816"/>
      <c r="BO189" s="816"/>
      <c r="BP189" s="816"/>
      <c r="BQ189" s="816"/>
      <c r="BR189" s="816"/>
      <c r="BS189" s="816"/>
      <c r="BT189" s="816"/>
      <c r="BU189" s="816"/>
      <c r="BV189" s="816"/>
      <c r="BW189" s="816"/>
      <c r="BX189" s="609"/>
      <c r="BY189" s="609"/>
      <c r="BZ189" s="816"/>
      <c r="CA189" s="816"/>
      <c r="CB189" s="609"/>
      <c r="CC189" s="609"/>
      <c r="CD189" s="816"/>
      <c r="CE189" s="816"/>
      <c r="CF189" s="816"/>
      <c r="CG189" s="816"/>
      <c r="CH189" s="816"/>
      <c r="CI189" s="816"/>
      <c r="CJ189" s="816"/>
      <c r="CK189" s="816"/>
      <c r="CL189" s="819"/>
      <c r="CM189" s="816"/>
      <c r="CN189" s="820"/>
      <c r="CO189" s="820"/>
      <c r="CP189" s="820"/>
      <c r="CQ189" s="820"/>
      <c r="CR189" s="609"/>
      <c r="CS189" s="609"/>
      <c r="CT189" s="816"/>
      <c r="CU189" s="816"/>
      <c r="CV189" s="816"/>
      <c r="CW189" s="816"/>
      <c r="CX189" s="816"/>
      <c r="CY189" s="816"/>
      <c r="CZ189" s="816"/>
      <c r="DA189" s="609"/>
      <c r="DB189" s="609"/>
      <c r="DC189" s="816"/>
      <c r="DD189" s="816"/>
      <c r="DE189" s="609"/>
      <c r="DF189" s="609"/>
      <c r="DG189" s="816"/>
      <c r="DH189" s="816"/>
      <c r="DI189" s="816"/>
      <c r="DJ189" s="816"/>
      <c r="DK189" s="816"/>
      <c r="DL189" s="816"/>
      <c r="DM189" s="609"/>
      <c r="DN189" s="609"/>
      <c r="DO189" s="816"/>
      <c r="DP189" s="816"/>
      <c r="DQ189" s="609"/>
      <c r="DR189" s="609"/>
      <c r="DS189" s="816"/>
      <c r="DT189" s="816"/>
      <c r="DU189" s="609"/>
      <c r="DV189" s="609"/>
      <c r="DW189" s="816"/>
      <c r="DX189" s="816"/>
      <c r="DY189" s="816"/>
      <c r="DZ189" s="816"/>
      <c r="EA189" s="816"/>
      <c r="EB189" s="816"/>
      <c r="EC189" s="821"/>
      <c r="ED189" s="609"/>
      <c r="EE189" s="816"/>
      <c r="EF189" s="816"/>
      <c r="EG189" s="822"/>
      <c r="EH189" s="609"/>
      <c r="EI189" s="816"/>
      <c r="EJ189" s="816"/>
      <c r="EK189" s="609"/>
      <c r="EL189" s="816"/>
      <c r="EM189" s="816"/>
      <c r="EN189" s="816"/>
      <c r="EO189" s="816"/>
      <c r="EP189" s="816"/>
      <c r="EQ189" s="816"/>
      <c r="ER189" s="816"/>
      <c r="ES189" s="816"/>
      <c r="ET189" s="816"/>
      <c r="EU189" s="816"/>
      <c r="EV189" s="816"/>
      <c r="EW189" s="823"/>
      <c r="EX189" s="824"/>
      <c r="EY189" s="825"/>
      <c r="EZ189" s="825"/>
      <c r="FA189" s="816"/>
      <c r="FC189" s="834"/>
      <c r="FD189" s="834"/>
      <c r="FE189" s="826"/>
      <c r="FF189" s="834"/>
    </row>
    <row r="190" spans="2:162" s="780" customFormat="1">
      <c r="B190" s="609"/>
      <c r="C190" s="609"/>
      <c r="D190" s="609"/>
      <c r="E190" s="609"/>
      <c r="F190" s="609"/>
      <c r="G190" s="609"/>
      <c r="H190" s="609"/>
      <c r="I190" s="609"/>
      <c r="J190" s="609"/>
      <c r="K190" s="609"/>
      <c r="L190" s="609"/>
      <c r="M190" s="609"/>
      <c r="N190" s="609"/>
      <c r="O190" s="609"/>
      <c r="P190" s="609"/>
      <c r="Q190" s="609"/>
      <c r="R190" s="816"/>
      <c r="S190" s="816"/>
      <c r="T190" s="816"/>
      <c r="U190" s="816"/>
      <c r="V190" s="816"/>
      <c r="W190" s="816"/>
      <c r="X190" s="609"/>
      <c r="Y190" s="609"/>
      <c r="Z190" s="816"/>
      <c r="AA190" s="816"/>
      <c r="AB190" s="609"/>
      <c r="AC190" s="609"/>
      <c r="AD190" s="816"/>
      <c r="AE190" s="816"/>
      <c r="AF190" s="609"/>
      <c r="AG190" s="609"/>
      <c r="AH190" s="816"/>
      <c r="AI190" s="816"/>
      <c r="AJ190" s="817"/>
      <c r="AK190" s="609"/>
      <c r="AL190" s="609"/>
      <c r="AM190" s="816"/>
      <c r="AN190" s="816"/>
      <c r="AO190" s="816"/>
      <c r="AP190" s="816"/>
      <c r="AQ190" s="816"/>
      <c r="AR190" s="816"/>
      <c r="AS190" s="816"/>
      <c r="AT190" s="609"/>
      <c r="AU190" s="609"/>
      <c r="AV190" s="609"/>
      <c r="AW190" s="818"/>
      <c r="AX190" s="816"/>
      <c r="AY190" s="816"/>
      <c r="AZ190" s="609"/>
      <c r="BA190" s="609"/>
      <c r="BB190" s="816"/>
      <c r="BC190" s="816"/>
      <c r="BD190" s="609"/>
      <c r="BE190" s="609"/>
      <c r="BF190" s="816"/>
      <c r="BG190" s="816"/>
      <c r="BH190" s="816"/>
      <c r="BI190" s="816"/>
      <c r="BJ190" s="816"/>
      <c r="BK190" s="816"/>
      <c r="BL190" s="816"/>
      <c r="BM190" s="816"/>
      <c r="BN190" s="816"/>
      <c r="BO190" s="816"/>
      <c r="BP190" s="816"/>
      <c r="BQ190" s="816"/>
      <c r="BR190" s="816"/>
      <c r="BS190" s="816"/>
      <c r="BT190" s="816"/>
      <c r="BU190" s="816"/>
      <c r="BV190" s="816"/>
      <c r="BW190" s="816"/>
      <c r="BX190" s="609"/>
      <c r="BY190" s="609"/>
      <c r="BZ190" s="816"/>
      <c r="CA190" s="816"/>
      <c r="CB190" s="609"/>
      <c r="CC190" s="609"/>
      <c r="CD190" s="816"/>
      <c r="CE190" s="816"/>
      <c r="CF190" s="816"/>
      <c r="CG190" s="816"/>
      <c r="CH190" s="816"/>
      <c r="CI190" s="816"/>
      <c r="CJ190" s="816"/>
      <c r="CK190" s="816"/>
      <c r="CL190" s="819"/>
      <c r="CM190" s="816"/>
      <c r="CN190" s="820"/>
      <c r="CO190" s="820"/>
      <c r="CP190" s="820"/>
      <c r="CQ190" s="820"/>
      <c r="CR190" s="609"/>
      <c r="CS190" s="609"/>
      <c r="CT190" s="816"/>
      <c r="CU190" s="816"/>
      <c r="CV190" s="816"/>
      <c r="CW190" s="816"/>
      <c r="CX190" s="816"/>
      <c r="CY190" s="816"/>
      <c r="CZ190" s="816"/>
      <c r="DA190" s="609"/>
      <c r="DB190" s="609"/>
      <c r="DC190" s="816"/>
      <c r="DD190" s="816"/>
      <c r="DE190" s="609"/>
      <c r="DF190" s="609"/>
      <c r="DG190" s="816"/>
      <c r="DH190" s="816"/>
      <c r="DI190" s="816"/>
      <c r="DJ190" s="816"/>
      <c r="DK190" s="816"/>
      <c r="DL190" s="816"/>
      <c r="DM190" s="609"/>
      <c r="DN190" s="609"/>
      <c r="DO190" s="816"/>
      <c r="DP190" s="816"/>
      <c r="DQ190" s="609"/>
      <c r="DR190" s="609"/>
      <c r="DS190" s="816"/>
      <c r="DT190" s="816"/>
      <c r="DU190" s="609"/>
      <c r="DV190" s="609"/>
      <c r="DW190" s="816"/>
      <c r="DX190" s="816"/>
      <c r="DY190" s="816"/>
      <c r="DZ190" s="816"/>
      <c r="EA190" s="816"/>
      <c r="EB190" s="816"/>
      <c r="EC190" s="821"/>
      <c r="ED190" s="609"/>
      <c r="EE190" s="816"/>
      <c r="EF190" s="816"/>
      <c r="EG190" s="822"/>
      <c r="EH190" s="609"/>
      <c r="EI190" s="816"/>
      <c r="EJ190" s="816"/>
      <c r="EK190" s="609"/>
      <c r="EL190" s="816"/>
      <c r="EM190" s="816"/>
      <c r="EN190" s="816"/>
      <c r="EO190" s="816"/>
      <c r="EP190" s="816"/>
      <c r="EQ190" s="816"/>
      <c r="ER190" s="816"/>
      <c r="ES190" s="816"/>
      <c r="ET190" s="816"/>
      <c r="EU190" s="816"/>
      <c r="EV190" s="816"/>
      <c r="EW190" s="823"/>
      <c r="EX190" s="824"/>
      <c r="EY190" s="825"/>
      <c r="EZ190" s="825"/>
      <c r="FA190" s="816"/>
      <c r="FC190" s="834"/>
      <c r="FD190" s="834"/>
      <c r="FE190" s="826"/>
      <c r="FF190" s="834"/>
    </row>
    <row r="191" spans="2:162" s="780" customFormat="1">
      <c r="B191" s="609"/>
      <c r="C191" s="609"/>
      <c r="D191" s="609"/>
      <c r="E191" s="609"/>
      <c r="F191" s="609"/>
      <c r="G191" s="609"/>
      <c r="H191" s="609"/>
      <c r="I191" s="609"/>
      <c r="J191" s="609"/>
      <c r="K191" s="609"/>
      <c r="L191" s="609"/>
      <c r="M191" s="609"/>
      <c r="N191" s="609"/>
      <c r="O191" s="609"/>
      <c r="P191" s="609"/>
      <c r="Q191" s="609"/>
      <c r="R191" s="816"/>
      <c r="S191" s="816"/>
      <c r="T191" s="816"/>
      <c r="U191" s="816"/>
      <c r="V191" s="816"/>
      <c r="W191" s="816"/>
      <c r="X191" s="609"/>
      <c r="Y191" s="609"/>
      <c r="Z191" s="816"/>
      <c r="AA191" s="816"/>
      <c r="AB191" s="609"/>
      <c r="AC191" s="609"/>
      <c r="AD191" s="816"/>
      <c r="AE191" s="816"/>
      <c r="AF191" s="609"/>
      <c r="AG191" s="609"/>
      <c r="AH191" s="816"/>
      <c r="AI191" s="816"/>
      <c r="AJ191" s="817"/>
      <c r="AK191" s="609"/>
      <c r="AL191" s="609"/>
      <c r="AM191" s="816"/>
      <c r="AN191" s="816"/>
      <c r="AO191" s="816"/>
      <c r="AP191" s="816"/>
      <c r="AQ191" s="816"/>
      <c r="AR191" s="816"/>
      <c r="AS191" s="816"/>
      <c r="AT191" s="609"/>
      <c r="AU191" s="609"/>
      <c r="AV191" s="609"/>
      <c r="AW191" s="818"/>
      <c r="AX191" s="816"/>
      <c r="AY191" s="816"/>
      <c r="AZ191" s="609"/>
      <c r="BA191" s="609"/>
      <c r="BB191" s="816"/>
      <c r="BC191" s="816"/>
      <c r="BD191" s="609"/>
      <c r="BE191" s="609"/>
      <c r="BF191" s="816"/>
      <c r="BG191" s="816"/>
      <c r="BH191" s="816"/>
      <c r="BI191" s="816"/>
      <c r="BJ191" s="816"/>
      <c r="BK191" s="816"/>
      <c r="BL191" s="816"/>
      <c r="BM191" s="816"/>
      <c r="BN191" s="816"/>
      <c r="BO191" s="816"/>
      <c r="BP191" s="816"/>
      <c r="BQ191" s="816"/>
      <c r="BR191" s="816"/>
      <c r="BS191" s="816"/>
      <c r="BT191" s="816"/>
      <c r="BU191" s="816"/>
      <c r="BV191" s="816"/>
      <c r="BW191" s="816"/>
      <c r="BX191" s="609"/>
      <c r="BY191" s="609"/>
      <c r="BZ191" s="816"/>
      <c r="CA191" s="816"/>
      <c r="CB191" s="609"/>
      <c r="CC191" s="609"/>
      <c r="CD191" s="816"/>
      <c r="CE191" s="816"/>
      <c r="CF191" s="816"/>
      <c r="CG191" s="816"/>
      <c r="CH191" s="816"/>
      <c r="CI191" s="816"/>
      <c r="CJ191" s="816"/>
      <c r="CK191" s="816"/>
      <c r="CL191" s="819"/>
      <c r="CM191" s="816"/>
      <c r="CN191" s="820"/>
      <c r="CO191" s="820"/>
      <c r="CP191" s="820"/>
      <c r="CQ191" s="820"/>
      <c r="CR191" s="609"/>
      <c r="CS191" s="609"/>
      <c r="CT191" s="816"/>
      <c r="CU191" s="816"/>
      <c r="CV191" s="816"/>
      <c r="CW191" s="816"/>
      <c r="CX191" s="816"/>
      <c r="CY191" s="816"/>
      <c r="CZ191" s="816"/>
      <c r="DA191" s="609"/>
      <c r="DB191" s="609"/>
      <c r="DC191" s="816"/>
      <c r="DD191" s="816"/>
      <c r="DE191" s="609"/>
      <c r="DF191" s="609"/>
      <c r="DG191" s="816"/>
      <c r="DH191" s="816"/>
      <c r="DI191" s="816"/>
      <c r="DJ191" s="816"/>
      <c r="DK191" s="816"/>
      <c r="DL191" s="816"/>
      <c r="DM191" s="609"/>
      <c r="DN191" s="609"/>
      <c r="DO191" s="816"/>
      <c r="DP191" s="816"/>
      <c r="DQ191" s="609"/>
      <c r="DR191" s="609"/>
      <c r="DS191" s="816"/>
      <c r="DT191" s="816"/>
      <c r="DU191" s="609"/>
      <c r="DV191" s="609"/>
      <c r="DW191" s="816"/>
      <c r="DX191" s="816"/>
      <c r="DY191" s="816"/>
      <c r="DZ191" s="816"/>
      <c r="EA191" s="816"/>
      <c r="EB191" s="816"/>
      <c r="EC191" s="821"/>
      <c r="ED191" s="609"/>
      <c r="EE191" s="816"/>
      <c r="EF191" s="816"/>
      <c r="EG191" s="822"/>
      <c r="EH191" s="609"/>
      <c r="EI191" s="816"/>
      <c r="EJ191" s="816"/>
      <c r="EK191" s="609"/>
      <c r="EL191" s="816"/>
      <c r="EM191" s="816"/>
      <c r="EN191" s="816"/>
      <c r="EO191" s="816"/>
      <c r="EP191" s="816"/>
      <c r="EQ191" s="816"/>
      <c r="ER191" s="816"/>
      <c r="ES191" s="816"/>
      <c r="ET191" s="816"/>
      <c r="EU191" s="816"/>
      <c r="EV191" s="816"/>
      <c r="EW191" s="823"/>
      <c r="EX191" s="824"/>
      <c r="EY191" s="825"/>
      <c r="EZ191" s="825"/>
      <c r="FA191" s="816"/>
      <c r="FC191" s="834"/>
      <c r="FD191" s="834"/>
      <c r="FE191" s="826"/>
      <c r="FF191" s="834"/>
    </row>
    <row r="192" spans="2:162" s="780" customFormat="1">
      <c r="B192" s="609"/>
      <c r="C192" s="609"/>
      <c r="D192" s="609"/>
      <c r="E192" s="609"/>
      <c r="F192" s="609"/>
      <c r="G192" s="609"/>
      <c r="H192" s="609"/>
      <c r="I192" s="609"/>
      <c r="J192" s="609"/>
      <c r="K192" s="609"/>
      <c r="L192" s="609"/>
      <c r="M192" s="609"/>
      <c r="N192" s="609"/>
      <c r="O192" s="609"/>
      <c r="P192" s="609"/>
      <c r="Q192" s="609"/>
      <c r="R192" s="816"/>
      <c r="S192" s="816"/>
      <c r="T192" s="816"/>
      <c r="U192" s="816"/>
      <c r="V192" s="816"/>
      <c r="W192" s="816"/>
      <c r="X192" s="609"/>
      <c r="Y192" s="609"/>
      <c r="Z192" s="816"/>
      <c r="AA192" s="816"/>
      <c r="AB192" s="609"/>
      <c r="AC192" s="609"/>
      <c r="AD192" s="816"/>
      <c r="AE192" s="816"/>
      <c r="AF192" s="609"/>
      <c r="AG192" s="609"/>
      <c r="AH192" s="816"/>
      <c r="AI192" s="816"/>
      <c r="AJ192" s="817"/>
      <c r="AK192" s="609"/>
      <c r="AL192" s="609"/>
      <c r="AM192" s="816"/>
      <c r="AN192" s="816"/>
      <c r="AO192" s="816"/>
      <c r="AP192" s="816"/>
      <c r="AQ192" s="816"/>
      <c r="AR192" s="816"/>
      <c r="AS192" s="816"/>
      <c r="AT192" s="609"/>
      <c r="AU192" s="609"/>
      <c r="AV192" s="609"/>
      <c r="AW192" s="818"/>
      <c r="AX192" s="816"/>
      <c r="AY192" s="816"/>
      <c r="AZ192" s="609"/>
      <c r="BA192" s="609"/>
      <c r="BB192" s="816"/>
      <c r="BC192" s="816"/>
      <c r="BD192" s="609"/>
      <c r="BE192" s="609"/>
      <c r="BF192" s="816"/>
      <c r="BG192" s="816"/>
      <c r="BH192" s="816"/>
      <c r="BI192" s="816"/>
      <c r="BJ192" s="816"/>
      <c r="BK192" s="816"/>
      <c r="BL192" s="816"/>
      <c r="BM192" s="816"/>
      <c r="BN192" s="816"/>
      <c r="BO192" s="816"/>
      <c r="BP192" s="816"/>
      <c r="BQ192" s="816"/>
      <c r="BR192" s="816"/>
      <c r="BS192" s="816"/>
      <c r="BT192" s="816"/>
      <c r="BU192" s="816"/>
      <c r="BV192" s="816"/>
      <c r="BW192" s="816"/>
      <c r="BX192" s="609"/>
      <c r="BY192" s="609"/>
      <c r="BZ192" s="816"/>
      <c r="CA192" s="816"/>
      <c r="CB192" s="609"/>
      <c r="CC192" s="609"/>
      <c r="CD192" s="816"/>
      <c r="CE192" s="816"/>
      <c r="CF192" s="816"/>
      <c r="CG192" s="816"/>
      <c r="CH192" s="816"/>
      <c r="CI192" s="816"/>
      <c r="CJ192" s="816"/>
      <c r="CK192" s="816"/>
      <c r="CL192" s="819"/>
      <c r="CM192" s="816"/>
      <c r="CN192" s="820"/>
      <c r="CO192" s="820"/>
      <c r="CP192" s="820"/>
      <c r="CQ192" s="820"/>
      <c r="CR192" s="609"/>
      <c r="CS192" s="609"/>
      <c r="CT192" s="816"/>
      <c r="CU192" s="816"/>
      <c r="CV192" s="816"/>
      <c r="CW192" s="816"/>
      <c r="CX192" s="816"/>
      <c r="CY192" s="816"/>
      <c r="CZ192" s="816"/>
      <c r="DA192" s="609"/>
      <c r="DB192" s="609"/>
      <c r="DC192" s="816"/>
      <c r="DD192" s="816"/>
      <c r="DE192" s="609"/>
      <c r="DF192" s="609"/>
      <c r="DG192" s="816"/>
      <c r="DH192" s="816"/>
      <c r="DI192" s="816"/>
      <c r="DJ192" s="816"/>
      <c r="DK192" s="816"/>
      <c r="DL192" s="816"/>
      <c r="DM192" s="609"/>
      <c r="DN192" s="609"/>
      <c r="DO192" s="816"/>
      <c r="DP192" s="816"/>
      <c r="DQ192" s="609"/>
      <c r="DR192" s="609"/>
      <c r="DS192" s="816"/>
      <c r="DT192" s="816"/>
      <c r="DU192" s="609"/>
      <c r="DV192" s="609"/>
      <c r="DW192" s="816"/>
      <c r="DX192" s="816"/>
      <c r="DY192" s="816"/>
      <c r="DZ192" s="816"/>
      <c r="EA192" s="816"/>
      <c r="EB192" s="816"/>
      <c r="EC192" s="821"/>
      <c r="ED192" s="609"/>
      <c r="EE192" s="816"/>
      <c r="EF192" s="816"/>
      <c r="EG192" s="822"/>
      <c r="EH192" s="609"/>
      <c r="EI192" s="816"/>
      <c r="EJ192" s="816"/>
      <c r="EK192" s="609"/>
      <c r="EL192" s="816"/>
      <c r="EM192" s="816"/>
      <c r="EN192" s="816"/>
      <c r="EO192" s="816"/>
      <c r="EP192" s="816"/>
      <c r="EQ192" s="816"/>
      <c r="ER192" s="816"/>
      <c r="ES192" s="816"/>
      <c r="ET192" s="816"/>
      <c r="EU192" s="816"/>
      <c r="EV192" s="816"/>
      <c r="EW192" s="823"/>
      <c r="EX192" s="824"/>
      <c r="EY192" s="825"/>
      <c r="EZ192" s="825"/>
      <c r="FA192" s="816"/>
      <c r="FC192" s="834"/>
      <c r="FD192" s="834"/>
      <c r="FE192" s="826"/>
      <c r="FF192" s="834"/>
    </row>
    <row r="193" spans="2:162" s="780" customFormat="1">
      <c r="B193" s="609"/>
      <c r="C193" s="609"/>
      <c r="D193" s="609"/>
      <c r="E193" s="609"/>
      <c r="F193" s="609"/>
      <c r="G193" s="609"/>
      <c r="H193" s="609"/>
      <c r="I193" s="609"/>
      <c r="J193" s="609"/>
      <c r="K193" s="609"/>
      <c r="L193" s="609"/>
      <c r="M193" s="609"/>
      <c r="N193" s="609"/>
      <c r="O193" s="609"/>
      <c r="P193" s="609"/>
      <c r="Q193" s="609"/>
      <c r="R193" s="816"/>
      <c r="S193" s="816"/>
      <c r="T193" s="816"/>
      <c r="U193" s="816"/>
      <c r="V193" s="816"/>
      <c r="W193" s="816"/>
      <c r="X193" s="609"/>
      <c r="Y193" s="609"/>
      <c r="Z193" s="816"/>
      <c r="AA193" s="816"/>
      <c r="AB193" s="609"/>
      <c r="AC193" s="609"/>
      <c r="AD193" s="816"/>
      <c r="AE193" s="816"/>
      <c r="AF193" s="609"/>
      <c r="AG193" s="609"/>
      <c r="AH193" s="816"/>
      <c r="AI193" s="816"/>
      <c r="AJ193" s="817"/>
      <c r="AK193" s="609"/>
      <c r="AL193" s="609"/>
      <c r="AM193" s="816"/>
      <c r="AN193" s="816"/>
      <c r="AO193" s="816"/>
      <c r="AP193" s="816"/>
      <c r="AQ193" s="816"/>
      <c r="AR193" s="816"/>
      <c r="AS193" s="816"/>
      <c r="AT193" s="609"/>
      <c r="AU193" s="609"/>
      <c r="AV193" s="609"/>
      <c r="AW193" s="818"/>
      <c r="AX193" s="816"/>
      <c r="AY193" s="816"/>
      <c r="AZ193" s="609"/>
      <c r="BA193" s="609"/>
      <c r="BB193" s="816"/>
      <c r="BC193" s="816"/>
      <c r="BD193" s="609"/>
      <c r="BE193" s="609"/>
      <c r="BF193" s="816"/>
      <c r="BG193" s="816"/>
      <c r="BH193" s="816"/>
      <c r="BI193" s="816"/>
      <c r="BJ193" s="816"/>
      <c r="BK193" s="816"/>
      <c r="BL193" s="816"/>
      <c r="BM193" s="816"/>
      <c r="BN193" s="816"/>
      <c r="BO193" s="816"/>
      <c r="BP193" s="816"/>
      <c r="BQ193" s="816"/>
      <c r="BR193" s="816"/>
      <c r="BS193" s="816"/>
      <c r="BT193" s="816"/>
      <c r="BU193" s="816"/>
      <c r="BV193" s="816"/>
      <c r="BW193" s="816"/>
      <c r="BX193" s="609"/>
      <c r="BY193" s="609"/>
      <c r="BZ193" s="816"/>
      <c r="CA193" s="816"/>
      <c r="CB193" s="609"/>
      <c r="CC193" s="609"/>
      <c r="CD193" s="816"/>
      <c r="CE193" s="816"/>
      <c r="CF193" s="816"/>
      <c r="CG193" s="816"/>
      <c r="CH193" s="816"/>
      <c r="CI193" s="816"/>
      <c r="CJ193" s="816"/>
      <c r="CK193" s="816"/>
      <c r="CL193" s="819"/>
      <c r="CM193" s="816"/>
      <c r="CN193" s="820"/>
      <c r="CO193" s="820"/>
      <c r="CP193" s="820"/>
      <c r="CQ193" s="820"/>
      <c r="CR193" s="817"/>
      <c r="CS193" s="609"/>
      <c r="CT193" s="816"/>
      <c r="CU193" s="816"/>
      <c r="CV193" s="816"/>
      <c r="CW193" s="816"/>
      <c r="CX193" s="816"/>
      <c r="CY193" s="816"/>
      <c r="CZ193" s="816"/>
      <c r="DA193" s="609"/>
      <c r="DB193" s="609"/>
      <c r="DC193" s="816"/>
      <c r="DD193" s="816"/>
      <c r="DE193" s="609"/>
      <c r="DF193" s="609"/>
      <c r="DG193" s="816"/>
      <c r="DH193" s="816"/>
      <c r="DI193" s="816"/>
      <c r="DJ193" s="816"/>
      <c r="DK193" s="816"/>
      <c r="DL193" s="816"/>
      <c r="DM193" s="609"/>
      <c r="DN193" s="609"/>
      <c r="DO193" s="816"/>
      <c r="DP193" s="816"/>
      <c r="DQ193" s="609"/>
      <c r="DR193" s="609"/>
      <c r="DS193" s="816"/>
      <c r="DT193" s="816"/>
      <c r="DU193" s="609"/>
      <c r="DV193" s="609"/>
      <c r="DW193" s="816"/>
      <c r="DX193" s="816"/>
      <c r="DY193" s="816"/>
      <c r="DZ193" s="816"/>
      <c r="EA193" s="816"/>
      <c r="EB193" s="816"/>
      <c r="EC193" s="821"/>
      <c r="ED193" s="609"/>
      <c r="EE193" s="816"/>
      <c r="EF193" s="816"/>
      <c r="EG193" s="822"/>
      <c r="EH193" s="609"/>
      <c r="EI193" s="816"/>
      <c r="EJ193" s="816"/>
      <c r="EK193" s="609"/>
      <c r="EL193" s="816"/>
      <c r="EM193" s="816"/>
      <c r="EN193" s="816"/>
      <c r="EO193" s="816"/>
      <c r="EP193" s="816"/>
      <c r="EQ193" s="816"/>
      <c r="ER193" s="816"/>
      <c r="ES193" s="816"/>
      <c r="ET193" s="816"/>
      <c r="EU193" s="816"/>
      <c r="EV193" s="816"/>
      <c r="EW193" s="823"/>
      <c r="EX193" s="824"/>
      <c r="EY193" s="825"/>
      <c r="EZ193" s="825"/>
      <c r="FA193" s="816"/>
      <c r="FC193" s="834"/>
      <c r="FD193" s="834"/>
      <c r="FE193" s="826"/>
      <c r="FF193" s="834"/>
    </row>
    <row r="194" spans="2:162" s="780" customFormat="1">
      <c r="B194" s="609"/>
      <c r="C194" s="609"/>
      <c r="D194" s="609"/>
      <c r="E194" s="609"/>
      <c r="F194" s="609"/>
      <c r="G194" s="609"/>
      <c r="H194" s="609"/>
      <c r="I194" s="609"/>
      <c r="J194" s="609"/>
      <c r="K194" s="609"/>
      <c r="L194" s="609"/>
      <c r="M194" s="609"/>
      <c r="N194" s="609"/>
      <c r="O194" s="609"/>
      <c r="P194" s="609"/>
      <c r="Q194" s="609"/>
      <c r="R194" s="816"/>
      <c r="S194" s="816"/>
      <c r="T194" s="816"/>
      <c r="U194" s="816"/>
      <c r="V194" s="816"/>
      <c r="W194" s="816"/>
      <c r="X194" s="609"/>
      <c r="Y194" s="609"/>
      <c r="Z194" s="816"/>
      <c r="AA194" s="816"/>
      <c r="AB194" s="609"/>
      <c r="AC194" s="609"/>
      <c r="AD194" s="816"/>
      <c r="AE194" s="816"/>
      <c r="AF194" s="609"/>
      <c r="AG194" s="609"/>
      <c r="AH194" s="816"/>
      <c r="AI194" s="816"/>
      <c r="AJ194" s="817"/>
      <c r="AK194" s="609"/>
      <c r="AL194" s="609"/>
      <c r="AM194" s="816"/>
      <c r="AN194" s="816"/>
      <c r="AO194" s="816"/>
      <c r="AP194" s="816"/>
      <c r="AQ194" s="816"/>
      <c r="AR194" s="816"/>
      <c r="AS194" s="816"/>
      <c r="AT194" s="609"/>
      <c r="AU194" s="609"/>
      <c r="AV194" s="609"/>
      <c r="AW194" s="818"/>
      <c r="AX194" s="816"/>
      <c r="AY194" s="816"/>
      <c r="AZ194" s="609"/>
      <c r="BA194" s="609"/>
      <c r="BB194" s="816"/>
      <c r="BC194" s="816"/>
      <c r="BD194" s="609"/>
      <c r="BE194" s="609"/>
      <c r="BF194" s="816"/>
      <c r="BG194" s="816"/>
      <c r="BH194" s="816"/>
      <c r="BI194" s="816"/>
      <c r="BJ194" s="816"/>
      <c r="BK194" s="816"/>
      <c r="BL194" s="816"/>
      <c r="BM194" s="816"/>
      <c r="BN194" s="816"/>
      <c r="BO194" s="816"/>
      <c r="BP194" s="816"/>
      <c r="BQ194" s="816"/>
      <c r="BR194" s="816"/>
      <c r="BS194" s="816"/>
      <c r="BT194" s="816"/>
      <c r="BU194" s="816"/>
      <c r="BV194" s="816"/>
      <c r="BW194" s="816"/>
      <c r="BX194" s="609"/>
      <c r="BY194" s="609"/>
      <c r="BZ194" s="816"/>
      <c r="CA194" s="816"/>
      <c r="CB194" s="609"/>
      <c r="CC194" s="609"/>
      <c r="CD194" s="816"/>
      <c r="CE194" s="816"/>
      <c r="CF194" s="816"/>
      <c r="CG194" s="816"/>
      <c r="CH194" s="816"/>
      <c r="CI194" s="816"/>
      <c r="CJ194" s="816"/>
      <c r="CK194" s="816"/>
      <c r="CL194" s="819"/>
      <c r="CM194" s="816"/>
      <c r="CN194" s="820"/>
      <c r="CO194" s="820"/>
      <c r="CP194" s="820"/>
      <c r="CQ194" s="820"/>
      <c r="CR194" s="609"/>
      <c r="CS194" s="609"/>
      <c r="CT194" s="816"/>
      <c r="CU194" s="816"/>
      <c r="CV194" s="816"/>
      <c r="CW194" s="816"/>
      <c r="CX194" s="816"/>
      <c r="CY194" s="816"/>
      <c r="CZ194" s="816"/>
      <c r="DA194" s="609"/>
      <c r="DB194" s="609"/>
      <c r="DC194" s="816"/>
      <c r="DD194" s="816"/>
      <c r="DE194" s="609"/>
      <c r="DF194" s="609"/>
      <c r="DG194" s="816"/>
      <c r="DH194" s="816"/>
      <c r="DI194" s="816"/>
      <c r="DJ194" s="816"/>
      <c r="DK194" s="816"/>
      <c r="DL194" s="816"/>
      <c r="DM194" s="609"/>
      <c r="DN194" s="609"/>
      <c r="DO194" s="816"/>
      <c r="DP194" s="816"/>
      <c r="DQ194" s="609"/>
      <c r="DR194" s="609"/>
      <c r="DS194" s="816"/>
      <c r="DT194" s="816"/>
      <c r="DU194" s="609"/>
      <c r="DV194" s="609"/>
      <c r="DW194" s="816"/>
      <c r="DX194" s="816"/>
      <c r="DY194" s="816"/>
      <c r="DZ194" s="816"/>
      <c r="EA194" s="816"/>
      <c r="EB194" s="816"/>
      <c r="EC194" s="821"/>
      <c r="ED194" s="609"/>
      <c r="EE194" s="816"/>
      <c r="EF194" s="816"/>
      <c r="EG194" s="822"/>
      <c r="EH194" s="609"/>
      <c r="EI194" s="816"/>
      <c r="EJ194" s="816"/>
      <c r="EK194" s="609"/>
      <c r="EL194" s="816"/>
      <c r="EM194" s="816"/>
      <c r="EN194" s="816"/>
      <c r="EO194" s="816"/>
      <c r="EP194" s="816"/>
      <c r="EQ194" s="816"/>
      <c r="ER194" s="816"/>
      <c r="ES194" s="816"/>
      <c r="ET194" s="816"/>
      <c r="EU194" s="816"/>
      <c r="EV194" s="816"/>
      <c r="EW194" s="823"/>
      <c r="EX194" s="824"/>
      <c r="EY194" s="825"/>
      <c r="EZ194" s="825"/>
      <c r="FA194" s="816"/>
      <c r="FC194" s="834"/>
      <c r="FD194" s="834"/>
      <c r="FE194" s="826"/>
      <c r="FF194" s="834"/>
    </row>
    <row r="195" spans="2:162" s="780" customFormat="1">
      <c r="B195" s="609"/>
      <c r="C195" s="609"/>
      <c r="D195" s="609"/>
      <c r="E195" s="609"/>
      <c r="F195" s="609"/>
      <c r="G195" s="609"/>
      <c r="H195" s="609"/>
      <c r="I195" s="609"/>
      <c r="J195" s="609"/>
      <c r="K195" s="609"/>
      <c r="L195" s="609"/>
      <c r="M195" s="609"/>
      <c r="N195" s="609"/>
      <c r="O195" s="609"/>
      <c r="P195" s="609"/>
      <c r="Q195" s="609"/>
      <c r="R195" s="816"/>
      <c r="S195" s="816"/>
      <c r="T195" s="816"/>
      <c r="U195" s="816"/>
      <c r="V195" s="816"/>
      <c r="W195" s="816"/>
      <c r="X195" s="609"/>
      <c r="Y195" s="609"/>
      <c r="Z195" s="816"/>
      <c r="AA195" s="816"/>
      <c r="AB195" s="609"/>
      <c r="AC195" s="609"/>
      <c r="AD195" s="816"/>
      <c r="AE195" s="816"/>
      <c r="AF195" s="609"/>
      <c r="AG195" s="609"/>
      <c r="AH195" s="816"/>
      <c r="AI195" s="816"/>
      <c r="AJ195" s="817"/>
      <c r="AK195" s="609"/>
      <c r="AL195" s="609"/>
      <c r="AM195" s="816"/>
      <c r="AN195" s="816"/>
      <c r="AO195" s="816"/>
      <c r="AP195" s="816"/>
      <c r="AQ195" s="816"/>
      <c r="AR195" s="816"/>
      <c r="AS195" s="816"/>
      <c r="AT195" s="609"/>
      <c r="AU195" s="609"/>
      <c r="AV195" s="609"/>
      <c r="AW195" s="818"/>
      <c r="AX195" s="816"/>
      <c r="AY195" s="816"/>
      <c r="AZ195" s="609"/>
      <c r="BA195" s="609"/>
      <c r="BB195" s="816"/>
      <c r="BC195" s="816"/>
      <c r="BD195" s="609"/>
      <c r="BE195" s="609"/>
      <c r="BF195" s="816"/>
      <c r="BG195" s="816"/>
      <c r="BH195" s="816"/>
      <c r="BI195" s="816"/>
      <c r="BJ195" s="816"/>
      <c r="BK195" s="816"/>
      <c r="BL195" s="816"/>
      <c r="BM195" s="816"/>
      <c r="BN195" s="816"/>
      <c r="BO195" s="816"/>
      <c r="BP195" s="816"/>
      <c r="BQ195" s="816"/>
      <c r="BR195" s="816"/>
      <c r="BS195" s="816"/>
      <c r="BT195" s="816"/>
      <c r="BU195" s="816"/>
      <c r="BV195" s="816"/>
      <c r="BW195" s="816"/>
      <c r="BX195" s="609"/>
      <c r="BY195" s="609"/>
      <c r="BZ195" s="816"/>
      <c r="CA195" s="816"/>
      <c r="CB195" s="609"/>
      <c r="CC195" s="609"/>
      <c r="CD195" s="816"/>
      <c r="CE195" s="816"/>
      <c r="CF195" s="816"/>
      <c r="CG195" s="816"/>
      <c r="CH195" s="816"/>
      <c r="CI195" s="816"/>
      <c r="CJ195" s="816"/>
      <c r="CK195" s="816"/>
      <c r="CL195" s="819"/>
      <c r="CM195" s="816"/>
      <c r="CN195" s="820"/>
      <c r="CO195" s="820"/>
      <c r="CP195" s="820"/>
      <c r="CQ195" s="820"/>
      <c r="CR195" s="609"/>
      <c r="CS195" s="609"/>
      <c r="CT195" s="816"/>
      <c r="CU195" s="816"/>
      <c r="CV195" s="816"/>
      <c r="CW195" s="816"/>
      <c r="CX195" s="816"/>
      <c r="CY195" s="816"/>
      <c r="CZ195" s="816"/>
      <c r="DA195" s="609"/>
      <c r="DB195" s="609"/>
      <c r="DC195" s="816"/>
      <c r="DD195" s="816"/>
      <c r="DE195" s="609"/>
      <c r="DF195" s="609"/>
      <c r="DG195" s="816"/>
      <c r="DH195" s="816"/>
      <c r="DI195" s="816"/>
      <c r="DJ195" s="816"/>
      <c r="DK195" s="816"/>
      <c r="DL195" s="816"/>
      <c r="DM195" s="609"/>
      <c r="DN195" s="609"/>
      <c r="DO195" s="816"/>
      <c r="DP195" s="816"/>
      <c r="DQ195" s="609"/>
      <c r="DR195" s="609"/>
      <c r="DS195" s="816"/>
      <c r="DT195" s="816"/>
      <c r="DU195" s="609"/>
      <c r="DV195" s="609"/>
      <c r="DW195" s="816"/>
      <c r="DX195" s="816"/>
      <c r="DY195" s="816"/>
      <c r="DZ195" s="816"/>
      <c r="EA195" s="816"/>
      <c r="EB195" s="816"/>
      <c r="EC195" s="821"/>
      <c r="ED195" s="609"/>
      <c r="EE195" s="816"/>
      <c r="EF195" s="816"/>
      <c r="EG195" s="822"/>
      <c r="EH195" s="609"/>
      <c r="EI195" s="816"/>
      <c r="EJ195" s="816"/>
      <c r="EK195" s="609"/>
      <c r="EL195" s="816"/>
      <c r="EM195" s="816"/>
      <c r="EN195" s="816"/>
      <c r="EO195" s="816"/>
      <c r="EP195" s="816"/>
      <c r="EQ195" s="816"/>
      <c r="ER195" s="816"/>
      <c r="ES195" s="816"/>
      <c r="ET195" s="816"/>
      <c r="EU195" s="816"/>
      <c r="EV195" s="816"/>
      <c r="EW195" s="823"/>
      <c r="EX195" s="824"/>
      <c r="EY195" s="825"/>
      <c r="EZ195" s="825"/>
      <c r="FA195" s="816"/>
      <c r="FC195" s="834"/>
      <c r="FD195" s="834"/>
      <c r="FE195" s="826"/>
      <c r="FF195" s="834"/>
    </row>
    <row r="196" spans="2:162" s="780" customFormat="1">
      <c r="B196" s="609"/>
      <c r="C196" s="609"/>
      <c r="D196" s="609"/>
      <c r="E196" s="609"/>
      <c r="F196" s="609"/>
      <c r="G196" s="609"/>
      <c r="H196" s="609"/>
      <c r="I196" s="609"/>
      <c r="J196" s="609"/>
      <c r="K196" s="609"/>
      <c r="L196" s="609"/>
      <c r="M196" s="609"/>
      <c r="N196" s="609"/>
      <c r="O196" s="609"/>
      <c r="P196" s="609"/>
      <c r="Q196" s="609"/>
      <c r="R196" s="816"/>
      <c r="S196" s="816"/>
      <c r="T196" s="816"/>
      <c r="U196" s="816"/>
      <c r="V196" s="816"/>
      <c r="W196" s="816"/>
      <c r="X196" s="609"/>
      <c r="Y196" s="609"/>
      <c r="Z196" s="816"/>
      <c r="AA196" s="816"/>
      <c r="AB196" s="609"/>
      <c r="AC196" s="609"/>
      <c r="AD196" s="816"/>
      <c r="AE196" s="816"/>
      <c r="AF196" s="609"/>
      <c r="AG196" s="609"/>
      <c r="AH196" s="816"/>
      <c r="AI196" s="816"/>
      <c r="AJ196" s="817"/>
      <c r="AK196" s="609"/>
      <c r="AL196" s="609"/>
      <c r="AM196" s="816"/>
      <c r="AN196" s="816"/>
      <c r="AO196" s="816"/>
      <c r="AP196" s="816"/>
      <c r="AQ196" s="816"/>
      <c r="AR196" s="816"/>
      <c r="AS196" s="816"/>
      <c r="AT196" s="609"/>
      <c r="AU196" s="609"/>
      <c r="AV196" s="609"/>
      <c r="AW196" s="818"/>
      <c r="AX196" s="816"/>
      <c r="AY196" s="816"/>
      <c r="AZ196" s="609"/>
      <c r="BA196" s="609"/>
      <c r="BB196" s="816"/>
      <c r="BC196" s="816"/>
      <c r="BD196" s="609"/>
      <c r="BE196" s="609"/>
      <c r="BF196" s="816"/>
      <c r="BG196" s="816"/>
      <c r="BH196" s="816"/>
      <c r="BI196" s="816"/>
      <c r="BJ196" s="816"/>
      <c r="BK196" s="816"/>
      <c r="BL196" s="816"/>
      <c r="BM196" s="816"/>
      <c r="BN196" s="816"/>
      <c r="BO196" s="816"/>
      <c r="BP196" s="816"/>
      <c r="BQ196" s="816"/>
      <c r="BR196" s="816"/>
      <c r="BS196" s="816"/>
      <c r="BT196" s="816"/>
      <c r="BU196" s="816"/>
      <c r="BV196" s="816"/>
      <c r="BW196" s="816"/>
      <c r="BX196" s="609"/>
      <c r="BY196" s="609"/>
      <c r="BZ196" s="816"/>
      <c r="CA196" s="816"/>
      <c r="CB196" s="609"/>
      <c r="CC196" s="609"/>
      <c r="CD196" s="816"/>
      <c r="CE196" s="816"/>
      <c r="CF196" s="816"/>
      <c r="CG196" s="816"/>
      <c r="CH196" s="816"/>
      <c r="CI196" s="816"/>
      <c r="CJ196" s="816"/>
      <c r="CK196" s="816"/>
      <c r="CL196" s="819"/>
      <c r="CM196" s="816"/>
      <c r="CN196" s="820"/>
      <c r="CO196" s="820"/>
      <c r="CP196" s="820"/>
      <c r="CQ196" s="820"/>
      <c r="CR196" s="609"/>
      <c r="CS196" s="609"/>
      <c r="CT196" s="816"/>
      <c r="CU196" s="816"/>
      <c r="CV196" s="816"/>
      <c r="CW196" s="816"/>
      <c r="CX196" s="816"/>
      <c r="CY196" s="816"/>
      <c r="CZ196" s="816"/>
      <c r="DA196" s="609"/>
      <c r="DB196" s="609"/>
      <c r="DC196" s="816"/>
      <c r="DD196" s="816"/>
      <c r="DE196" s="609"/>
      <c r="DF196" s="609"/>
      <c r="DG196" s="816"/>
      <c r="DH196" s="816"/>
      <c r="DI196" s="816"/>
      <c r="DJ196" s="816"/>
      <c r="DK196" s="816"/>
      <c r="DL196" s="816"/>
      <c r="DM196" s="609"/>
      <c r="DN196" s="609"/>
      <c r="DO196" s="816"/>
      <c r="DP196" s="816"/>
      <c r="DQ196" s="609"/>
      <c r="DR196" s="609"/>
      <c r="DS196" s="816"/>
      <c r="DT196" s="816"/>
      <c r="DU196" s="609"/>
      <c r="DV196" s="609"/>
      <c r="DW196" s="816"/>
      <c r="DX196" s="816"/>
      <c r="DY196" s="816"/>
      <c r="DZ196" s="816"/>
      <c r="EA196" s="816"/>
      <c r="EB196" s="816"/>
      <c r="EC196" s="821"/>
      <c r="ED196" s="609"/>
      <c r="EE196" s="816"/>
      <c r="EF196" s="816"/>
      <c r="EG196" s="822"/>
      <c r="EH196" s="609"/>
      <c r="EI196" s="816"/>
      <c r="EJ196" s="816"/>
      <c r="EK196" s="609"/>
      <c r="EL196" s="816"/>
      <c r="EM196" s="816"/>
      <c r="EN196" s="816"/>
      <c r="EO196" s="816"/>
      <c r="EP196" s="816"/>
      <c r="EQ196" s="816"/>
      <c r="ER196" s="816"/>
      <c r="ES196" s="816"/>
      <c r="ET196" s="816"/>
      <c r="EU196" s="816"/>
      <c r="EV196" s="816"/>
      <c r="EW196" s="823"/>
      <c r="EX196" s="824"/>
      <c r="EY196" s="825"/>
      <c r="EZ196" s="825"/>
      <c r="FA196" s="816"/>
      <c r="FC196" s="834"/>
      <c r="FD196" s="834"/>
      <c r="FE196" s="826"/>
      <c r="FF196" s="834"/>
    </row>
    <row r="197" spans="2:162" s="780" customFormat="1">
      <c r="B197" s="609"/>
      <c r="C197" s="609"/>
      <c r="D197" s="609"/>
      <c r="E197" s="609"/>
      <c r="F197" s="609"/>
      <c r="G197" s="609"/>
      <c r="H197" s="609"/>
      <c r="I197" s="609"/>
      <c r="J197" s="609"/>
      <c r="K197" s="609"/>
      <c r="L197" s="609"/>
      <c r="M197" s="609"/>
      <c r="N197" s="609"/>
      <c r="O197" s="609"/>
      <c r="P197" s="609"/>
      <c r="Q197" s="609"/>
      <c r="R197" s="816"/>
      <c r="S197" s="816"/>
      <c r="T197" s="816"/>
      <c r="U197" s="816"/>
      <c r="V197" s="816"/>
      <c r="W197" s="816"/>
      <c r="X197" s="609"/>
      <c r="Y197" s="609"/>
      <c r="Z197" s="816"/>
      <c r="AA197" s="816"/>
      <c r="AB197" s="609"/>
      <c r="AC197" s="609"/>
      <c r="AD197" s="816"/>
      <c r="AE197" s="816"/>
      <c r="AF197" s="609"/>
      <c r="AG197" s="609"/>
      <c r="AH197" s="816"/>
      <c r="AI197" s="816"/>
      <c r="AJ197" s="817"/>
      <c r="AK197" s="609"/>
      <c r="AL197" s="609"/>
      <c r="AM197" s="816"/>
      <c r="AN197" s="816"/>
      <c r="AO197" s="816"/>
      <c r="AP197" s="816"/>
      <c r="AQ197" s="816"/>
      <c r="AR197" s="816"/>
      <c r="AS197" s="816"/>
      <c r="AT197" s="609"/>
      <c r="AU197" s="609"/>
      <c r="AV197" s="609"/>
      <c r="AW197" s="818"/>
      <c r="AX197" s="816"/>
      <c r="AY197" s="816"/>
      <c r="AZ197" s="609"/>
      <c r="BA197" s="609"/>
      <c r="BB197" s="816"/>
      <c r="BC197" s="816"/>
      <c r="BD197" s="609"/>
      <c r="BE197" s="609"/>
      <c r="BF197" s="816"/>
      <c r="BG197" s="816"/>
      <c r="BH197" s="816"/>
      <c r="BI197" s="816"/>
      <c r="BJ197" s="816"/>
      <c r="BK197" s="816"/>
      <c r="BL197" s="816"/>
      <c r="BM197" s="816"/>
      <c r="BN197" s="816"/>
      <c r="BO197" s="816"/>
      <c r="BP197" s="816"/>
      <c r="BQ197" s="816"/>
      <c r="BR197" s="816"/>
      <c r="BS197" s="816"/>
      <c r="BT197" s="816"/>
      <c r="BU197" s="816"/>
      <c r="BV197" s="816"/>
      <c r="BW197" s="816"/>
      <c r="BX197" s="609"/>
      <c r="BY197" s="609"/>
      <c r="BZ197" s="816"/>
      <c r="CA197" s="816"/>
      <c r="CB197" s="609"/>
      <c r="CC197" s="609"/>
      <c r="CD197" s="816"/>
      <c r="CE197" s="816"/>
      <c r="CF197" s="816"/>
      <c r="CG197" s="816"/>
      <c r="CH197" s="816"/>
      <c r="CI197" s="816"/>
      <c r="CJ197" s="816"/>
      <c r="CK197" s="816"/>
      <c r="CL197" s="819"/>
      <c r="CM197" s="816"/>
      <c r="CN197" s="820"/>
      <c r="CO197" s="820"/>
      <c r="CP197" s="820"/>
      <c r="CQ197" s="820"/>
      <c r="CR197" s="609"/>
      <c r="CS197" s="609"/>
      <c r="CT197" s="816"/>
      <c r="CU197" s="816"/>
      <c r="CV197" s="816"/>
      <c r="CW197" s="816"/>
      <c r="CX197" s="816"/>
      <c r="CY197" s="816"/>
      <c r="CZ197" s="816"/>
      <c r="DA197" s="609"/>
      <c r="DB197" s="609"/>
      <c r="DC197" s="816"/>
      <c r="DD197" s="816"/>
      <c r="DE197" s="609"/>
      <c r="DF197" s="609"/>
      <c r="DG197" s="816"/>
      <c r="DH197" s="816"/>
      <c r="DI197" s="816"/>
      <c r="DJ197" s="816"/>
      <c r="DK197" s="816"/>
      <c r="DL197" s="816"/>
      <c r="DM197" s="609"/>
      <c r="DN197" s="609"/>
      <c r="DO197" s="816"/>
      <c r="DP197" s="816"/>
      <c r="DQ197" s="609"/>
      <c r="DR197" s="609"/>
      <c r="DS197" s="816"/>
      <c r="DT197" s="816"/>
      <c r="DU197" s="609"/>
      <c r="DV197" s="609"/>
      <c r="DW197" s="816"/>
      <c r="DX197" s="816"/>
      <c r="DY197" s="816"/>
      <c r="DZ197" s="816"/>
      <c r="EA197" s="816"/>
      <c r="EB197" s="816"/>
      <c r="EC197" s="821"/>
      <c r="ED197" s="609"/>
      <c r="EE197" s="816"/>
      <c r="EF197" s="816"/>
      <c r="EG197" s="822"/>
      <c r="EH197" s="609"/>
      <c r="EI197" s="816"/>
      <c r="EJ197" s="816"/>
      <c r="EK197" s="609"/>
      <c r="EL197" s="816"/>
      <c r="EM197" s="816"/>
      <c r="EN197" s="816"/>
      <c r="EO197" s="816"/>
      <c r="EP197" s="816"/>
      <c r="EQ197" s="816"/>
      <c r="ER197" s="816"/>
      <c r="ES197" s="816"/>
      <c r="ET197" s="816"/>
      <c r="EU197" s="816"/>
      <c r="EV197" s="816"/>
      <c r="EW197" s="823"/>
      <c r="EX197" s="824"/>
      <c r="EY197" s="825"/>
      <c r="EZ197" s="825"/>
      <c r="FA197" s="816"/>
      <c r="FC197" s="834"/>
      <c r="FD197" s="834"/>
      <c r="FE197" s="826"/>
      <c r="FF197" s="834"/>
    </row>
    <row r="198" spans="2:162" s="780" customFormat="1">
      <c r="B198" s="609"/>
      <c r="C198" s="609"/>
      <c r="D198" s="609"/>
      <c r="E198" s="609"/>
      <c r="F198" s="609"/>
      <c r="G198" s="609"/>
      <c r="H198" s="609"/>
      <c r="I198" s="609"/>
      <c r="J198" s="609"/>
      <c r="K198" s="609"/>
      <c r="L198" s="609"/>
      <c r="M198" s="609"/>
      <c r="N198" s="609"/>
      <c r="O198" s="609"/>
      <c r="P198" s="609"/>
      <c r="Q198" s="609"/>
      <c r="R198" s="816"/>
      <c r="S198" s="816"/>
      <c r="T198" s="816"/>
      <c r="U198" s="816"/>
      <c r="V198" s="816"/>
      <c r="W198" s="816"/>
      <c r="X198" s="609"/>
      <c r="Y198" s="609"/>
      <c r="Z198" s="816"/>
      <c r="AA198" s="816"/>
      <c r="AB198" s="609"/>
      <c r="AC198" s="609"/>
      <c r="AD198" s="816"/>
      <c r="AE198" s="816"/>
      <c r="AF198" s="609"/>
      <c r="AG198" s="609"/>
      <c r="AH198" s="816"/>
      <c r="AI198" s="816"/>
      <c r="AJ198" s="817"/>
      <c r="AK198" s="609"/>
      <c r="AL198" s="609"/>
      <c r="AM198" s="816"/>
      <c r="AN198" s="816"/>
      <c r="AO198" s="816"/>
      <c r="AP198" s="816"/>
      <c r="AQ198" s="816"/>
      <c r="AR198" s="816"/>
      <c r="AS198" s="816"/>
      <c r="AT198" s="609"/>
      <c r="AU198" s="609"/>
      <c r="AV198" s="609"/>
      <c r="AW198" s="818"/>
      <c r="AX198" s="816"/>
      <c r="AY198" s="816"/>
      <c r="AZ198" s="609"/>
      <c r="BA198" s="609"/>
      <c r="BB198" s="816"/>
      <c r="BC198" s="816"/>
      <c r="BD198" s="609"/>
      <c r="BE198" s="609"/>
      <c r="BF198" s="816"/>
      <c r="BG198" s="816"/>
      <c r="BH198" s="816"/>
      <c r="BI198" s="816"/>
      <c r="BJ198" s="816"/>
      <c r="BK198" s="816"/>
      <c r="BL198" s="816"/>
      <c r="BM198" s="816"/>
      <c r="BN198" s="816"/>
      <c r="BO198" s="816"/>
      <c r="BP198" s="816"/>
      <c r="BQ198" s="816"/>
      <c r="BR198" s="816"/>
      <c r="BS198" s="816"/>
      <c r="BT198" s="816"/>
      <c r="BU198" s="816"/>
      <c r="BV198" s="816"/>
      <c r="BW198" s="816"/>
      <c r="BX198" s="609"/>
      <c r="BY198" s="609"/>
      <c r="BZ198" s="816"/>
      <c r="CA198" s="816"/>
      <c r="CB198" s="609"/>
      <c r="CC198" s="609"/>
      <c r="CD198" s="816"/>
      <c r="CE198" s="816"/>
      <c r="CF198" s="816"/>
      <c r="CG198" s="816"/>
      <c r="CH198" s="816"/>
      <c r="CI198" s="816"/>
      <c r="CJ198" s="816"/>
      <c r="CK198" s="816"/>
      <c r="CL198" s="819"/>
      <c r="CM198" s="816"/>
      <c r="CN198" s="820"/>
      <c r="CO198" s="820"/>
      <c r="CP198" s="820"/>
      <c r="CQ198" s="820"/>
      <c r="CR198" s="609"/>
      <c r="CS198" s="609"/>
      <c r="CT198" s="816"/>
      <c r="CU198" s="816"/>
      <c r="CV198" s="816"/>
      <c r="CW198" s="816"/>
      <c r="CX198" s="816"/>
      <c r="CY198" s="816"/>
      <c r="CZ198" s="816"/>
      <c r="DA198" s="609"/>
      <c r="DB198" s="609"/>
      <c r="DC198" s="816"/>
      <c r="DD198" s="816"/>
      <c r="DE198" s="609"/>
      <c r="DF198" s="609"/>
      <c r="DG198" s="816"/>
      <c r="DH198" s="816"/>
      <c r="DI198" s="816"/>
      <c r="DJ198" s="816"/>
      <c r="DK198" s="816"/>
      <c r="DL198" s="816"/>
      <c r="DM198" s="609"/>
      <c r="DN198" s="609"/>
      <c r="DO198" s="816"/>
      <c r="DP198" s="816"/>
      <c r="DQ198" s="609"/>
      <c r="DR198" s="609"/>
      <c r="DS198" s="816"/>
      <c r="DT198" s="816"/>
      <c r="DU198" s="609"/>
      <c r="DV198" s="609"/>
      <c r="DW198" s="816"/>
      <c r="DX198" s="816"/>
      <c r="DY198" s="816"/>
      <c r="DZ198" s="816"/>
      <c r="EA198" s="816"/>
      <c r="EB198" s="816"/>
      <c r="EC198" s="821"/>
      <c r="ED198" s="609"/>
      <c r="EE198" s="816"/>
      <c r="EF198" s="816"/>
      <c r="EG198" s="822"/>
      <c r="EH198" s="609"/>
      <c r="EI198" s="816"/>
      <c r="EJ198" s="816"/>
      <c r="EK198" s="609"/>
      <c r="EL198" s="816"/>
      <c r="EM198" s="816"/>
      <c r="EN198" s="816"/>
      <c r="EO198" s="816"/>
      <c r="EP198" s="816"/>
      <c r="EQ198" s="816"/>
      <c r="ER198" s="816"/>
      <c r="ES198" s="816"/>
      <c r="ET198" s="816"/>
      <c r="EU198" s="816"/>
      <c r="EV198" s="816"/>
      <c r="EW198" s="823"/>
      <c r="EX198" s="824"/>
      <c r="EY198" s="825"/>
      <c r="EZ198" s="825"/>
      <c r="FA198" s="816"/>
      <c r="FC198" s="834"/>
      <c r="FD198" s="834"/>
      <c r="FE198" s="826"/>
      <c r="FF198" s="834"/>
    </row>
    <row r="199" spans="2:162" s="780" customFormat="1">
      <c r="B199" s="609"/>
      <c r="C199" s="609"/>
      <c r="D199" s="609"/>
      <c r="E199" s="609"/>
      <c r="F199" s="609"/>
      <c r="G199" s="609"/>
      <c r="H199" s="609"/>
      <c r="I199" s="609"/>
      <c r="J199" s="609"/>
      <c r="K199" s="609"/>
      <c r="L199" s="609"/>
      <c r="M199" s="609"/>
      <c r="N199" s="609"/>
      <c r="O199" s="609"/>
      <c r="P199" s="609"/>
      <c r="Q199" s="609"/>
      <c r="R199" s="816"/>
      <c r="S199" s="816"/>
      <c r="T199" s="816"/>
      <c r="U199" s="816"/>
      <c r="V199" s="816"/>
      <c r="W199" s="816"/>
      <c r="X199" s="609"/>
      <c r="Y199" s="609"/>
      <c r="Z199" s="816"/>
      <c r="AA199" s="816"/>
      <c r="AB199" s="609"/>
      <c r="AC199" s="609"/>
      <c r="AD199" s="816"/>
      <c r="AE199" s="816"/>
      <c r="AF199" s="609"/>
      <c r="AG199" s="609"/>
      <c r="AH199" s="816"/>
      <c r="AI199" s="816"/>
      <c r="AJ199" s="817"/>
      <c r="AK199" s="609"/>
      <c r="AL199" s="609"/>
      <c r="AM199" s="816"/>
      <c r="AN199" s="816"/>
      <c r="AO199" s="816"/>
      <c r="AP199" s="816"/>
      <c r="AQ199" s="816"/>
      <c r="AR199" s="816"/>
      <c r="AS199" s="816"/>
      <c r="AT199" s="609"/>
      <c r="AU199" s="609"/>
      <c r="AV199" s="609"/>
      <c r="AW199" s="818"/>
      <c r="AX199" s="816"/>
      <c r="AY199" s="816"/>
      <c r="AZ199" s="609"/>
      <c r="BA199" s="609"/>
      <c r="BB199" s="816"/>
      <c r="BC199" s="816"/>
      <c r="BD199" s="609"/>
      <c r="BE199" s="609"/>
      <c r="BF199" s="816"/>
      <c r="BG199" s="816"/>
      <c r="BH199" s="816"/>
      <c r="BI199" s="816"/>
      <c r="BJ199" s="816"/>
      <c r="BK199" s="816"/>
      <c r="BL199" s="816"/>
      <c r="BM199" s="816"/>
      <c r="BN199" s="816"/>
      <c r="BO199" s="816"/>
      <c r="BP199" s="816"/>
      <c r="BQ199" s="816"/>
      <c r="BR199" s="816"/>
      <c r="BS199" s="816"/>
      <c r="BT199" s="816"/>
      <c r="BU199" s="816"/>
      <c r="BV199" s="816"/>
      <c r="BW199" s="816"/>
      <c r="BX199" s="609"/>
      <c r="BY199" s="609"/>
      <c r="BZ199" s="816"/>
      <c r="CA199" s="816"/>
      <c r="CB199" s="609"/>
      <c r="CC199" s="609"/>
      <c r="CD199" s="816"/>
      <c r="CE199" s="816"/>
      <c r="CF199" s="816"/>
      <c r="CG199" s="816"/>
      <c r="CH199" s="816"/>
      <c r="CI199" s="816"/>
      <c r="CJ199" s="816"/>
      <c r="CK199" s="816"/>
      <c r="CL199" s="819"/>
      <c r="CM199" s="816"/>
      <c r="CN199" s="820"/>
      <c r="CO199" s="820"/>
      <c r="CP199" s="820"/>
      <c r="CQ199" s="820"/>
      <c r="CR199" s="609"/>
      <c r="CS199" s="609"/>
      <c r="CT199" s="816"/>
      <c r="CU199" s="816"/>
      <c r="CV199" s="816"/>
      <c r="CW199" s="816"/>
      <c r="CX199" s="816"/>
      <c r="CY199" s="816"/>
      <c r="CZ199" s="816"/>
      <c r="DA199" s="609"/>
      <c r="DB199" s="609"/>
      <c r="DC199" s="816"/>
      <c r="DD199" s="816"/>
      <c r="DE199" s="609"/>
      <c r="DF199" s="609"/>
      <c r="DG199" s="816"/>
      <c r="DH199" s="816"/>
      <c r="DI199" s="816"/>
      <c r="DJ199" s="816"/>
      <c r="DK199" s="816"/>
      <c r="DL199" s="816"/>
      <c r="DM199" s="609"/>
      <c r="DN199" s="609"/>
      <c r="DO199" s="816"/>
      <c r="DP199" s="816"/>
      <c r="DQ199" s="609"/>
      <c r="DR199" s="609"/>
      <c r="DS199" s="816"/>
      <c r="DT199" s="816"/>
      <c r="DU199" s="609"/>
      <c r="DV199" s="609"/>
      <c r="DW199" s="816"/>
      <c r="DX199" s="816"/>
      <c r="DY199" s="816"/>
      <c r="DZ199" s="816"/>
      <c r="EA199" s="816"/>
      <c r="EB199" s="816"/>
      <c r="EC199" s="821"/>
      <c r="ED199" s="609"/>
      <c r="EE199" s="816"/>
      <c r="EF199" s="816"/>
      <c r="EG199" s="822"/>
      <c r="EH199" s="609"/>
      <c r="EI199" s="816"/>
      <c r="EJ199" s="816"/>
      <c r="EK199" s="609"/>
      <c r="EL199" s="816"/>
      <c r="EM199" s="816"/>
      <c r="EN199" s="816"/>
      <c r="EO199" s="816"/>
      <c r="EP199" s="816"/>
      <c r="EQ199" s="816"/>
      <c r="ER199" s="816"/>
      <c r="ES199" s="816"/>
      <c r="ET199" s="816"/>
      <c r="EU199" s="816"/>
      <c r="EV199" s="816"/>
      <c r="EW199" s="823"/>
      <c r="EX199" s="824"/>
      <c r="EY199" s="825"/>
      <c r="EZ199" s="825"/>
      <c r="FA199" s="816"/>
      <c r="FC199" s="834"/>
      <c r="FD199" s="834"/>
      <c r="FE199" s="826"/>
      <c r="FF199" s="834"/>
    </row>
    <row r="200" spans="2:162" s="780" customFormat="1">
      <c r="B200" s="609"/>
      <c r="C200" s="609"/>
      <c r="D200" s="609"/>
      <c r="E200" s="609"/>
      <c r="F200" s="609"/>
      <c r="G200" s="609"/>
      <c r="H200" s="609"/>
      <c r="I200" s="609"/>
      <c r="J200" s="609"/>
      <c r="K200" s="609"/>
      <c r="L200" s="609"/>
      <c r="M200" s="609"/>
      <c r="N200" s="609"/>
      <c r="O200" s="609"/>
      <c r="P200" s="609"/>
      <c r="Q200" s="609"/>
      <c r="R200" s="816"/>
      <c r="S200" s="816"/>
      <c r="T200" s="816"/>
      <c r="U200" s="816"/>
      <c r="V200" s="816"/>
      <c r="W200" s="816"/>
      <c r="X200" s="609"/>
      <c r="Y200" s="609"/>
      <c r="Z200" s="816"/>
      <c r="AA200" s="816"/>
      <c r="AB200" s="609"/>
      <c r="AC200" s="609"/>
      <c r="AD200" s="816"/>
      <c r="AE200" s="816"/>
      <c r="AF200" s="609"/>
      <c r="AG200" s="609"/>
      <c r="AH200" s="816"/>
      <c r="AI200" s="816"/>
      <c r="AJ200" s="817"/>
      <c r="AK200" s="609"/>
      <c r="AL200" s="609"/>
      <c r="AM200" s="816"/>
      <c r="AN200" s="816"/>
      <c r="AO200" s="816"/>
      <c r="AP200" s="816"/>
      <c r="AQ200" s="816"/>
      <c r="AR200" s="816"/>
      <c r="AS200" s="816"/>
      <c r="AT200" s="609"/>
      <c r="AU200" s="609"/>
      <c r="AV200" s="609"/>
      <c r="AW200" s="818"/>
      <c r="AX200" s="816"/>
      <c r="AY200" s="816"/>
      <c r="AZ200" s="609"/>
      <c r="BA200" s="609"/>
      <c r="BB200" s="816"/>
      <c r="BC200" s="816"/>
      <c r="BD200" s="609"/>
      <c r="BE200" s="609"/>
      <c r="BF200" s="816"/>
      <c r="BG200" s="816"/>
      <c r="BH200" s="816"/>
      <c r="BI200" s="816"/>
      <c r="BJ200" s="816"/>
      <c r="BK200" s="816"/>
      <c r="BL200" s="816"/>
      <c r="BM200" s="816"/>
      <c r="BN200" s="816"/>
      <c r="BO200" s="816"/>
      <c r="BP200" s="816"/>
      <c r="BQ200" s="816"/>
      <c r="BR200" s="816"/>
      <c r="BS200" s="816"/>
      <c r="BT200" s="816"/>
      <c r="BU200" s="816"/>
      <c r="BV200" s="816"/>
      <c r="BW200" s="816"/>
      <c r="BX200" s="609"/>
      <c r="BY200" s="609"/>
      <c r="BZ200" s="816"/>
      <c r="CA200" s="816"/>
      <c r="CB200" s="609"/>
      <c r="CC200" s="609"/>
      <c r="CD200" s="816"/>
      <c r="CE200" s="816"/>
      <c r="CF200" s="816"/>
      <c r="CG200" s="816"/>
      <c r="CH200" s="816"/>
      <c r="CI200" s="816"/>
      <c r="CJ200" s="816"/>
      <c r="CK200" s="816"/>
      <c r="CL200" s="819"/>
      <c r="CM200" s="816"/>
      <c r="CN200" s="820"/>
      <c r="CO200" s="820"/>
      <c r="CP200" s="820"/>
      <c r="CQ200" s="820"/>
      <c r="CR200" s="609"/>
      <c r="CS200" s="609"/>
      <c r="CT200" s="816"/>
      <c r="CU200" s="816"/>
      <c r="CV200" s="816"/>
      <c r="CW200" s="816"/>
      <c r="CX200" s="816"/>
      <c r="CY200" s="816"/>
      <c r="CZ200" s="816"/>
      <c r="DA200" s="609"/>
      <c r="DB200" s="609"/>
      <c r="DC200" s="816"/>
      <c r="DD200" s="816"/>
      <c r="DE200" s="609"/>
      <c r="DF200" s="609"/>
      <c r="DG200" s="816"/>
      <c r="DH200" s="816"/>
      <c r="DI200" s="816"/>
      <c r="DJ200" s="816"/>
      <c r="DK200" s="816"/>
      <c r="DL200" s="816"/>
      <c r="DM200" s="609"/>
      <c r="DN200" s="609"/>
      <c r="DO200" s="816"/>
      <c r="DP200" s="816"/>
      <c r="DQ200" s="609"/>
      <c r="DR200" s="609"/>
      <c r="DS200" s="816"/>
      <c r="DT200" s="816"/>
      <c r="DU200" s="609"/>
      <c r="DV200" s="609"/>
      <c r="DW200" s="816"/>
      <c r="DX200" s="816"/>
      <c r="DY200" s="816"/>
      <c r="DZ200" s="816"/>
      <c r="EA200" s="816"/>
      <c r="EB200" s="816"/>
      <c r="EC200" s="821"/>
      <c r="ED200" s="609"/>
      <c r="EE200" s="816"/>
      <c r="EF200" s="816"/>
      <c r="EG200" s="822"/>
      <c r="EH200" s="609"/>
      <c r="EI200" s="816"/>
      <c r="EJ200" s="816"/>
      <c r="EK200" s="609"/>
      <c r="EL200" s="816"/>
      <c r="EM200" s="816"/>
      <c r="EN200" s="816"/>
      <c r="EO200" s="816"/>
      <c r="EP200" s="816"/>
      <c r="EQ200" s="816"/>
      <c r="ER200" s="816"/>
      <c r="ES200" s="816"/>
      <c r="ET200" s="816"/>
      <c r="EU200" s="816"/>
      <c r="EV200" s="816"/>
      <c r="EW200" s="823"/>
      <c r="EX200" s="824"/>
      <c r="EY200" s="825"/>
      <c r="EZ200" s="825"/>
      <c r="FA200" s="816"/>
      <c r="FC200" s="834"/>
      <c r="FD200" s="834"/>
      <c r="FE200" s="826"/>
      <c r="FF200" s="834"/>
    </row>
    <row r="201" spans="2:162" s="780" customFormat="1">
      <c r="B201" s="609"/>
      <c r="C201" s="609"/>
      <c r="D201" s="609"/>
      <c r="E201" s="609"/>
      <c r="F201" s="609"/>
      <c r="G201" s="609"/>
      <c r="H201" s="609"/>
      <c r="I201" s="609"/>
      <c r="J201" s="609"/>
      <c r="K201" s="609"/>
      <c r="L201" s="609"/>
      <c r="M201" s="609"/>
      <c r="N201" s="609"/>
      <c r="O201" s="609"/>
      <c r="P201" s="609"/>
      <c r="Q201" s="609"/>
      <c r="R201" s="816"/>
      <c r="S201" s="816"/>
      <c r="T201" s="816"/>
      <c r="U201" s="816"/>
      <c r="V201" s="816"/>
      <c r="W201" s="816"/>
      <c r="X201" s="609"/>
      <c r="Y201" s="609"/>
      <c r="Z201" s="816"/>
      <c r="AA201" s="816"/>
      <c r="AB201" s="609"/>
      <c r="AC201" s="609"/>
      <c r="AD201" s="816"/>
      <c r="AE201" s="816"/>
      <c r="AF201" s="609"/>
      <c r="AG201" s="609"/>
      <c r="AH201" s="816"/>
      <c r="AI201" s="816"/>
      <c r="AJ201" s="817"/>
      <c r="AK201" s="609"/>
      <c r="AL201" s="609"/>
      <c r="AM201" s="816"/>
      <c r="AN201" s="816"/>
      <c r="AO201" s="816"/>
      <c r="AP201" s="816"/>
      <c r="AQ201" s="816"/>
      <c r="AR201" s="816"/>
      <c r="AS201" s="816"/>
      <c r="AT201" s="609"/>
      <c r="AU201" s="609"/>
      <c r="AV201" s="609"/>
      <c r="AW201" s="818"/>
      <c r="AX201" s="816"/>
      <c r="AY201" s="816"/>
      <c r="AZ201" s="609"/>
      <c r="BA201" s="609"/>
      <c r="BB201" s="816"/>
      <c r="BC201" s="816"/>
      <c r="BD201" s="609"/>
      <c r="BE201" s="609"/>
      <c r="BF201" s="816"/>
      <c r="BG201" s="816"/>
      <c r="BH201" s="816"/>
      <c r="BI201" s="816"/>
      <c r="BJ201" s="816"/>
      <c r="BK201" s="816"/>
      <c r="BL201" s="816"/>
      <c r="BM201" s="816"/>
      <c r="BN201" s="816"/>
      <c r="BO201" s="816"/>
      <c r="BP201" s="816"/>
      <c r="BQ201" s="816"/>
      <c r="BR201" s="816"/>
      <c r="BS201" s="816"/>
      <c r="BT201" s="816"/>
      <c r="BU201" s="816"/>
      <c r="BV201" s="816"/>
      <c r="BW201" s="816"/>
      <c r="BX201" s="609"/>
      <c r="BY201" s="609"/>
      <c r="BZ201" s="816"/>
      <c r="CA201" s="816"/>
      <c r="CB201" s="609"/>
      <c r="CC201" s="609"/>
      <c r="CD201" s="816"/>
      <c r="CE201" s="816"/>
      <c r="CF201" s="816"/>
      <c r="CG201" s="816"/>
      <c r="CH201" s="816"/>
      <c r="CI201" s="816"/>
      <c r="CJ201" s="816"/>
      <c r="CK201" s="816"/>
      <c r="CL201" s="819"/>
      <c r="CM201" s="816"/>
      <c r="CN201" s="820"/>
      <c r="CO201" s="820"/>
      <c r="CP201" s="820"/>
      <c r="CQ201" s="820"/>
      <c r="CR201" s="609"/>
      <c r="CS201" s="609"/>
      <c r="CT201" s="816"/>
      <c r="CU201" s="816"/>
      <c r="CV201" s="816"/>
      <c r="CW201" s="816"/>
      <c r="CX201" s="816"/>
      <c r="CY201" s="816"/>
      <c r="CZ201" s="816"/>
      <c r="DA201" s="609"/>
      <c r="DB201" s="609"/>
      <c r="DC201" s="816"/>
      <c r="DD201" s="816"/>
      <c r="DE201" s="609"/>
      <c r="DF201" s="609"/>
      <c r="DG201" s="816"/>
      <c r="DH201" s="816"/>
      <c r="DI201" s="816"/>
      <c r="DJ201" s="816"/>
      <c r="DK201" s="816"/>
      <c r="DL201" s="816"/>
      <c r="DM201" s="609"/>
      <c r="DN201" s="609"/>
      <c r="DO201" s="816"/>
      <c r="DP201" s="816"/>
      <c r="DQ201" s="609"/>
      <c r="DR201" s="609"/>
      <c r="DS201" s="816"/>
      <c r="DT201" s="816"/>
      <c r="DU201" s="609"/>
      <c r="DV201" s="609"/>
      <c r="DW201" s="816"/>
      <c r="DX201" s="816"/>
      <c r="DY201" s="816"/>
      <c r="DZ201" s="816"/>
      <c r="EA201" s="816"/>
      <c r="EB201" s="816"/>
      <c r="EC201" s="821"/>
      <c r="ED201" s="609"/>
      <c r="EE201" s="816"/>
      <c r="EF201" s="816"/>
      <c r="EG201" s="822"/>
      <c r="EH201" s="609"/>
      <c r="EI201" s="816"/>
      <c r="EJ201" s="816"/>
      <c r="EK201" s="609"/>
      <c r="EL201" s="816"/>
      <c r="EM201" s="816"/>
      <c r="EN201" s="816"/>
      <c r="EO201" s="816"/>
      <c r="EP201" s="816"/>
      <c r="EQ201" s="816"/>
      <c r="ER201" s="816"/>
      <c r="ES201" s="816"/>
      <c r="ET201" s="816"/>
      <c r="EU201" s="816"/>
      <c r="EV201" s="816"/>
      <c r="EW201" s="823"/>
      <c r="EX201" s="824"/>
      <c r="EY201" s="825"/>
      <c r="EZ201" s="825"/>
      <c r="FA201" s="816"/>
      <c r="FC201" s="834"/>
      <c r="FD201" s="834"/>
      <c r="FE201" s="826"/>
      <c r="FF201" s="834"/>
    </row>
    <row r="202" spans="2:162" s="780" customFormat="1">
      <c r="B202" s="609"/>
      <c r="C202" s="609"/>
      <c r="D202" s="609"/>
      <c r="E202" s="609"/>
      <c r="F202" s="609"/>
      <c r="G202" s="609"/>
      <c r="H202" s="609"/>
      <c r="I202" s="609"/>
      <c r="J202" s="609"/>
      <c r="K202" s="609"/>
      <c r="L202" s="609"/>
      <c r="M202" s="609"/>
      <c r="N202" s="609"/>
      <c r="O202" s="609"/>
      <c r="P202" s="609"/>
      <c r="Q202" s="609"/>
      <c r="R202" s="816"/>
      <c r="S202" s="816"/>
      <c r="T202" s="816"/>
      <c r="U202" s="816"/>
      <c r="V202" s="816"/>
      <c r="W202" s="816"/>
      <c r="X202" s="609"/>
      <c r="Y202" s="609"/>
      <c r="Z202" s="816"/>
      <c r="AA202" s="816"/>
      <c r="AB202" s="609"/>
      <c r="AC202" s="609"/>
      <c r="AD202" s="816"/>
      <c r="AE202" s="816"/>
      <c r="AF202" s="609"/>
      <c r="AG202" s="609"/>
      <c r="AH202" s="816"/>
      <c r="AI202" s="816"/>
      <c r="AJ202" s="817"/>
      <c r="AK202" s="609"/>
      <c r="AL202" s="609"/>
      <c r="AM202" s="816"/>
      <c r="AN202" s="816"/>
      <c r="AO202" s="816"/>
      <c r="AP202" s="816"/>
      <c r="AQ202" s="816"/>
      <c r="AR202" s="816"/>
      <c r="AS202" s="816"/>
      <c r="AT202" s="609"/>
      <c r="AU202" s="609"/>
      <c r="AV202" s="609"/>
      <c r="AW202" s="818"/>
      <c r="AX202" s="816"/>
      <c r="AY202" s="816"/>
      <c r="AZ202" s="609"/>
      <c r="BA202" s="609"/>
      <c r="BB202" s="816"/>
      <c r="BC202" s="816"/>
      <c r="BD202" s="609"/>
      <c r="BE202" s="609"/>
      <c r="BF202" s="816"/>
      <c r="BG202" s="816"/>
      <c r="BH202" s="816"/>
      <c r="BI202" s="816"/>
      <c r="BJ202" s="816"/>
      <c r="BK202" s="816"/>
      <c r="BL202" s="816"/>
      <c r="BM202" s="816"/>
      <c r="BN202" s="816"/>
      <c r="BO202" s="816"/>
      <c r="BP202" s="816"/>
      <c r="BQ202" s="816"/>
      <c r="BR202" s="816"/>
      <c r="BS202" s="816"/>
      <c r="BT202" s="816"/>
      <c r="BU202" s="816"/>
      <c r="BV202" s="816"/>
      <c r="BW202" s="816"/>
      <c r="BX202" s="609"/>
      <c r="BY202" s="609"/>
      <c r="BZ202" s="816"/>
      <c r="CA202" s="816"/>
      <c r="CB202" s="609"/>
      <c r="CC202" s="609"/>
      <c r="CD202" s="816"/>
      <c r="CE202" s="816"/>
      <c r="CF202" s="816"/>
      <c r="CG202" s="816"/>
      <c r="CH202" s="816"/>
      <c r="CI202" s="816"/>
      <c r="CJ202" s="816"/>
      <c r="CK202" s="816"/>
      <c r="CL202" s="819"/>
      <c r="CM202" s="816"/>
      <c r="CN202" s="820"/>
      <c r="CO202" s="820"/>
      <c r="CP202" s="820"/>
      <c r="CQ202" s="820"/>
      <c r="CR202" s="609"/>
      <c r="CS202" s="609"/>
      <c r="CT202" s="816"/>
      <c r="CU202" s="816"/>
      <c r="CV202" s="816"/>
      <c r="CW202" s="816"/>
      <c r="CX202" s="816"/>
      <c r="CY202" s="816"/>
      <c r="CZ202" s="816"/>
      <c r="DA202" s="609"/>
      <c r="DB202" s="609"/>
      <c r="DC202" s="816"/>
      <c r="DD202" s="816"/>
      <c r="DE202" s="609"/>
      <c r="DF202" s="609"/>
      <c r="DG202" s="816"/>
      <c r="DH202" s="816"/>
      <c r="DI202" s="816"/>
      <c r="DJ202" s="816"/>
      <c r="DK202" s="816"/>
      <c r="DL202" s="816"/>
      <c r="DM202" s="609"/>
      <c r="DN202" s="609"/>
      <c r="DO202" s="816"/>
      <c r="DP202" s="816"/>
      <c r="DQ202" s="609"/>
      <c r="DR202" s="609"/>
      <c r="DS202" s="816"/>
      <c r="DT202" s="816"/>
      <c r="DU202" s="609"/>
      <c r="DV202" s="609"/>
      <c r="DW202" s="816"/>
      <c r="DX202" s="816"/>
      <c r="DY202" s="816"/>
      <c r="DZ202" s="816"/>
      <c r="EA202" s="816"/>
      <c r="EB202" s="816"/>
      <c r="EC202" s="821"/>
      <c r="ED202" s="609"/>
      <c r="EE202" s="816"/>
      <c r="EF202" s="816"/>
      <c r="EG202" s="822"/>
      <c r="EH202" s="609"/>
      <c r="EI202" s="816"/>
      <c r="EJ202" s="816"/>
      <c r="EK202" s="609"/>
      <c r="EL202" s="816"/>
      <c r="EM202" s="816"/>
      <c r="EN202" s="816"/>
      <c r="EO202" s="816"/>
      <c r="EP202" s="816"/>
      <c r="EQ202" s="816"/>
      <c r="ER202" s="816"/>
      <c r="ES202" s="816"/>
      <c r="ET202" s="816"/>
      <c r="EU202" s="816"/>
      <c r="EV202" s="816"/>
      <c r="EW202" s="823"/>
      <c r="EX202" s="824"/>
      <c r="EY202" s="825"/>
      <c r="EZ202" s="825"/>
      <c r="FA202" s="816"/>
      <c r="FC202" s="834"/>
      <c r="FD202" s="834"/>
      <c r="FE202" s="826"/>
      <c r="FF202" s="834"/>
    </row>
    <row r="203" spans="2:162" s="780" customFormat="1">
      <c r="B203" s="609"/>
      <c r="C203" s="609"/>
      <c r="D203" s="609"/>
      <c r="E203" s="609"/>
      <c r="F203" s="609"/>
      <c r="G203" s="609"/>
      <c r="H203" s="609"/>
      <c r="I203" s="609"/>
      <c r="J203" s="609"/>
      <c r="K203" s="609"/>
      <c r="L203" s="609"/>
      <c r="M203" s="609"/>
      <c r="N203" s="609"/>
      <c r="O203" s="609"/>
      <c r="P203" s="609"/>
      <c r="Q203" s="609"/>
      <c r="R203" s="816"/>
      <c r="S203" s="816"/>
      <c r="T203" s="816"/>
      <c r="U203" s="816"/>
      <c r="V203" s="816"/>
      <c r="W203" s="816"/>
      <c r="X203" s="609"/>
      <c r="Y203" s="609"/>
      <c r="Z203" s="816"/>
      <c r="AA203" s="816"/>
      <c r="AB203" s="609"/>
      <c r="AC203" s="609"/>
      <c r="AD203" s="816"/>
      <c r="AE203" s="816"/>
      <c r="AF203" s="609"/>
      <c r="AG203" s="609"/>
      <c r="AH203" s="816"/>
      <c r="AI203" s="816"/>
      <c r="AJ203" s="817"/>
      <c r="AK203" s="609"/>
      <c r="AL203" s="609"/>
      <c r="AM203" s="816"/>
      <c r="AN203" s="816"/>
      <c r="AO203" s="816"/>
      <c r="AP203" s="816"/>
      <c r="AQ203" s="816"/>
      <c r="AR203" s="816"/>
      <c r="AS203" s="816"/>
      <c r="AT203" s="609"/>
      <c r="AU203" s="609"/>
      <c r="AV203" s="609"/>
      <c r="AW203" s="818"/>
      <c r="AX203" s="816"/>
      <c r="AY203" s="816"/>
      <c r="AZ203" s="609"/>
      <c r="BA203" s="609"/>
      <c r="BB203" s="816"/>
      <c r="BC203" s="816"/>
      <c r="BD203" s="609"/>
      <c r="BE203" s="609"/>
      <c r="BF203" s="816"/>
      <c r="BG203" s="816"/>
      <c r="BH203" s="816"/>
      <c r="BI203" s="816"/>
      <c r="BJ203" s="816"/>
      <c r="BK203" s="816"/>
      <c r="BL203" s="816"/>
      <c r="BM203" s="816"/>
      <c r="BN203" s="816"/>
      <c r="BO203" s="816"/>
      <c r="BP203" s="816"/>
      <c r="BQ203" s="816"/>
      <c r="BR203" s="816"/>
      <c r="BS203" s="816"/>
      <c r="BT203" s="816"/>
      <c r="BU203" s="816"/>
      <c r="BV203" s="816"/>
      <c r="BW203" s="816"/>
      <c r="BX203" s="609"/>
      <c r="BY203" s="609"/>
      <c r="BZ203" s="816"/>
      <c r="CA203" s="816"/>
      <c r="CB203" s="609"/>
      <c r="CC203" s="609"/>
      <c r="CD203" s="816"/>
      <c r="CE203" s="816"/>
      <c r="CF203" s="816"/>
      <c r="CG203" s="816"/>
      <c r="CH203" s="816"/>
      <c r="CI203" s="816"/>
      <c r="CJ203" s="816"/>
      <c r="CK203" s="816"/>
      <c r="CL203" s="819"/>
      <c r="CM203" s="816"/>
      <c r="CN203" s="820"/>
      <c r="CO203" s="820"/>
      <c r="CP203" s="820"/>
      <c r="CQ203" s="820"/>
      <c r="CR203" s="609"/>
      <c r="CS203" s="609"/>
      <c r="CT203" s="816"/>
      <c r="CU203" s="816"/>
      <c r="CV203" s="816"/>
      <c r="CW203" s="816"/>
      <c r="CX203" s="816"/>
      <c r="CY203" s="816"/>
      <c r="CZ203" s="816"/>
      <c r="DA203" s="609"/>
      <c r="DB203" s="609"/>
      <c r="DC203" s="816"/>
      <c r="DD203" s="816"/>
      <c r="DE203" s="609"/>
      <c r="DF203" s="609"/>
      <c r="DG203" s="816"/>
      <c r="DH203" s="816"/>
      <c r="DI203" s="816"/>
      <c r="DJ203" s="816"/>
      <c r="DK203" s="816"/>
      <c r="DL203" s="816"/>
      <c r="DM203" s="609"/>
      <c r="DN203" s="609"/>
      <c r="DO203" s="816"/>
      <c r="DP203" s="816"/>
      <c r="DQ203" s="609"/>
      <c r="DR203" s="609"/>
      <c r="DS203" s="816"/>
      <c r="DT203" s="816"/>
      <c r="DU203" s="609"/>
      <c r="DV203" s="609"/>
      <c r="DW203" s="816"/>
      <c r="DX203" s="816"/>
      <c r="DY203" s="816"/>
      <c r="DZ203" s="816"/>
      <c r="EA203" s="816"/>
      <c r="EB203" s="816"/>
      <c r="EC203" s="821"/>
      <c r="ED203" s="609"/>
      <c r="EE203" s="816"/>
      <c r="EF203" s="816"/>
      <c r="EG203" s="822"/>
      <c r="EH203" s="609"/>
      <c r="EI203" s="816"/>
      <c r="EJ203" s="816"/>
      <c r="EK203" s="609"/>
      <c r="EL203" s="816"/>
      <c r="EM203" s="816"/>
      <c r="EN203" s="816"/>
      <c r="EO203" s="816"/>
      <c r="EP203" s="816"/>
      <c r="EQ203" s="816"/>
      <c r="ER203" s="816"/>
      <c r="ES203" s="816"/>
      <c r="ET203" s="816"/>
      <c r="EU203" s="816"/>
      <c r="EV203" s="816"/>
      <c r="EW203" s="823"/>
      <c r="EX203" s="824"/>
      <c r="EY203" s="825"/>
      <c r="EZ203" s="825"/>
      <c r="FA203" s="816"/>
      <c r="FC203" s="834"/>
      <c r="FD203" s="834"/>
      <c r="FE203" s="826"/>
      <c r="FF203" s="834"/>
    </row>
    <row r="204" spans="2:162" s="780" customFormat="1">
      <c r="B204" s="609"/>
      <c r="C204" s="609"/>
      <c r="D204" s="609"/>
      <c r="E204" s="609"/>
      <c r="F204" s="609"/>
      <c r="G204" s="609"/>
      <c r="H204" s="609"/>
      <c r="I204" s="609"/>
      <c r="J204" s="609"/>
      <c r="K204" s="609"/>
      <c r="L204" s="609"/>
      <c r="M204" s="609"/>
      <c r="N204" s="609"/>
      <c r="O204" s="609"/>
      <c r="P204" s="609"/>
      <c r="Q204" s="609"/>
      <c r="R204" s="816"/>
      <c r="S204" s="816"/>
      <c r="T204" s="816"/>
      <c r="U204" s="816"/>
      <c r="V204" s="816"/>
      <c r="W204" s="816"/>
      <c r="X204" s="609"/>
      <c r="Y204" s="609"/>
      <c r="Z204" s="816"/>
      <c r="AA204" s="816"/>
      <c r="AB204" s="609"/>
      <c r="AC204" s="609"/>
      <c r="AD204" s="816"/>
      <c r="AE204" s="816"/>
      <c r="AF204" s="609"/>
      <c r="AG204" s="609"/>
      <c r="AH204" s="816"/>
      <c r="AI204" s="816"/>
      <c r="AJ204" s="817"/>
      <c r="AK204" s="609"/>
      <c r="AL204" s="609"/>
      <c r="AM204" s="816"/>
      <c r="AN204" s="816"/>
      <c r="AO204" s="816"/>
      <c r="AP204" s="816"/>
      <c r="AQ204" s="816"/>
      <c r="AR204" s="816"/>
      <c r="AS204" s="816"/>
      <c r="AT204" s="609"/>
      <c r="AU204" s="609"/>
      <c r="AV204" s="609"/>
      <c r="AW204" s="818"/>
      <c r="AX204" s="816"/>
      <c r="AY204" s="816"/>
      <c r="AZ204" s="609"/>
      <c r="BA204" s="609"/>
      <c r="BB204" s="816"/>
      <c r="BC204" s="816"/>
      <c r="BD204" s="609"/>
      <c r="BE204" s="609"/>
      <c r="BF204" s="816"/>
      <c r="BG204" s="816"/>
      <c r="BH204" s="816"/>
      <c r="BI204" s="816"/>
      <c r="BJ204" s="816"/>
      <c r="BK204" s="816"/>
      <c r="BL204" s="816"/>
      <c r="BM204" s="816"/>
      <c r="BN204" s="816"/>
      <c r="BO204" s="816"/>
      <c r="BP204" s="816"/>
      <c r="BQ204" s="816"/>
      <c r="BR204" s="816"/>
      <c r="BS204" s="816"/>
      <c r="BT204" s="816"/>
      <c r="BU204" s="816"/>
      <c r="BV204" s="816"/>
      <c r="BW204" s="816"/>
      <c r="BX204" s="609"/>
      <c r="BY204" s="609"/>
      <c r="BZ204" s="816"/>
      <c r="CA204" s="816"/>
      <c r="CB204" s="609"/>
      <c r="CC204" s="609"/>
      <c r="CD204" s="816"/>
      <c r="CE204" s="816"/>
      <c r="CF204" s="816"/>
      <c r="CG204" s="816"/>
      <c r="CH204" s="816"/>
      <c r="CI204" s="816"/>
      <c r="CJ204" s="816"/>
      <c r="CK204" s="816"/>
      <c r="CL204" s="819"/>
      <c r="CM204" s="816"/>
      <c r="CN204" s="820"/>
      <c r="CO204" s="820"/>
      <c r="CP204" s="820"/>
      <c r="CQ204" s="820"/>
      <c r="CR204" s="609"/>
      <c r="CS204" s="609"/>
      <c r="CT204" s="816"/>
      <c r="CU204" s="816"/>
      <c r="CV204" s="816"/>
      <c r="CW204" s="816"/>
      <c r="CX204" s="816"/>
      <c r="CY204" s="816"/>
      <c r="CZ204" s="816"/>
      <c r="DA204" s="609"/>
      <c r="DB204" s="609"/>
      <c r="DC204" s="816"/>
      <c r="DD204" s="816"/>
      <c r="DE204" s="609"/>
      <c r="DF204" s="609"/>
      <c r="DG204" s="816"/>
      <c r="DH204" s="816"/>
      <c r="DI204" s="816"/>
      <c r="DJ204" s="816"/>
      <c r="DK204" s="816"/>
      <c r="DL204" s="816"/>
      <c r="DM204" s="609"/>
      <c r="DN204" s="609"/>
      <c r="DO204" s="816"/>
      <c r="DP204" s="816"/>
      <c r="DQ204" s="609"/>
      <c r="DR204" s="609"/>
      <c r="DS204" s="816"/>
      <c r="DT204" s="816"/>
      <c r="DU204" s="609"/>
      <c r="DV204" s="609"/>
      <c r="DW204" s="816"/>
      <c r="DX204" s="816"/>
      <c r="DY204" s="816"/>
      <c r="DZ204" s="816"/>
      <c r="EA204" s="816"/>
      <c r="EB204" s="816"/>
      <c r="EC204" s="821"/>
      <c r="ED204" s="609"/>
      <c r="EE204" s="816"/>
      <c r="EF204" s="816"/>
      <c r="EG204" s="822"/>
      <c r="EH204" s="609"/>
      <c r="EI204" s="816"/>
      <c r="EJ204" s="816"/>
      <c r="EK204" s="609"/>
      <c r="EL204" s="816"/>
      <c r="EM204" s="816"/>
      <c r="EN204" s="816"/>
      <c r="EO204" s="816"/>
      <c r="EP204" s="816"/>
      <c r="EQ204" s="816"/>
      <c r="ER204" s="816"/>
      <c r="ES204" s="816"/>
      <c r="ET204" s="816"/>
      <c r="EU204" s="816"/>
      <c r="EV204" s="816"/>
      <c r="EW204" s="823"/>
      <c r="EX204" s="824"/>
      <c r="EY204" s="825"/>
      <c r="EZ204" s="825"/>
      <c r="FA204" s="816"/>
      <c r="FC204" s="834"/>
      <c r="FD204" s="834"/>
      <c r="FE204" s="826"/>
      <c r="FF204" s="834"/>
    </row>
    <row r="205" spans="2:162" s="780" customFormat="1">
      <c r="B205" s="609"/>
      <c r="C205" s="609"/>
      <c r="D205" s="609"/>
      <c r="E205" s="609"/>
      <c r="F205" s="609"/>
      <c r="G205" s="609"/>
      <c r="H205" s="609"/>
      <c r="I205" s="609"/>
      <c r="J205" s="609"/>
      <c r="K205" s="609"/>
      <c r="L205" s="609"/>
      <c r="M205" s="609"/>
      <c r="N205" s="609"/>
      <c r="O205" s="609"/>
      <c r="P205" s="609"/>
      <c r="Q205" s="609"/>
      <c r="R205" s="816"/>
      <c r="S205" s="816"/>
      <c r="T205" s="816"/>
      <c r="U205" s="816"/>
      <c r="V205" s="816"/>
      <c r="W205" s="816"/>
      <c r="X205" s="609"/>
      <c r="Y205" s="609"/>
      <c r="Z205" s="816"/>
      <c r="AA205" s="816"/>
      <c r="AB205" s="609"/>
      <c r="AC205" s="609"/>
      <c r="AD205" s="816"/>
      <c r="AE205" s="816"/>
      <c r="AF205" s="609"/>
      <c r="AG205" s="609"/>
      <c r="AH205" s="816"/>
      <c r="AI205" s="816"/>
      <c r="AJ205" s="817"/>
      <c r="AK205" s="609"/>
      <c r="AL205" s="609"/>
      <c r="AM205" s="816"/>
      <c r="AN205" s="816"/>
      <c r="AO205" s="816"/>
      <c r="AP205" s="816"/>
      <c r="AQ205" s="816"/>
      <c r="AR205" s="816"/>
      <c r="AS205" s="816"/>
      <c r="AT205" s="609"/>
      <c r="AU205" s="609"/>
      <c r="AV205" s="609"/>
      <c r="AW205" s="818"/>
      <c r="AX205" s="816"/>
      <c r="AY205" s="816"/>
      <c r="AZ205" s="609"/>
      <c r="BA205" s="609"/>
      <c r="BB205" s="816"/>
      <c r="BC205" s="816"/>
      <c r="BD205" s="609"/>
      <c r="BE205" s="609"/>
      <c r="BF205" s="816"/>
      <c r="BG205" s="816"/>
      <c r="BH205" s="816"/>
      <c r="BI205" s="816"/>
      <c r="BJ205" s="816"/>
      <c r="BK205" s="816"/>
      <c r="BL205" s="816"/>
      <c r="BM205" s="816"/>
      <c r="BN205" s="816"/>
      <c r="BO205" s="816"/>
      <c r="BP205" s="816"/>
      <c r="BQ205" s="816"/>
      <c r="BR205" s="816"/>
      <c r="BS205" s="816"/>
      <c r="BT205" s="816"/>
      <c r="BU205" s="816"/>
      <c r="BV205" s="816"/>
      <c r="BW205" s="816"/>
      <c r="BX205" s="609"/>
      <c r="BY205" s="609"/>
      <c r="BZ205" s="816"/>
      <c r="CA205" s="816"/>
      <c r="CB205" s="609"/>
      <c r="CC205" s="609"/>
      <c r="CD205" s="816"/>
      <c r="CE205" s="816"/>
      <c r="CF205" s="816"/>
      <c r="CG205" s="816"/>
      <c r="CH205" s="816"/>
      <c r="CI205" s="816"/>
      <c r="CJ205" s="816"/>
      <c r="CK205" s="816"/>
      <c r="CL205" s="819"/>
      <c r="CM205" s="816"/>
      <c r="CN205" s="820"/>
      <c r="CO205" s="820"/>
      <c r="CP205" s="820"/>
      <c r="CQ205" s="820"/>
      <c r="CR205" s="609"/>
      <c r="CS205" s="609"/>
      <c r="CT205" s="816"/>
      <c r="CU205" s="816"/>
      <c r="CV205" s="816"/>
      <c r="CW205" s="816"/>
      <c r="CX205" s="816"/>
      <c r="CY205" s="816"/>
      <c r="CZ205" s="816"/>
      <c r="DA205" s="609"/>
      <c r="DB205" s="609"/>
      <c r="DC205" s="816"/>
      <c r="DD205" s="816"/>
      <c r="DE205" s="609"/>
      <c r="DF205" s="609"/>
      <c r="DG205" s="816"/>
      <c r="DH205" s="816"/>
      <c r="DI205" s="816"/>
      <c r="DJ205" s="816"/>
      <c r="DK205" s="816"/>
      <c r="DL205" s="816"/>
      <c r="DM205" s="609"/>
      <c r="DN205" s="609"/>
      <c r="DO205" s="816"/>
      <c r="DP205" s="816"/>
      <c r="DQ205" s="609"/>
      <c r="DR205" s="609"/>
      <c r="DS205" s="816"/>
      <c r="DT205" s="816"/>
      <c r="DU205" s="609"/>
      <c r="DV205" s="609"/>
      <c r="DW205" s="816"/>
      <c r="DX205" s="816"/>
      <c r="DY205" s="816"/>
      <c r="DZ205" s="816"/>
      <c r="EA205" s="816"/>
      <c r="EB205" s="816"/>
      <c r="EC205" s="821"/>
      <c r="ED205" s="609"/>
      <c r="EE205" s="816"/>
      <c r="EF205" s="816"/>
      <c r="EG205" s="822"/>
      <c r="EH205" s="609"/>
      <c r="EI205" s="816"/>
      <c r="EJ205" s="816"/>
      <c r="EK205" s="609"/>
      <c r="EL205" s="816"/>
      <c r="EM205" s="816"/>
      <c r="EN205" s="816"/>
      <c r="EO205" s="816"/>
      <c r="EP205" s="816"/>
      <c r="EQ205" s="816"/>
      <c r="ER205" s="816"/>
      <c r="ES205" s="816"/>
      <c r="ET205" s="816"/>
      <c r="EU205" s="816"/>
      <c r="EV205" s="816"/>
      <c r="EW205" s="823"/>
      <c r="EX205" s="824"/>
      <c r="EY205" s="825"/>
      <c r="EZ205" s="825"/>
      <c r="FA205" s="816"/>
      <c r="FC205" s="834"/>
      <c r="FD205" s="834"/>
      <c r="FE205" s="826"/>
      <c r="FF205" s="834"/>
    </row>
    <row r="206" spans="2:162" s="780" customFormat="1">
      <c r="B206" s="609"/>
      <c r="C206" s="609"/>
      <c r="D206" s="609"/>
      <c r="E206" s="609"/>
      <c r="F206" s="609"/>
      <c r="G206" s="609"/>
      <c r="H206" s="609"/>
      <c r="I206" s="609"/>
      <c r="J206" s="609"/>
      <c r="K206" s="609"/>
      <c r="L206" s="609"/>
      <c r="M206" s="609"/>
      <c r="N206" s="609"/>
      <c r="O206" s="609"/>
      <c r="P206" s="609"/>
      <c r="Q206" s="609"/>
      <c r="R206" s="816"/>
      <c r="S206" s="816"/>
      <c r="T206" s="816"/>
      <c r="U206" s="816"/>
      <c r="V206" s="816"/>
      <c r="W206" s="816"/>
      <c r="X206" s="609"/>
      <c r="Y206" s="609"/>
      <c r="Z206" s="816"/>
      <c r="AA206" s="816"/>
      <c r="AB206" s="609"/>
      <c r="AC206" s="609"/>
      <c r="AD206" s="816"/>
      <c r="AE206" s="816"/>
      <c r="AF206" s="609"/>
      <c r="AG206" s="609"/>
      <c r="AH206" s="816"/>
      <c r="AI206" s="816"/>
      <c r="AJ206" s="817"/>
      <c r="AK206" s="609"/>
      <c r="AL206" s="609"/>
      <c r="AM206" s="816"/>
      <c r="AN206" s="816"/>
      <c r="AO206" s="816"/>
      <c r="AP206" s="816"/>
      <c r="AQ206" s="816"/>
      <c r="AR206" s="816"/>
      <c r="AS206" s="816"/>
      <c r="AT206" s="609"/>
      <c r="AU206" s="609"/>
      <c r="AV206" s="609"/>
      <c r="AW206" s="818"/>
      <c r="AX206" s="816"/>
      <c r="AY206" s="816"/>
      <c r="AZ206" s="609"/>
      <c r="BA206" s="609"/>
      <c r="BB206" s="816"/>
      <c r="BC206" s="816"/>
      <c r="BD206" s="609"/>
      <c r="BE206" s="609"/>
      <c r="BF206" s="816"/>
      <c r="BG206" s="816"/>
      <c r="BH206" s="816"/>
      <c r="BI206" s="816"/>
      <c r="BJ206" s="816"/>
      <c r="BK206" s="816"/>
      <c r="BL206" s="816"/>
      <c r="BM206" s="816"/>
      <c r="BN206" s="816"/>
      <c r="BO206" s="816"/>
      <c r="BP206" s="816"/>
      <c r="BQ206" s="816"/>
      <c r="BR206" s="816"/>
      <c r="BS206" s="816"/>
      <c r="BT206" s="816"/>
      <c r="BU206" s="816"/>
      <c r="BV206" s="816"/>
      <c r="BW206" s="816"/>
      <c r="BX206" s="609"/>
      <c r="BY206" s="609"/>
      <c r="BZ206" s="816"/>
      <c r="CA206" s="816"/>
      <c r="CB206" s="609"/>
      <c r="CC206" s="609"/>
      <c r="CD206" s="816"/>
      <c r="CE206" s="816"/>
      <c r="CF206" s="816"/>
      <c r="CG206" s="816"/>
      <c r="CH206" s="816"/>
      <c r="CI206" s="816"/>
      <c r="CJ206" s="816"/>
      <c r="CK206" s="816"/>
      <c r="CL206" s="819"/>
      <c r="CM206" s="816"/>
      <c r="CN206" s="820"/>
      <c r="CO206" s="820"/>
      <c r="CP206" s="820"/>
      <c r="CQ206" s="820"/>
      <c r="CR206" s="609"/>
      <c r="CS206" s="609"/>
      <c r="CT206" s="816"/>
      <c r="CU206" s="816"/>
      <c r="CV206" s="816"/>
      <c r="CW206" s="816"/>
      <c r="CX206" s="816"/>
      <c r="CY206" s="816"/>
      <c r="CZ206" s="816"/>
      <c r="DA206" s="609"/>
      <c r="DB206" s="609"/>
      <c r="DC206" s="816"/>
      <c r="DD206" s="816"/>
      <c r="DE206" s="609"/>
      <c r="DF206" s="609"/>
      <c r="DG206" s="816"/>
      <c r="DH206" s="816"/>
      <c r="DI206" s="816"/>
      <c r="DJ206" s="816"/>
      <c r="DK206" s="816"/>
      <c r="DL206" s="816"/>
      <c r="DM206" s="609"/>
      <c r="DN206" s="609"/>
      <c r="DO206" s="816"/>
      <c r="DP206" s="816"/>
      <c r="DQ206" s="609"/>
      <c r="DR206" s="609"/>
      <c r="DS206" s="816"/>
      <c r="DT206" s="816"/>
      <c r="DU206" s="609"/>
      <c r="DV206" s="609"/>
      <c r="DW206" s="816"/>
      <c r="DX206" s="816"/>
      <c r="DY206" s="816"/>
      <c r="DZ206" s="816"/>
      <c r="EA206" s="816"/>
      <c r="EB206" s="816"/>
      <c r="EC206" s="821"/>
      <c r="ED206" s="609"/>
      <c r="EE206" s="816"/>
      <c r="EF206" s="816"/>
      <c r="EG206" s="822"/>
      <c r="EH206" s="609"/>
      <c r="EI206" s="816"/>
      <c r="EJ206" s="816"/>
      <c r="EK206" s="609"/>
      <c r="EL206" s="816"/>
      <c r="EM206" s="816"/>
      <c r="EN206" s="816"/>
      <c r="EO206" s="816"/>
      <c r="EP206" s="816"/>
      <c r="EQ206" s="816"/>
      <c r="ER206" s="816"/>
      <c r="ES206" s="816"/>
      <c r="ET206" s="816"/>
      <c r="EU206" s="816"/>
      <c r="EV206" s="816"/>
      <c r="EW206" s="823"/>
      <c r="EX206" s="824"/>
      <c r="EY206" s="825"/>
      <c r="EZ206" s="825"/>
      <c r="FA206" s="816"/>
      <c r="FC206" s="834"/>
      <c r="FD206" s="834"/>
      <c r="FE206" s="826"/>
      <c r="FF206" s="834"/>
    </row>
    <row r="207" spans="2:162" s="780" customFormat="1">
      <c r="B207" s="609"/>
      <c r="C207" s="609"/>
      <c r="D207" s="609"/>
      <c r="E207" s="609"/>
      <c r="F207" s="609"/>
      <c r="G207" s="609"/>
      <c r="H207" s="609"/>
      <c r="I207" s="609"/>
      <c r="J207" s="609"/>
      <c r="K207" s="609"/>
      <c r="L207" s="609"/>
      <c r="M207" s="609"/>
      <c r="N207" s="609"/>
      <c r="O207" s="609"/>
      <c r="P207" s="609"/>
      <c r="Q207" s="609"/>
      <c r="R207" s="816"/>
      <c r="S207" s="816"/>
      <c r="T207" s="816"/>
      <c r="U207" s="816"/>
      <c r="V207" s="816"/>
      <c r="W207" s="816"/>
      <c r="X207" s="609"/>
      <c r="Y207" s="609"/>
      <c r="Z207" s="816"/>
      <c r="AA207" s="816"/>
      <c r="AB207" s="609"/>
      <c r="AC207" s="609"/>
      <c r="AD207" s="816"/>
      <c r="AE207" s="816"/>
      <c r="AF207" s="609"/>
      <c r="AG207" s="609"/>
      <c r="AH207" s="816"/>
      <c r="AI207" s="816"/>
      <c r="AJ207" s="817"/>
      <c r="AK207" s="609"/>
      <c r="AL207" s="609"/>
      <c r="AM207" s="816"/>
      <c r="AN207" s="816"/>
      <c r="AO207" s="816"/>
      <c r="AP207" s="816"/>
      <c r="AQ207" s="816"/>
      <c r="AR207" s="816"/>
      <c r="AS207" s="816"/>
      <c r="AT207" s="609"/>
      <c r="AU207" s="609"/>
      <c r="AV207" s="609"/>
      <c r="AW207" s="818"/>
      <c r="AX207" s="816"/>
      <c r="AY207" s="816"/>
      <c r="AZ207" s="609"/>
      <c r="BA207" s="609"/>
      <c r="BB207" s="816"/>
      <c r="BC207" s="816"/>
      <c r="BD207" s="609"/>
      <c r="BE207" s="609"/>
      <c r="BF207" s="816"/>
      <c r="BG207" s="816"/>
      <c r="BH207" s="816"/>
      <c r="BI207" s="816"/>
      <c r="BJ207" s="816"/>
      <c r="BK207" s="816"/>
      <c r="BL207" s="816"/>
      <c r="BM207" s="816"/>
      <c r="BN207" s="816"/>
      <c r="BO207" s="816"/>
      <c r="BP207" s="816"/>
      <c r="BQ207" s="816"/>
      <c r="BR207" s="816"/>
      <c r="BS207" s="816"/>
      <c r="BT207" s="816"/>
      <c r="BU207" s="816"/>
      <c r="BV207" s="816"/>
      <c r="BW207" s="816"/>
      <c r="BX207" s="609"/>
      <c r="BY207" s="609"/>
      <c r="BZ207" s="816"/>
      <c r="CA207" s="816"/>
      <c r="CB207" s="609"/>
      <c r="CC207" s="609"/>
      <c r="CD207" s="816"/>
      <c r="CE207" s="816"/>
      <c r="CF207" s="816"/>
      <c r="CG207" s="816"/>
      <c r="CH207" s="816"/>
      <c r="CI207" s="816"/>
      <c r="CJ207" s="816"/>
      <c r="CK207" s="816"/>
      <c r="CL207" s="819"/>
      <c r="CM207" s="816"/>
      <c r="CN207" s="820"/>
      <c r="CO207" s="820"/>
      <c r="CP207" s="820"/>
      <c r="CQ207" s="820"/>
      <c r="CR207" s="609"/>
      <c r="CS207" s="609"/>
      <c r="CT207" s="816"/>
      <c r="CU207" s="816"/>
      <c r="CV207" s="816"/>
      <c r="CW207" s="816"/>
      <c r="CX207" s="816"/>
      <c r="CY207" s="816"/>
      <c r="CZ207" s="816"/>
      <c r="DA207" s="609"/>
      <c r="DB207" s="609"/>
      <c r="DC207" s="816"/>
      <c r="DD207" s="816"/>
      <c r="DE207" s="609"/>
      <c r="DF207" s="609"/>
      <c r="DG207" s="816"/>
      <c r="DH207" s="816"/>
      <c r="DI207" s="816"/>
      <c r="DJ207" s="816"/>
      <c r="DK207" s="816"/>
      <c r="DL207" s="816"/>
      <c r="DM207" s="609"/>
      <c r="DN207" s="609"/>
      <c r="DO207" s="816"/>
      <c r="DP207" s="816"/>
      <c r="DQ207" s="609"/>
      <c r="DR207" s="609"/>
      <c r="DS207" s="816"/>
      <c r="DT207" s="816"/>
      <c r="DU207" s="609"/>
      <c r="DV207" s="609"/>
      <c r="DW207" s="816"/>
      <c r="DX207" s="816"/>
      <c r="DY207" s="816"/>
      <c r="DZ207" s="816"/>
      <c r="EA207" s="816"/>
      <c r="EB207" s="816"/>
      <c r="EC207" s="821"/>
      <c r="ED207" s="609"/>
      <c r="EE207" s="816"/>
      <c r="EF207" s="816"/>
      <c r="EG207" s="822"/>
      <c r="EH207" s="609"/>
      <c r="EI207" s="816"/>
      <c r="EJ207" s="816"/>
      <c r="EK207" s="609"/>
      <c r="EL207" s="816"/>
      <c r="EM207" s="816"/>
      <c r="EN207" s="816"/>
      <c r="EO207" s="816"/>
      <c r="EP207" s="816"/>
      <c r="EQ207" s="816"/>
      <c r="ER207" s="816"/>
      <c r="ES207" s="816"/>
      <c r="ET207" s="816"/>
      <c r="EU207" s="816"/>
      <c r="EV207" s="816"/>
      <c r="EW207" s="823"/>
      <c r="EX207" s="824"/>
      <c r="EY207" s="825"/>
      <c r="EZ207" s="825"/>
      <c r="FA207" s="816"/>
      <c r="FC207" s="834"/>
      <c r="FD207" s="834"/>
      <c r="FE207" s="826"/>
      <c r="FF207" s="834"/>
    </row>
    <row r="208" spans="2:162" s="780" customFormat="1">
      <c r="B208" s="609"/>
      <c r="C208" s="609"/>
      <c r="D208" s="609"/>
      <c r="E208" s="609"/>
      <c r="F208" s="609"/>
      <c r="G208" s="609"/>
      <c r="H208" s="609"/>
      <c r="I208" s="609"/>
      <c r="J208" s="609"/>
      <c r="K208" s="609"/>
      <c r="L208" s="609"/>
      <c r="M208" s="609"/>
      <c r="N208" s="609"/>
      <c r="O208" s="609"/>
      <c r="P208" s="609"/>
      <c r="Q208" s="609"/>
      <c r="R208" s="816"/>
      <c r="S208" s="816"/>
      <c r="T208" s="816"/>
      <c r="U208" s="816"/>
      <c r="V208" s="816"/>
      <c r="W208" s="816"/>
      <c r="X208" s="609"/>
      <c r="Y208" s="609"/>
      <c r="Z208" s="816"/>
      <c r="AA208" s="816"/>
      <c r="AB208" s="609"/>
      <c r="AC208" s="609"/>
      <c r="AD208" s="816"/>
      <c r="AE208" s="816"/>
      <c r="AF208" s="609"/>
      <c r="AG208" s="609"/>
      <c r="AH208" s="816"/>
      <c r="AI208" s="816"/>
      <c r="AJ208" s="817"/>
      <c r="AK208" s="609"/>
      <c r="AL208" s="609"/>
      <c r="AM208" s="816"/>
      <c r="AN208" s="816"/>
      <c r="AO208" s="816"/>
      <c r="AP208" s="816"/>
      <c r="AQ208" s="816"/>
      <c r="AR208" s="816"/>
      <c r="AS208" s="816"/>
      <c r="AT208" s="609"/>
      <c r="AU208" s="609"/>
      <c r="AV208" s="609"/>
      <c r="AW208" s="818"/>
      <c r="AX208" s="816"/>
      <c r="AY208" s="816"/>
      <c r="AZ208" s="609"/>
      <c r="BA208" s="609"/>
      <c r="BB208" s="816"/>
      <c r="BC208" s="816"/>
      <c r="BD208" s="609"/>
      <c r="BE208" s="609"/>
      <c r="BF208" s="816"/>
      <c r="BG208" s="816"/>
      <c r="BH208" s="816"/>
      <c r="BI208" s="816"/>
      <c r="BJ208" s="816"/>
      <c r="BK208" s="816"/>
      <c r="BL208" s="816"/>
      <c r="BM208" s="816"/>
      <c r="BN208" s="816"/>
      <c r="BO208" s="816"/>
      <c r="BP208" s="816"/>
      <c r="BQ208" s="816"/>
      <c r="BR208" s="816"/>
      <c r="BS208" s="816"/>
      <c r="BT208" s="816"/>
      <c r="BU208" s="816"/>
      <c r="BV208" s="816"/>
      <c r="BW208" s="816"/>
      <c r="BX208" s="609"/>
      <c r="BY208" s="609"/>
      <c r="BZ208" s="816"/>
      <c r="CA208" s="816"/>
      <c r="CB208" s="609"/>
      <c r="CC208" s="609"/>
      <c r="CD208" s="816"/>
      <c r="CE208" s="816"/>
      <c r="CF208" s="816"/>
      <c r="CG208" s="816"/>
      <c r="CH208" s="816"/>
      <c r="CI208" s="816"/>
      <c r="CJ208" s="816"/>
      <c r="CK208" s="816"/>
      <c r="CL208" s="819"/>
      <c r="CM208" s="816"/>
      <c r="CN208" s="820"/>
      <c r="CO208" s="820"/>
      <c r="CP208" s="820"/>
      <c r="CQ208" s="820"/>
      <c r="CR208" s="609"/>
      <c r="CS208" s="609"/>
      <c r="CT208" s="816"/>
      <c r="CU208" s="816"/>
      <c r="CV208" s="816"/>
      <c r="CW208" s="816"/>
      <c r="CX208" s="816"/>
      <c r="CY208" s="816"/>
      <c r="CZ208" s="816"/>
      <c r="DA208" s="609"/>
      <c r="DB208" s="609"/>
      <c r="DC208" s="816"/>
      <c r="DD208" s="816"/>
      <c r="DE208" s="609"/>
      <c r="DF208" s="609"/>
      <c r="DG208" s="816"/>
      <c r="DH208" s="816"/>
      <c r="DI208" s="816"/>
      <c r="DJ208" s="816"/>
      <c r="DK208" s="816"/>
      <c r="DL208" s="816"/>
      <c r="DM208" s="609"/>
      <c r="DN208" s="609"/>
      <c r="DO208" s="816"/>
      <c r="DP208" s="816"/>
      <c r="DQ208" s="609"/>
      <c r="DR208" s="609"/>
      <c r="DS208" s="816"/>
      <c r="DT208" s="816"/>
      <c r="DU208" s="609"/>
      <c r="DV208" s="609"/>
      <c r="DW208" s="816"/>
      <c r="DX208" s="816"/>
      <c r="DY208" s="816"/>
      <c r="DZ208" s="816"/>
      <c r="EA208" s="816"/>
      <c r="EB208" s="816"/>
      <c r="EC208" s="821"/>
      <c r="ED208" s="609"/>
      <c r="EE208" s="816"/>
      <c r="EF208" s="816"/>
      <c r="EG208" s="822"/>
      <c r="EH208" s="609"/>
      <c r="EI208" s="816"/>
      <c r="EJ208" s="816"/>
      <c r="EK208" s="609"/>
      <c r="EL208" s="816"/>
      <c r="EM208" s="816"/>
      <c r="EN208" s="816"/>
      <c r="EO208" s="816"/>
      <c r="EP208" s="816"/>
      <c r="EQ208" s="816"/>
      <c r="ER208" s="816"/>
      <c r="ES208" s="816"/>
      <c r="ET208" s="816"/>
      <c r="EU208" s="816"/>
      <c r="EV208" s="816"/>
      <c r="EW208" s="823"/>
      <c r="EX208" s="824"/>
      <c r="EY208" s="825"/>
      <c r="EZ208" s="825"/>
      <c r="FA208" s="816"/>
      <c r="FC208" s="834"/>
      <c r="FD208" s="834"/>
      <c r="FE208" s="826"/>
      <c r="FF208" s="834"/>
    </row>
    <row r="209" spans="2:162" s="780" customFormat="1">
      <c r="B209" s="609"/>
      <c r="C209" s="609"/>
      <c r="D209" s="609"/>
      <c r="E209" s="609"/>
      <c r="F209" s="609"/>
      <c r="G209" s="609"/>
      <c r="H209" s="609"/>
      <c r="I209" s="609"/>
      <c r="J209" s="609"/>
      <c r="K209" s="609"/>
      <c r="L209" s="609"/>
      <c r="M209" s="609"/>
      <c r="N209" s="609"/>
      <c r="O209" s="609"/>
      <c r="P209" s="609"/>
      <c r="Q209" s="609"/>
      <c r="R209" s="816"/>
      <c r="S209" s="816"/>
      <c r="T209" s="816"/>
      <c r="U209" s="816"/>
      <c r="V209" s="816"/>
      <c r="W209" s="816"/>
      <c r="X209" s="609"/>
      <c r="Y209" s="609"/>
      <c r="Z209" s="816"/>
      <c r="AA209" s="816"/>
      <c r="AB209" s="609"/>
      <c r="AC209" s="609"/>
      <c r="AD209" s="816"/>
      <c r="AE209" s="816"/>
      <c r="AF209" s="609"/>
      <c r="AG209" s="609"/>
      <c r="AH209" s="816"/>
      <c r="AI209" s="816"/>
      <c r="AJ209" s="817"/>
      <c r="AK209" s="609"/>
      <c r="AL209" s="609"/>
      <c r="AM209" s="816"/>
      <c r="AN209" s="816"/>
      <c r="AO209" s="816"/>
      <c r="AP209" s="816"/>
      <c r="AQ209" s="816"/>
      <c r="AR209" s="816"/>
      <c r="AS209" s="816"/>
      <c r="AT209" s="609"/>
      <c r="AU209" s="609"/>
      <c r="AV209" s="609"/>
      <c r="AW209" s="818"/>
      <c r="AX209" s="816"/>
      <c r="AY209" s="816"/>
      <c r="AZ209" s="609"/>
      <c r="BA209" s="609"/>
      <c r="BB209" s="816"/>
      <c r="BC209" s="816"/>
      <c r="BD209" s="609"/>
      <c r="BE209" s="609"/>
      <c r="BF209" s="816"/>
      <c r="BG209" s="816"/>
      <c r="BH209" s="816"/>
      <c r="BI209" s="816"/>
      <c r="BJ209" s="816"/>
      <c r="BK209" s="816"/>
      <c r="BL209" s="816"/>
      <c r="BM209" s="816"/>
      <c r="BN209" s="816"/>
      <c r="BO209" s="816"/>
      <c r="BP209" s="816"/>
      <c r="BQ209" s="816"/>
      <c r="BR209" s="816"/>
      <c r="BS209" s="816"/>
      <c r="BT209" s="816"/>
      <c r="BU209" s="816"/>
      <c r="BV209" s="816"/>
      <c r="BW209" s="816"/>
      <c r="BX209" s="609"/>
      <c r="BY209" s="609"/>
      <c r="BZ209" s="816"/>
      <c r="CA209" s="816"/>
      <c r="CB209" s="609"/>
      <c r="CC209" s="609"/>
      <c r="CD209" s="816"/>
      <c r="CE209" s="816"/>
      <c r="CF209" s="816"/>
      <c r="CG209" s="816"/>
      <c r="CH209" s="816"/>
      <c r="CI209" s="816"/>
      <c r="CJ209" s="816"/>
      <c r="CK209" s="816"/>
      <c r="CL209" s="819"/>
      <c r="CM209" s="816"/>
      <c r="CN209" s="820"/>
      <c r="CO209" s="820"/>
      <c r="CP209" s="820"/>
      <c r="CQ209" s="820"/>
      <c r="CR209" s="817"/>
      <c r="CS209" s="609"/>
      <c r="CT209" s="816"/>
      <c r="CU209" s="816"/>
      <c r="CV209" s="816"/>
      <c r="CW209" s="816"/>
      <c r="CX209" s="816"/>
      <c r="CY209" s="816"/>
      <c r="CZ209" s="816"/>
      <c r="DA209" s="609"/>
      <c r="DB209" s="609"/>
      <c r="DC209" s="816"/>
      <c r="DD209" s="816"/>
      <c r="DE209" s="609"/>
      <c r="DF209" s="609"/>
      <c r="DG209" s="816"/>
      <c r="DH209" s="816"/>
      <c r="DI209" s="816"/>
      <c r="DJ209" s="816"/>
      <c r="DK209" s="816"/>
      <c r="DL209" s="816"/>
      <c r="DM209" s="609"/>
      <c r="DN209" s="609"/>
      <c r="DO209" s="816"/>
      <c r="DP209" s="816"/>
      <c r="DQ209" s="609"/>
      <c r="DR209" s="609"/>
      <c r="DS209" s="816"/>
      <c r="DT209" s="816"/>
      <c r="DU209" s="609"/>
      <c r="DV209" s="609"/>
      <c r="DW209" s="816"/>
      <c r="DX209" s="816"/>
      <c r="DY209" s="816"/>
      <c r="DZ209" s="816"/>
      <c r="EA209" s="816"/>
      <c r="EB209" s="816"/>
      <c r="EC209" s="821"/>
      <c r="ED209" s="609"/>
      <c r="EE209" s="816"/>
      <c r="EF209" s="816"/>
      <c r="EG209" s="822"/>
      <c r="EH209" s="609"/>
      <c r="EI209" s="816"/>
      <c r="EJ209" s="816"/>
      <c r="EK209" s="609"/>
      <c r="EL209" s="816"/>
      <c r="EM209" s="816"/>
      <c r="EN209" s="816"/>
      <c r="EO209" s="816"/>
      <c r="EP209" s="816"/>
      <c r="EQ209" s="816"/>
      <c r="ER209" s="816"/>
      <c r="ES209" s="816"/>
      <c r="ET209" s="816"/>
      <c r="EU209" s="816"/>
      <c r="EV209" s="816"/>
      <c r="EW209" s="823"/>
      <c r="EX209" s="824"/>
      <c r="EY209" s="825"/>
      <c r="EZ209" s="825"/>
      <c r="FA209" s="816"/>
      <c r="FC209" s="834"/>
      <c r="FD209" s="834"/>
      <c r="FE209" s="826"/>
      <c r="FF209" s="834"/>
    </row>
    <row r="210" spans="2:162" s="780" customFormat="1">
      <c r="B210" s="609"/>
      <c r="C210" s="609"/>
      <c r="D210" s="609"/>
      <c r="E210" s="609"/>
      <c r="F210" s="609"/>
      <c r="G210" s="609"/>
      <c r="H210" s="609"/>
      <c r="I210" s="609"/>
      <c r="J210" s="609"/>
      <c r="K210" s="609"/>
      <c r="L210" s="609"/>
      <c r="M210" s="609"/>
      <c r="N210" s="609"/>
      <c r="O210" s="609"/>
      <c r="P210" s="609"/>
      <c r="Q210" s="609"/>
      <c r="R210" s="816"/>
      <c r="S210" s="816"/>
      <c r="T210" s="816"/>
      <c r="U210" s="816"/>
      <c r="V210" s="816"/>
      <c r="W210" s="816"/>
      <c r="X210" s="609"/>
      <c r="Y210" s="609"/>
      <c r="Z210" s="816"/>
      <c r="AA210" s="816"/>
      <c r="AB210" s="609"/>
      <c r="AC210" s="609"/>
      <c r="AD210" s="816"/>
      <c r="AE210" s="816"/>
      <c r="AF210" s="609"/>
      <c r="AG210" s="609"/>
      <c r="AH210" s="816"/>
      <c r="AI210" s="816"/>
      <c r="AJ210" s="817"/>
      <c r="AK210" s="609"/>
      <c r="AL210" s="609"/>
      <c r="AM210" s="816"/>
      <c r="AN210" s="816"/>
      <c r="AO210" s="816"/>
      <c r="AP210" s="816"/>
      <c r="AQ210" s="816"/>
      <c r="AR210" s="816"/>
      <c r="AS210" s="816"/>
      <c r="AT210" s="609"/>
      <c r="AU210" s="609"/>
      <c r="AV210" s="609"/>
      <c r="AW210" s="818"/>
      <c r="AX210" s="816"/>
      <c r="AY210" s="816"/>
      <c r="AZ210" s="609"/>
      <c r="BA210" s="609"/>
      <c r="BB210" s="816"/>
      <c r="BC210" s="816"/>
      <c r="BD210" s="609"/>
      <c r="BE210" s="609"/>
      <c r="BF210" s="816"/>
      <c r="BG210" s="816"/>
      <c r="BH210" s="816"/>
      <c r="BI210" s="816"/>
      <c r="BJ210" s="816"/>
      <c r="BK210" s="816"/>
      <c r="BL210" s="816"/>
      <c r="BM210" s="816"/>
      <c r="BN210" s="816"/>
      <c r="BO210" s="816"/>
      <c r="BP210" s="816"/>
      <c r="BQ210" s="816"/>
      <c r="BR210" s="816"/>
      <c r="BS210" s="816"/>
      <c r="BT210" s="816"/>
      <c r="BU210" s="816"/>
      <c r="BV210" s="816"/>
      <c r="BW210" s="816"/>
      <c r="BX210" s="609"/>
      <c r="BY210" s="609"/>
      <c r="BZ210" s="816"/>
      <c r="CA210" s="816"/>
      <c r="CB210" s="609"/>
      <c r="CC210" s="609"/>
      <c r="CD210" s="816"/>
      <c r="CE210" s="816"/>
      <c r="CF210" s="816"/>
      <c r="CG210" s="816"/>
      <c r="CH210" s="816"/>
      <c r="CI210" s="816"/>
      <c r="CJ210" s="816"/>
      <c r="CK210" s="816"/>
      <c r="CL210" s="819"/>
      <c r="CM210" s="816"/>
      <c r="CN210" s="820"/>
      <c r="CO210" s="820"/>
      <c r="CP210" s="820"/>
      <c r="CQ210" s="820"/>
      <c r="CR210" s="817"/>
      <c r="CS210" s="609"/>
      <c r="CT210" s="816"/>
      <c r="CU210" s="816"/>
      <c r="CV210" s="816"/>
      <c r="CW210" s="816"/>
      <c r="CX210" s="816"/>
      <c r="CY210" s="816"/>
      <c r="CZ210" s="816"/>
      <c r="DA210" s="609"/>
      <c r="DB210" s="609"/>
      <c r="DC210" s="816"/>
      <c r="DD210" s="816"/>
      <c r="DE210" s="609"/>
      <c r="DF210" s="609"/>
      <c r="DG210" s="816"/>
      <c r="DH210" s="816"/>
      <c r="DI210" s="816"/>
      <c r="DJ210" s="816"/>
      <c r="DK210" s="816"/>
      <c r="DL210" s="816"/>
      <c r="DM210" s="609"/>
      <c r="DN210" s="609"/>
      <c r="DO210" s="816"/>
      <c r="DP210" s="816"/>
      <c r="DQ210" s="609"/>
      <c r="DR210" s="609"/>
      <c r="DS210" s="816"/>
      <c r="DT210" s="816"/>
      <c r="DU210" s="609"/>
      <c r="DV210" s="609"/>
      <c r="DW210" s="816"/>
      <c r="DX210" s="816"/>
      <c r="DY210" s="816"/>
      <c r="DZ210" s="816"/>
      <c r="EA210" s="816"/>
      <c r="EB210" s="816"/>
      <c r="EC210" s="821"/>
      <c r="ED210" s="609"/>
      <c r="EE210" s="816"/>
      <c r="EF210" s="816"/>
      <c r="EG210" s="822"/>
      <c r="EH210" s="609"/>
      <c r="EI210" s="816"/>
      <c r="EJ210" s="816"/>
      <c r="EK210" s="609"/>
      <c r="EL210" s="816"/>
      <c r="EM210" s="816"/>
      <c r="EN210" s="816"/>
      <c r="EO210" s="816"/>
      <c r="EP210" s="816"/>
      <c r="EQ210" s="816"/>
      <c r="ER210" s="816"/>
      <c r="ES210" s="816"/>
      <c r="ET210" s="816"/>
      <c r="EU210" s="816"/>
      <c r="EV210" s="816"/>
      <c r="EW210" s="823"/>
      <c r="EX210" s="824"/>
      <c r="EY210" s="825"/>
      <c r="EZ210" s="825"/>
      <c r="FA210" s="816"/>
      <c r="FC210" s="834"/>
      <c r="FD210" s="834"/>
      <c r="FE210" s="826"/>
      <c r="FF210" s="834"/>
    </row>
    <row r="211" spans="2:162" s="780" customFormat="1">
      <c r="B211" s="609"/>
      <c r="C211" s="609"/>
      <c r="D211" s="609"/>
      <c r="E211" s="609"/>
      <c r="F211" s="609"/>
      <c r="G211" s="609"/>
      <c r="H211" s="609"/>
      <c r="I211" s="609"/>
      <c r="J211" s="609"/>
      <c r="K211" s="609"/>
      <c r="L211" s="609"/>
      <c r="M211" s="609"/>
      <c r="N211" s="609"/>
      <c r="O211" s="609"/>
      <c r="P211" s="609"/>
      <c r="Q211" s="609"/>
      <c r="R211" s="816"/>
      <c r="S211" s="816"/>
      <c r="T211" s="816"/>
      <c r="U211" s="816"/>
      <c r="V211" s="816"/>
      <c r="W211" s="816"/>
      <c r="X211" s="609"/>
      <c r="Y211" s="609"/>
      <c r="Z211" s="816"/>
      <c r="AA211" s="816"/>
      <c r="AB211" s="609"/>
      <c r="AC211" s="609"/>
      <c r="AD211" s="816"/>
      <c r="AE211" s="816"/>
      <c r="AF211" s="609"/>
      <c r="AG211" s="609"/>
      <c r="AH211" s="816"/>
      <c r="AI211" s="816"/>
      <c r="AJ211" s="817"/>
      <c r="AK211" s="609"/>
      <c r="AL211" s="609"/>
      <c r="AM211" s="816"/>
      <c r="AN211" s="816"/>
      <c r="AO211" s="816"/>
      <c r="AP211" s="816"/>
      <c r="AQ211" s="816"/>
      <c r="AR211" s="816"/>
      <c r="AS211" s="816"/>
      <c r="AT211" s="609"/>
      <c r="AU211" s="609"/>
      <c r="AV211" s="609"/>
      <c r="AW211" s="818"/>
      <c r="AX211" s="816"/>
      <c r="AY211" s="816"/>
      <c r="AZ211" s="609"/>
      <c r="BA211" s="609"/>
      <c r="BB211" s="816"/>
      <c r="BC211" s="816"/>
      <c r="BD211" s="609"/>
      <c r="BE211" s="609"/>
      <c r="BF211" s="816"/>
      <c r="BG211" s="816"/>
      <c r="BH211" s="816"/>
      <c r="BI211" s="816"/>
      <c r="BJ211" s="816"/>
      <c r="BK211" s="816"/>
      <c r="BL211" s="816"/>
      <c r="BM211" s="816"/>
      <c r="BN211" s="816"/>
      <c r="BO211" s="816"/>
      <c r="BP211" s="816"/>
      <c r="BQ211" s="816"/>
      <c r="BR211" s="816"/>
      <c r="BS211" s="816"/>
      <c r="BT211" s="816"/>
      <c r="BU211" s="816"/>
      <c r="BV211" s="816"/>
      <c r="BW211" s="816"/>
      <c r="BX211" s="609"/>
      <c r="BY211" s="609"/>
      <c r="BZ211" s="816"/>
      <c r="CA211" s="816"/>
      <c r="CB211" s="609"/>
      <c r="CC211" s="609"/>
      <c r="CD211" s="816"/>
      <c r="CE211" s="816"/>
      <c r="CF211" s="816"/>
      <c r="CG211" s="816"/>
      <c r="CH211" s="816"/>
      <c r="CI211" s="816"/>
      <c r="CJ211" s="816"/>
      <c r="CK211" s="816"/>
      <c r="CL211" s="819"/>
      <c r="CM211" s="816"/>
      <c r="CN211" s="820"/>
      <c r="CO211" s="820"/>
      <c r="CP211" s="820"/>
      <c r="CQ211" s="820"/>
      <c r="CR211" s="609"/>
      <c r="CS211" s="609"/>
      <c r="CT211" s="816"/>
      <c r="CU211" s="816"/>
      <c r="CV211" s="816"/>
      <c r="CW211" s="816"/>
      <c r="CX211" s="816"/>
      <c r="CY211" s="816"/>
      <c r="CZ211" s="816"/>
      <c r="DA211" s="609"/>
      <c r="DB211" s="609"/>
      <c r="DC211" s="816"/>
      <c r="DD211" s="816"/>
      <c r="DE211" s="609"/>
      <c r="DF211" s="609"/>
      <c r="DG211" s="816"/>
      <c r="DH211" s="816"/>
      <c r="DI211" s="816"/>
      <c r="DJ211" s="816"/>
      <c r="DK211" s="816"/>
      <c r="DL211" s="816"/>
      <c r="DM211" s="609"/>
      <c r="DN211" s="609"/>
      <c r="DO211" s="816"/>
      <c r="DP211" s="816"/>
      <c r="DQ211" s="609"/>
      <c r="DR211" s="609"/>
      <c r="DS211" s="816"/>
      <c r="DT211" s="816"/>
      <c r="DU211" s="609"/>
      <c r="DV211" s="609"/>
      <c r="DW211" s="816"/>
      <c r="DX211" s="816"/>
      <c r="DY211" s="816"/>
      <c r="DZ211" s="816"/>
      <c r="EA211" s="816"/>
      <c r="EB211" s="816"/>
      <c r="EC211" s="821"/>
      <c r="ED211" s="609"/>
      <c r="EE211" s="816"/>
      <c r="EF211" s="816"/>
      <c r="EG211" s="822"/>
      <c r="EH211" s="609"/>
      <c r="EI211" s="816"/>
      <c r="EJ211" s="816"/>
      <c r="EK211" s="609"/>
      <c r="EL211" s="816"/>
      <c r="EM211" s="816"/>
      <c r="EN211" s="816"/>
      <c r="EO211" s="816"/>
      <c r="EP211" s="816"/>
      <c r="EQ211" s="816"/>
      <c r="ER211" s="816"/>
      <c r="ES211" s="816"/>
      <c r="ET211" s="816"/>
      <c r="EU211" s="816"/>
      <c r="EV211" s="816"/>
      <c r="EW211" s="823"/>
      <c r="EX211" s="824"/>
      <c r="EY211" s="825"/>
      <c r="EZ211" s="825"/>
      <c r="FA211" s="816"/>
      <c r="FC211" s="834"/>
      <c r="FD211" s="834"/>
      <c r="FE211" s="826"/>
      <c r="FF211" s="834"/>
    </row>
    <row r="212" spans="2:162" s="780" customFormat="1">
      <c r="B212" s="609"/>
      <c r="C212" s="609"/>
      <c r="D212" s="609"/>
      <c r="E212" s="609"/>
      <c r="F212" s="609"/>
      <c r="G212" s="609"/>
      <c r="H212" s="609"/>
      <c r="I212" s="609"/>
      <c r="J212" s="609"/>
      <c r="K212" s="609"/>
      <c r="L212" s="609"/>
      <c r="M212" s="609"/>
      <c r="N212" s="609"/>
      <c r="O212" s="609"/>
      <c r="P212" s="609"/>
      <c r="Q212" s="609"/>
      <c r="R212" s="816"/>
      <c r="S212" s="816"/>
      <c r="T212" s="816"/>
      <c r="U212" s="816"/>
      <c r="V212" s="816"/>
      <c r="W212" s="816"/>
      <c r="X212" s="609"/>
      <c r="Y212" s="609"/>
      <c r="Z212" s="816"/>
      <c r="AA212" s="816"/>
      <c r="AB212" s="609"/>
      <c r="AC212" s="609"/>
      <c r="AD212" s="816"/>
      <c r="AE212" s="816"/>
      <c r="AF212" s="609"/>
      <c r="AG212" s="609"/>
      <c r="AH212" s="816"/>
      <c r="AI212" s="816"/>
      <c r="AJ212" s="817"/>
      <c r="AK212" s="609"/>
      <c r="AL212" s="609"/>
      <c r="AM212" s="816"/>
      <c r="AN212" s="816"/>
      <c r="AO212" s="816"/>
      <c r="AP212" s="816"/>
      <c r="AQ212" s="816"/>
      <c r="AR212" s="816"/>
      <c r="AS212" s="816"/>
      <c r="AT212" s="609"/>
      <c r="AU212" s="609"/>
      <c r="AV212" s="609"/>
      <c r="AW212" s="818"/>
      <c r="AX212" s="816"/>
      <c r="AY212" s="816"/>
      <c r="AZ212" s="609"/>
      <c r="BA212" s="609"/>
      <c r="BB212" s="816"/>
      <c r="BC212" s="816"/>
      <c r="BD212" s="609"/>
      <c r="BE212" s="609"/>
      <c r="BF212" s="816"/>
      <c r="BG212" s="816"/>
      <c r="BH212" s="816"/>
      <c r="BI212" s="816"/>
      <c r="BJ212" s="816"/>
      <c r="BK212" s="816"/>
      <c r="BL212" s="816"/>
      <c r="BM212" s="816"/>
      <c r="BN212" s="816"/>
      <c r="BO212" s="816"/>
      <c r="BP212" s="816"/>
      <c r="BQ212" s="816"/>
      <c r="BR212" s="816"/>
      <c r="BS212" s="816"/>
      <c r="BT212" s="816"/>
      <c r="BU212" s="816"/>
      <c r="BV212" s="816"/>
      <c r="BW212" s="816"/>
      <c r="BX212" s="609"/>
      <c r="BY212" s="609"/>
      <c r="BZ212" s="816"/>
      <c r="CA212" s="816"/>
      <c r="CB212" s="609"/>
      <c r="CC212" s="609"/>
      <c r="CD212" s="816"/>
      <c r="CE212" s="816"/>
      <c r="CF212" s="816"/>
      <c r="CG212" s="816"/>
      <c r="CH212" s="816"/>
      <c r="CI212" s="816"/>
      <c r="CJ212" s="816"/>
      <c r="CK212" s="816"/>
      <c r="CL212" s="819"/>
      <c r="CM212" s="816"/>
      <c r="CN212" s="820"/>
      <c r="CO212" s="820"/>
      <c r="CP212" s="820"/>
      <c r="CQ212" s="820"/>
      <c r="CR212" s="609"/>
      <c r="CS212" s="609"/>
      <c r="CT212" s="816"/>
      <c r="CU212" s="816"/>
      <c r="CV212" s="816"/>
      <c r="CW212" s="816"/>
      <c r="CX212" s="816"/>
      <c r="CY212" s="816"/>
      <c r="CZ212" s="816"/>
      <c r="DA212" s="609"/>
      <c r="DB212" s="609"/>
      <c r="DC212" s="816"/>
      <c r="DD212" s="816"/>
      <c r="DE212" s="609"/>
      <c r="DF212" s="609"/>
      <c r="DG212" s="816"/>
      <c r="DH212" s="816"/>
      <c r="DI212" s="816"/>
      <c r="DJ212" s="816"/>
      <c r="DK212" s="816"/>
      <c r="DL212" s="816"/>
      <c r="DM212" s="609"/>
      <c r="DN212" s="609"/>
      <c r="DO212" s="816"/>
      <c r="DP212" s="816"/>
      <c r="DQ212" s="609"/>
      <c r="DR212" s="609"/>
      <c r="DS212" s="816"/>
      <c r="DT212" s="816"/>
      <c r="DU212" s="609"/>
      <c r="DV212" s="609"/>
      <c r="DW212" s="816"/>
      <c r="DX212" s="816"/>
      <c r="DY212" s="816"/>
      <c r="DZ212" s="816"/>
      <c r="EA212" s="816"/>
      <c r="EB212" s="816"/>
      <c r="EC212" s="821"/>
      <c r="ED212" s="609"/>
      <c r="EE212" s="816"/>
      <c r="EF212" s="816"/>
      <c r="EG212" s="822"/>
      <c r="EH212" s="609"/>
      <c r="EI212" s="816"/>
      <c r="EJ212" s="816"/>
      <c r="EK212" s="609"/>
      <c r="EL212" s="816"/>
      <c r="EM212" s="816"/>
      <c r="EN212" s="816"/>
      <c r="EO212" s="816"/>
      <c r="EP212" s="816"/>
      <c r="EQ212" s="816"/>
      <c r="ER212" s="816"/>
      <c r="ES212" s="816"/>
      <c r="ET212" s="816"/>
      <c r="EU212" s="816"/>
      <c r="EV212" s="816"/>
      <c r="EW212" s="823"/>
      <c r="EX212" s="824"/>
      <c r="EY212" s="825"/>
      <c r="EZ212" s="825"/>
      <c r="FA212" s="816"/>
      <c r="FC212" s="834"/>
      <c r="FD212" s="834"/>
      <c r="FE212" s="826"/>
      <c r="FF212" s="834"/>
    </row>
    <row r="213" spans="2:162" s="780" customFormat="1">
      <c r="B213" s="609"/>
      <c r="C213" s="609"/>
      <c r="D213" s="609"/>
      <c r="E213" s="609"/>
      <c r="F213" s="609"/>
      <c r="G213" s="609"/>
      <c r="H213" s="609"/>
      <c r="I213" s="609"/>
      <c r="J213" s="609"/>
      <c r="K213" s="609"/>
      <c r="L213" s="609"/>
      <c r="M213" s="609"/>
      <c r="N213" s="609"/>
      <c r="O213" s="609"/>
      <c r="P213" s="609"/>
      <c r="Q213" s="609"/>
      <c r="R213" s="816"/>
      <c r="S213" s="816"/>
      <c r="T213" s="816"/>
      <c r="U213" s="816"/>
      <c r="V213" s="816"/>
      <c r="W213" s="816"/>
      <c r="X213" s="609"/>
      <c r="Y213" s="609"/>
      <c r="Z213" s="816"/>
      <c r="AA213" s="816"/>
      <c r="AB213" s="609"/>
      <c r="AC213" s="609"/>
      <c r="AD213" s="816"/>
      <c r="AE213" s="816"/>
      <c r="AF213" s="609"/>
      <c r="AG213" s="609"/>
      <c r="AH213" s="816"/>
      <c r="AI213" s="816"/>
      <c r="AJ213" s="817"/>
      <c r="AK213" s="609"/>
      <c r="AL213" s="609"/>
      <c r="AM213" s="816"/>
      <c r="AN213" s="816"/>
      <c r="AO213" s="816"/>
      <c r="AP213" s="816"/>
      <c r="AQ213" s="816"/>
      <c r="AR213" s="816"/>
      <c r="AS213" s="816"/>
      <c r="AT213" s="609"/>
      <c r="AU213" s="609"/>
      <c r="AV213" s="609"/>
      <c r="AW213" s="818"/>
      <c r="AX213" s="816"/>
      <c r="AY213" s="816"/>
      <c r="AZ213" s="609"/>
      <c r="BA213" s="609"/>
      <c r="BB213" s="816"/>
      <c r="BC213" s="816"/>
      <c r="BD213" s="609"/>
      <c r="BE213" s="609"/>
      <c r="BF213" s="816"/>
      <c r="BG213" s="816"/>
      <c r="BH213" s="816"/>
      <c r="BI213" s="816"/>
      <c r="BJ213" s="816"/>
      <c r="BK213" s="816"/>
      <c r="BL213" s="816"/>
      <c r="BM213" s="816"/>
      <c r="BN213" s="816"/>
      <c r="BO213" s="816"/>
      <c r="BP213" s="816"/>
      <c r="BQ213" s="816"/>
      <c r="BR213" s="816"/>
      <c r="BS213" s="816"/>
      <c r="BT213" s="816"/>
      <c r="BU213" s="816"/>
      <c r="BV213" s="816"/>
      <c r="BW213" s="816"/>
      <c r="BX213" s="609"/>
      <c r="BY213" s="609"/>
      <c r="BZ213" s="816"/>
      <c r="CA213" s="816"/>
      <c r="CB213" s="609"/>
      <c r="CC213" s="609"/>
      <c r="CD213" s="816"/>
      <c r="CE213" s="816"/>
      <c r="CF213" s="816"/>
      <c r="CG213" s="816"/>
      <c r="CH213" s="816"/>
      <c r="CI213" s="816"/>
      <c r="CJ213" s="816"/>
      <c r="CK213" s="816"/>
      <c r="CL213" s="819"/>
      <c r="CM213" s="816"/>
      <c r="CN213" s="820"/>
      <c r="CO213" s="820"/>
      <c r="CP213" s="820"/>
      <c r="CQ213" s="820"/>
      <c r="CR213" s="609"/>
      <c r="CS213" s="609"/>
      <c r="CT213" s="816"/>
      <c r="CU213" s="816"/>
      <c r="CV213" s="816"/>
      <c r="CW213" s="816"/>
      <c r="CX213" s="816"/>
      <c r="CY213" s="816"/>
      <c r="CZ213" s="816"/>
      <c r="DA213" s="609"/>
      <c r="DB213" s="609"/>
      <c r="DC213" s="816"/>
      <c r="DD213" s="816"/>
      <c r="DE213" s="609"/>
      <c r="DF213" s="609"/>
      <c r="DG213" s="816"/>
      <c r="DH213" s="816"/>
      <c r="DI213" s="816"/>
      <c r="DJ213" s="816"/>
      <c r="DK213" s="816"/>
      <c r="DL213" s="816"/>
      <c r="DM213" s="609"/>
      <c r="DN213" s="609"/>
      <c r="DO213" s="816"/>
      <c r="DP213" s="816"/>
      <c r="DQ213" s="609"/>
      <c r="DR213" s="609"/>
      <c r="DS213" s="816"/>
      <c r="DT213" s="816"/>
      <c r="DU213" s="609"/>
      <c r="DV213" s="609"/>
      <c r="DW213" s="816"/>
      <c r="DX213" s="816"/>
      <c r="DY213" s="816"/>
      <c r="DZ213" s="816"/>
      <c r="EA213" s="816"/>
      <c r="EB213" s="816"/>
      <c r="EC213" s="821"/>
      <c r="ED213" s="609"/>
      <c r="EE213" s="816"/>
      <c r="EF213" s="816"/>
      <c r="EG213" s="822"/>
      <c r="EH213" s="609"/>
      <c r="EI213" s="816"/>
      <c r="EJ213" s="816"/>
      <c r="EK213" s="609"/>
      <c r="EL213" s="816"/>
      <c r="EM213" s="816"/>
      <c r="EN213" s="816"/>
      <c r="EO213" s="816"/>
      <c r="EP213" s="816"/>
      <c r="EQ213" s="816"/>
      <c r="ER213" s="816"/>
      <c r="ES213" s="816"/>
      <c r="ET213" s="816"/>
      <c r="EU213" s="816"/>
      <c r="EV213" s="816"/>
      <c r="EW213" s="823"/>
      <c r="EX213" s="824"/>
      <c r="EY213" s="825"/>
      <c r="EZ213" s="825"/>
      <c r="FA213" s="816"/>
      <c r="FC213" s="834"/>
      <c r="FD213" s="834"/>
      <c r="FE213" s="826"/>
      <c r="FF213" s="834"/>
    </row>
    <row r="214" spans="2:162" s="780" customFormat="1">
      <c r="B214" s="609"/>
      <c r="C214" s="609"/>
      <c r="D214" s="609"/>
      <c r="E214" s="609"/>
      <c r="F214" s="609"/>
      <c r="G214" s="609"/>
      <c r="H214" s="609"/>
      <c r="I214" s="609"/>
      <c r="J214" s="609"/>
      <c r="K214" s="609"/>
      <c r="L214" s="609"/>
      <c r="M214" s="609"/>
      <c r="N214" s="609"/>
      <c r="O214" s="609"/>
      <c r="P214" s="609"/>
      <c r="Q214" s="609"/>
      <c r="R214" s="816"/>
      <c r="S214" s="816"/>
      <c r="T214" s="816"/>
      <c r="U214" s="816"/>
      <c r="V214" s="816"/>
      <c r="W214" s="816"/>
      <c r="X214" s="609"/>
      <c r="Y214" s="609"/>
      <c r="Z214" s="816"/>
      <c r="AA214" s="816"/>
      <c r="AB214" s="609"/>
      <c r="AC214" s="609"/>
      <c r="AD214" s="816"/>
      <c r="AE214" s="816"/>
      <c r="AF214" s="609"/>
      <c r="AG214" s="609"/>
      <c r="AH214" s="816"/>
      <c r="AI214" s="816"/>
      <c r="AJ214" s="817"/>
      <c r="AK214" s="609"/>
      <c r="AL214" s="609"/>
      <c r="AM214" s="816"/>
      <c r="AN214" s="816"/>
      <c r="AO214" s="816"/>
      <c r="AP214" s="816"/>
      <c r="AQ214" s="816"/>
      <c r="AR214" s="816"/>
      <c r="AS214" s="816"/>
      <c r="AT214" s="609"/>
      <c r="AU214" s="609"/>
      <c r="AV214" s="609"/>
      <c r="AW214" s="818"/>
      <c r="AX214" s="816"/>
      <c r="AY214" s="816"/>
      <c r="AZ214" s="609"/>
      <c r="BA214" s="609"/>
      <c r="BB214" s="816"/>
      <c r="BC214" s="816"/>
      <c r="BD214" s="609"/>
      <c r="BE214" s="609"/>
      <c r="BF214" s="816"/>
      <c r="BG214" s="816"/>
      <c r="BH214" s="816"/>
      <c r="BI214" s="816"/>
      <c r="BJ214" s="816"/>
      <c r="BK214" s="816"/>
      <c r="BL214" s="816"/>
      <c r="BM214" s="816"/>
      <c r="BN214" s="816"/>
      <c r="BO214" s="816"/>
      <c r="BP214" s="816"/>
      <c r="BQ214" s="816"/>
      <c r="BR214" s="816"/>
      <c r="BS214" s="816"/>
      <c r="BT214" s="816"/>
      <c r="BU214" s="816"/>
      <c r="BV214" s="816"/>
      <c r="BW214" s="816"/>
      <c r="BX214" s="609"/>
      <c r="BY214" s="609"/>
      <c r="BZ214" s="816"/>
      <c r="CA214" s="816"/>
      <c r="CB214" s="609"/>
      <c r="CC214" s="609"/>
      <c r="CD214" s="816"/>
      <c r="CE214" s="816"/>
      <c r="CF214" s="816"/>
      <c r="CG214" s="816"/>
      <c r="CH214" s="816"/>
      <c r="CI214" s="816"/>
      <c r="CJ214" s="816"/>
      <c r="CK214" s="816"/>
      <c r="CL214" s="819"/>
      <c r="CM214" s="816"/>
      <c r="CN214" s="820"/>
      <c r="CO214" s="820"/>
      <c r="CP214" s="820"/>
      <c r="CQ214" s="820"/>
      <c r="CR214" s="609"/>
      <c r="CS214" s="609"/>
      <c r="CT214" s="816"/>
      <c r="CU214" s="816"/>
      <c r="CV214" s="816"/>
      <c r="CW214" s="816"/>
      <c r="CX214" s="816"/>
      <c r="CY214" s="816"/>
      <c r="CZ214" s="816"/>
      <c r="DA214" s="609"/>
      <c r="DB214" s="609"/>
      <c r="DC214" s="816"/>
      <c r="DD214" s="816"/>
      <c r="DE214" s="609"/>
      <c r="DF214" s="609"/>
      <c r="DG214" s="816"/>
      <c r="DH214" s="816"/>
      <c r="DI214" s="816"/>
      <c r="DJ214" s="816"/>
      <c r="DK214" s="816"/>
      <c r="DL214" s="816"/>
      <c r="DM214" s="609"/>
      <c r="DN214" s="609"/>
      <c r="DO214" s="816"/>
      <c r="DP214" s="816"/>
      <c r="DQ214" s="609"/>
      <c r="DR214" s="609"/>
      <c r="DS214" s="816"/>
      <c r="DT214" s="816"/>
      <c r="DU214" s="609"/>
      <c r="DV214" s="609"/>
      <c r="DW214" s="816"/>
      <c r="DX214" s="816"/>
      <c r="DY214" s="816"/>
      <c r="DZ214" s="816"/>
      <c r="EA214" s="816"/>
      <c r="EB214" s="816"/>
      <c r="EC214" s="821"/>
      <c r="ED214" s="609"/>
      <c r="EE214" s="816"/>
      <c r="EF214" s="816"/>
      <c r="EG214" s="822"/>
      <c r="EH214" s="609"/>
      <c r="EI214" s="816"/>
      <c r="EJ214" s="816"/>
      <c r="EK214" s="609"/>
      <c r="EL214" s="816"/>
      <c r="EM214" s="816"/>
      <c r="EN214" s="816"/>
      <c r="EO214" s="816"/>
      <c r="EP214" s="816"/>
      <c r="EQ214" s="816"/>
      <c r="ER214" s="816"/>
      <c r="ES214" s="816"/>
      <c r="ET214" s="816"/>
      <c r="EU214" s="816"/>
      <c r="EV214" s="816"/>
      <c r="EW214" s="823"/>
      <c r="EX214" s="824"/>
      <c r="EY214" s="825"/>
      <c r="EZ214" s="825"/>
      <c r="FA214" s="816"/>
      <c r="FC214" s="834"/>
      <c r="FD214" s="834"/>
      <c r="FE214" s="826"/>
      <c r="FF214" s="834"/>
    </row>
    <row r="215" spans="2:162" s="780" customFormat="1">
      <c r="B215" s="609"/>
      <c r="C215" s="609"/>
      <c r="D215" s="609"/>
      <c r="E215" s="609"/>
      <c r="F215" s="609"/>
      <c r="G215" s="609"/>
      <c r="H215" s="609"/>
      <c r="I215" s="609"/>
      <c r="J215" s="609"/>
      <c r="K215" s="609"/>
      <c r="L215" s="609"/>
      <c r="M215" s="609"/>
      <c r="N215" s="609"/>
      <c r="O215" s="609"/>
      <c r="P215" s="609"/>
      <c r="Q215" s="609"/>
      <c r="R215" s="816"/>
      <c r="S215" s="816"/>
      <c r="T215" s="816"/>
      <c r="U215" s="816"/>
      <c r="V215" s="816"/>
      <c r="W215" s="816"/>
      <c r="X215" s="609"/>
      <c r="Y215" s="609"/>
      <c r="Z215" s="816"/>
      <c r="AA215" s="816"/>
      <c r="AB215" s="609"/>
      <c r="AC215" s="609"/>
      <c r="AD215" s="816"/>
      <c r="AE215" s="816"/>
      <c r="AF215" s="609"/>
      <c r="AG215" s="609"/>
      <c r="AH215" s="816"/>
      <c r="AI215" s="816"/>
      <c r="AJ215" s="817"/>
      <c r="AK215" s="609"/>
      <c r="AL215" s="609"/>
      <c r="AM215" s="816"/>
      <c r="AN215" s="816"/>
      <c r="AO215" s="816"/>
      <c r="AP215" s="816"/>
      <c r="AQ215" s="816"/>
      <c r="AR215" s="816"/>
      <c r="AS215" s="816"/>
      <c r="AT215" s="609"/>
      <c r="AU215" s="609"/>
      <c r="AV215" s="609"/>
      <c r="AW215" s="818"/>
      <c r="AX215" s="816"/>
      <c r="AY215" s="816"/>
      <c r="AZ215" s="609"/>
      <c r="BA215" s="609"/>
      <c r="BB215" s="816"/>
      <c r="BC215" s="816"/>
      <c r="BD215" s="609"/>
      <c r="BE215" s="609"/>
      <c r="BF215" s="816"/>
      <c r="BG215" s="816"/>
      <c r="BH215" s="816"/>
      <c r="BI215" s="816"/>
      <c r="BJ215" s="816"/>
      <c r="BK215" s="816"/>
      <c r="BL215" s="816"/>
      <c r="BM215" s="816"/>
      <c r="BN215" s="816"/>
      <c r="BO215" s="816"/>
      <c r="BP215" s="816"/>
      <c r="BQ215" s="816"/>
      <c r="BR215" s="816"/>
      <c r="BS215" s="816"/>
      <c r="BT215" s="816"/>
      <c r="BU215" s="816"/>
      <c r="BV215" s="816"/>
      <c r="BW215" s="816"/>
      <c r="BX215" s="609"/>
      <c r="BY215" s="609"/>
      <c r="BZ215" s="816"/>
      <c r="CA215" s="816"/>
      <c r="CB215" s="609"/>
      <c r="CC215" s="609"/>
      <c r="CD215" s="816"/>
      <c r="CE215" s="816"/>
      <c r="CF215" s="816"/>
      <c r="CG215" s="816"/>
      <c r="CH215" s="816"/>
      <c r="CI215" s="816"/>
      <c r="CJ215" s="816"/>
      <c r="CK215" s="816"/>
      <c r="CL215" s="819"/>
      <c r="CM215" s="816"/>
      <c r="CN215" s="820"/>
      <c r="CO215" s="820"/>
      <c r="CP215" s="820"/>
      <c r="CQ215" s="820"/>
      <c r="CR215" s="609"/>
      <c r="CS215" s="609"/>
      <c r="CT215" s="816"/>
      <c r="CU215" s="816"/>
      <c r="CV215" s="816"/>
      <c r="CW215" s="816"/>
      <c r="CX215" s="816"/>
      <c r="CY215" s="816"/>
      <c r="CZ215" s="816"/>
      <c r="DA215" s="609"/>
      <c r="DB215" s="609"/>
      <c r="DC215" s="816"/>
      <c r="DD215" s="816"/>
      <c r="DE215" s="609"/>
      <c r="DF215" s="609"/>
      <c r="DG215" s="816"/>
      <c r="DH215" s="816"/>
      <c r="DI215" s="816"/>
      <c r="DJ215" s="816"/>
      <c r="DK215" s="816"/>
      <c r="DL215" s="816"/>
      <c r="DM215" s="609"/>
      <c r="DN215" s="609"/>
      <c r="DO215" s="816"/>
      <c r="DP215" s="816"/>
      <c r="DQ215" s="609"/>
      <c r="DR215" s="609"/>
      <c r="DS215" s="816"/>
      <c r="DT215" s="816"/>
      <c r="DU215" s="609"/>
      <c r="DV215" s="609"/>
      <c r="DW215" s="816"/>
      <c r="DX215" s="816"/>
      <c r="DY215" s="816"/>
      <c r="DZ215" s="816"/>
      <c r="EA215" s="816"/>
      <c r="EB215" s="816"/>
      <c r="EC215" s="821"/>
      <c r="ED215" s="609"/>
      <c r="EE215" s="816"/>
      <c r="EF215" s="816"/>
      <c r="EG215" s="822"/>
      <c r="EH215" s="609"/>
      <c r="EI215" s="816"/>
      <c r="EJ215" s="816"/>
      <c r="EK215" s="609"/>
      <c r="EL215" s="816"/>
      <c r="EM215" s="816"/>
      <c r="EN215" s="816"/>
      <c r="EO215" s="816"/>
      <c r="EP215" s="816"/>
      <c r="EQ215" s="816"/>
      <c r="ER215" s="816"/>
      <c r="ES215" s="816"/>
      <c r="ET215" s="816"/>
      <c r="EU215" s="816"/>
      <c r="EV215" s="816"/>
      <c r="EW215" s="823"/>
      <c r="EX215" s="824"/>
      <c r="EY215" s="825"/>
      <c r="EZ215" s="825"/>
      <c r="FA215" s="816"/>
      <c r="FC215" s="834"/>
      <c r="FD215" s="834"/>
      <c r="FE215" s="826"/>
      <c r="FF215" s="834"/>
    </row>
    <row r="216" spans="2:162" s="780" customFormat="1">
      <c r="B216" s="609"/>
      <c r="C216" s="609"/>
      <c r="D216" s="609"/>
      <c r="E216" s="609"/>
      <c r="F216" s="609"/>
      <c r="G216" s="609"/>
      <c r="H216" s="609"/>
      <c r="I216" s="609"/>
      <c r="J216" s="609"/>
      <c r="K216" s="609"/>
      <c r="L216" s="609"/>
      <c r="M216" s="609"/>
      <c r="N216" s="609"/>
      <c r="O216" s="609"/>
      <c r="P216" s="609"/>
      <c r="Q216" s="609"/>
      <c r="R216" s="816"/>
      <c r="S216" s="816"/>
      <c r="T216" s="816"/>
      <c r="U216" s="816"/>
      <c r="V216" s="816"/>
      <c r="W216" s="816"/>
      <c r="X216" s="609"/>
      <c r="Y216" s="609"/>
      <c r="Z216" s="816"/>
      <c r="AA216" s="816"/>
      <c r="AB216" s="609"/>
      <c r="AC216" s="609"/>
      <c r="AD216" s="816"/>
      <c r="AE216" s="816"/>
      <c r="AF216" s="609"/>
      <c r="AG216" s="609"/>
      <c r="AH216" s="816"/>
      <c r="AI216" s="816"/>
      <c r="AJ216" s="817"/>
      <c r="AK216" s="609"/>
      <c r="AL216" s="609"/>
      <c r="AM216" s="816"/>
      <c r="AN216" s="816"/>
      <c r="AO216" s="816"/>
      <c r="AP216" s="816"/>
      <c r="AQ216" s="816"/>
      <c r="AR216" s="816"/>
      <c r="AS216" s="816"/>
      <c r="AT216" s="609"/>
      <c r="AU216" s="609"/>
      <c r="AV216" s="609"/>
      <c r="AW216" s="818"/>
      <c r="AX216" s="816"/>
      <c r="AY216" s="816"/>
      <c r="AZ216" s="609"/>
      <c r="BA216" s="609"/>
      <c r="BB216" s="816"/>
      <c r="BC216" s="816"/>
      <c r="BD216" s="609"/>
      <c r="BE216" s="609"/>
      <c r="BF216" s="816"/>
      <c r="BG216" s="816"/>
      <c r="BH216" s="816"/>
      <c r="BI216" s="816"/>
      <c r="BJ216" s="816"/>
      <c r="BK216" s="816"/>
      <c r="BL216" s="816"/>
      <c r="BM216" s="816"/>
      <c r="BN216" s="816"/>
      <c r="BO216" s="816"/>
      <c r="BP216" s="816"/>
      <c r="BQ216" s="816"/>
      <c r="BR216" s="816"/>
      <c r="BS216" s="816"/>
      <c r="BT216" s="816"/>
      <c r="BU216" s="816"/>
      <c r="BV216" s="816"/>
      <c r="BW216" s="816"/>
      <c r="BX216" s="609"/>
      <c r="BY216" s="609"/>
      <c r="BZ216" s="816"/>
      <c r="CA216" s="816"/>
      <c r="CB216" s="609"/>
      <c r="CC216" s="609"/>
      <c r="CD216" s="816"/>
      <c r="CE216" s="816"/>
      <c r="CF216" s="816"/>
      <c r="CG216" s="816"/>
      <c r="CH216" s="816"/>
      <c r="CI216" s="816"/>
      <c r="CJ216" s="816"/>
      <c r="CK216" s="816"/>
      <c r="CL216" s="819"/>
      <c r="CM216" s="816"/>
      <c r="CN216" s="820"/>
      <c r="CO216" s="820"/>
      <c r="CP216" s="820"/>
      <c r="CQ216" s="820"/>
      <c r="CR216" s="609"/>
      <c r="CS216" s="609"/>
      <c r="CT216" s="816"/>
      <c r="CU216" s="816"/>
      <c r="CV216" s="816"/>
      <c r="CW216" s="816"/>
      <c r="CX216" s="816"/>
      <c r="CY216" s="816"/>
      <c r="CZ216" s="816"/>
      <c r="DA216" s="609"/>
      <c r="DB216" s="609"/>
      <c r="DC216" s="816"/>
      <c r="DD216" s="816"/>
      <c r="DE216" s="609"/>
      <c r="DF216" s="609"/>
      <c r="DG216" s="816"/>
      <c r="DH216" s="816"/>
      <c r="DI216" s="816"/>
      <c r="DJ216" s="816"/>
      <c r="DK216" s="816"/>
      <c r="DL216" s="816"/>
      <c r="DM216" s="609"/>
      <c r="DN216" s="609"/>
      <c r="DO216" s="816"/>
      <c r="DP216" s="816"/>
      <c r="DQ216" s="609"/>
      <c r="DR216" s="609"/>
      <c r="DS216" s="816"/>
      <c r="DT216" s="816"/>
      <c r="DU216" s="609"/>
      <c r="DV216" s="609"/>
      <c r="DW216" s="816"/>
      <c r="DX216" s="816"/>
      <c r="DY216" s="816"/>
      <c r="DZ216" s="816"/>
      <c r="EA216" s="816"/>
      <c r="EB216" s="816"/>
      <c r="EC216" s="821"/>
      <c r="ED216" s="609"/>
      <c r="EE216" s="816"/>
      <c r="EF216" s="816"/>
      <c r="EG216" s="822"/>
      <c r="EH216" s="609"/>
      <c r="EI216" s="816"/>
      <c r="EJ216" s="816"/>
      <c r="EK216" s="609"/>
      <c r="EL216" s="816"/>
      <c r="EM216" s="816"/>
      <c r="EN216" s="816"/>
      <c r="EO216" s="816"/>
      <c r="EP216" s="816"/>
      <c r="EQ216" s="816"/>
      <c r="ER216" s="816"/>
      <c r="ES216" s="816"/>
      <c r="ET216" s="816"/>
      <c r="EU216" s="816"/>
      <c r="EV216" s="816"/>
      <c r="EW216" s="823"/>
      <c r="EX216" s="824"/>
      <c r="EY216" s="825"/>
      <c r="EZ216" s="825"/>
      <c r="FA216" s="816"/>
      <c r="FC216" s="834"/>
      <c r="FD216" s="834"/>
      <c r="FE216" s="826"/>
      <c r="FF216" s="834"/>
    </row>
    <row r="217" spans="2:162" s="780" customFormat="1">
      <c r="B217" s="609"/>
      <c r="C217" s="609"/>
      <c r="D217" s="609"/>
      <c r="E217" s="609"/>
      <c r="F217" s="609"/>
      <c r="G217" s="609"/>
      <c r="H217" s="609"/>
      <c r="I217" s="609"/>
      <c r="J217" s="609"/>
      <c r="K217" s="609"/>
      <c r="L217" s="609"/>
      <c r="M217" s="609"/>
      <c r="N217" s="609"/>
      <c r="O217" s="609"/>
      <c r="P217" s="609"/>
      <c r="Q217" s="609"/>
      <c r="R217" s="816"/>
      <c r="S217" s="816"/>
      <c r="T217" s="816"/>
      <c r="U217" s="816"/>
      <c r="V217" s="816"/>
      <c r="W217" s="816"/>
      <c r="X217" s="609"/>
      <c r="Y217" s="609"/>
      <c r="Z217" s="816"/>
      <c r="AA217" s="816"/>
      <c r="AB217" s="609"/>
      <c r="AC217" s="609"/>
      <c r="AD217" s="816"/>
      <c r="AE217" s="816"/>
      <c r="AF217" s="609"/>
      <c r="AG217" s="609"/>
      <c r="AH217" s="816"/>
      <c r="AI217" s="816"/>
      <c r="AJ217" s="817"/>
      <c r="AK217" s="609"/>
      <c r="AL217" s="609"/>
      <c r="AM217" s="816"/>
      <c r="AN217" s="816"/>
      <c r="AO217" s="816"/>
      <c r="AP217" s="816"/>
      <c r="AQ217" s="816"/>
      <c r="AR217" s="816"/>
      <c r="AS217" s="816"/>
      <c r="AT217" s="609"/>
      <c r="AU217" s="609"/>
      <c r="AV217" s="609"/>
      <c r="AW217" s="818"/>
      <c r="AX217" s="816"/>
      <c r="AY217" s="816"/>
      <c r="AZ217" s="609"/>
      <c r="BA217" s="609"/>
      <c r="BB217" s="816"/>
      <c r="BC217" s="816"/>
      <c r="BD217" s="609"/>
      <c r="BE217" s="609"/>
      <c r="BF217" s="816"/>
      <c r="BG217" s="816"/>
      <c r="BH217" s="816"/>
      <c r="BI217" s="816"/>
      <c r="BJ217" s="816"/>
      <c r="BK217" s="816"/>
      <c r="BL217" s="816"/>
      <c r="BM217" s="816"/>
      <c r="BN217" s="816"/>
      <c r="BO217" s="816"/>
      <c r="BP217" s="816"/>
      <c r="BQ217" s="816"/>
      <c r="BR217" s="816"/>
      <c r="BS217" s="816"/>
      <c r="BT217" s="816"/>
      <c r="BU217" s="816"/>
      <c r="BV217" s="816"/>
      <c r="BW217" s="816"/>
      <c r="BX217" s="609"/>
      <c r="BY217" s="609"/>
      <c r="BZ217" s="816"/>
      <c r="CA217" s="816"/>
      <c r="CB217" s="609"/>
      <c r="CC217" s="609"/>
      <c r="CD217" s="816"/>
      <c r="CE217" s="816"/>
      <c r="CF217" s="816"/>
      <c r="CG217" s="816"/>
      <c r="CH217" s="816"/>
      <c r="CI217" s="816"/>
      <c r="CJ217" s="816"/>
      <c r="CK217" s="816"/>
      <c r="CL217" s="819"/>
      <c r="CM217" s="816"/>
      <c r="CN217" s="820"/>
      <c r="CO217" s="820"/>
      <c r="CP217" s="820"/>
      <c r="CQ217" s="820"/>
      <c r="CR217" s="609"/>
      <c r="CS217" s="609"/>
      <c r="CT217" s="816"/>
      <c r="CU217" s="816"/>
      <c r="CV217" s="816"/>
      <c r="CW217" s="816"/>
      <c r="CX217" s="816"/>
      <c r="CY217" s="816"/>
      <c r="CZ217" s="816"/>
      <c r="DA217" s="609"/>
      <c r="DB217" s="609"/>
      <c r="DC217" s="816"/>
      <c r="DD217" s="816"/>
      <c r="DE217" s="609"/>
      <c r="DF217" s="609"/>
      <c r="DG217" s="816"/>
      <c r="DH217" s="816"/>
      <c r="DI217" s="816"/>
      <c r="DJ217" s="816"/>
      <c r="DK217" s="816"/>
      <c r="DL217" s="816"/>
      <c r="DM217" s="609"/>
      <c r="DN217" s="609"/>
      <c r="DO217" s="816"/>
      <c r="DP217" s="816"/>
      <c r="DQ217" s="609"/>
      <c r="DR217" s="609"/>
      <c r="DS217" s="816"/>
      <c r="DT217" s="816"/>
      <c r="DU217" s="609"/>
      <c r="DV217" s="609"/>
      <c r="DW217" s="816"/>
      <c r="DX217" s="816"/>
      <c r="DY217" s="816"/>
      <c r="DZ217" s="816"/>
      <c r="EA217" s="816"/>
      <c r="EB217" s="816"/>
      <c r="EC217" s="821"/>
      <c r="ED217" s="609"/>
      <c r="EE217" s="816"/>
      <c r="EF217" s="816"/>
      <c r="EG217" s="822"/>
      <c r="EH217" s="609"/>
      <c r="EI217" s="816"/>
      <c r="EJ217" s="816"/>
      <c r="EK217" s="609"/>
      <c r="EL217" s="816"/>
      <c r="EM217" s="816"/>
      <c r="EN217" s="816"/>
      <c r="EO217" s="816"/>
      <c r="EP217" s="816"/>
      <c r="EQ217" s="816"/>
      <c r="ER217" s="816"/>
      <c r="ES217" s="816"/>
      <c r="ET217" s="816"/>
      <c r="EU217" s="816"/>
      <c r="EV217" s="816"/>
      <c r="EW217" s="823"/>
      <c r="EX217" s="824"/>
      <c r="EY217" s="825"/>
      <c r="EZ217" s="825"/>
      <c r="FA217" s="816"/>
      <c r="FC217" s="834"/>
      <c r="FD217" s="834"/>
      <c r="FE217" s="826"/>
      <c r="FF217" s="834"/>
    </row>
    <row r="218" spans="2:162" s="780" customFormat="1">
      <c r="B218" s="609"/>
      <c r="C218" s="609"/>
      <c r="D218" s="609"/>
      <c r="E218" s="609"/>
      <c r="F218" s="609"/>
      <c r="G218" s="609"/>
      <c r="H218" s="609"/>
      <c r="I218" s="609"/>
      <c r="J218" s="609"/>
      <c r="K218" s="609"/>
      <c r="L218" s="609"/>
      <c r="M218" s="609"/>
      <c r="N218" s="609"/>
      <c r="O218" s="609"/>
      <c r="P218" s="609"/>
      <c r="Q218" s="609"/>
      <c r="R218" s="816"/>
      <c r="S218" s="816"/>
      <c r="T218" s="816"/>
      <c r="U218" s="816"/>
      <c r="V218" s="816"/>
      <c r="W218" s="816"/>
      <c r="X218" s="609"/>
      <c r="Y218" s="609"/>
      <c r="Z218" s="816"/>
      <c r="AA218" s="816"/>
      <c r="AB218" s="609"/>
      <c r="AC218" s="609"/>
      <c r="AD218" s="816"/>
      <c r="AE218" s="816"/>
      <c r="AF218" s="609"/>
      <c r="AG218" s="609"/>
      <c r="AH218" s="816"/>
      <c r="AI218" s="816"/>
      <c r="AJ218" s="817"/>
      <c r="AK218" s="609"/>
      <c r="AL218" s="609"/>
      <c r="AM218" s="816"/>
      <c r="AN218" s="816"/>
      <c r="AO218" s="816"/>
      <c r="AP218" s="816"/>
      <c r="AQ218" s="816"/>
      <c r="AR218" s="816"/>
      <c r="AS218" s="816"/>
      <c r="AT218" s="609"/>
      <c r="AU218" s="609"/>
      <c r="AV218" s="609"/>
      <c r="AW218" s="818"/>
      <c r="AX218" s="816"/>
      <c r="AY218" s="816"/>
      <c r="AZ218" s="609"/>
      <c r="BA218" s="609"/>
      <c r="BB218" s="816"/>
      <c r="BC218" s="816"/>
      <c r="BD218" s="609"/>
      <c r="BE218" s="609"/>
      <c r="BF218" s="816"/>
      <c r="BG218" s="816"/>
      <c r="BH218" s="816"/>
      <c r="BI218" s="816"/>
      <c r="BJ218" s="816"/>
      <c r="BK218" s="816"/>
      <c r="BL218" s="816"/>
      <c r="BM218" s="816"/>
      <c r="BN218" s="816"/>
      <c r="BO218" s="816"/>
      <c r="BP218" s="816"/>
      <c r="BQ218" s="816"/>
      <c r="BR218" s="816"/>
      <c r="BS218" s="816"/>
      <c r="BT218" s="816"/>
      <c r="BU218" s="816"/>
      <c r="BV218" s="816"/>
      <c r="BW218" s="816"/>
      <c r="BX218" s="609"/>
      <c r="BY218" s="609"/>
      <c r="BZ218" s="816"/>
      <c r="CA218" s="816"/>
      <c r="CB218" s="609"/>
      <c r="CC218" s="609"/>
      <c r="CD218" s="816"/>
      <c r="CE218" s="816"/>
      <c r="CF218" s="816"/>
      <c r="CG218" s="816"/>
      <c r="CH218" s="816"/>
      <c r="CI218" s="816"/>
      <c r="CJ218" s="816"/>
      <c r="CK218" s="816"/>
      <c r="CL218" s="819"/>
      <c r="CM218" s="816"/>
      <c r="CN218" s="820"/>
      <c r="CO218" s="820"/>
      <c r="CP218" s="820"/>
      <c r="CQ218" s="820"/>
      <c r="CR218" s="609"/>
      <c r="CS218" s="609"/>
      <c r="CT218" s="816"/>
      <c r="CU218" s="816"/>
      <c r="CV218" s="816"/>
      <c r="CW218" s="816"/>
      <c r="CX218" s="816"/>
      <c r="CY218" s="816"/>
      <c r="CZ218" s="816"/>
      <c r="DA218" s="609"/>
      <c r="DB218" s="609"/>
      <c r="DC218" s="816"/>
      <c r="DD218" s="816"/>
      <c r="DE218" s="609"/>
      <c r="DF218" s="609"/>
      <c r="DG218" s="816"/>
      <c r="DH218" s="816"/>
      <c r="DI218" s="816"/>
      <c r="DJ218" s="816"/>
      <c r="DK218" s="816"/>
      <c r="DL218" s="816"/>
      <c r="DM218" s="609"/>
      <c r="DN218" s="609"/>
      <c r="DO218" s="816"/>
      <c r="DP218" s="816"/>
      <c r="DQ218" s="609"/>
      <c r="DR218" s="609"/>
      <c r="DS218" s="816"/>
      <c r="DT218" s="816"/>
      <c r="DU218" s="609"/>
      <c r="DV218" s="609"/>
      <c r="DW218" s="816"/>
      <c r="DX218" s="816"/>
      <c r="DY218" s="816"/>
      <c r="DZ218" s="816"/>
      <c r="EA218" s="816"/>
      <c r="EB218" s="816"/>
      <c r="EC218" s="821"/>
      <c r="ED218" s="609"/>
      <c r="EE218" s="816"/>
      <c r="EF218" s="816"/>
      <c r="EG218" s="822"/>
      <c r="EH218" s="609"/>
      <c r="EI218" s="816"/>
      <c r="EJ218" s="816"/>
      <c r="EK218" s="609"/>
      <c r="EL218" s="816"/>
      <c r="EM218" s="816"/>
      <c r="EN218" s="816"/>
      <c r="EO218" s="816"/>
      <c r="EP218" s="816"/>
      <c r="EQ218" s="816"/>
      <c r="ER218" s="816"/>
      <c r="ES218" s="816"/>
      <c r="ET218" s="816"/>
      <c r="EU218" s="816"/>
      <c r="EV218" s="816"/>
      <c r="EW218" s="823"/>
      <c r="EX218" s="824"/>
      <c r="EY218" s="825"/>
      <c r="EZ218" s="825"/>
      <c r="FA218" s="816"/>
      <c r="FC218" s="834"/>
      <c r="FD218" s="834"/>
      <c r="FE218" s="826"/>
      <c r="FF218" s="834"/>
    </row>
    <row r="219" spans="2:162" s="780" customFormat="1">
      <c r="B219" s="609"/>
      <c r="C219" s="609"/>
      <c r="D219" s="609"/>
      <c r="E219" s="609"/>
      <c r="F219" s="609"/>
      <c r="G219" s="609"/>
      <c r="H219" s="609"/>
      <c r="I219" s="609"/>
      <c r="J219" s="609"/>
      <c r="K219" s="609"/>
      <c r="L219" s="609"/>
      <c r="M219" s="609"/>
      <c r="N219" s="609"/>
      <c r="O219" s="609"/>
      <c r="P219" s="609"/>
      <c r="Q219" s="609"/>
      <c r="R219" s="816"/>
      <c r="S219" s="816"/>
      <c r="T219" s="816"/>
      <c r="U219" s="816"/>
      <c r="V219" s="816"/>
      <c r="W219" s="816"/>
      <c r="X219" s="609"/>
      <c r="Y219" s="609"/>
      <c r="Z219" s="816"/>
      <c r="AA219" s="816"/>
      <c r="AB219" s="609"/>
      <c r="AC219" s="609"/>
      <c r="AD219" s="816"/>
      <c r="AE219" s="816"/>
      <c r="AF219" s="609"/>
      <c r="AG219" s="609"/>
      <c r="AH219" s="816"/>
      <c r="AI219" s="816"/>
      <c r="AJ219" s="817"/>
      <c r="AK219" s="609"/>
      <c r="AL219" s="609"/>
      <c r="AM219" s="816"/>
      <c r="AN219" s="816"/>
      <c r="AO219" s="816"/>
      <c r="AP219" s="816"/>
      <c r="AQ219" s="816"/>
      <c r="AR219" s="816"/>
      <c r="AS219" s="816"/>
      <c r="AT219" s="609"/>
      <c r="AU219" s="609"/>
      <c r="AV219" s="609"/>
      <c r="AW219" s="818"/>
      <c r="AX219" s="816"/>
      <c r="AY219" s="816"/>
      <c r="AZ219" s="609"/>
      <c r="BA219" s="609"/>
      <c r="BB219" s="816"/>
      <c r="BC219" s="816"/>
      <c r="BD219" s="609"/>
      <c r="BE219" s="609"/>
      <c r="BF219" s="816"/>
      <c r="BG219" s="816"/>
      <c r="BH219" s="816"/>
      <c r="BI219" s="816"/>
      <c r="BJ219" s="816"/>
      <c r="BK219" s="816"/>
      <c r="BL219" s="816"/>
      <c r="BM219" s="816"/>
      <c r="BN219" s="816"/>
      <c r="BO219" s="816"/>
      <c r="BP219" s="816"/>
      <c r="BQ219" s="816"/>
      <c r="BR219" s="816"/>
      <c r="BS219" s="816"/>
      <c r="BT219" s="816"/>
      <c r="BU219" s="816"/>
      <c r="BV219" s="816"/>
      <c r="BW219" s="816"/>
      <c r="BX219" s="609"/>
      <c r="BY219" s="609"/>
      <c r="BZ219" s="816"/>
      <c r="CA219" s="816"/>
      <c r="CB219" s="609"/>
      <c r="CC219" s="609"/>
      <c r="CD219" s="816"/>
      <c r="CE219" s="816"/>
      <c r="CF219" s="816"/>
      <c r="CG219" s="816"/>
      <c r="CH219" s="816"/>
      <c r="CI219" s="816"/>
      <c r="CJ219" s="816"/>
      <c r="CK219" s="816"/>
      <c r="CL219" s="819"/>
      <c r="CM219" s="816"/>
      <c r="CN219" s="820"/>
      <c r="CO219" s="820"/>
      <c r="CP219" s="820"/>
      <c r="CQ219" s="820"/>
      <c r="CR219" s="609"/>
      <c r="CS219" s="609"/>
      <c r="CT219" s="816"/>
      <c r="CU219" s="816"/>
      <c r="CV219" s="816"/>
      <c r="CW219" s="816"/>
      <c r="CX219" s="816"/>
      <c r="CY219" s="816"/>
      <c r="CZ219" s="816"/>
      <c r="DA219" s="609"/>
      <c r="DB219" s="609"/>
      <c r="DC219" s="816"/>
      <c r="DD219" s="816"/>
      <c r="DE219" s="609"/>
      <c r="DF219" s="609"/>
      <c r="DG219" s="816"/>
      <c r="DH219" s="816"/>
      <c r="DI219" s="816"/>
      <c r="DJ219" s="816"/>
      <c r="DK219" s="816"/>
      <c r="DL219" s="816"/>
      <c r="DM219" s="609"/>
      <c r="DN219" s="609"/>
      <c r="DO219" s="816"/>
      <c r="DP219" s="816"/>
      <c r="DQ219" s="609"/>
      <c r="DR219" s="609"/>
      <c r="DS219" s="816"/>
      <c r="DT219" s="816"/>
      <c r="DU219" s="609"/>
      <c r="DV219" s="609"/>
      <c r="DW219" s="816"/>
      <c r="DX219" s="816"/>
      <c r="DY219" s="816"/>
      <c r="DZ219" s="816"/>
      <c r="EA219" s="816"/>
      <c r="EB219" s="816"/>
      <c r="EC219" s="821"/>
      <c r="ED219" s="609"/>
      <c r="EE219" s="816"/>
      <c r="EF219" s="816"/>
      <c r="EG219" s="822"/>
      <c r="EH219" s="609"/>
      <c r="EI219" s="816"/>
      <c r="EJ219" s="816"/>
      <c r="EK219" s="609"/>
      <c r="EL219" s="816"/>
      <c r="EM219" s="816"/>
      <c r="EN219" s="816"/>
      <c r="EO219" s="816"/>
      <c r="EP219" s="816"/>
      <c r="EQ219" s="816"/>
      <c r="ER219" s="816"/>
      <c r="ES219" s="816"/>
      <c r="ET219" s="816"/>
      <c r="EU219" s="816"/>
      <c r="EV219" s="816"/>
      <c r="EW219" s="823"/>
      <c r="EX219" s="824"/>
      <c r="EY219" s="825"/>
      <c r="EZ219" s="825"/>
      <c r="FA219" s="816"/>
      <c r="FC219" s="834"/>
      <c r="FD219" s="834"/>
      <c r="FE219" s="826"/>
      <c r="FF219" s="834"/>
    </row>
    <row r="220" spans="2:162" s="780" customFormat="1">
      <c r="B220" s="609"/>
      <c r="C220" s="609"/>
      <c r="D220" s="609"/>
      <c r="E220" s="609"/>
      <c r="F220" s="609"/>
      <c r="G220" s="609"/>
      <c r="H220" s="609"/>
      <c r="I220" s="609"/>
      <c r="J220" s="609"/>
      <c r="K220" s="609"/>
      <c r="L220" s="609"/>
      <c r="M220" s="609"/>
      <c r="N220" s="609"/>
      <c r="O220" s="609"/>
      <c r="P220" s="609"/>
      <c r="Q220" s="609"/>
      <c r="R220" s="816"/>
      <c r="S220" s="816"/>
      <c r="T220" s="816"/>
      <c r="U220" s="816"/>
      <c r="V220" s="816"/>
      <c r="W220" s="816"/>
      <c r="X220" s="609"/>
      <c r="Y220" s="609"/>
      <c r="Z220" s="816"/>
      <c r="AA220" s="816"/>
      <c r="AB220" s="609"/>
      <c r="AC220" s="609"/>
      <c r="AD220" s="816"/>
      <c r="AE220" s="816"/>
      <c r="AF220" s="609"/>
      <c r="AG220" s="609"/>
      <c r="AH220" s="816"/>
      <c r="AI220" s="816"/>
      <c r="AJ220" s="817"/>
      <c r="AK220" s="609"/>
      <c r="AL220" s="609"/>
      <c r="AM220" s="816"/>
      <c r="AN220" s="816"/>
      <c r="AO220" s="816"/>
      <c r="AP220" s="816"/>
      <c r="AQ220" s="816"/>
      <c r="AR220" s="816"/>
      <c r="AS220" s="816"/>
      <c r="AT220" s="609"/>
      <c r="AU220" s="609"/>
      <c r="AV220" s="609"/>
      <c r="AW220" s="818"/>
      <c r="AX220" s="816"/>
      <c r="AY220" s="816"/>
      <c r="AZ220" s="609"/>
      <c r="BA220" s="609"/>
      <c r="BB220" s="816"/>
      <c r="BC220" s="816"/>
      <c r="BD220" s="609"/>
      <c r="BE220" s="609"/>
      <c r="BF220" s="816"/>
      <c r="BG220" s="816"/>
      <c r="BH220" s="816"/>
      <c r="BI220" s="816"/>
      <c r="BJ220" s="816"/>
      <c r="BK220" s="816"/>
      <c r="BL220" s="816"/>
      <c r="BM220" s="816"/>
      <c r="BN220" s="816"/>
      <c r="BO220" s="816"/>
      <c r="BP220" s="816"/>
      <c r="BQ220" s="816"/>
      <c r="BR220" s="816"/>
      <c r="BS220" s="816"/>
      <c r="BT220" s="816"/>
      <c r="BU220" s="816"/>
      <c r="BV220" s="816"/>
      <c r="BW220" s="816"/>
      <c r="BX220" s="609"/>
      <c r="BY220" s="609"/>
      <c r="BZ220" s="816"/>
      <c r="CA220" s="816"/>
      <c r="CB220" s="609"/>
      <c r="CC220" s="609"/>
      <c r="CD220" s="816"/>
      <c r="CE220" s="816"/>
      <c r="CF220" s="816"/>
      <c r="CG220" s="816"/>
      <c r="CH220" s="816"/>
      <c r="CI220" s="816"/>
      <c r="CJ220" s="816"/>
      <c r="CK220" s="816"/>
      <c r="CL220" s="819"/>
      <c r="CM220" s="816"/>
      <c r="CN220" s="820"/>
      <c r="CO220" s="820"/>
      <c r="CP220" s="820"/>
      <c r="CQ220" s="820"/>
      <c r="CR220" s="609"/>
      <c r="CS220" s="609"/>
      <c r="CT220" s="816"/>
      <c r="CU220" s="816"/>
      <c r="CV220" s="816"/>
      <c r="CW220" s="816"/>
      <c r="CX220" s="816"/>
      <c r="CY220" s="816"/>
      <c r="CZ220" s="816"/>
      <c r="DA220" s="609"/>
      <c r="DB220" s="609"/>
      <c r="DC220" s="816"/>
      <c r="DD220" s="816"/>
      <c r="DE220" s="609"/>
      <c r="DF220" s="609"/>
      <c r="DG220" s="816"/>
      <c r="DH220" s="816"/>
      <c r="DI220" s="816"/>
      <c r="DJ220" s="816"/>
      <c r="DK220" s="816"/>
      <c r="DL220" s="816"/>
      <c r="DM220" s="609"/>
      <c r="DN220" s="609"/>
      <c r="DO220" s="816"/>
      <c r="DP220" s="816"/>
      <c r="DQ220" s="609"/>
      <c r="DR220" s="609"/>
      <c r="DS220" s="816"/>
      <c r="DT220" s="816"/>
      <c r="DU220" s="609"/>
      <c r="DV220" s="609"/>
      <c r="DW220" s="816"/>
      <c r="DX220" s="816"/>
      <c r="DY220" s="816"/>
      <c r="DZ220" s="816"/>
      <c r="EA220" s="816"/>
      <c r="EB220" s="816"/>
      <c r="EC220" s="821"/>
      <c r="ED220" s="609"/>
      <c r="EE220" s="816"/>
      <c r="EF220" s="816"/>
      <c r="EG220" s="822"/>
      <c r="EH220" s="609"/>
      <c r="EI220" s="816"/>
      <c r="EJ220" s="816"/>
      <c r="EK220" s="609"/>
      <c r="EL220" s="816"/>
      <c r="EM220" s="816"/>
      <c r="EN220" s="816"/>
      <c r="EO220" s="816"/>
      <c r="EP220" s="816"/>
      <c r="EQ220" s="816"/>
      <c r="ER220" s="816"/>
      <c r="ES220" s="816"/>
      <c r="ET220" s="816"/>
      <c r="EU220" s="816"/>
      <c r="EV220" s="816"/>
      <c r="EW220" s="823"/>
      <c r="EX220" s="824"/>
      <c r="EY220" s="825"/>
      <c r="EZ220" s="825"/>
      <c r="FA220" s="816"/>
      <c r="FC220" s="834"/>
      <c r="FD220" s="834"/>
      <c r="FE220" s="826"/>
      <c r="FF220" s="834"/>
    </row>
    <row r="221" spans="2:162" s="780" customFormat="1">
      <c r="B221" s="609"/>
      <c r="C221" s="609"/>
      <c r="D221" s="609"/>
      <c r="E221" s="609"/>
      <c r="F221" s="609"/>
      <c r="G221" s="609"/>
      <c r="H221" s="609"/>
      <c r="I221" s="609"/>
      <c r="J221" s="609"/>
      <c r="K221" s="609"/>
      <c r="L221" s="609"/>
      <c r="M221" s="609"/>
      <c r="N221" s="609"/>
      <c r="O221" s="609"/>
      <c r="P221" s="609"/>
      <c r="Q221" s="609"/>
      <c r="R221" s="816"/>
      <c r="S221" s="816"/>
      <c r="T221" s="816"/>
      <c r="U221" s="816"/>
      <c r="V221" s="816"/>
      <c r="W221" s="816"/>
      <c r="X221" s="609"/>
      <c r="Y221" s="609"/>
      <c r="Z221" s="816"/>
      <c r="AA221" s="816"/>
      <c r="AB221" s="609"/>
      <c r="AC221" s="609"/>
      <c r="AD221" s="816"/>
      <c r="AE221" s="816"/>
      <c r="AF221" s="609"/>
      <c r="AG221" s="609"/>
      <c r="AH221" s="816"/>
      <c r="AI221" s="816"/>
      <c r="AJ221" s="817"/>
      <c r="AK221" s="609"/>
      <c r="AL221" s="609"/>
      <c r="AM221" s="816"/>
      <c r="AN221" s="816"/>
      <c r="AO221" s="816"/>
      <c r="AP221" s="816"/>
      <c r="AQ221" s="816"/>
      <c r="AR221" s="816"/>
      <c r="AS221" s="816"/>
      <c r="AT221" s="609"/>
      <c r="AU221" s="609"/>
      <c r="AV221" s="609"/>
      <c r="AW221" s="818"/>
      <c r="AX221" s="816"/>
      <c r="AY221" s="816"/>
      <c r="AZ221" s="609"/>
      <c r="BA221" s="609"/>
      <c r="BB221" s="816"/>
      <c r="BC221" s="816"/>
      <c r="BD221" s="609"/>
      <c r="BE221" s="609"/>
      <c r="BF221" s="816"/>
      <c r="BG221" s="816"/>
      <c r="BH221" s="816"/>
      <c r="BI221" s="816"/>
      <c r="BJ221" s="816"/>
      <c r="BK221" s="816"/>
      <c r="BL221" s="816"/>
      <c r="BM221" s="816"/>
      <c r="BN221" s="816"/>
      <c r="BO221" s="816"/>
      <c r="BP221" s="816"/>
      <c r="BQ221" s="816"/>
      <c r="BR221" s="816"/>
      <c r="BS221" s="816"/>
      <c r="BT221" s="816"/>
      <c r="BU221" s="816"/>
      <c r="BV221" s="816"/>
      <c r="BW221" s="816"/>
      <c r="BX221" s="609"/>
      <c r="BY221" s="609"/>
      <c r="BZ221" s="816"/>
      <c r="CA221" s="816"/>
      <c r="CB221" s="609"/>
      <c r="CC221" s="609"/>
      <c r="CD221" s="816"/>
      <c r="CE221" s="816"/>
      <c r="CF221" s="816"/>
      <c r="CG221" s="816"/>
      <c r="CH221" s="816"/>
      <c r="CI221" s="816"/>
      <c r="CJ221" s="816"/>
      <c r="CK221" s="816"/>
      <c r="CL221" s="819"/>
      <c r="CM221" s="816"/>
      <c r="CN221" s="820"/>
      <c r="CO221" s="820"/>
      <c r="CP221" s="820"/>
      <c r="CQ221" s="820"/>
      <c r="CR221" s="609"/>
      <c r="CS221" s="609"/>
      <c r="CT221" s="816"/>
      <c r="CU221" s="816"/>
      <c r="CV221" s="816"/>
      <c r="CW221" s="816"/>
      <c r="CX221" s="816"/>
      <c r="CY221" s="816"/>
      <c r="CZ221" s="816"/>
      <c r="DA221" s="609"/>
      <c r="DB221" s="609"/>
      <c r="DC221" s="816"/>
      <c r="DD221" s="816"/>
      <c r="DE221" s="609"/>
      <c r="DF221" s="609"/>
      <c r="DG221" s="816"/>
      <c r="DH221" s="816"/>
      <c r="DI221" s="816"/>
      <c r="DJ221" s="816"/>
      <c r="DK221" s="816"/>
      <c r="DL221" s="816"/>
      <c r="DM221" s="609"/>
      <c r="DN221" s="609"/>
      <c r="DO221" s="816"/>
      <c r="DP221" s="816"/>
      <c r="DQ221" s="609"/>
      <c r="DR221" s="609"/>
      <c r="DS221" s="816"/>
      <c r="DT221" s="816"/>
      <c r="DU221" s="609"/>
      <c r="DV221" s="609"/>
      <c r="DW221" s="816"/>
      <c r="DX221" s="816"/>
      <c r="DY221" s="816"/>
      <c r="DZ221" s="816"/>
      <c r="EA221" s="816"/>
      <c r="EB221" s="816"/>
      <c r="EC221" s="821"/>
      <c r="ED221" s="609"/>
      <c r="EE221" s="816"/>
      <c r="EF221" s="816"/>
      <c r="EG221" s="822"/>
      <c r="EH221" s="609"/>
      <c r="EI221" s="816"/>
      <c r="EJ221" s="816"/>
      <c r="EK221" s="609"/>
      <c r="EL221" s="816"/>
      <c r="EM221" s="816"/>
      <c r="EN221" s="816"/>
      <c r="EO221" s="816"/>
      <c r="EP221" s="816"/>
      <c r="EQ221" s="816"/>
      <c r="ER221" s="816"/>
      <c r="ES221" s="816"/>
      <c r="ET221" s="816"/>
      <c r="EU221" s="816"/>
      <c r="EV221" s="816"/>
      <c r="EW221" s="823"/>
      <c r="EX221" s="824"/>
      <c r="EY221" s="825"/>
      <c r="EZ221" s="825"/>
      <c r="FA221" s="816"/>
      <c r="FC221" s="834"/>
      <c r="FD221" s="834"/>
      <c r="FE221" s="826"/>
      <c r="FF221" s="834"/>
    </row>
    <row r="222" spans="2:162" s="780" customFormat="1">
      <c r="B222" s="609"/>
      <c r="C222" s="609"/>
      <c r="D222" s="609"/>
      <c r="E222" s="609"/>
      <c r="F222" s="609"/>
      <c r="G222" s="609"/>
      <c r="H222" s="609"/>
      <c r="I222" s="609"/>
      <c r="J222" s="609"/>
      <c r="K222" s="609"/>
      <c r="L222" s="609"/>
      <c r="M222" s="609"/>
      <c r="N222" s="609"/>
      <c r="O222" s="609"/>
      <c r="P222" s="609"/>
      <c r="Q222" s="609"/>
      <c r="R222" s="816"/>
      <c r="S222" s="816"/>
      <c r="T222" s="816"/>
      <c r="U222" s="816"/>
      <c r="V222" s="816"/>
      <c r="W222" s="816"/>
      <c r="X222" s="609"/>
      <c r="Y222" s="609"/>
      <c r="Z222" s="816"/>
      <c r="AA222" s="816"/>
      <c r="AB222" s="609"/>
      <c r="AC222" s="609"/>
      <c r="AD222" s="816"/>
      <c r="AE222" s="816"/>
      <c r="AF222" s="609"/>
      <c r="AG222" s="609"/>
      <c r="AH222" s="816"/>
      <c r="AI222" s="816"/>
      <c r="AJ222" s="817"/>
      <c r="AK222" s="609"/>
      <c r="AL222" s="609"/>
      <c r="AM222" s="816"/>
      <c r="AN222" s="816"/>
      <c r="AO222" s="816"/>
      <c r="AP222" s="816"/>
      <c r="AQ222" s="816"/>
      <c r="AR222" s="816"/>
      <c r="AS222" s="816"/>
      <c r="AT222" s="609"/>
      <c r="AU222" s="609"/>
      <c r="AV222" s="609"/>
      <c r="AW222" s="818"/>
      <c r="AX222" s="816"/>
      <c r="AY222" s="816"/>
      <c r="AZ222" s="609"/>
      <c r="BA222" s="609"/>
      <c r="BB222" s="816"/>
      <c r="BC222" s="816"/>
      <c r="BD222" s="609"/>
      <c r="BE222" s="609"/>
      <c r="BF222" s="816"/>
      <c r="BG222" s="816"/>
      <c r="BH222" s="816"/>
      <c r="BI222" s="816"/>
      <c r="BJ222" s="816"/>
      <c r="BK222" s="816"/>
      <c r="BL222" s="816"/>
      <c r="BM222" s="816"/>
      <c r="BN222" s="816"/>
      <c r="BO222" s="816"/>
      <c r="BP222" s="816"/>
      <c r="BQ222" s="816"/>
      <c r="BR222" s="816"/>
      <c r="BS222" s="816"/>
      <c r="BT222" s="816"/>
      <c r="BU222" s="816"/>
      <c r="BV222" s="816"/>
      <c r="BW222" s="816"/>
      <c r="BX222" s="609"/>
      <c r="BY222" s="609"/>
      <c r="BZ222" s="816"/>
      <c r="CA222" s="816"/>
      <c r="CB222" s="609"/>
      <c r="CC222" s="609"/>
      <c r="CD222" s="816"/>
      <c r="CE222" s="816"/>
      <c r="CF222" s="816"/>
      <c r="CG222" s="816"/>
      <c r="CH222" s="816"/>
      <c r="CI222" s="816"/>
      <c r="CJ222" s="816"/>
      <c r="CK222" s="816"/>
      <c r="CL222" s="819"/>
      <c r="CM222" s="816"/>
      <c r="CN222" s="820"/>
      <c r="CO222" s="820"/>
      <c r="CP222" s="820"/>
      <c r="CQ222" s="820"/>
      <c r="CR222" s="609"/>
      <c r="CS222" s="609"/>
      <c r="CT222" s="816"/>
      <c r="CU222" s="816"/>
      <c r="CV222" s="816"/>
      <c r="CW222" s="816"/>
      <c r="CX222" s="816"/>
      <c r="CY222" s="816"/>
      <c r="CZ222" s="816"/>
      <c r="DA222" s="609"/>
      <c r="DB222" s="609"/>
      <c r="DC222" s="816"/>
      <c r="DD222" s="816"/>
      <c r="DE222" s="609"/>
      <c r="DF222" s="609"/>
      <c r="DG222" s="816"/>
      <c r="DH222" s="816"/>
      <c r="DI222" s="816"/>
      <c r="DJ222" s="816"/>
      <c r="DK222" s="816"/>
      <c r="DL222" s="816"/>
      <c r="DM222" s="609"/>
      <c r="DN222" s="609"/>
      <c r="DO222" s="816"/>
      <c r="DP222" s="816"/>
      <c r="DQ222" s="609"/>
      <c r="DR222" s="609"/>
      <c r="DS222" s="816"/>
      <c r="DT222" s="816"/>
      <c r="DU222" s="609"/>
      <c r="DV222" s="609"/>
      <c r="DW222" s="816"/>
      <c r="DX222" s="816"/>
      <c r="DY222" s="816"/>
      <c r="DZ222" s="816"/>
      <c r="EA222" s="816"/>
      <c r="EB222" s="816"/>
      <c r="EC222" s="821"/>
      <c r="ED222" s="609"/>
      <c r="EE222" s="816"/>
      <c r="EF222" s="816"/>
      <c r="EG222" s="822"/>
      <c r="EH222" s="609"/>
      <c r="EI222" s="816"/>
      <c r="EJ222" s="816"/>
      <c r="EK222" s="609"/>
      <c r="EL222" s="816"/>
      <c r="EM222" s="816"/>
      <c r="EN222" s="816"/>
      <c r="EO222" s="816"/>
      <c r="EP222" s="816"/>
      <c r="EQ222" s="816"/>
      <c r="ER222" s="816"/>
      <c r="ES222" s="816"/>
      <c r="ET222" s="816"/>
      <c r="EU222" s="816"/>
      <c r="EV222" s="816"/>
      <c r="EW222" s="823"/>
      <c r="EX222" s="824"/>
      <c r="EY222" s="825"/>
      <c r="EZ222" s="825"/>
      <c r="FA222" s="816"/>
      <c r="FC222" s="834"/>
      <c r="FD222" s="834"/>
      <c r="FE222" s="826"/>
      <c r="FF222" s="834"/>
    </row>
    <row r="223" spans="2:162" s="780" customFormat="1">
      <c r="B223" s="609"/>
      <c r="C223" s="609"/>
      <c r="D223" s="609"/>
      <c r="E223" s="609"/>
      <c r="F223" s="609"/>
      <c r="G223" s="609"/>
      <c r="H223" s="609"/>
      <c r="I223" s="609"/>
      <c r="J223" s="609"/>
      <c r="K223" s="609"/>
      <c r="L223" s="609"/>
      <c r="M223" s="609"/>
      <c r="N223" s="609"/>
      <c r="O223" s="609"/>
      <c r="P223" s="609"/>
      <c r="Q223" s="609"/>
      <c r="R223" s="816"/>
      <c r="S223" s="816"/>
      <c r="T223" s="816"/>
      <c r="U223" s="816"/>
      <c r="V223" s="816"/>
      <c r="W223" s="816"/>
      <c r="X223" s="609"/>
      <c r="Y223" s="609"/>
      <c r="Z223" s="816"/>
      <c r="AA223" s="816"/>
      <c r="AB223" s="609"/>
      <c r="AC223" s="609"/>
      <c r="AD223" s="816"/>
      <c r="AE223" s="816"/>
      <c r="AF223" s="609"/>
      <c r="AG223" s="609"/>
      <c r="AH223" s="816"/>
      <c r="AI223" s="816"/>
      <c r="AJ223" s="817"/>
      <c r="AK223" s="609"/>
      <c r="AL223" s="609"/>
      <c r="AM223" s="816"/>
      <c r="AN223" s="816"/>
      <c r="AO223" s="816"/>
      <c r="AP223" s="816"/>
      <c r="AQ223" s="816"/>
      <c r="AR223" s="816"/>
      <c r="AS223" s="816"/>
      <c r="AT223" s="609"/>
      <c r="AU223" s="609"/>
      <c r="AV223" s="609"/>
      <c r="AW223" s="818"/>
      <c r="AX223" s="816"/>
      <c r="AY223" s="816"/>
      <c r="AZ223" s="609"/>
      <c r="BA223" s="609"/>
      <c r="BB223" s="816"/>
      <c r="BC223" s="816"/>
      <c r="BD223" s="609"/>
      <c r="BE223" s="609"/>
      <c r="BF223" s="816"/>
      <c r="BG223" s="816"/>
      <c r="BH223" s="816"/>
      <c r="BI223" s="816"/>
      <c r="BJ223" s="816"/>
      <c r="BK223" s="816"/>
      <c r="BL223" s="816"/>
      <c r="BM223" s="816"/>
      <c r="BN223" s="816"/>
      <c r="BO223" s="816"/>
      <c r="BP223" s="816"/>
      <c r="BQ223" s="816"/>
      <c r="BR223" s="816"/>
      <c r="BS223" s="816"/>
      <c r="BT223" s="816"/>
      <c r="BU223" s="816"/>
      <c r="BV223" s="816"/>
      <c r="BW223" s="816"/>
      <c r="BX223" s="609"/>
      <c r="BY223" s="609"/>
      <c r="BZ223" s="816"/>
      <c r="CA223" s="816"/>
      <c r="CB223" s="609"/>
      <c r="CC223" s="609"/>
      <c r="CD223" s="816"/>
      <c r="CE223" s="816"/>
      <c r="CF223" s="816"/>
      <c r="CG223" s="816"/>
      <c r="CH223" s="816"/>
      <c r="CI223" s="816"/>
      <c r="CJ223" s="816"/>
      <c r="CK223" s="816"/>
      <c r="CL223" s="819"/>
      <c r="CM223" s="816"/>
      <c r="CN223" s="820"/>
      <c r="CO223" s="820"/>
      <c r="CP223" s="820"/>
      <c r="CQ223" s="820"/>
      <c r="CR223" s="609"/>
      <c r="CS223" s="609"/>
      <c r="CT223" s="816"/>
      <c r="CU223" s="816"/>
      <c r="CV223" s="816"/>
      <c r="CW223" s="816"/>
      <c r="CX223" s="816"/>
      <c r="CY223" s="816"/>
      <c r="CZ223" s="816"/>
      <c r="DA223" s="609"/>
      <c r="DB223" s="609"/>
      <c r="DC223" s="816"/>
      <c r="DD223" s="816"/>
      <c r="DE223" s="609"/>
      <c r="DF223" s="609"/>
      <c r="DG223" s="816"/>
      <c r="DH223" s="816"/>
      <c r="DI223" s="816"/>
      <c r="DJ223" s="816"/>
      <c r="DK223" s="816"/>
      <c r="DL223" s="816"/>
      <c r="DM223" s="609"/>
      <c r="DN223" s="609"/>
      <c r="DO223" s="816"/>
      <c r="DP223" s="816"/>
      <c r="DQ223" s="609"/>
      <c r="DR223" s="609"/>
      <c r="DS223" s="816"/>
      <c r="DT223" s="816"/>
      <c r="DU223" s="609"/>
      <c r="DV223" s="609"/>
      <c r="DW223" s="816"/>
      <c r="DX223" s="816"/>
      <c r="DY223" s="816"/>
      <c r="DZ223" s="816"/>
      <c r="EA223" s="816"/>
      <c r="EB223" s="816"/>
      <c r="EC223" s="821"/>
      <c r="ED223" s="609"/>
      <c r="EE223" s="816"/>
      <c r="EF223" s="816"/>
      <c r="EG223" s="822"/>
      <c r="EH223" s="609"/>
      <c r="EI223" s="816"/>
      <c r="EJ223" s="816"/>
      <c r="EK223" s="609"/>
      <c r="EL223" s="816"/>
      <c r="EM223" s="816"/>
      <c r="EN223" s="816"/>
      <c r="EO223" s="816"/>
      <c r="EP223" s="816"/>
      <c r="EQ223" s="816"/>
      <c r="ER223" s="816"/>
      <c r="ES223" s="816"/>
      <c r="ET223" s="816"/>
      <c r="EU223" s="816"/>
      <c r="EV223" s="816"/>
      <c r="EW223" s="823"/>
      <c r="EX223" s="824"/>
      <c r="EY223" s="825"/>
      <c r="EZ223" s="825"/>
      <c r="FA223" s="816"/>
      <c r="FC223" s="834"/>
      <c r="FD223" s="834"/>
      <c r="FE223" s="826"/>
      <c r="FF223" s="834"/>
    </row>
    <row r="224" spans="2:162" s="780" customFormat="1">
      <c r="B224" s="609"/>
      <c r="C224" s="609"/>
      <c r="D224" s="609"/>
      <c r="E224" s="609"/>
      <c r="F224" s="609"/>
      <c r="G224" s="609"/>
      <c r="H224" s="609"/>
      <c r="I224" s="609"/>
      <c r="J224" s="609"/>
      <c r="K224" s="609"/>
      <c r="L224" s="609"/>
      <c r="M224" s="609"/>
      <c r="N224" s="609"/>
      <c r="O224" s="609"/>
      <c r="P224" s="609"/>
      <c r="Q224" s="609"/>
      <c r="R224" s="816"/>
      <c r="S224" s="816"/>
      <c r="T224" s="816"/>
      <c r="U224" s="816"/>
      <c r="V224" s="816"/>
      <c r="W224" s="816"/>
      <c r="X224" s="609"/>
      <c r="Y224" s="609"/>
      <c r="Z224" s="816"/>
      <c r="AA224" s="816"/>
      <c r="AB224" s="609"/>
      <c r="AC224" s="609"/>
      <c r="AD224" s="816"/>
      <c r="AE224" s="816"/>
      <c r="AF224" s="609"/>
      <c r="AG224" s="609"/>
      <c r="AH224" s="816"/>
      <c r="AI224" s="816"/>
      <c r="AJ224" s="817"/>
      <c r="AK224" s="609"/>
      <c r="AL224" s="609"/>
      <c r="AM224" s="816"/>
      <c r="AN224" s="816"/>
      <c r="AO224" s="816"/>
      <c r="AP224" s="816"/>
      <c r="AQ224" s="816"/>
      <c r="AR224" s="816"/>
      <c r="AS224" s="816"/>
      <c r="AT224" s="609"/>
      <c r="AU224" s="609"/>
      <c r="AV224" s="609"/>
      <c r="AW224" s="818"/>
      <c r="AX224" s="816"/>
      <c r="AY224" s="816"/>
      <c r="AZ224" s="609"/>
      <c r="BA224" s="609"/>
      <c r="BB224" s="816"/>
      <c r="BC224" s="816"/>
      <c r="BD224" s="609"/>
      <c r="BE224" s="609"/>
      <c r="BF224" s="816"/>
      <c r="BG224" s="816"/>
      <c r="BH224" s="816"/>
      <c r="BI224" s="816"/>
      <c r="BJ224" s="816"/>
      <c r="BK224" s="816"/>
      <c r="BL224" s="816"/>
      <c r="BM224" s="816"/>
      <c r="BN224" s="816"/>
      <c r="BO224" s="816"/>
      <c r="BP224" s="816"/>
      <c r="BQ224" s="816"/>
      <c r="BR224" s="816"/>
      <c r="BS224" s="816"/>
      <c r="BT224" s="816"/>
      <c r="BU224" s="816"/>
      <c r="BV224" s="816"/>
      <c r="BW224" s="816"/>
      <c r="BX224" s="609"/>
      <c r="BY224" s="609"/>
      <c r="BZ224" s="816"/>
      <c r="CA224" s="816"/>
      <c r="CB224" s="609"/>
      <c r="CC224" s="609"/>
      <c r="CD224" s="816"/>
      <c r="CE224" s="816"/>
      <c r="CF224" s="816"/>
      <c r="CG224" s="816"/>
      <c r="CH224" s="816"/>
      <c r="CI224" s="816"/>
      <c r="CJ224" s="816"/>
      <c r="CK224" s="816"/>
      <c r="CL224" s="819"/>
      <c r="CM224" s="816"/>
      <c r="CN224" s="820"/>
      <c r="CO224" s="820"/>
      <c r="CP224" s="820"/>
      <c r="CQ224" s="820"/>
      <c r="CR224" s="609"/>
      <c r="CS224" s="609"/>
      <c r="CT224" s="816"/>
      <c r="CU224" s="816"/>
      <c r="CV224" s="816"/>
      <c r="CW224" s="816"/>
      <c r="CX224" s="816"/>
      <c r="CY224" s="816"/>
      <c r="CZ224" s="816"/>
      <c r="DA224" s="609"/>
      <c r="DB224" s="609"/>
      <c r="DC224" s="816"/>
      <c r="DD224" s="816"/>
      <c r="DE224" s="609"/>
      <c r="DF224" s="609"/>
      <c r="DG224" s="816"/>
      <c r="DH224" s="816"/>
      <c r="DI224" s="816"/>
      <c r="DJ224" s="816"/>
      <c r="DK224" s="816"/>
      <c r="DL224" s="816"/>
      <c r="DM224" s="609"/>
      <c r="DN224" s="609"/>
      <c r="DO224" s="816"/>
      <c r="DP224" s="816"/>
      <c r="DQ224" s="609"/>
      <c r="DR224" s="609"/>
      <c r="DS224" s="816"/>
      <c r="DT224" s="816"/>
      <c r="DU224" s="609"/>
      <c r="DV224" s="609"/>
      <c r="DW224" s="816"/>
      <c r="DX224" s="816"/>
      <c r="DY224" s="816"/>
      <c r="DZ224" s="816"/>
      <c r="EA224" s="816"/>
      <c r="EB224" s="816"/>
      <c r="EC224" s="821"/>
      <c r="ED224" s="609"/>
      <c r="EE224" s="816"/>
      <c r="EF224" s="816"/>
      <c r="EG224" s="822"/>
      <c r="EH224" s="609"/>
      <c r="EI224" s="816"/>
      <c r="EJ224" s="816"/>
      <c r="EK224" s="609"/>
      <c r="EL224" s="816"/>
      <c r="EM224" s="816"/>
      <c r="EN224" s="816"/>
      <c r="EO224" s="816"/>
      <c r="EP224" s="816"/>
      <c r="EQ224" s="816"/>
      <c r="ER224" s="816"/>
      <c r="ES224" s="816"/>
      <c r="ET224" s="816"/>
      <c r="EU224" s="816"/>
      <c r="EV224" s="816"/>
      <c r="EW224" s="823"/>
      <c r="EX224" s="824"/>
      <c r="EY224" s="825"/>
      <c r="EZ224" s="825"/>
      <c r="FA224" s="816"/>
      <c r="FC224" s="834"/>
      <c r="FD224" s="834"/>
      <c r="FE224" s="826"/>
      <c r="FF224" s="834"/>
    </row>
    <row r="225" spans="2:162" s="780" customFormat="1">
      <c r="B225" s="609"/>
      <c r="C225" s="609"/>
      <c r="D225" s="609"/>
      <c r="E225" s="609"/>
      <c r="F225" s="609"/>
      <c r="G225" s="609"/>
      <c r="H225" s="609"/>
      <c r="I225" s="609"/>
      <c r="J225" s="609"/>
      <c r="K225" s="609"/>
      <c r="L225" s="609"/>
      <c r="M225" s="609"/>
      <c r="N225" s="609"/>
      <c r="O225" s="609"/>
      <c r="P225" s="609"/>
      <c r="Q225" s="609"/>
      <c r="R225" s="816"/>
      <c r="S225" s="816"/>
      <c r="T225" s="816"/>
      <c r="U225" s="816"/>
      <c r="V225" s="816"/>
      <c r="W225" s="816"/>
      <c r="X225" s="609"/>
      <c r="Y225" s="609"/>
      <c r="Z225" s="816"/>
      <c r="AA225" s="816"/>
      <c r="AB225" s="609"/>
      <c r="AC225" s="609"/>
      <c r="AD225" s="816"/>
      <c r="AE225" s="816"/>
      <c r="AF225" s="609"/>
      <c r="AG225" s="609"/>
      <c r="AH225" s="816"/>
      <c r="AI225" s="816"/>
      <c r="AJ225" s="817"/>
      <c r="AK225" s="609"/>
      <c r="AL225" s="609"/>
      <c r="AM225" s="816"/>
      <c r="AN225" s="816"/>
      <c r="AO225" s="816"/>
      <c r="AP225" s="816"/>
      <c r="AQ225" s="816"/>
      <c r="AR225" s="816"/>
      <c r="AS225" s="816"/>
      <c r="AT225" s="609"/>
      <c r="AU225" s="609"/>
      <c r="AV225" s="609"/>
      <c r="AW225" s="818"/>
      <c r="AX225" s="816"/>
      <c r="AY225" s="816"/>
      <c r="AZ225" s="609"/>
      <c r="BA225" s="609"/>
      <c r="BB225" s="816"/>
      <c r="BC225" s="816"/>
      <c r="BD225" s="609"/>
      <c r="BE225" s="609"/>
      <c r="BF225" s="816"/>
      <c r="BG225" s="816"/>
      <c r="BH225" s="816"/>
      <c r="BI225" s="816"/>
      <c r="BJ225" s="816"/>
      <c r="BK225" s="816"/>
      <c r="BL225" s="816"/>
      <c r="BM225" s="816"/>
      <c r="BN225" s="816"/>
      <c r="BO225" s="816"/>
      <c r="BP225" s="816"/>
      <c r="BQ225" s="816"/>
      <c r="BR225" s="816"/>
      <c r="BS225" s="816"/>
      <c r="BT225" s="816"/>
      <c r="BU225" s="816"/>
      <c r="BV225" s="816"/>
      <c r="BW225" s="816"/>
      <c r="BX225" s="609"/>
      <c r="BY225" s="609"/>
      <c r="BZ225" s="816"/>
      <c r="CA225" s="816"/>
      <c r="CB225" s="609"/>
      <c r="CC225" s="609"/>
      <c r="CD225" s="816"/>
      <c r="CE225" s="816"/>
      <c r="CF225" s="816"/>
      <c r="CG225" s="816"/>
      <c r="CH225" s="816"/>
      <c r="CI225" s="816"/>
      <c r="CJ225" s="816"/>
      <c r="CK225" s="816"/>
      <c r="CL225" s="819"/>
      <c r="CM225" s="816"/>
      <c r="CN225" s="820"/>
      <c r="CO225" s="820"/>
      <c r="CP225" s="820"/>
      <c r="CQ225" s="820"/>
      <c r="CR225" s="609"/>
      <c r="CS225" s="609"/>
      <c r="CT225" s="816"/>
      <c r="CU225" s="816"/>
      <c r="CV225" s="816"/>
      <c r="CW225" s="816"/>
      <c r="CX225" s="816"/>
      <c r="CY225" s="816"/>
      <c r="CZ225" s="816"/>
      <c r="DA225" s="609"/>
      <c r="DB225" s="609"/>
      <c r="DC225" s="816"/>
      <c r="DD225" s="816"/>
      <c r="DE225" s="609"/>
      <c r="DF225" s="609"/>
      <c r="DG225" s="816"/>
      <c r="DH225" s="816"/>
      <c r="DI225" s="816"/>
      <c r="DJ225" s="816"/>
      <c r="DK225" s="816"/>
      <c r="DL225" s="816"/>
      <c r="DM225" s="609"/>
      <c r="DN225" s="609"/>
      <c r="DO225" s="816"/>
      <c r="DP225" s="816"/>
      <c r="DQ225" s="609"/>
      <c r="DR225" s="609"/>
      <c r="DS225" s="816"/>
      <c r="DT225" s="816"/>
      <c r="DU225" s="609"/>
      <c r="DV225" s="609"/>
      <c r="DW225" s="816"/>
      <c r="DX225" s="816"/>
      <c r="DY225" s="816"/>
      <c r="DZ225" s="816"/>
      <c r="EA225" s="816"/>
      <c r="EB225" s="816"/>
      <c r="EC225" s="821"/>
      <c r="ED225" s="609"/>
      <c r="EE225" s="816"/>
      <c r="EF225" s="816"/>
      <c r="EG225" s="822"/>
      <c r="EH225" s="609"/>
      <c r="EI225" s="816"/>
      <c r="EJ225" s="816"/>
      <c r="EK225" s="609"/>
      <c r="EL225" s="816"/>
      <c r="EM225" s="816"/>
      <c r="EN225" s="816"/>
      <c r="EO225" s="816"/>
      <c r="EP225" s="816"/>
      <c r="EQ225" s="816"/>
      <c r="ER225" s="816"/>
      <c r="ES225" s="816"/>
      <c r="ET225" s="816"/>
      <c r="EU225" s="816"/>
      <c r="EV225" s="816"/>
      <c r="EW225" s="823"/>
      <c r="EX225" s="824"/>
      <c r="EY225" s="825"/>
      <c r="EZ225" s="825"/>
      <c r="FA225" s="816"/>
      <c r="FC225" s="834"/>
      <c r="FD225" s="834"/>
      <c r="FE225" s="826"/>
      <c r="FF225" s="834"/>
    </row>
    <row r="226" spans="2:162" s="780" customFormat="1">
      <c r="B226" s="609"/>
      <c r="C226" s="609"/>
      <c r="D226" s="609"/>
      <c r="E226" s="609"/>
      <c r="F226" s="609"/>
      <c r="G226" s="609"/>
      <c r="H226" s="609"/>
      <c r="I226" s="609"/>
      <c r="J226" s="609"/>
      <c r="K226" s="609"/>
      <c r="L226" s="609"/>
      <c r="M226" s="609"/>
      <c r="N226" s="609"/>
      <c r="O226" s="609"/>
      <c r="P226" s="609"/>
      <c r="Q226" s="609"/>
      <c r="R226" s="816"/>
      <c r="S226" s="816"/>
      <c r="T226" s="816"/>
      <c r="U226" s="816"/>
      <c r="V226" s="816"/>
      <c r="W226" s="816"/>
      <c r="X226" s="609"/>
      <c r="Y226" s="609"/>
      <c r="Z226" s="816"/>
      <c r="AA226" s="816"/>
      <c r="AB226" s="609"/>
      <c r="AC226" s="609"/>
      <c r="AD226" s="816"/>
      <c r="AE226" s="816"/>
      <c r="AF226" s="609"/>
      <c r="AG226" s="609"/>
      <c r="AH226" s="816"/>
      <c r="AI226" s="816"/>
      <c r="AJ226" s="817"/>
      <c r="AK226" s="609"/>
      <c r="AL226" s="609"/>
      <c r="AM226" s="816"/>
      <c r="AN226" s="816"/>
      <c r="AO226" s="816"/>
      <c r="AP226" s="816"/>
      <c r="AQ226" s="816"/>
      <c r="AR226" s="816"/>
      <c r="AS226" s="816"/>
      <c r="AT226" s="609"/>
      <c r="AU226" s="609"/>
      <c r="AV226" s="609"/>
      <c r="AW226" s="818"/>
      <c r="AX226" s="816"/>
      <c r="AY226" s="816"/>
      <c r="AZ226" s="609"/>
      <c r="BA226" s="609"/>
      <c r="BB226" s="816"/>
      <c r="BC226" s="816"/>
      <c r="BD226" s="609"/>
      <c r="BE226" s="609"/>
      <c r="BF226" s="816"/>
      <c r="BG226" s="816"/>
      <c r="BH226" s="816"/>
      <c r="BI226" s="816"/>
      <c r="BJ226" s="816"/>
      <c r="BK226" s="816"/>
      <c r="BL226" s="816"/>
      <c r="BM226" s="816"/>
      <c r="BN226" s="816"/>
      <c r="BO226" s="816"/>
      <c r="BP226" s="816"/>
      <c r="BQ226" s="816"/>
      <c r="BR226" s="816"/>
      <c r="BS226" s="816"/>
      <c r="BT226" s="816"/>
      <c r="BU226" s="816"/>
      <c r="BV226" s="816"/>
      <c r="BW226" s="816"/>
      <c r="BX226" s="609"/>
      <c r="BY226" s="609"/>
      <c r="BZ226" s="816"/>
      <c r="CA226" s="816"/>
      <c r="CB226" s="609"/>
      <c r="CC226" s="609"/>
      <c r="CD226" s="816"/>
      <c r="CE226" s="816"/>
      <c r="CF226" s="816"/>
      <c r="CG226" s="816"/>
      <c r="CH226" s="816"/>
      <c r="CI226" s="816"/>
      <c r="CJ226" s="816"/>
      <c r="CK226" s="816"/>
      <c r="CL226" s="819"/>
      <c r="CM226" s="816"/>
      <c r="CN226" s="820"/>
      <c r="CO226" s="820"/>
      <c r="CP226" s="820"/>
      <c r="CQ226" s="820"/>
      <c r="CR226" s="609"/>
      <c r="CS226" s="609"/>
      <c r="CT226" s="816"/>
      <c r="CU226" s="816"/>
      <c r="CV226" s="816"/>
      <c r="CW226" s="816"/>
      <c r="CX226" s="816"/>
      <c r="CY226" s="816"/>
      <c r="CZ226" s="816"/>
      <c r="DA226" s="609"/>
      <c r="DB226" s="609"/>
      <c r="DC226" s="816"/>
      <c r="DD226" s="816"/>
      <c r="DE226" s="609"/>
      <c r="DF226" s="609"/>
      <c r="DG226" s="816"/>
      <c r="DH226" s="816"/>
      <c r="DI226" s="816"/>
      <c r="DJ226" s="816"/>
      <c r="DK226" s="816"/>
      <c r="DL226" s="816"/>
      <c r="DM226" s="609"/>
      <c r="DN226" s="609"/>
      <c r="DO226" s="816"/>
      <c r="DP226" s="816"/>
      <c r="DQ226" s="609"/>
      <c r="DR226" s="609"/>
      <c r="DS226" s="816"/>
      <c r="DT226" s="816"/>
      <c r="DU226" s="609"/>
      <c r="DV226" s="609"/>
      <c r="DW226" s="816"/>
      <c r="DX226" s="816"/>
      <c r="DY226" s="816"/>
      <c r="DZ226" s="816"/>
      <c r="EA226" s="816"/>
      <c r="EB226" s="816"/>
      <c r="EC226" s="821"/>
      <c r="ED226" s="609"/>
      <c r="EE226" s="816"/>
      <c r="EF226" s="816"/>
      <c r="EG226" s="822"/>
      <c r="EH226" s="609"/>
      <c r="EI226" s="816"/>
      <c r="EJ226" s="816"/>
      <c r="EK226" s="609"/>
      <c r="EL226" s="816"/>
      <c r="EM226" s="816"/>
      <c r="EN226" s="816"/>
      <c r="EO226" s="816"/>
      <c r="EP226" s="816"/>
      <c r="EQ226" s="816"/>
      <c r="ER226" s="816"/>
      <c r="ES226" s="816"/>
      <c r="ET226" s="816"/>
      <c r="EU226" s="816"/>
      <c r="EV226" s="816"/>
      <c r="EW226" s="823"/>
      <c r="EX226" s="824"/>
      <c r="EY226" s="825"/>
      <c r="EZ226" s="825"/>
      <c r="FA226" s="816"/>
      <c r="FC226" s="834"/>
      <c r="FD226" s="834"/>
      <c r="FE226" s="826"/>
      <c r="FF226" s="834"/>
    </row>
    <row r="227" spans="2:162" s="780" customFormat="1">
      <c r="B227" s="609"/>
      <c r="C227" s="609"/>
      <c r="D227" s="609"/>
      <c r="E227" s="609"/>
      <c r="F227" s="609"/>
      <c r="G227" s="609"/>
      <c r="H227" s="609"/>
      <c r="I227" s="609"/>
      <c r="J227" s="609"/>
      <c r="K227" s="609"/>
      <c r="L227" s="609"/>
      <c r="M227" s="609"/>
      <c r="N227" s="609"/>
      <c r="O227" s="609"/>
      <c r="P227" s="609"/>
      <c r="Q227" s="609"/>
      <c r="R227" s="816"/>
      <c r="S227" s="816"/>
      <c r="T227" s="816"/>
      <c r="U227" s="816"/>
      <c r="V227" s="816"/>
      <c r="W227" s="816"/>
      <c r="X227" s="609"/>
      <c r="Y227" s="609"/>
      <c r="Z227" s="816"/>
      <c r="AA227" s="816"/>
      <c r="AB227" s="609"/>
      <c r="AC227" s="609"/>
      <c r="AD227" s="816"/>
      <c r="AE227" s="816"/>
      <c r="AF227" s="609"/>
      <c r="AG227" s="609"/>
      <c r="AH227" s="816"/>
      <c r="AI227" s="816"/>
      <c r="AJ227" s="817"/>
      <c r="AK227" s="609"/>
      <c r="AL227" s="609"/>
      <c r="AM227" s="816"/>
      <c r="AN227" s="816"/>
      <c r="AO227" s="816"/>
      <c r="AP227" s="816"/>
      <c r="AQ227" s="816"/>
      <c r="AR227" s="816"/>
      <c r="AS227" s="816"/>
      <c r="AT227" s="609"/>
      <c r="AU227" s="609"/>
      <c r="AV227" s="609"/>
      <c r="AW227" s="818"/>
      <c r="AX227" s="816"/>
      <c r="AY227" s="816"/>
      <c r="AZ227" s="609"/>
      <c r="BA227" s="609"/>
      <c r="BB227" s="816"/>
      <c r="BC227" s="816"/>
      <c r="BD227" s="609"/>
      <c r="BE227" s="609"/>
      <c r="BF227" s="816"/>
      <c r="BG227" s="816"/>
      <c r="BH227" s="816"/>
      <c r="BI227" s="816"/>
      <c r="BJ227" s="816"/>
      <c r="BK227" s="816"/>
      <c r="BL227" s="816"/>
      <c r="BM227" s="816"/>
      <c r="BN227" s="816"/>
      <c r="BO227" s="816"/>
      <c r="BP227" s="816"/>
      <c r="BQ227" s="816"/>
      <c r="BR227" s="816"/>
      <c r="BS227" s="816"/>
      <c r="BT227" s="816"/>
      <c r="BU227" s="816"/>
      <c r="BV227" s="816"/>
      <c r="BW227" s="816"/>
      <c r="BX227" s="609"/>
      <c r="BY227" s="609"/>
      <c r="BZ227" s="816"/>
      <c r="CA227" s="816"/>
      <c r="CB227" s="609"/>
      <c r="CC227" s="609"/>
      <c r="CD227" s="816"/>
      <c r="CE227" s="816"/>
      <c r="CF227" s="816"/>
      <c r="CG227" s="816"/>
      <c r="CH227" s="816"/>
      <c r="CI227" s="816"/>
      <c r="CJ227" s="816"/>
      <c r="CK227" s="816"/>
      <c r="CL227" s="819"/>
      <c r="CM227" s="816"/>
      <c r="CN227" s="820"/>
      <c r="CO227" s="820"/>
      <c r="CP227" s="820"/>
      <c r="CQ227" s="820"/>
      <c r="CR227" s="609"/>
      <c r="CS227" s="609"/>
      <c r="CT227" s="816"/>
      <c r="CU227" s="816"/>
      <c r="CV227" s="816"/>
      <c r="CW227" s="816"/>
      <c r="CX227" s="816"/>
      <c r="CY227" s="816"/>
      <c r="CZ227" s="816"/>
      <c r="DA227" s="609"/>
      <c r="DB227" s="609"/>
      <c r="DC227" s="816"/>
      <c r="DD227" s="816"/>
      <c r="DE227" s="609"/>
      <c r="DF227" s="609"/>
      <c r="DG227" s="816"/>
      <c r="DH227" s="816"/>
      <c r="DI227" s="816"/>
      <c r="DJ227" s="816"/>
      <c r="DK227" s="816"/>
      <c r="DL227" s="816"/>
      <c r="DM227" s="609"/>
      <c r="DN227" s="609"/>
      <c r="DO227" s="816"/>
      <c r="DP227" s="816"/>
      <c r="DQ227" s="609"/>
      <c r="DR227" s="609"/>
      <c r="DS227" s="816"/>
      <c r="DT227" s="816"/>
      <c r="DU227" s="609"/>
      <c r="DV227" s="609"/>
      <c r="DW227" s="816"/>
      <c r="DX227" s="816"/>
      <c r="DY227" s="816"/>
      <c r="DZ227" s="816"/>
      <c r="EA227" s="816"/>
      <c r="EB227" s="816"/>
      <c r="EC227" s="821"/>
      <c r="ED227" s="609"/>
      <c r="EE227" s="816"/>
      <c r="EF227" s="816"/>
      <c r="EG227" s="822"/>
      <c r="EH227" s="609"/>
      <c r="EI227" s="816"/>
      <c r="EJ227" s="816"/>
      <c r="EK227" s="609"/>
      <c r="EL227" s="816"/>
      <c r="EM227" s="816"/>
      <c r="EN227" s="816"/>
      <c r="EO227" s="816"/>
      <c r="EP227" s="816"/>
      <c r="EQ227" s="816"/>
      <c r="ER227" s="816"/>
      <c r="ES227" s="816"/>
      <c r="ET227" s="816"/>
      <c r="EU227" s="816"/>
      <c r="EV227" s="816"/>
      <c r="EW227" s="823"/>
      <c r="EX227" s="824"/>
      <c r="EY227" s="825"/>
      <c r="EZ227" s="825"/>
      <c r="FA227" s="816"/>
      <c r="FC227" s="834"/>
      <c r="FD227" s="834"/>
      <c r="FE227" s="826"/>
      <c r="FF227" s="834"/>
    </row>
    <row r="228" spans="2:162" s="780" customFormat="1">
      <c r="B228" s="609"/>
      <c r="C228" s="609"/>
      <c r="D228" s="609"/>
      <c r="E228" s="609"/>
      <c r="F228" s="609"/>
      <c r="G228" s="609"/>
      <c r="H228" s="609"/>
      <c r="I228" s="609"/>
      <c r="J228" s="609"/>
      <c r="K228" s="609"/>
      <c r="L228" s="609"/>
      <c r="M228" s="609"/>
      <c r="N228" s="609"/>
      <c r="O228" s="609"/>
      <c r="P228" s="609"/>
      <c r="Q228" s="609"/>
      <c r="R228" s="816"/>
      <c r="S228" s="816"/>
      <c r="T228" s="816"/>
      <c r="U228" s="816"/>
      <c r="V228" s="816"/>
      <c r="W228" s="816"/>
      <c r="X228" s="609"/>
      <c r="Y228" s="609"/>
      <c r="Z228" s="816"/>
      <c r="AA228" s="816"/>
      <c r="AB228" s="609"/>
      <c r="AC228" s="609"/>
      <c r="AD228" s="816"/>
      <c r="AE228" s="816"/>
      <c r="AF228" s="609"/>
      <c r="AG228" s="609"/>
      <c r="AH228" s="816"/>
      <c r="AI228" s="816"/>
      <c r="AJ228" s="817"/>
      <c r="AK228" s="609"/>
      <c r="AL228" s="609"/>
      <c r="AM228" s="816"/>
      <c r="AN228" s="816"/>
      <c r="AO228" s="816"/>
      <c r="AP228" s="816"/>
      <c r="AQ228" s="816"/>
      <c r="AR228" s="816"/>
      <c r="AS228" s="816"/>
      <c r="AT228" s="609"/>
      <c r="AU228" s="609"/>
      <c r="AV228" s="609"/>
      <c r="AW228" s="818"/>
      <c r="AX228" s="816"/>
      <c r="AY228" s="816"/>
      <c r="AZ228" s="609"/>
      <c r="BA228" s="609"/>
      <c r="BB228" s="816"/>
      <c r="BC228" s="816"/>
      <c r="BD228" s="609"/>
      <c r="BE228" s="609"/>
      <c r="BF228" s="816"/>
      <c r="BG228" s="816"/>
      <c r="BH228" s="816"/>
      <c r="BI228" s="816"/>
      <c r="BJ228" s="816"/>
      <c r="BK228" s="816"/>
      <c r="BL228" s="816"/>
      <c r="BM228" s="816"/>
      <c r="BN228" s="816"/>
      <c r="BO228" s="816"/>
      <c r="BP228" s="816"/>
      <c r="BQ228" s="816"/>
      <c r="BR228" s="816"/>
      <c r="BS228" s="816"/>
      <c r="BT228" s="816"/>
      <c r="BU228" s="816"/>
      <c r="BV228" s="816"/>
      <c r="BW228" s="816"/>
      <c r="BX228" s="609"/>
      <c r="BY228" s="609"/>
      <c r="BZ228" s="816"/>
      <c r="CA228" s="816"/>
      <c r="CB228" s="609"/>
      <c r="CC228" s="609"/>
      <c r="CD228" s="816"/>
      <c r="CE228" s="816"/>
      <c r="CF228" s="816"/>
      <c r="CG228" s="816"/>
      <c r="CH228" s="816"/>
      <c r="CI228" s="816"/>
      <c r="CJ228" s="816"/>
      <c r="CK228" s="816"/>
      <c r="CL228" s="819"/>
      <c r="CM228" s="816"/>
      <c r="CN228" s="820"/>
      <c r="CO228" s="820"/>
      <c r="CP228" s="820"/>
      <c r="CQ228" s="820"/>
      <c r="CR228" s="609"/>
      <c r="CS228" s="609"/>
      <c r="CT228" s="816"/>
      <c r="CU228" s="816"/>
      <c r="CV228" s="816"/>
      <c r="CW228" s="816"/>
      <c r="CX228" s="816"/>
      <c r="CY228" s="816"/>
      <c r="CZ228" s="816"/>
      <c r="DA228" s="609"/>
      <c r="DB228" s="609"/>
      <c r="DC228" s="816"/>
      <c r="DD228" s="816"/>
      <c r="DE228" s="609"/>
      <c r="DF228" s="609"/>
      <c r="DG228" s="816"/>
      <c r="DH228" s="816"/>
      <c r="DI228" s="816"/>
      <c r="DJ228" s="816"/>
      <c r="DK228" s="816"/>
      <c r="DL228" s="816"/>
      <c r="DM228" s="609"/>
      <c r="DN228" s="609"/>
      <c r="DO228" s="816"/>
      <c r="DP228" s="816"/>
      <c r="DQ228" s="609"/>
      <c r="DR228" s="609"/>
      <c r="DS228" s="816"/>
      <c r="DT228" s="816"/>
      <c r="DU228" s="609"/>
      <c r="DV228" s="609"/>
      <c r="DW228" s="816"/>
      <c r="DX228" s="816"/>
      <c r="DY228" s="816"/>
      <c r="DZ228" s="816"/>
      <c r="EA228" s="816"/>
      <c r="EB228" s="816"/>
      <c r="EC228" s="821"/>
      <c r="ED228" s="609"/>
      <c r="EE228" s="816"/>
      <c r="EF228" s="816"/>
      <c r="EG228" s="822"/>
      <c r="EH228" s="609"/>
      <c r="EI228" s="816"/>
      <c r="EJ228" s="816"/>
      <c r="EK228" s="609"/>
      <c r="EL228" s="816"/>
      <c r="EM228" s="816"/>
      <c r="EN228" s="816"/>
      <c r="EO228" s="816"/>
      <c r="EP228" s="816"/>
      <c r="EQ228" s="816"/>
      <c r="ER228" s="816"/>
      <c r="ES228" s="816"/>
      <c r="ET228" s="816"/>
      <c r="EU228" s="816"/>
      <c r="EV228" s="816"/>
      <c r="EW228" s="823"/>
      <c r="EX228" s="824"/>
      <c r="EY228" s="825"/>
      <c r="EZ228" s="825"/>
      <c r="FA228" s="816"/>
      <c r="FC228" s="834"/>
      <c r="FD228" s="834"/>
      <c r="FE228" s="826"/>
      <c r="FF228" s="834"/>
    </row>
    <row r="229" spans="2:162" s="780" customFormat="1">
      <c r="B229" s="609"/>
      <c r="C229" s="609"/>
      <c r="D229" s="609"/>
      <c r="E229" s="609"/>
      <c r="F229" s="609"/>
      <c r="G229" s="609"/>
      <c r="H229" s="609"/>
      <c r="I229" s="609"/>
      <c r="J229" s="609"/>
      <c r="K229" s="609"/>
      <c r="L229" s="609"/>
      <c r="M229" s="609"/>
      <c r="N229" s="609"/>
      <c r="O229" s="609"/>
      <c r="P229" s="609"/>
      <c r="Q229" s="609"/>
      <c r="R229" s="816"/>
      <c r="S229" s="816"/>
      <c r="T229" s="816"/>
      <c r="U229" s="816"/>
      <c r="V229" s="816"/>
      <c r="W229" s="816"/>
      <c r="X229" s="609"/>
      <c r="Y229" s="609"/>
      <c r="Z229" s="816"/>
      <c r="AA229" s="816"/>
      <c r="AB229" s="609"/>
      <c r="AC229" s="609"/>
      <c r="AD229" s="816"/>
      <c r="AE229" s="816"/>
      <c r="AF229" s="609"/>
      <c r="AG229" s="609"/>
      <c r="AH229" s="816"/>
      <c r="AI229" s="816"/>
      <c r="AJ229" s="817"/>
      <c r="AK229" s="609"/>
      <c r="AL229" s="609"/>
      <c r="AM229" s="816"/>
      <c r="AN229" s="816"/>
      <c r="AO229" s="816"/>
      <c r="AP229" s="816"/>
      <c r="AQ229" s="816"/>
      <c r="AR229" s="816"/>
      <c r="AS229" s="816"/>
      <c r="AT229" s="609"/>
      <c r="AU229" s="609"/>
      <c r="AV229" s="609"/>
      <c r="AW229" s="818"/>
      <c r="AX229" s="816"/>
      <c r="AY229" s="816"/>
      <c r="AZ229" s="609"/>
      <c r="BA229" s="609"/>
      <c r="BB229" s="816"/>
      <c r="BC229" s="816"/>
      <c r="BD229" s="609"/>
      <c r="BE229" s="609"/>
      <c r="BF229" s="816"/>
      <c r="BG229" s="816"/>
      <c r="BH229" s="816"/>
      <c r="BI229" s="816"/>
      <c r="BJ229" s="816"/>
      <c r="BK229" s="816"/>
      <c r="BL229" s="816"/>
      <c r="BM229" s="816"/>
      <c r="BN229" s="816"/>
      <c r="BO229" s="816"/>
      <c r="BP229" s="816"/>
      <c r="BQ229" s="816"/>
      <c r="BR229" s="816"/>
      <c r="BS229" s="816"/>
      <c r="BT229" s="816"/>
      <c r="BU229" s="816"/>
      <c r="BV229" s="816"/>
      <c r="BW229" s="816"/>
      <c r="BX229" s="609"/>
      <c r="BY229" s="609"/>
      <c r="BZ229" s="816"/>
      <c r="CA229" s="816"/>
      <c r="CB229" s="609"/>
      <c r="CC229" s="609"/>
      <c r="CD229" s="816"/>
      <c r="CE229" s="816"/>
      <c r="CF229" s="816"/>
      <c r="CG229" s="816"/>
      <c r="CH229" s="816"/>
      <c r="CI229" s="816"/>
      <c r="CJ229" s="816"/>
      <c r="CK229" s="816"/>
      <c r="CL229" s="819"/>
      <c r="CM229" s="816"/>
      <c r="CN229" s="820"/>
      <c r="CO229" s="820"/>
      <c r="CP229" s="820"/>
      <c r="CQ229" s="820"/>
      <c r="CR229" s="609"/>
      <c r="CS229" s="609"/>
      <c r="CT229" s="816"/>
      <c r="CU229" s="816"/>
      <c r="CV229" s="816"/>
      <c r="CW229" s="816"/>
      <c r="CX229" s="816"/>
      <c r="CY229" s="816"/>
      <c r="CZ229" s="816"/>
      <c r="DA229" s="609"/>
      <c r="DB229" s="609"/>
      <c r="DC229" s="816"/>
      <c r="DD229" s="816"/>
      <c r="DE229" s="609"/>
      <c r="DF229" s="609"/>
      <c r="DG229" s="816"/>
      <c r="DH229" s="816"/>
      <c r="DI229" s="816"/>
      <c r="DJ229" s="816"/>
      <c r="DK229" s="816"/>
      <c r="DL229" s="816"/>
      <c r="DM229" s="609"/>
      <c r="DN229" s="609"/>
      <c r="DO229" s="816"/>
      <c r="DP229" s="816"/>
      <c r="DQ229" s="609"/>
      <c r="DR229" s="609"/>
      <c r="DS229" s="816"/>
      <c r="DT229" s="816"/>
      <c r="DU229" s="609"/>
      <c r="DV229" s="609"/>
      <c r="DW229" s="816"/>
      <c r="DX229" s="816"/>
      <c r="DY229" s="816"/>
      <c r="DZ229" s="816"/>
      <c r="EA229" s="816"/>
      <c r="EB229" s="816"/>
      <c r="EC229" s="821"/>
      <c r="ED229" s="609"/>
      <c r="EE229" s="816"/>
      <c r="EF229" s="816"/>
      <c r="EG229" s="822"/>
      <c r="EH229" s="609"/>
      <c r="EI229" s="816"/>
      <c r="EJ229" s="816"/>
      <c r="EK229" s="609"/>
      <c r="EL229" s="816"/>
      <c r="EM229" s="816"/>
      <c r="EN229" s="816"/>
      <c r="EO229" s="816"/>
      <c r="EP229" s="816"/>
      <c r="EQ229" s="816"/>
      <c r="ER229" s="816"/>
      <c r="ES229" s="816"/>
      <c r="ET229" s="816"/>
      <c r="EU229" s="816"/>
      <c r="EV229" s="816"/>
      <c r="EW229" s="823"/>
      <c r="EX229" s="824"/>
      <c r="EY229" s="825"/>
      <c r="EZ229" s="825"/>
      <c r="FA229" s="816"/>
      <c r="FC229" s="834"/>
      <c r="FD229" s="834"/>
      <c r="FE229" s="826"/>
      <c r="FF229" s="834"/>
    </row>
    <row r="230" spans="2:162" s="780" customFormat="1">
      <c r="B230" s="609"/>
      <c r="C230" s="609"/>
      <c r="D230" s="609"/>
      <c r="E230" s="609"/>
      <c r="F230" s="609"/>
      <c r="G230" s="609"/>
      <c r="H230" s="609"/>
      <c r="I230" s="609"/>
      <c r="J230" s="609"/>
      <c r="K230" s="609"/>
      <c r="L230" s="609"/>
      <c r="M230" s="609"/>
      <c r="N230" s="609"/>
      <c r="O230" s="609"/>
      <c r="P230" s="609"/>
      <c r="Q230" s="609"/>
      <c r="R230" s="816"/>
      <c r="S230" s="816"/>
      <c r="T230" s="816"/>
      <c r="U230" s="816"/>
      <c r="V230" s="816"/>
      <c r="W230" s="816"/>
      <c r="X230" s="609"/>
      <c r="Y230" s="609"/>
      <c r="Z230" s="816"/>
      <c r="AA230" s="816"/>
      <c r="AB230" s="609"/>
      <c r="AC230" s="609"/>
      <c r="AD230" s="816"/>
      <c r="AE230" s="816"/>
      <c r="AF230" s="609"/>
      <c r="AG230" s="609"/>
      <c r="AH230" s="816"/>
      <c r="AI230" s="816"/>
      <c r="AJ230" s="817"/>
      <c r="AK230" s="609"/>
      <c r="AL230" s="609"/>
      <c r="AM230" s="816"/>
      <c r="AN230" s="816"/>
      <c r="AO230" s="816"/>
      <c r="AP230" s="816"/>
      <c r="AQ230" s="816"/>
      <c r="AR230" s="816"/>
      <c r="AS230" s="816"/>
      <c r="AT230" s="609"/>
      <c r="AU230" s="609"/>
      <c r="AV230" s="609"/>
      <c r="AW230" s="818"/>
      <c r="AX230" s="816"/>
      <c r="AY230" s="816"/>
      <c r="AZ230" s="609"/>
      <c r="BA230" s="609"/>
      <c r="BB230" s="816"/>
      <c r="BC230" s="816"/>
      <c r="BD230" s="609"/>
      <c r="BE230" s="609"/>
      <c r="BF230" s="816"/>
      <c r="BG230" s="816"/>
      <c r="BH230" s="816"/>
      <c r="BI230" s="816"/>
      <c r="BJ230" s="816"/>
      <c r="BK230" s="816"/>
      <c r="BL230" s="816"/>
      <c r="BM230" s="816"/>
      <c r="BN230" s="816"/>
      <c r="BO230" s="816"/>
      <c r="BP230" s="816"/>
      <c r="BQ230" s="816"/>
      <c r="BR230" s="816"/>
      <c r="BS230" s="816"/>
      <c r="BT230" s="816"/>
      <c r="BU230" s="816"/>
      <c r="BV230" s="816"/>
      <c r="BW230" s="816"/>
      <c r="BX230" s="609"/>
      <c r="BY230" s="609"/>
      <c r="BZ230" s="816"/>
      <c r="CA230" s="816"/>
      <c r="CB230" s="609"/>
      <c r="CC230" s="609"/>
      <c r="CD230" s="816"/>
      <c r="CE230" s="816"/>
      <c r="CF230" s="816"/>
      <c r="CG230" s="816"/>
      <c r="CH230" s="816"/>
      <c r="CI230" s="816"/>
      <c r="CJ230" s="816"/>
      <c r="CK230" s="816"/>
      <c r="CL230" s="819"/>
      <c r="CM230" s="816"/>
      <c r="CN230" s="820"/>
      <c r="CO230" s="820"/>
      <c r="CP230" s="820"/>
      <c r="CQ230" s="820"/>
      <c r="CR230" s="609"/>
      <c r="CS230" s="609"/>
      <c r="CT230" s="816"/>
      <c r="CU230" s="816"/>
      <c r="CV230" s="816"/>
      <c r="CW230" s="816"/>
      <c r="CX230" s="816"/>
      <c r="CY230" s="816"/>
      <c r="CZ230" s="816"/>
      <c r="DA230" s="609"/>
      <c r="DB230" s="609"/>
      <c r="DC230" s="816"/>
      <c r="DD230" s="816"/>
      <c r="DE230" s="609"/>
      <c r="DF230" s="609"/>
      <c r="DG230" s="816"/>
      <c r="DH230" s="816"/>
      <c r="DI230" s="816"/>
      <c r="DJ230" s="816"/>
      <c r="DK230" s="816"/>
      <c r="DL230" s="816"/>
      <c r="DM230" s="609"/>
      <c r="DN230" s="609"/>
      <c r="DO230" s="816"/>
      <c r="DP230" s="816"/>
      <c r="DQ230" s="609"/>
      <c r="DR230" s="609"/>
      <c r="DS230" s="816"/>
      <c r="DT230" s="816"/>
      <c r="DU230" s="609"/>
      <c r="DV230" s="609"/>
      <c r="DW230" s="816"/>
      <c r="DX230" s="816"/>
      <c r="DY230" s="816"/>
      <c r="DZ230" s="816"/>
      <c r="EA230" s="816"/>
      <c r="EB230" s="816"/>
      <c r="EC230" s="821"/>
      <c r="ED230" s="609"/>
      <c r="EE230" s="816"/>
      <c r="EF230" s="816"/>
      <c r="EG230" s="822"/>
      <c r="EH230" s="609"/>
      <c r="EI230" s="816"/>
      <c r="EJ230" s="816"/>
      <c r="EK230" s="609"/>
      <c r="EL230" s="816"/>
      <c r="EM230" s="816"/>
      <c r="EN230" s="816"/>
      <c r="EO230" s="816"/>
      <c r="EP230" s="816"/>
      <c r="EQ230" s="816"/>
      <c r="ER230" s="816"/>
      <c r="ES230" s="816"/>
      <c r="ET230" s="816"/>
      <c r="EU230" s="816"/>
      <c r="EV230" s="816"/>
      <c r="EW230" s="823"/>
      <c r="EX230" s="824"/>
      <c r="EY230" s="825"/>
      <c r="EZ230" s="825"/>
      <c r="FA230" s="816"/>
      <c r="FC230" s="834"/>
      <c r="FD230" s="834"/>
      <c r="FE230" s="826"/>
      <c r="FF230" s="834"/>
    </row>
    <row r="231" spans="2:162" s="780" customFormat="1">
      <c r="B231" s="609"/>
      <c r="C231" s="609"/>
      <c r="D231" s="609"/>
      <c r="E231" s="609"/>
      <c r="F231" s="609"/>
      <c r="G231" s="609"/>
      <c r="H231" s="609"/>
      <c r="I231" s="609"/>
      <c r="J231" s="609"/>
      <c r="K231" s="609"/>
      <c r="L231" s="609"/>
      <c r="M231" s="609"/>
      <c r="N231" s="609"/>
      <c r="O231" s="609"/>
      <c r="P231" s="609"/>
      <c r="Q231" s="609"/>
      <c r="R231" s="816"/>
      <c r="S231" s="816"/>
      <c r="T231" s="816"/>
      <c r="U231" s="816"/>
      <c r="V231" s="816"/>
      <c r="W231" s="816"/>
      <c r="X231" s="609"/>
      <c r="Y231" s="609"/>
      <c r="Z231" s="816"/>
      <c r="AA231" s="816"/>
      <c r="AB231" s="609"/>
      <c r="AC231" s="609"/>
      <c r="AD231" s="816"/>
      <c r="AE231" s="816"/>
      <c r="AF231" s="609"/>
      <c r="AG231" s="609"/>
      <c r="AH231" s="816"/>
      <c r="AI231" s="816"/>
      <c r="AJ231" s="817"/>
      <c r="AK231" s="609"/>
      <c r="AL231" s="609"/>
      <c r="AM231" s="816"/>
      <c r="AN231" s="816"/>
      <c r="AO231" s="816"/>
      <c r="AP231" s="816"/>
      <c r="AQ231" s="816"/>
      <c r="AR231" s="816"/>
      <c r="AS231" s="816"/>
      <c r="AT231" s="609"/>
      <c r="AU231" s="609"/>
      <c r="AV231" s="609"/>
      <c r="AW231" s="818"/>
      <c r="AX231" s="816"/>
      <c r="AY231" s="816"/>
      <c r="AZ231" s="609"/>
      <c r="BA231" s="609"/>
      <c r="BB231" s="816"/>
      <c r="BC231" s="816"/>
      <c r="BD231" s="609"/>
      <c r="BE231" s="609"/>
      <c r="BF231" s="816"/>
      <c r="BG231" s="816"/>
      <c r="BH231" s="816"/>
      <c r="BI231" s="816"/>
      <c r="BJ231" s="816"/>
      <c r="BK231" s="816"/>
      <c r="BL231" s="816"/>
      <c r="BM231" s="816"/>
      <c r="BN231" s="816"/>
      <c r="BO231" s="816"/>
      <c r="BP231" s="816"/>
      <c r="BQ231" s="816"/>
      <c r="BR231" s="816"/>
      <c r="BS231" s="816"/>
      <c r="BT231" s="816"/>
      <c r="BU231" s="816"/>
      <c r="BV231" s="816"/>
      <c r="BW231" s="816"/>
      <c r="BX231" s="609"/>
      <c r="BY231" s="609"/>
      <c r="BZ231" s="816"/>
      <c r="CA231" s="816"/>
      <c r="CB231" s="609"/>
      <c r="CC231" s="609"/>
      <c r="CD231" s="816"/>
      <c r="CE231" s="816"/>
      <c r="CF231" s="816"/>
      <c r="CG231" s="816"/>
      <c r="CH231" s="816"/>
      <c r="CI231" s="816"/>
      <c r="CJ231" s="816"/>
      <c r="CK231" s="816"/>
      <c r="CL231" s="819"/>
      <c r="CM231" s="816"/>
      <c r="CN231" s="820"/>
      <c r="CO231" s="820"/>
      <c r="CP231" s="820"/>
      <c r="CQ231" s="820"/>
      <c r="CR231" s="609"/>
      <c r="CS231" s="609"/>
      <c r="CT231" s="816"/>
      <c r="CU231" s="816"/>
      <c r="CV231" s="816"/>
      <c r="CW231" s="816"/>
      <c r="CX231" s="816"/>
      <c r="CY231" s="816"/>
      <c r="CZ231" s="816"/>
      <c r="DA231" s="609"/>
      <c r="DB231" s="609"/>
      <c r="DC231" s="816"/>
      <c r="DD231" s="816"/>
      <c r="DE231" s="609"/>
      <c r="DF231" s="609"/>
      <c r="DG231" s="816"/>
      <c r="DH231" s="816"/>
      <c r="DI231" s="816"/>
      <c r="DJ231" s="816"/>
      <c r="DK231" s="816"/>
      <c r="DL231" s="816"/>
      <c r="DM231" s="609"/>
      <c r="DN231" s="609"/>
      <c r="DO231" s="816"/>
      <c r="DP231" s="816"/>
      <c r="DQ231" s="609"/>
      <c r="DR231" s="609"/>
      <c r="DS231" s="816"/>
      <c r="DT231" s="816"/>
      <c r="DU231" s="609"/>
      <c r="DV231" s="609"/>
      <c r="DW231" s="816"/>
      <c r="DX231" s="816"/>
      <c r="DY231" s="816"/>
      <c r="DZ231" s="816"/>
      <c r="EA231" s="816"/>
      <c r="EB231" s="816"/>
      <c r="EC231" s="821"/>
      <c r="ED231" s="609"/>
      <c r="EE231" s="816"/>
      <c r="EF231" s="816"/>
      <c r="EG231" s="822"/>
      <c r="EH231" s="609"/>
      <c r="EI231" s="816"/>
      <c r="EJ231" s="816"/>
      <c r="EK231" s="609"/>
      <c r="EL231" s="816"/>
      <c r="EM231" s="816"/>
      <c r="EN231" s="816"/>
      <c r="EO231" s="816"/>
      <c r="EP231" s="816"/>
      <c r="EQ231" s="816"/>
      <c r="ER231" s="816"/>
      <c r="ES231" s="816"/>
      <c r="ET231" s="816"/>
      <c r="EU231" s="816"/>
      <c r="EV231" s="816"/>
      <c r="EW231" s="823"/>
      <c r="EX231" s="824"/>
      <c r="EY231" s="825"/>
      <c r="EZ231" s="825"/>
      <c r="FA231" s="816"/>
      <c r="FC231" s="834"/>
      <c r="FD231" s="834"/>
      <c r="FE231" s="826"/>
      <c r="FF231" s="834"/>
    </row>
    <row r="232" spans="2:162" s="780" customFormat="1">
      <c r="B232" s="609"/>
      <c r="C232" s="609"/>
      <c r="D232" s="609"/>
      <c r="E232" s="609"/>
      <c r="F232" s="609"/>
      <c r="G232" s="609"/>
      <c r="H232" s="609"/>
      <c r="I232" s="609"/>
      <c r="J232" s="609"/>
      <c r="K232" s="609"/>
      <c r="L232" s="609"/>
      <c r="M232" s="609"/>
      <c r="N232" s="609"/>
      <c r="O232" s="609"/>
      <c r="P232" s="609"/>
      <c r="Q232" s="609"/>
      <c r="R232" s="816"/>
      <c r="S232" s="816"/>
      <c r="T232" s="816"/>
      <c r="U232" s="816"/>
      <c r="V232" s="816"/>
      <c r="W232" s="816"/>
      <c r="X232" s="609"/>
      <c r="Y232" s="609"/>
      <c r="Z232" s="816"/>
      <c r="AA232" s="816"/>
      <c r="AB232" s="609"/>
      <c r="AC232" s="609"/>
      <c r="AD232" s="816"/>
      <c r="AE232" s="816"/>
      <c r="AF232" s="609"/>
      <c r="AG232" s="609"/>
      <c r="AH232" s="816"/>
      <c r="AI232" s="816"/>
      <c r="AJ232" s="817"/>
      <c r="AK232" s="609"/>
      <c r="AL232" s="609"/>
      <c r="AM232" s="816"/>
      <c r="AN232" s="816"/>
      <c r="AO232" s="816"/>
      <c r="AP232" s="816"/>
      <c r="AQ232" s="816"/>
      <c r="AR232" s="816"/>
      <c r="AS232" s="816"/>
      <c r="AT232" s="609"/>
      <c r="AU232" s="609"/>
      <c r="AV232" s="609"/>
      <c r="AW232" s="818"/>
      <c r="AX232" s="816"/>
      <c r="AY232" s="816"/>
      <c r="AZ232" s="609"/>
      <c r="BA232" s="609"/>
      <c r="BB232" s="816"/>
      <c r="BC232" s="816"/>
      <c r="BD232" s="609"/>
      <c r="BE232" s="609"/>
      <c r="BF232" s="816"/>
      <c r="BG232" s="816"/>
      <c r="BH232" s="816"/>
      <c r="BI232" s="816"/>
      <c r="BJ232" s="816"/>
      <c r="BK232" s="816"/>
      <c r="BL232" s="816"/>
      <c r="BM232" s="816"/>
      <c r="BN232" s="816"/>
      <c r="BO232" s="816"/>
      <c r="BP232" s="816"/>
      <c r="BQ232" s="816"/>
      <c r="BR232" s="816"/>
      <c r="BS232" s="816"/>
      <c r="BT232" s="816"/>
      <c r="BU232" s="816"/>
      <c r="BV232" s="816"/>
      <c r="BW232" s="816"/>
      <c r="BX232" s="609"/>
      <c r="BY232" s="609"/>
      <c r="BZ232" s="816"/>
      <c r="CA232" s="816"/>
      <c r="CB232" s="609"/>
      <c r="CC232" s="609"/>
      <c r="CD232" s="816"/>
      <c r="CE232" s="816"/>
      <c r="CF232" s="816"/>
      <c r="CG232" s="816"/>
      <c r="CH232" s="816"/>
      <c r="CI232" s="816"/>
      <c r="CJ232" s="816"/>
      <c r="CK232" s="816"/>
      <c r="CL232" s="819"/>
      <c r="CM232" s="816"/>
      <c r="CN232" s="820"/>
      <c r="CO232" s="820"/>
      <c r="CP232" s="820"/>
      <c r="CQ232" s="820"/>
      <c r="CR232" s="609"/>
      <c r="CS232" s="609"/>
      <c r="CT232" s="816"/>
      <c r="CU232" s="816"/>
      <c r="CV232" s="816"/>
      <c r="CW232" s="816"/>
      <c r="CX232" s="816"/>
      <c r="CY232" s="816"/>
      <c r="CZ232" s="816"/>
      <c r="DA232" s="609"/>
      <c r="DB232" s="609"/>
      <c r="DC232" s="816"/>
      <c r="DD232" s="816"/>
      <c r="DE232" s="609"/>
      <c r="DF232" s="609"/>
      <c r="DG232" s="816"/>
      <c r="DH232" s="816"/>
      <c r="DI232" s="816"/>
      <c r="DJ232" s="816"/>
      <c r="DK232" s="816"/>
      <c r="DL232" s="816"/>
      <c r="DM232" s="609"/>
      <c r="DN232" s="609"/>
      <c r="DO232" s="816"/>
      <c r="DP232" s="816"/>
      <c r="DQ232" s="609"/>
      <c r="DR232" s="609"/>
      <c r="DS232" s="816"/>
      <c r="DT232" s="816"/>
      <c r="DU232" s="609"/>
      <c r="DV232" s="609"/>
      <c r="DW232" s="816"/>
      <c r="DX232" s="816"/>
      <c r="DY232" s="816"/>
      <c r="DZ232" s="816"/>
      <c r="EA232" s="816"/>
      <c r="EB232" s="816"/>
      <c r="EC232" s="821"/>
      <c r="ED232" s="609"/>
      <c r="EE232" s="816"/>
      <c r="EF232" s="816"/>
      <c r="EG232" s="822"/>
      <c r="EH232" s="609"/>
      <c r="EI232" s="816"/>
      <c r="EJ232" s="816"/>
      <c r="EK232" s="609"/>
      <c r="EL232" s="816"/>
      <c r="EM232" s="816"/>
      <c r="EN232" s="816"/>
      <c r="EO232" s="816"/>
      <c r="EP232" s="816"/>
      <c r="EQ232" s="816"/>
      <c r="ER232" s="816"/>
      <c r="ES232" s="816"/>
      <c r="ET232" s="816"/>
      <c r="EU232" s="816"/>
      <c r="EV232" s="816"/>
      <c r="EW232" s="823"/>
      <c r="EX232" s="824"/>
      <c r="EY232" s="825"/>
      <c r="EZ232" s="825"/>
      <c r="FA232" s="816"/>
      <c r="FC232" s="834"/>
      <c r="FD232" s="834"/>
      <c r="FE232" s="826"/>
      <c r="FF232" s="834"/>
    </row>
    <row r="233" spans="2:162" s="780" customFormat="1">
      <c r="B233" s="609"/>
      <c r="C233" s="609"/>
      <c r="D233" s="609"/>
      <c r="E233" s="609"/>
      <c r="F233" s="609"/>
      <c r="G233" s="609"/>
      <c r="H233" s="609"/>
      <c r="I233" s="609"/>
      <c r="J233" s="609"/>
      <c r="K233" s="609"/>
      <c r="L233" s="609"/>
      <c r="M233" s="609"/>
      <c r="N233" s="609"/>
      <c r="O233" s="609"/>
      <c r="P233" s="609"/>
      <c r="Q233" s="609"/>
      <c r="R233" s="816"/>
      <c r="S233" s="816"/>
      <c r="T233" s="816"/>
      <c r="U233" s="816"/>
      <c r="V233" s="816"/>
      <c r="W233" s="816"/>
      <c r="X233" s="609"/>
      <c r="Y233" s="609"/>
      <c r="Z233" s="816"/>
      <c r="AA233" s="816"/>
      <c r="AB233" s="609"/>
      <c r="AC233" s="609"/>
      <c r="AD233" s="816"/>
      <c r="AE233" s="816"/>
      <c r="AF233" s="609"/>
      <c r="AG233" s="609"/>
      <c r="AH233" s="816"/>
      <c r="AI233" s="816"/>
      <c r="AJ233" s="817"/>
      <c r="AK233" s="609"/>
      <c r="AL233" s="609"/>
      <c r="AM233" s="816"/>
      <c r="AN233" s="816"/>
      <c r="AO233" s="816"/>
      <c r="AP233" s="816"/>
      <c r="AQ233" s="816"/>
      <c r="AR233" s="816"/>
      <c r="AS233" s="816"/>
      <c r="AT233" s="609"/>
      <c r="AU233" s="609"/>
      <c r="AV233" s="609"/>
      <c r="AW233" s="818"/>
      <c r="AX233" s="816"/>
      <c r="AY233" s="816"/>
      <c r="AZ233" s="609"/>
      <c r="BA233" s="609"/>
      <c r="BB233" s="816"/>
      <c r="BC233" s="816"/>
      <c r="BD233" s="609"/>
      <c r="BE233" s="609"/>
      <c r="BF233" s="816"/>
      <c r="BG233" s="816"/>
      <c r="BH233" s="816"/>
      <c r="BI233" s="816"/>
      <c r="BJ233" s="816"/>
      <c r="BK233" s="816"/>
      <c r="BL233" s="816"/>
      <c r="BM233" s="816"/>
      <c r="BN233" s="816"/>
      <c r="BO233" s="816"/>
      <c r="BP233" s="816"/>
      <c r="BQ233" s="816"/>
      <c r="BR233" s="816"/>
      <c r="BS233" s="816"/>
      <c r="BT233" s="816"/>
      <c r="BU233" s="816"/>
      <c r="BV233" s="816"/>
      <c r="BW233" s="816"/>
      <c r="BX233" s="609"/>
      <c r="BY233" s="609"/>
      <c r="BZ233" s="816"/>
      <c r="CA233" s="816"/>
      <c r="CB233" s="609"/>
      <c r="CC233" s="609"/>
      <c r="CD233" s="816"/>
      <c r="CE233" s="816"/>
      <c r="CF233" s="816"/>
      <c r="CG233" s="816"/>
      <c r="CH233" s="816"/>
      <c r="CI233" s="816"/>
      <c r="CJ233" s="816"/>
      <c r="CK233" s="816"/>
      <c r="CL233" s="819"/>
      <c r="CM233" s="816"/>
      <c r="CN233" s="820"/>
      <c r="CO233" s="820"/>
      <c r="CP233" s="820"/>
      <c r="CQ233" s="820"/>
      <c r="CR233" s="609"/>
      <c r="CS233" s="609"/>
      <c r="CT233" s="816"/>
      <c r="CU233" s="816"/>
      <c r="CV233" s="816"/>
      <c r="CW233" s="816"/>
      <c r="CX233" s="816"/>
      <c r="CY233" s="816"/>
      <c r="CZ233" s="816"/>
      <c r="DA233" s="609"/>
      <c r="DB233" s="609"/>
      <c r="DC233" s="816"/>
      <c r="DD233" s="816"/>
      <c r="DE233" s="609"/>
      <c r="DF233" s="609"/>
      <c r="DG233" s="816"/>
      <c r="DH233" s="816"/>
      <c r="DI233" s="816"/>
      <c r="DJ233" s="816"/>
      <c r="DK233" s="816"/>
      <c r="DL233" s="816"/>
      <c r="DM233" s="609"/>
      <c r="DN233" s="609"/>
      <c r="DO233" s="816"/>
      <c r="DP233" s="816"/>
      <c r="DQ233" s="609"/>
      <c r="DR233" s="609"/>
      <c r="DS233" s="816"/>
      <c r="DT233" s="816"/>
      <c r="DU233" s="609"/>
      <c r="DV233" s="609"/>
      <c r="DW233" s="816"/>
      <c r="DX233" s="816"/>
      <c r="DY233" s="816"/>
      <c r="DZ233" s="816"/>
      <c r="EA233" s="816"/>
      <c r="EB233" s="816"/>
      <c r="EC233" s="821"/>
      <c r="ED233" s="609"/>
      <c r="EE233" s="816"/>
      <c r="EF233" s="816"/>
      <c r="EG233" s="822"/>
      <c r="EH233" s="609"/>
      <c r="EI233" s="816"/>
      <c r="EJ233" s="816"/>
      <c r="EK233" s="609"/>
      <c r="EL233" s="816"/>
      <c r="EM233" s="816"/>
      <c r="EN233" s="816"/>
      <c r="EO233" s="816"/>
      <c r="EP233" s="816"/>
      <c r="EQ233" s="816"/>
      <c r="ER233" s="816"/>
      <c r="ES233" s="816"/>
      <c r="ET233" s="816"/>
      <c r="EU233" s="816"/>
      <c r="EV233" s="816"/>
      <c r="EW233" s="823"/>
      <c r="EX233" s="824"/>
      <c r="EY233" s="825"/>
      <c r="EZ233" s="825"/>
      <c r="FA233" s="816"/>
      <c r="FC233" s="834"/>
      <c r="FD233" s="834"/>
      <c r="FE233" s="826"/>
      <c r="FF233" s="834"/>
    </row>
    <row r="234" spans="2:162" s="780" customFormat="1">
      <c r="B234" s="609"/>
      <c r="C234" s="609"/>
      <c r="D234" s="609"/>
      <c r="E234" s="609"/>
      <c r="F234" s="609"/>
      <c r="G234" s="609"/>
      <c r="H234" s="609"/>
      <c r="I234" s="609"/>
      <c r="J234" s="609"/>
      <c r="K234" s="609"/>
      <c r="L234" s="609"/>
      <c r="M234" s="609"/>
      <c r="N234" s="609"/>
      <c r="O234" s="609"/>
      <c r="P234" s="609"/>
      <c r="Q234" s="609"/>
      <c r="R234" s="816"/>
      <c r="S234" s="816"/>
      <c r="T234" s="816"/>
      <c r="U234" s="816"/>
      <c r="V234" s="816"/>
      <c r="W234" s="816"/>
      <c r="X234" s="609"/>
      <c r="Y234" s="609"/>
      <c r="Z234" s="816"/>
      <c r="AA234" s="816"/>
      <c r="AB234" s="609"/>
      <c r="AC234" s="609"/>
      <c r="AD234" s="816"/>
      <c r="AE234" s="816"/>
      <c r="AF234" s="609"/>
      <c r="AG234" s="609"/>
      <c r="AH234" s="816"/>
      <c r="AI234" s="816"/>
      <c r="AJ234" s="817"/>
      <c r="AK234" s="609"/>
      <c r="AL234" s="609"/>
      <c r="AM234" s="816"/>
      <c r="AN234" s="816"/>
      <c r="AO234" s="816"/>
      <c r="AP234" s="816"/>
      <c r="AQ234" s="816"/>
      <c r="AR234" s="816"/>
      <c r="AS234" s="816"/>
      <c r="AT234" s="609"/>
      <c r="AU234" s="609"/>
      <c r="AV234" s="609"/>
      <c r="AW234" s="818"/>
      <c r="AX234" s="816"/>
      <c r="AY234" s="816"/>
      <c r="AZ234" s="609"/>
      <c r="BA234" s="609"/>
      <c r="BB234" s="816"/>
      <c r="BC234" s="816"/>
      <c r="BD234" s="609"/>
      <c r="BE234" s="609"/>
      <c r="BF234" s="816"/>
      <c r="BG234" s="816"/>
      <c r="BH234" s="816"/>
      <c r="BI234" s="816"/>
      <c r="BJ234" s="816"/>
      <c r="BK234" s="816"/>
      <c r="BL234" s="816"/>
      <c r="BM234" s="816"/>
      <c r="BN234" s="816"/>
      <c r="BO234" s="816"/>
      <c r="BP234" s="816"/>
      <c r="BQ234" s="816"/>
      <c r="BR234" s="816"/>
      <c r="BS234" s="816"/>
      <c r="BT234" s="816"/>
      <c r="BU234" s="816"/>
      <c r="BV234" s="816"/>
      <c r="BW234" s="816"/>
      <c r="BX234" s="609"/>
      <c r="BY234" s="609"/>
      <c r="BZ234" s="816"/>
      <c r="CA234" s="816"/>
      <c r="CB234" s="609"/>
      <c r="CC234" s="609"/>
      <c r="CD234" s="816"/>
      <c r="CE234" s="816"/>
      <c r="CF234" s="816"/>
      <c r="CG234" s="816"/>
      <c r="CH234" s="816"/>
      <c r="CI234" s="816"/>
      <c r="CJ234" s="816"/>
      <c r="CK234" s="816"/>
      <c r="CL234" s="819"/>
      <c r="CM234" s="816"/>
      <c r="CN234" s="820"/>
      <c r="CO234" s="820"/>
      <c r="CP234" s="820"/>
      <c r="CQ234" s="820"/>
      <c r="CR234" s="609"/>
      <c r="CS234" s="609"/>
      <c r="CT234" s="816"/>
      <c r="CU234" s="816"/>
      <c r="CV234" s="816"/>
      <c r="CW234" s="816"/>
      <c r="CX234" s="816"/>
      <c r="CY234" s="816"/>
      <c r="CZ234" s="816"/>
      <c r="DA234" s="609"/>
      <c r="DB234" s="609"/>
      <c r="DC234" s="816"/>
      <c r="DD234" s="816"/>
      <c r="DE234" s="609"/>
      <c r="DF234" s="609"/>
      <c r="DG234" s="816"/>
      <c r="DH234" s="816"/>
      <c r="DI234" s="816"/>
      <c r="DJ234" s="816"/>
      <c r="DK234" s="816"/>
      <c r="DL234" s="816"/>
      <c r="DM234" s="609"/>
      <c r="DN234" s="609"/>
      <c r="DO234" s="816"/>
      <c r="DP234" s="816"/>
      <c r="DQ234" s="609"/>
      <c r="DR234" s="609"/>
      <c r="DS234" s="816"/>
      <c r="DT234" s="816"/>
      <c r="DU234" s="609"/>
      <c r="DV234" s="609"/>
      <c r="DW234" s="816"/>
      <c r="DX234" s="816"/>
      <c r="DY234" s="816"/>
      <c r="DZ234" s="816"/>
      <c r="EA234" s="816"/>
      <c r="EB234" s="816"/>
      <c r="EC234" s="821"/>
      <c r="ED234" s="609"/>
      <c r="EE234" s="816"/>
      <c r="EF234" s="816"/>
      <c r="EG234" s="822"/>
      <c r="EH234" s="609"/>
      <c r="EI234" s="816"/>
      <c r="EJ234" s="816"/>
      <c r="EK234" s="609"/>
      <c r="EL234" s="816"/>
      <c r="EM234" s="816"/>
      <c r="EN234" s="816"/>
      <c r="EO234" s="816"/>
      <c r="EP234" s="816"/>
      <c r="EQ234" s="816"/>
      <c r="ER234" s="816"/>
      <c r="ES234" s="816"/>
      <c r="ET234" s="816"/>
      <c r="EU234" s="816"/>
      <c r="EV234" s="816"/>
      <c r="EW234" s="823"/>
      <c r="EX234" s="824"/>
      <c r="EY234" s="825"/>
      <c r="EZ234" s="825"/>
      <c r="FA234" s="816"/>
      <c r="FC234" s="834"/>
      <c r="FD234" s="834"/>
      <c r="FE234" s="826"/>
      <c r="FF234" s="834"/>
    </row>
    <row r="235" spans="2:162" s="780" customFormat="1">
      <c r="B235" s="609"/>
      <c r="C235" s="609"/>
      <c r="D235" s="609"/>
      <c r="E235" s="609"/>
      <c r="F235" s="609"/>
      <c r="G235" s="609"/>
      <c r="H235" s="609"/>
      <c r="I235" s="609"/>
      <c r="J235" s="609"/>
      <c r="K235" s="609"/>
      <c r="L235" s="609"/>
      <c r="M235" s="609"/>
      <c r="N235" s="609"/>
      <c r="O235" s="609"/>
      <c r="P235" s="609"/>
      <c r="Q235" s="609"/>
      <c r="R235" s="816"/>
      <c r="S235" s="816"/>
      <c r="T235" s="816"/>
      <c r="U235" s="816"/>
      <c r="V235" s="816"/>
      <c r="W235" s="816"/>
      <c r="X235" s="609"/>
      <c r="Y235" s="609"/>
      <c r="Z235" s="816"/>
      <c r="AA235" s="816"/>
      <c r="AB235" s="609"/>
      <c r="AC235" s="609"/>
      <c r="AD235" s="816"/>
      <c r="AE235" s="816"/>
      <c r="AF235" s="609"/>
      <c r="AG235" s="609"/>
      <c r="AH235" s="816"/>
      <c r="AI235" s="816"/>
      <c r="AJ235" s="817"/>
      <c r="AK235" s="609"/>
      <c r="AL235" s="609"/>
      <c r="AM235" s="816"/>
      <c r="AN235" s="816"/>
      <c r="AO235" s="816"/>
      <c r="AP235" s="816"/>
      <c r="AQ235" s="816"/>
      <c r="AR235" s="816"/>
      <c r="AS235" s="816"/>
      <c r="AT235" s="609"/>
      <c r="AU235" s="609"/>
      <c r="AV235" s="609"/>
      <c r="AW235" s="818"/>
      <c r="AX235" s="816"/>
      <c r="AY235" s="816"/>
      <c r="AZ235" s="609"/>
      <c r="BA235" s="609"/>
      <c r="BB235" s="816"/>
      <c r="BC235" s="816"/>
      <c r="BD235" s="609"/>
      <c r="BE235" s="609"/>
      <c r="BF235" s="816"/>
      <c r="BG235" s="816"/>
      <c r="BH235" s="816"/>
      <c r="BI235" s="816"/>
      <c r="BJ235" s="816"/>
      <c r="BK235" s="816"/>
      <c r="BL235" s="816"/>
      <c r="BM235" s="816"/>
      <c r="BN235" s="816"/>
      <c r="BO235" s="816"/>
      <c r="BP235" s="816"/>
      <c r="BQ235" s="816"/>
      <c r="BR235" s="816"/>
      <c r="BS235" s="816"/>
      <c r="BT235" s="816"/>
      <c r="BU235" s="816"/>
      <c r="BV235" s="816"/>
      <c r="BW235" s="816"/>
      <c r="BX235" s="609"/>
      <c r="BY235" s="609"/>
      <c r="BZ235" s="816"/>
      <c r="CA235" s="816"/>
      <c r="CB235" s="609"/>
      <c r="CC235" s="609"/>
      <c r="CD235" s="816"/>
      <c r="CE235" s="816"/>
      <c r="CF235" s="816"/>
      <c r="CG235" s="816"/>
      <c r="CH235" s="816"/>
      <c r="CI235" s="816"/>
      <c r="CJ235" s="816"/>
      <c r="CK235" s="816"/>
      <c r="CL235" s="819"/>
      <c r="CM235" s="816"/>
      <c r="CN235" s="820"/>
      <c r="CO235" s="820"/>
      <c r="CP235" s="820"/>
      <c r="CQ235" s="820"/>
      <c r="CR235" s="609"/>
      <c r="CS235" s="609"/>
      <c r="CT235" s="816"/>
      <c r="CU235" s="816"/>
      <c r="CV235" s="816"/>
      <c r="CW235" s="816"/>
      <c r="CX235" s="816"/>
      <c r="CY235" s="816"/>
      <c r="CZ235" s="816"/>
      <c r="DA235" s="609"/>
      <c r="DB235" s="609"/>
      <c r="DC235" s="816"/>
      <c r="DD235" s="816"/>
      <c r="DE235" s="609"/>
      <c r="DF235" s="609"/>
      <c r="DG235" s="816"/>
      <c r="DH235" s="816"/>
      <c r="DI235" s="816"/>
      <c r="DJ235" s="816"/>
      <c r="DK235" s="816"/>
      <c r="DL235" s="816"/>
      <c r="DM235" s="609"/>
      <c r="DN235" s="609"/>
      <c r="DO235" s="816"/>
      <c r="DP235" s="816"/>
      <c r="DQ235" s="609"/>
      <c r="DR235" s="609"/>
      <c r="DS235" s="816"/>
      <c r="DT235" s="816"/>
      <c r="DU235" s="609"/>
      <c r="DV235" s="609"/>
      <c r="DW235" s="816"/>
      <c r="DX235" s="816"/>
      <c r="DY235" s="816"/>
      <c r="DZ235" s="816"/>
      <c r="EA235" s="816"/>
      <c r="EB235" s="816"/>
      <c r="EC235" s="821"/>
      <c r="ED235" s="609"/>
      <c r="EE235" s="816"/>
      <c r="EF235" s="816"/>
      <c r="EG235" s="822"/>
      <c r="EH235" s="609"/>
      <c r="EI235" s="816"/>
      <c r="EJ235" s="816"/>
      <c r="EK235" s="609"/>
      <c r="EL235" s="816"/>
      <c r="EM235" s="816"/>
      <c r="EN235" s="816"/>
      <c r="EO235" s="816"/>
      <c r="EP235" s="816"/>
      <c r="EQ235" s="816"/>
      <c r="ER235" s="816"/>
      <c r="ES235" s="816"/>
      <c r="ET235" s="816"/>
      <c r="EU235" s="816"/>
      <c r="EV235" s="816"/>
      <c r="EW235" s="823"/>
      <c r="EX235" s="824"/>
      <c r="EY235" s="825"/>
      <c r="EZ235" s="825"/>
      <c r="FA235" s="816"/>
      <c r="FC235" s="834"/>
      <c r="FD235" s="834"/>
      <c r="FE235" s="826"/>
      <c r="FF235" s="834"/>
    </row>
    <row r="236" spans="2:162" s="780" customFormat="1">
      <c r="B236" s="609"/>
      <c r="C236" s="609"/>
      <c r="D236" s="609"/>
      <c r="E236" s="609"/>
      <c r="F236" s="609"/>
      <c r="G236" s="609"/>
      <c r="H236" s="609"/>
      <c r="I236" s="609"/>
      <c r="J236" s="609"/>
      <c r="K236" s="609"/>
      <c r="L236" s="609"/>
      <c r="M236" s="609"/>
      <c r="N236" s="609"/>
      <c r="O236" s="609"/>
      <c r="P236" s="609"/>
      <c r="Q236" s="609"/>
      <c r="R236" s="816"/>
      <c r="S236" s="816"/>
      <c r="T236" s="816"/>
      <c r="U236" s="816"/>
      <c r="V236" s="816"/>
      <c r="W236" s="816"/>
      <c r="X236" s="609"/>
      <c r="Y236" s="609"/>
      <c r="Z236" s="816"/>
      <c r="AA236" s="816"/>
      <c r="AB236" s="609"/>
      <c r="AC236" s="609"/>
      <c r="AD236" s="816"/>
      <c r="AE236" s="816"/>
      <c r="AF236" s="609"/>
      <c r="AG236" s="609"/>
      <c r="AH236" s="816"/>
      <c r="AI236" s="816"/>
      <c r="AJ236" s="817"/>
      <c r="AK236" s="609"/>
      <c r="AL236" s="609"/>
      <c r="AM236" s="816"/>
      <c r="AN236" s="816"/>
      <c r="AO236" s="816"/>
      <c r="AP236" s="816"/>
      <c r="AQ236" s="816"/>
      <c r="AR236" s="816"/>
      <c r="AS236" s="816"/>
      <c r="AT236" s="609"/>
      <c r="AU236" s="609"/>
      <c r="AV236" s="609"/>
      <c r="AW236" s="818"/>
      <c r="AX236" s="816"/>
      <c r="AY236" s="816"/>
      <c r="AZ236" s="609"/>
      <c r="BA236" s="609"/>
      <c r="BB236" s="816"/>
      <c r="BC236" s="816"/>
      <c r="BD236" s="609"/>
      <c r="BE236" s="609"/>
      <c r="BF236" s="816"/>
      <c r="BG236" s="816"/>
      <c r="BH236" s="816"/>
      <c r="BI236" s="816"/>
      <c r="BJ236" s="816"/>
      <c r="BK236" s="816"/>
      <c r="BL236" s="816"/>
      <c r="BM236" s="816"/>
      <c r="BN236" s="816"/>
      <c r="BO236" s="816"/>
      <c r="BP236" s="816"/>
      <c r="BQ236" s="816"/>
      <c r="BR236" s="816"/>
      <c r="BS236" s="816"/>
      <c r="BT236" s="816"/>
      <c r="BU236" s="816"/>
      <c r="BV236" s="816"/>
      <c r="BW236" s="816"/>
      <c r="BX236" s="609"/>
      <c r="BY236" s="609"/>
      <c r="BZ236" s="816"/>
      <c r="CA236" s="816"/>
      <c r="CB236" s="609"/>
      <c r="CC236" s="609"/>
      <c r="CD236" s="816"/>
      <c r="CE236" s="816"/>
      <c r="CF236" s="816"/>
      <c r="CG236" s="816"/>
      <c r="CH236" s="816"/>
      <c r="CI236" s="816"/>
      <c r="CJ236" s="816"/>
      <c r="CK236" s="816"/>
      <c r="CL236" s="819"/>
      <c r="CM236" s="816"/>
      <c r="CN236" s="820"/>
      <c r="CO236" s="820"/>
      <c r="CP236" s="820"/>
      <c r="CQ236" s="820"/>
      <c r="CR236" s="609"/>
      <c r="CS236" s="609"/>
      <c r="CT236" s="816"/>
      <c r="CU236" s="816"/>
      <c r="CV236" s="816"/>
      <c r="CW236" s="816"/>
      <c r="CX236" s="816"/>
      <c r="CY236" s="816"/>
      <c r="CZ236" s="816"/>
      <c r="DA236" s="609"/>
      <c r="DB236" s="609"/>
      <c r="DC236" s="816"/>
      <c r="DD236" s="816"/>
      <c r="DE236" s="609"/>
      <c r="DF236" s="609"/>
      <c r="DG236" s="816"/>
      <c r="DH236" s="816"/>
      <c r="DI236" s="816"/>
      <c r="DJ236" s="816"/>
      <c r="DK236" s="816"/>
      <c r="DL236" s="816"/>
      <c r="DM236" s="609"/>
      <c r="DN236" s="609"/>
      <c r="DO236" s="816"/>
      <c r="DP236" s="816"/>
      <c r="DQ236" s="609"/>
      <c r="DR236" s="609"/>
      <c r="DS236" s="816"/>
      <c r="DT236" s="816"/>
      <c r="DU236" s="609"/>
      <c r="DV236" s="609"/>
      <c r="DW236" s="816"/>
      <c r="DX236" s="816"/>
      <c r="DY236" s="816"/>
      <c r="DZ236" s="816"/>
      <c r="EA236" s="816"/>
      <c r="EB236" s="816"/>
      <c r="EC236" s="821"/>
      <c r="ED236" s="609"/>
      <c r="EE236" s="816"/>
      <c r="EF236" s="816"/>
      <c r="EG236" s="822"/>
      <c r="EH236" s="609"/>
      <c r="EI236" s="816"/>
      <c r="EJ236" s="816"/>
      <c r="EK236" s="609"/>
      <c r="EL236" s="816"/>
      <c r="EM236" s="816"/>
      <c r="EN236" s="816"/>
      <c r="EO236" s="816"/>
      <c r="EP236" s="816"/>
      <c r="EQ236" s="816"/>
      <c r="ER236" s="816"/>
      <c r="ES236" s="816"/>
      <c r="ET236" s="816"/>
      <c r="EU236" s="816"/>
      <c r="EV236" s="816"/>
      <c r="EW236" s="823"/>
      <c r="EX236" s="824"/>
      <c r="EY236" s="825"/>
      <c r="EZ236" s="825"/>
      <c r="FA236" s="816"/>
      <c r="FC236" s="834"/>
      <c r="FD236" s="834"/>
      <c r="FE236" s="826"/>
      <c r="FF236" s="834"/>
    </row>
    <row r="237" spans="2:162" s="780" customFormat="1">
      <c r="B237" s="609"/>
      <c r="C237" s="609"/>
      <c r="D237" s="609"/>
      <c r="E237" s="609"/>
      <c r="F237" s="609"/>
      <c r="G237" s="609"/>
      <c r="H237" s="609"/>
      <c r="I237" s="609"/>
      <c r="J237" s="609"/>
      <c r="K237" s="609"/>
      <c r="L237" s="609"/>
      <c r="M237" s="609"/>
      <c r="N237" s="609"/>
      <c r="O237" s="609"/>
      <c r="P237" s="609"/>
      <c r="Q237" s="609"/>
      <c r="R237" s="816"/>
      <c r="S237" s="816"/>
      <c r="T237" s="816"/>
      <c r="U237" s="816"/>
      <c r="V237" s="816"/>
      <c r="W237" s="816"/>
      <c r="X237" s="609"/>
      <c r="Y237" s="609"/>
      <c r="Z237" s="816"/>
      <c r="AA237" s="816"/>
      <c r="AB237" s="609"/>
      <c r="AC237" s="609"/>
      <c r="AD237" s="816"/>
      <c r="AE237" s="816"/>
      <c r="AF237" s="609"/>
      <c r="AG237" s="609"/>
      <c r="AH237" s="816"/>
      <c r="AI237" s="816"/>
      <c r="AJ237" s="817"/>
      <c r="AK237" s="609"/>
      <c r="AL237" s="609"/>
      <c r="AM237" s="816"/>
      <c r="AN237" s="816"/>
      <c r="AO237" s="816"/>
      <c r="AP237" s="816"/>
      <c r="AQ237" s="816"/>
      <c r="AR237" s="816"/>
      <c r="AS237" s="816"/>
      <c r="AT237" s="609"/>
      <c r="AU237" s="609"/>
      <c r="AV237" s="609"/>
      <c r="AW237" s="818"/>
      <c r="AX237" s="816"/>
      <c r="AY237" s="816"/>
      <c r="AZ237" s="609"/>
      <c r="BA237" s="609"/>
      <c r="BB237" s="816"/>
      <c r="BC237" s="816"/>
      <c r="BD237" s="609"/>
      <c r="BE237" s="609"/>
      <c r="BF237" s="816"/>
      <c r="BG237" s="816"/>
      <c r="BH237" s="816"/>
      <c r="BI237" s="816"/>
      <c r="BJ237" s="816"/>
      <c r="BK237" s="816"/>
      <c r="BL237" s="816"/>
      <c r="BM237" s="816"/>
      <c r="BN237" s="816"/>
      <c r="BO237" s="816"/>
      <c r="BP237" s="816"/>
      <c r="BQ237" s="816"/>
      <c r="BR237" s="816"/>
      <c r="BS237" s="816"/>
      <c r="BT237" s="816"/>
      <c r="BU237" s="816"/>
      <c r="BV237" s="816"/>
      <c r="BW237" s="816"/>
      <c r="BX237" s="609"/>
      <c r="BY237" s="609"/>
      <c r="BZ237" s="816"/>
      <c r="CA237" s="816"/>
      <c r="CB237" s="609"/>
      <c r="CC237" s="609"/>
      <c r="CD237" s="816"/>
      <c r="CE237" s="816"/>
      <c r="CF237" s="816"/>
      <c r="CG237" s="816"/>
      <c r="CH237" s="816"/>
      <c r="CI237" s="816"/>
      <c r="CJ237" s="816"/>
      <c r="CK237" s="816"/>
      <c r="CL237" s="819"/>
      <c r="CM237" s="816"/>
      <c r="CN237" s="820"/>
      <c r="CO237" s="820"/>
      <c r="CP237" s="820"/>
      <c r="CQ237" s="820"/>
      <c r="CR237" s="609"/>
      <c r="CS237" s="609"/>
      <c r="CT237" s="816"/>
      <c r="CU237" s="816"/>
      <c r="CV237" s="816"/>
      <c r="CW237" s="816"/>
      <c r="CX237" s="816"/>
      <c r="CY237" s="816"/>
      <c r="CZ237" s="816"/>
      <c r="DA237" s="609"/>
      <c r="DB237" s="609"/>
      <c r="DC237" s="816"/>
      <c r="DD237" s="816"/>
      <c r="DE237" s="609"/>
      <c r="DF237" s="609"/>
      <c r="DG237" s="816"/>
      <c r="DH237" s="816"/>
      <c r="DI237" s="816"/>
      <c r="DJ237" s="816"/>
      <c r="DK237" s="816"/>
      <c r="DL237" s="816"/>
      <c r="DM237" s="609"/>
      <c r="DN237" s="609"/>
      <c r="DO237" s="816"/>
      <c r="DP237" s="816"/>
      <c r="DQ237" s="609"/>
      <c r="DR237" s="609"/>
      <c r="DS237" s="816"/>
      <c r="DT237" s="816"/>
      <c r="DU237" s="609"/>
      <c r="DV237" s="609"/>
      <c r="DW237" s="816"/>
      <c r="DX237" s="816"/>
      <c r="DY237" s="816"/>
      <c r="DZ237" s="816"/>
      <c r="EA237" s="816"/>
      <c r="EB237" s="816"/>
      <c r="EC237" s="821"/>
      <c r="ED237" s="609"/>
      <c r="EE237" s="816"/>
      <c r="EF237" s="816"/>
      <c r="EG237" s="822"/>
      <c r="EH237" s="609"/>
      <c r="EI237" s="816"/>
      <c r="EJ237" s="816"/>
      <c r="EK237" s="609"/>
      <c r="EL237" s="816"/>
      <c r="EM237" s="816"/>
      <c r="EN237" s="816"/>
      <c r="EO237" s="816"/>
      <c r="EP237" s="816"/>
      <c r="EQ237" s="816"/>
      <c r="ER237" s="816"/>
      <c r="ES237" s="816"/>
      <c r="ET237" s="816"/>
      <c r="EU237" s="816"/>
      <c r="EV237" s="816"/>
      <c r="EW237" s="823"/>
      <c r="EX237" s="824"/>
      <c r="EY237" s="825"/>
      <c r="EZ237" s="825"/>
      <c r="FA237" s="816"/>
      <c r="FC237" s="834"/>
      <c r="FD237" s="834"/>
      <c r="FE237" s="826"/>
      <c r="FF237" s="834"/>
    </row>
    <row r="238" spans="2:162" s="780" customFormat="1">
      <c r="B238" s="609"/>
      <c r="C238" s="609"/>
      <c r="D238" s="609"/>
      <c r="E238" s="609"/>
      <c r="F238" s="609"/>
      <c r="G238" s="609"/>
      <c r="H238" s="609"/>
      <c r="I238" s="609"/>
      <c r="J238" s="609"/>
      <c r="K238" s="609"/>
      <c r="L238" s="609"/>
      <c r="M238" s="609"/>
      <c r="N238" s="609"/>
      <c r="O238" s="609"/>
      <c r="P238" s="609"/>
      <c r="Q238" s="609"/>
      <c r="R238" s="816"/>
      <c r="S238" s="816"/>
      <c r="T238" s="816"/>
      <c r="U238" s="816"/>
      <c r="V238" s="816"/>
      <c r="W238" s="816"/>
      <c r="X238" s="609"/>
      <c r="Y238" s="609"/>
      <c r="Z238" s="816"/>
      <c r="AA238" s="816"/>
      <c r="AB238" s="609"/>
      <c r="AC238" s="609"/>
      <c r="AD238" s="816"/>
      <c r="AE238" s="816"/>
      <c r="AF238" s="609"/>
      <c r="AG238" s="609"/>
      <c r="AH238" s="816"/>
      <c r="AI238" s="816"/>
      <c r="AJ238" s="817"/>
      <c r="AK238" s="609"/>
      <c r="AL238" s="609"/>
      <c r="AM238" s="816"/>
      <c r="AN238" s="816"/>
      <c r="AO238" s="816"/>
      <c r="AP238" s="816"/>
      <c r="AQ238" s="816"/>
      <c r="AR238" s="816"/>
      <c r="AS238" s="816"/>
      <c r="AT238" s="609"/>
      <c r="AU238" s="609"/>
      <c r="AV238" s="609"/>
      <c r="AW238" s="818"/>
      <c r="AX238" s="816"/>
      <c r="AY238" s="816"/>
      <c r="AZ238" s="609"/>
      <c r="BA238" s="609"/>
      <c r="BB238" s="816"/>
      <c r="BC238" s="816"/>
      <c r="BD238" s="609"/>
      <c r="BE238" s="609"/>
      <c r="BF238" s="816"/>
      <c r="BG238" s="816"/>
      <c r="BH238" s="816"/>
      <c r="BI238" s="816"/>
      <c r="BJ238" s="816"/>
      <c r="BK238" s="816"/>
      <c r="BL238" s="816"/>
      <c r="BM238" s="816"/>
      <c r="BN238" s="816"/>
      <c r="BO238" s="816"/>
      <c r="BP238" s="816"/>
      <c r="BQ238" s="816"/>
      <c r="BR238" s="816"/>
      <c r="BS238" s="816"/>
      <c r="BT238" s="816"/>
      <c r="BU238" s="816"/>
      <c r="BV238" s="816"/>
      <c r="BW238" s="816"/>
      <c r="BX238" s="609"/>
      <c r="BY238" s="609"/>
      <c r="BZ238" s="816"/>
      <c r="CA238" s="816"/>
      <c r="CB238" s="609"/>
      <c r="CC238" s="609"/>
      <c r="CD238" s="816"/>
      <c r="CE238" s="816"/>
      <c r="CF238" s="816"/>
      <c r="CG238" s="816"/>
      <c r="CH238" s="816"/>
      <c r="CI238" s="816"/>
      <c r="CJ238" s="816"/>
      <c r="CK238" s="816"/>
      <c r="CL238" s="819"/>
      <c r="CM238" s="816"/>
      <c r="CN238" s="820"/>
      <c r="CO238" s="820"/>
      <c r="CP238" s="820"/>
      <c r="CQ238" s="820"/>
      <c r="CR238" s="609"/>
      <c r="CS238" s="609"/>
      <c r="CT238" s="816"/>
      <c r="CU238" s="816"/>
      <c r="CV238" s="816"/>
      <c r="CW238" s="816"/>
      <c r="CX238" s="816"/>
      <c r="CY238" s="816"/>
      <c r="CZ238" s="816"/>
      <c r="DA238" s="609"/>
      <c r="DB238" s="609"/>
      <c r="DC238" s="816"/>
      <c r="DD238" s="816"/>
      <c r="DE238" s="609"/>
      <c r="DF238" s="609"/>
      <c r="DG238" s="816"/>
      <c r="DH238" s="816"/>
      <c r="DI238" s="816"/>
      <c r="DJ238" s="816"/>
      <c r="DK238" s="816"/>
      <c r="DL238" s="816"/>
      <c r="DM238" s="609"/>
      <c r="DN238" s="609"/>
      <c r="DO238" s="816"/>
      <c r="DP238" s="816"/>
      <c r="DQ238" s="609"/>
      <c r="DR238" s="609"/>
      <c r="DS238" s="816"/>
      <c r="DT238" s="816"/>
      <c r="DU238" s="609"/>
      <c r="DV238" s="609"/>
      <c r="DW238" s="816"/>
      <c r="DX238" s="816"/>
      <c r="DY238" s="816"/>
      <c r="DZ238" s="816"/>
      <c r="EA238" s="816"/>
      <c r="EB238" s="816"/>
      <c r="EC238" s="821"/>
      <c r="ED238" s="609"/>
      <c r="EE238" s="816"/>
      <c r="EF238" s="816"/>
      <c r="EG238" s="822"/>
      <c r="EH238" s="609"/>
      <c r="EI238" s="816"/>
      <c r="EJ238" s="816"/>
      <c r="EK238" s="609"/>
      <c r="EL238" s="816"/>
      <c r="EM238" s="816"/>
      <c r="EN238" s="816"/>
      <c r="EO238" s="816"/>
      <c r="EP238" s="816"/>
      <c r="EQ238" s="816"/>
      <c r="ER238" s="816"/>
      <c r="ES238" s="816"/>
      <c r="ET238" s="816"/>
      <c r="EU238" s="816"/>
      <c r="EV238" s="816"/>
      <c r="EW238" s="823"/>
      <c r="EX238" s="824"/>
      <c r="EY238" s="825"/>
      <c r="EZ238" s="825"/>
      <c r="FA238" s="816"/>
      <c r="FC238" s="834"/>
      <c r="FD238" s="834"/>
      <c r="FE238" s="826"/>
      <c r="FF238" s="834"/>
    </row>
    <row r="239" spans="2:162" s="780" customFormat="1">
      <c r="B239" s="609"/>
      <c r="C239" s="609"/>
      <c r="D239" s="609"/>
      <c r="E239" s="609"/>
      <c r="F239" s="609"/>
      <c r="G239" s="609"/>
      <c r="H239" s="609"/>
      <c r="I239" s="609"/>
      <c r="J239" s="609"/>
      <c r="K239" s="609"/>
      <c r="L239" s="609"/>
      <c r="M239" s="609"/>
      <c r="N239" s="609"/>
      <c r="O239" s="609"/>
      <c r="P239" s="609"/>
      <c r="Q239" s="609"/>
      <c r="R239" s="816"/>
      <c r="S239" s="816"/>
      <c r="T239" s="816"/>
      <c r="U239" s="816"/>
      <c r="V239" s="816"/>
      <c r="W239" s="816"/>
      <c r="X239" s="609"/>
      <c r="Y239" s="609"/>
      <c r="Z239" s="816"/>
      <c r="AA239" s="816"/>
      <c r="AB239" s="609"/>
      <c r="AC239" s="609"/>
      <c r="AD239" s="816"/>
      <c r="AE239" s="816"/>
      <c r="AF239" s="609"/>
      <c r="AG239" s="609"/>
      <c r="AH239" s="816"/>
      <c r="AI239" s="816"/>
      <c r="AJ239" s="817"/>
      <c r="AK239" s="609"/>
      <c r="AL239" s="609"/>
      <c r="AM239" s="816"/>
      <c r="AN239" s="816"/>
      <c r="AO239" s="816"/>
      <c r="AP239" s="816"/>
      <c r="AQ239" s="816"/>
      <c r="AR239" s="816"/>
      <c r="AS239" s="816"/>
      <c r="AT239" s="609"/>
      <c r="AU239" s="609"/>
      <c r="AV239" s="609"/>
      <c r="AW239" s="818"/>
      <c r="AX239" s="816"/>
      <c r="AY239" s="816"/>
      <c r="AZ239" s="609"/>
      <c r="BA239" s="609"/>
      <c r="BB239" s="816"/>
      <c r="BC239" s="816"/>
      <c r="BD239" s="609"/>
      <c r="BE239" s="609"/>
      <c r="BF239" s="816"/>
      <c r="BG239" s="816"/>
      <c r="BH239" s="816"/>
      <c r="BI239" s="816"/>
      <c r="BJ239" s="816"/>
      <c r="BK239" s="816"/>
      <c r="BL239" s="816"/>
      <c r="BM239" s="816"/>
      <c r="BN239" s="816"/>
      <c r="BO239" s="816"/>
      <c r="BP239" s="816"/>
      <c r="BQ239" s="816"/>
      <c r="BR239" s="816"/>
      <c r="BS239" s="816"/>
      <c r="BT239" s="816"/>
      <c r="BU239" s="816"/>
      <c r="BV239" s="816"/>
      <c r="BW239" s="816"/>
      <c r="BX239" s="609"/>
      <c r="BY239" s="609"/>
      <c r="BZ239" s="816"/>
      <c r="CA239" s="816"/>
      <c r="CB239" s="609"/>
      <c r="CC239" s="609"/>
      <c r="CD239" s="816"/>
      <c r="CE239" s="816"/>
      <c r="CF239" s="816"/>
      <c r="CG239" s="816"/>
      <c r="CH239" s="816"/>
      <c r="CI239" s="816"/>
      <c r="CJ239" s="816"/>
      <c r="CK239" s="816"/>
      <c r="CL239" s="819"/>
      <c r="CM239" s="816"/>
      <c r="CN239" s="820"/>
      <c r="CO239" s="820"/>
      <c r="CP239" s="820"/>
      <c r="CQ239" s="820"/>
      <c r="CR239" s="609"/>
      <c r="CS239" s="609"/>
      <c r="CT239" s="816"/>
      <c r="CU239" s="816"/>
      <c r="CV239" s="816"/>
      <c r="CW239" s="816"/>
      <c r="CX239" s="816"/>
      <c r="CY239" s="816"/>
      <c r="CZ239" s="816"/>
      <c r="DA239" s="609"/>
      <c r="DB239" s="609"/>
      <c r="DC239" s="816"/>
      <c r="DD239" s="816"/>
      <c r="DE239" s="609"/>
      <c r="DF239" s="609"/>
      <c r="DG239" s="816"/>
      <c r="DH239" s="816"/>
      <c r="DI239" s="816"/>
      <c r="DJ239" s="816"/>
      <c r="DK239" s="816"/>
      <c r="DL239" s="816"/>
      <c r="DM239" s="609"/>
      <c r="DN239" s="609"/>
      <c r="DO239" s="816"/>
      <c r="DP239" s="816"/>
      <c r="DQ239" s="609"/>
      <c r="DR239" s="609"/>
      <c r="DS239" s="816"/>
      <c r="DT239" s="816"/>
      <c r="DU239" s="609"/>
      <c r="DV239" s="609"/>
      <c r="DW239" s="816"/>
      <c r="DX239" s="816"/>
      <c r="DY239" s="816"/>
      <c r="DZ239" s="816"/>
      <c r="EA239" s="816"/>
      <c r="EB239" s="816"/>
      <c r="EC239" s="821"/>
      <c r="ED239" s="609"/>
      <c r="EE239" s="816"/>
      <c r="EF239" s="816"/>
      <c r="EG239" s="822"/>
      <c r="EH239" s="609"/>
      <c r="EI239" s="816"/>
      <c r="EJ239" s="816"/>
      <c r="EK239" s="609"/>
      <c r="EL239" s="816"/>
      <c r="EM239" s="816"/>
      <c r="EN239" s="816"/>
      <c r="EO239" s="816"/>
      <c r="EP239" s="816"/>
      <c r="EQ239" s="816"/>
      <c r="ER239" s="816"/>
      <c r="ES239" s="816"/>
      <c r="ET239" s="816"/>
      <c r="EU239" s="816"/>
      <c r="EV239" s="816"/>
      <c r="EW239" s="823"/>
      <c r="EX239" s="824"/>
      <c r="EY239" s="825"/>
      <c r="EZ239" s="825"/>
      <c r="FA239" s="816"/>
      <c r="FC239" s="834"/>
      <c r="FD239" s="834"/>
      <c r="FE239" s="826"/>
      <c r="FF239" s="834"/>
    </row>
    <row r="240" spans="2:162" s="780" customFormat="1">
      <c r="B240" s="609"/>
      <c r="C240" s="609"/>
      <c r="D240" s="609"/>
      <c r="E240" s="609"/>
      <c r="F240" s="609"/>
      <c r="G240" s="609"/>
      <c r="H240" s="609"/>
      <c r="I240" s="609"/>
      <c r="J240" s="609"/>
      <c r="K240" s="609"/>
      <c r="L240" s="609"/>
      <c r="M240" s="609"/>
      <c r="N240" s="609"/>
      <c r="O240" s="609"/>
      <c r="P240" s="609"/>
      <c r="Q240" s="609"/>
      <c r="R240" s="816"/>
      <c r="S240" s="816"/>
      <c r="T240" s="816"/>
      <c r="U240" s="816"/>
      <c r="V240" s="816"/>
      <c r="W240" s="816"/>
      <c r="X240" s="609"/>
      <c r="Y240" s="609"/>
      <c r="Z240" s="816"/>
      <c r="AA240" s="816"/>
      <c r="AB240" s="609"/>
      <c r="AC240" s="609"/>
      <c r="AD240" s="816"/>
      <c r="AE240" s="816"/>
      <c r="AF240" s="609"/>
      <c r="AG240" s="609"/>
      <c r="AH240" s="816"/>
      <c r="AI240" s="816"/>
      <c r="AJ240" s="817"/>
      <c r="AK240" s="609"/>
      <c r="AL240" s="609"/>
      <c r="AM240" s="816"/>
      <c r="AN240" s="816"/>
      <c r="AO240" s="816"/>
      <c r="AP240" s="816"/>
      <c r="AQ240" s="816"/>
      <c r="AR240" s="816"/>
      <c r="AS240" s="816"/>
      <c r="AT240" s="609"/>
      <c r="AU240" s="609"/>
      <c r="AV240" s="609"/>
      <c r="AW240" s="818"/>
      <c r="AX240" s="816"/>
      <c r="AY240" s="816"/>
      <c r="AZ240" s="609"/>
      <c r="BA240" s="609"/>
      <c r="BB240" s="816"/>
      <c r="BC240" s="816"/>
      <c r="BD240" s="609"/>
      <c r="BE240" s="609"/>
      <c r="BF240" s="816"/>
      <c r="BG240" s="816"/>
      <c r="BH240" s="816"/>
      <c r="BI240" s="816"/>
      <c r="BJ240" s="816"/>
      <c r="BK240" s="816"/>
      <c r="BL240" s="816"/>
      <c r="BM240" s="816"/>
      <c r="BN240" s="816"/>
      <c r="BO240" s="816"/>
      <c r="BP240" s="816"/>
      <c r="BQ240" s="816"/>
      <c r="BR240" s="816"/>
      <c r="BS240" s="816"/>
      <c r="BT240" s="816"/>
      <c r="BU240" s="816"/>
      <c r="BV240" s="816"/>
      <c r="BW240" s="816"/>
      <c r="BX240" s="609"/>
      <c r="BY240" s="609"/>
      <c r="BZ240" s="816"/>
      <c r="CA240" s="816"/>
      <c r="CB240" s="609"/>
      <c r="CC240" s="609"/>
      <c r="CD240" s="816"/>
      <c r="CE240" s="816"/>
      <c r="CF240" s="816"/>
      <c r="CG240" s="816"/>
      <c r="CH240" s="816"/>
      <c r="CI240" s="816"/>
      <c r="CJ240" s="816"/>
      <c r="CK240" s="816"/>
      <c r="CL240" s="819"/>
      <c r="CM240" s="816"/>
      <c r="CN240" s="820"/>
      <c r="CO240" s="820"/>
      <c r="CP240" s="820"/>
      <c r="CQ240" s="820"/>
      <c r="CR240" s="609"/>
      <c r="CS240" s="609"/>
      <c r="CT240" s="816"/>
      <c r="CU240" s="816"/>
      <c r="CV240" s="816"/>
      <c r="CW240" s="816"/>
      <c r="CX240" s="816"/>
      <c r="CY240" s="816"/>
      <c r="CZ240" s="816"/>
      <c r="DA240" s="609"/>
      <c r="DB240" s="609"/>
      <c r="DC240" s="816"/>
      <c r="DD240" s="816"/>
      <c r="DE240" s="609"/>
      <c r="DF240" s="609"/>
      <c r="DG240" s="816"/>
      <c r="DH240" s="816"/>
      <c r="DI240" s="816"/>
      <c r="DJ240" s="816"/>
      <c r="DK240" s="816"/>
      <c r="DL240" s="816"/>
      <c r="DM240" s="609"/>
      <c r="DN240" s="609"/>
      <c r="DO240" s="816"/>
      <c r="DP240" s="816"/>
      <c r="DQ240" s="609"/>
      <c r="DR240" s="609"/>
      <c r="DS240" s="816"/>
      <c r="DT240" s="816"/>
      <c r="DU240" s="609"/>
      <c r="DV240" s="609"/>
      <c r="DW240" s="816"/>
      <c r="DX240" s="816"/>
      <c r="DY240" s="816"/>
      <c r="DZ240" s="816"/>
      <c r="EA240" s="816"/>
      <c r="EB240" s="816"/>
      <c r="EC240" s="821"/>
      <c r="ED240" s="609"/>
      <c r="EE240" s="816"/>
      <c r="EF240" s="816"/>
      <c r="EG240" s="822"/>
      <c r="EH240" s="609"/>
      <c r="EI240" s="816"/>
      <c r="EJ240" s="816"/>
      <c r="EK240" s="609"/>
      <c r="EL240" s="816"/>
      <c r="EM240" s="816"/>
      <c r="EN240" s="816"/>
      <c r="EO240" s="816"/>
      <c r="EP240" s="816"/>
      <c r="EQ240" s="816"/>
      <c r="ER240" s="816"/>
      <c r="ES240" s="816"/>
      <c r="ET240" s="816"/>
      <c r="EU240" s="816"/>
      <c r="EV240" s="816"/>
      <c r="EW240" s="823"/>
      <c r="EX240" s="824"/>
      <c r="EY240" s="825"/>
      <c r="EZ240" s="825"/>
      <c r="FA240" s="816"/>
      <c r="FC240" s="834"/>
      <c r="FD240" s="834"/>
      <c r="FE240" s="826"/>
      <c r="FF240" s="834"/>
    </row>
    <row r="241" spans="2:162" s="780" customFormat="1">
      <c r="B241" s="609"/>
      <c r="C241" s="609"/>
      <c r="D241" s="609"/>
      <c r="E241" s="609"/>
      <c r="F241" s="609"/>
      <c r="G241" s="609"/>
      <c r="H241" s="609"/>
      <c r="I241" s="609"/>
      <c r="J241" s="609"/>
      <c r="K241" s="609"/>
      <c r="L241" s="609"/>
      <c r="M241" s="609"/>
      <c r="N241" s="609"/>
      <c r="O241" s="609"/>
      <c r="P241" s="609"/>
      <c r="Q241" s="609"/>
      <c r="R241" s="816"/>
      <c r="S241" s="816"/>
      <c r="T241" s="816"/>
      <c r="U241" s="816"/>
      <c r="V241" s="816"/>
      <c r="W241" s="816"/>
      <c r="X241" s="609"/>
      <c r="Y241" s="609"/>
      <c r="Z241" s="816"/>
      <c r="AA241" s="816"/>
      <c r="AB241" s="609"/>
      <c r="AC241" s="609"/>
      <c r="AD241" s="816"/>
      <c r="AE241" s="816"/>
      <c r="AF241" s="609"/>
      <c r="AG241" s="609"/>
      <c r="AH241" s="816"/>
      <c r="AI241" s="816"/>
      <c r="AJ241" s="817"/>
      <c r="AK241" s="609"/>
      <c r="AL241" s="609"/>
      <c r="AM241" s="816"/>
      <c r="AN241" s="816"/>
      <c r="AO241" s="816"/>
      <c r="AP241" s="816"/>
      <c r="AQ241" s="816"/>
      <c r="AR241" s="816"/>
      <c r="AS241" s="816"/>
      <c r="AT241" s="609"/>
      <c r="AU241" s="609"/>
      <c r="AV241" s="609"/>
      <c r="AW241" s="818"/>
      <c r="AX241" s="816"/>
      <c r="AY241" s="816"/>
      <c r="AZ241" s="609"/>
      <c r="BA241" s="609"/>
      <c r="BB241" s="816"/>
      <c r="BC241" s="816"/>
      <c r="BD241" s="609"/>
      <c r="BE241" s="609"/>
      <c r="BF241" s="816"/>
      <c r="BG241" s="816"/>
      <c r="BH241" s="816"/>
      <c r="BI241" s="816"/>
      <c r="BJ241" s="816"/>
      <c r="BK241" s="816"/>
      <c r="BL241" s="816"/>
      <c r="BM241" s="816"/>
      <c r="BN241" s="816"/>
      <c r="BO241" s="816"/>
      <c r="BP241" s="816"/>
      <c r="BQ241" s="816"/>
      <c r="BR241" s="816"/>
      <c r="BS241" s="816"/>
      <c r="BT241" s="816"/>
      <c r="BU241" s="816"/>
      <c r="BV241" s="816"/>
      <c r="BW241" s="816"/>
      <c r="BX241" s="609"/>
      <c r="BY241" s="609"/>
      <c r="BZ241" s="816"/>
      <c r="CA241" s="816"/>
      <c r="CB241" s="609"/>
      <c r="CC241" s="609"/>
      <c r="CD241" s="816"/>
      <c r="CE241" s="816"/>
      <c r="CF241" s="816"/>
      <c r="CG241" s="816"/>
      <c r="CH241" s="816"/>
      <c r="CI241" s="816"/>
      <c r="CJ241" s="816"/>
      <c r="CK241" s="816"/>
      <c r="CL241" s="819"/>
      <c r="CM241" s="816"/>
      <c r="CN241" s="820"/>
      <c r="CO241" s="820"/>
      <c r="CP241" s="820"/>
      <c r="CQ241" s="820"/>
      <c r="CR241" s="609"/>
      <c r="CS241" s="609"/>
      <c r="CT241" s="816"/>
      <c r="CU241" s="816"/>
      <c r="CV241" s="816"/>
      <c r="CW241" s="816"/>
      <c r="CX241" s="816"/>
      <c r="CY241" s="816"/>
      <c r="CZ241" s="816"/>
      <c r="DA241" s="609"/>
      <c r="DB241" s="609"/>
      <c r="DC241" s="816"/>
      <c r="DD241" s="816"/>
      <c r="DE241" s="609"/>
      <c r="DF241" s="609"/>
      <c r="DG241" s="816"/>
      <c r="DH241" s="816"/>
      <c r="DI241" s="816"/>
      <c r="DJ241" s="816"/>
      <c r="DK241" s="816"/>
      <c r="DL241" s="816"/>
      <c r="DM241" s="609"/>
      <c r="DN241" s="609"/>
      <c r="DO241" s="816"/>
      <c r="DP241" s="816"/>
      <c r="DQ241" s="609"/>
      <c r="DR241" s="609"/>
      <c r="DS241" s="816"/>
      <c r="DT241" s="816"/>
      <c r="DU241" s="609"/>
      <c r="DV241" s="609"/>
      <c r="DW241" s="816"/>
      <c r="DX241" s="816"/>
      <c r="DY241" s="816"/>
      <c r="DZ241" s="816"/>
      <c r="EA241" s="816"/>
      <c r="EB241" s="816"/>
      <c r="EC241" s="821"/>
      <c r="ED241" s="609"/>
      <c r="EE241" s="816"/>
      <c r="EF241" s="816"/>
      <c r="EG241" s="822"/>
      <c r="EH241" s="609"/>
      <c r="EI241" s="816"/>
      <c r="EJ241" s="816"/>
      <c r="EK241" s="609"/>
      <c r="EL241" s="816"/>
      <c r="EM241" s="816"/>
      <c r="EN241" s="816"/>
      <c r="EO241" s="816"/>
      <c r="EP241" s="816"/>
      <c r="EQ241" s="816"/>
      <c r="ER241" s="816"/>
      <c r="ES241" s="816"/>
      <c r="ET241" s="816"/>
      <c r="EU241" s="816"/>
      <c r="EV241" s="816"/>
      <c r="EW241" s="823"/>
      <c r="EX241" s="824"/>
      <c r="EY241" s="825"/>
      <c r="EZ241" s="825"/>
      <c r="FA241" s="816"/>
      <c r="FC241" s="834"/>
      <c r="FD241" s="834"/>
      <c r="FE241" s="826"/>
      <c r="FF241" s="834"/>
    </row>
    <row r="242" spans="2:162" s="780" customFormat="1">
      <c r="B242" s="609"/>
      <c r="C242" s="609"/>
      <c r="D242" s="609"/>
      <c r="E242" s="609"/>
      <c r="F242" s="609"/>
      <c r="G242" s="609"/>
      <c r="H242" s="609"/>
      <c r="I242" s="609"/>
      <c r="J242" s="609"/>
      <c r="K242" s="609"/>
      <c r="L242" s="609"/>
      <c r="M242" s="609"/>
      <c r="N242" s="609"/>
      <c r="O242" s="609"/>
      <c r="P242" s="609"/>
      <c r="Q242" s="609"/>
      <c r="R242" s="816"/>
      <c r="S242" s="816"/>
      <c r="T242" s="816"/>
      <c r="U242" s="816"/>
      <c r="V242" s="816"/>
      <c r="W242" s="816"/>
      <c r="X242" s="609"/>
      <c r="Y242" s="609"/>
      <c r="Z242" s="816"/>
      <c r="AA242" s="816"/>
      <c r="AB242" s="609"/>
      <c r="AC242" s="609"/>
      <c r="AD242" s="816"/>
      <c r="AE242" s="816"/>
      <c r="AF242" s="609"/>
      <c r="AG242" s="609"/>
      <c r="AH242" s="816"/>
      <c r="AI242" s="816"/>
      <c r="AJ242" s="817"/>
      <c r="AK242" s="609"/>
      <c r="AL242" s="609"/>
      <c r="AM242" s="816"/>
      <c r="AN242" s="816"/>
      <c r="AO242" s="816"/>
      <c r="AP242" s="816"/>
      <c r="AQ242" s="816"/>
      <c r="AR242" s="816"/>
      <c r="AS242" s="816"/>
      <c r="AT242" s="609"/>
      <c r="AU242" s="609"/>
      <c r="AV242" s="609"/>
      <c r="AW242" s="818"/>
      <c r="AX242" s="816"/>
      <c r="AY242" s="816"/>
      <c r="AZ242" s="609"/>
      <c r="BA242" s="609"/>
      <c r="BB242" s="816"/>
      <c r="BC242" s="816"/>
      <c r="BD242" s="609"/>
      <c r="BE242" s="609"/>
      <c r="BF242" s="816"/>
      <c r="BG242" s="816"/>
      <c r="BH242" s="816"/>
      <c r="BI242" s="816"/>
      <c r="BJ242" s="816"/>
      <c r="BK242" s="816"/>
      <c r="BL242" s="816"/>
      <c r="BM242" s="816"/>
      <c r="BN242" s="816"/>
      <c r="BO242" s="816"/>
      <c r="BP242" s="816"/>
      <c r="BQ242" s="816"/>
      <c r="BR242" s="816"/>
      <c r="BS242" s="816"/>
      <c r="BT242" s="816"/>
      <c r="BU242" s="816"/>
      <c r="BV242" s="816"/>
      <c r="BW242" s="816"/>
      <c r="BX242" s="609"/>
      <c r="BY242" s="609"/>
      <c r="BZ242" s="816"/>
      <c r="CA242" s="816"/>
      <c r="CB242" s="609"/>
      <c r="CC242" s="609"/>
      <c r="CD242" s="816"/>
      <c r="CE242" s="816"/>
      <c r="CF242" s="816"/>
      <c r="CG242" s="816"/>
      <c r="CH242" s="816"/>
      <c r="CI242" s="816"/>
      <c r="CJ242" s="816"/>
      <c r="CK242" s="816"/>
      <c r="CL242" s="819"/>
      <c r="CM242" s="816"/>
      <c r="CN242" s="820"/>
      <c r="CO242" s="820"/>
      <c r="CP242" s="820"/>
      <c r="CQ242" s="820"/>
      <c r="CR242" s="609"/>
      <c r="CS242" s="609"/>
      <c r="CT242" s="816"/>
      <c r="CU242" s="816"/>
      <c r="CV242" s="816"/>
      <c r="CW242" s="816"/>
      <c r="CX242" s="816"/>
      <c r="CY242" s="816"/>
      <c r="CZ242" s="816"/>
      <c r="DA242" s="609"/>
      <c r="DB242" s="609"/>
      <c r="DC242" s="816"/>
      <c r="DD242" s="816"/>
      <c r="DE242" s="609"/>
      <c r="DF242" s="609"/>
      <c r="DG242" s="816"/>
      <c r="DH242" s="816"/>
      <c r="DI242" s="816"/>
      <c r="DJ242" s="816"/>
      <c r="DK242" s="816"/>
      <c r="DL242" s="816"/>
      <c r="DM242" s="609"/>
      <c r="DN242" s="609"/>
      <c r="DO242" s="816"/>
      <c r="DP242" s="816"/>
      <c r="DQ242" s="609"/>
      <c r="DR242" s="609"/>
      <c r="DS242" s="816"/>
      <c r="DT242" s="816"/>
      <c r="DU242" s="609"/>
      <c r="DV242" s="609"/>
      <c r="DW242" s="816"/>
      <c r="DX242" s="816"/>
      <c r="DY242" s="816"/>
      <c r="DZ242" s="816"/>
      <c r="EA242" s="816"/>
      <c r="EB242" s="816"/>
      <c r="EC242" s="821"/>
      <c r="ED242" s="609"/>
      <c r="EE242" s="816"/>
      <c r="EF242" s="816"/>
      <c r="EG242" s="822"/>
      <c r="EH242" s="609"/>
      <c r="EI242" s="816"/>
      <c r="EJ242" s="816"/>
      <c r="EK242" s="609"/>
      <c r="EL242" s="816"/>
      <c r="EM242" s="816"/>
      <c r="EN242" s="816"/>
      <c r="EO242" s="816"/>
      <c r="EP242" s="816"/>
      <c r="EQ242" s="816"/>
      <c r="ER242" s="816"/>
      <c r="ES242" s="816"/>
      <c r="ET242" s="816"/>
      <c r="EU242" s="816"/>
      <c r="EV242" s="816"/>
      <c r="EW242" s="823"/>
      <c r="EX242" s="824"/>
      <c r="EY242" s="825"/>
      <c r="EZ242" s="825"/>
      <c r="FA242" s="816"/>
      <c r="FC242" s="834"/>
      <c r="FD242" s="834"/>
      <c r="FE242" s="826"/>
      <c r="FF242" s="834"/>
    </row>
    <row r="243" spans="2:162" s="780" customFormat="1">
      <c r="R243" s="835"/>
      <c r="S243" s="836"/>
      <c r="T243" s="836"/>
      <c r="U243" s="836"/>
      <c r="V243" s="836"/>
      <c r="W243" s="836"/>
      <c r="X243" s="817"/>
      <c r="Y243" s="817"/>
      <c r="Z243" s="836"/>
      <c r="AA243" s="836"/>
      <c r="AB243" s="817"/>
      <c r="AC243" s="817"/>
      <c r="AD243" s="836"/>
      <c r="AE243" s="836"/>
      <c r="AF243" s="817"/>
      <c r="AG243" s="817"/>
      <c r="AH243" s="836"/>
      <c r="AI243" s="836"/>
      <c r="AJ243" s="817"/>
      <c r="AK243" s="817"/>
      <c r="AL243" s="817"/>
      <c r="AM243" s="836"/>
      <c r="AN243" s="836"/>
      <c r="AO243" s="836"/>
      <c r="AP243" s="836"/>
      <c r="AQ243" s="836"/>
      <c r="AR243" s="836"/>
      <c r="AS243" s="836"/>
      <c r="AT243" s="817"/>
      <c r="AU243" s="817"/>
      <c r="AV243" s="817"/>
      <c r="AW243" s="817"/>
      <c r="AX243" s="836"/>
      <c r="AY243" s="836"/>
      <c r="AZ243" s="817"/>
      <c r="BA243" s="817"/>
      <c r="BB243" s="836"/>
      <c r="BC243" s="836"/>
      <c r="BD243" s="817"/>
      <c r="BE243" s="817"/>
      <c r="BF243" s="836"/>
      <c r="BG243" s="836"/>
      <c r="BH243" s="836"/>
      <c r="BI243" s="836"/>
      <c r="BJ243" s="836"/>
      <c r="BK243" s="836"/>
      <c r="BL243" s="836"/>
      <c r="BM243" s="836"/>
      <c r="BN243" s="836"/>
      <c r="BO243" s="836"/>
      <c r="BP243" s="836"/>
      <c r="BQ243" s="836"/>
      <c r="BR243" s="836"/>
      <c r="BS243" s="836"/>
      <c r="BT243" s="836"/>
      <c r="BU243" s="836"/>
      <c r="BV243" s="836"/>
      <c r="BW243" s="836"/>
      <c r="BX243" s="817"/>
      <c r="BY243" s="817"/>
      <c r="BZ243" s="836"/>
      <c r="CA243" s="836"/>
      <c r="CB243" s="817"/>
      <c r="CC243" s="817"/>
      <c r="CD243" s="836"/>
      <c r="CE243" s="836"/>
      <c r="CF243" s="836"/>
      <c r="CG243" s="836"/>
      <c r="CH243" s="836"/>
      <c r="CI243" s="836"/>
      <c r="CJ243" s="836"/>
      <c r="CK243" s="836"/>
      <c r="CL243" s="817"/>
      <c r="CM243" s="836"/>
      <c r="CN243" s="836"/>
      <c r="CO243" s="836"/>
      <c r="CP243" s="836"/>
      <c r="CQ243" s="836"/>
      <c r="CR243" s="817"/>
      <c r="CS243" s="817"/>
      <c r="CT243" s="836"/>
      <c r="CU243" s="836"/>
      <c r="CV243" s="836"/>
      <c r="CW243" s="836"/>
      <c r="CX243" s="836"/>
      <c r="CY243" s="836"/>
      <c r="CZ243" s="836"/>
      <c r="DA243" s="817"/>
      <c r="DB243" s="817"/>
      <c r="DC243" s="836"/>
      <c r="DD243" s="836"/>
      <c r="DE243" s="817"/>
      <c r="DF243" s="817"/>
      <c r="DG243" s="836"/>
      <c r="DH243" s="836"/>
      <c r="DI243" s="836"/>
      <c r="DJ243" s="836"/>
      <c r="DK243" s="836"/>
      <c r="DL243" s="836"/>
      <c r="DM243" s="817"/>
      <c r="DN243" s="817"/>
      <c r="DO243" s="836"/>
      <c r="DP243" s="836"/>
      <c r="DQ243" s="817"/>
      <c r="DR243" s="817"/>
      <c r="DS243" s="836"/>
      <c r="DT243" s="836"/>
      <c r="DU243" s="817"/>
      <c r="DV243" s="817"/>
      <c r="DW243" s="836"/>
      <c r="DX243" s="836"/>
      <c r="DY243" s="836"/>
      <c r="DZ243" s="836"/>
      <c r="EA243" s="836"/>
      <c r="EB243" s="836"/>
      <c r="EC243" s="817"/>
      <c r="ED243" s="817"/>
      <c r="EE243" s="836"/>
      <c r="EF243" s="836"/>
      <c r="EG243" s="817"/>
      <c r="EH243" s="817"/>
      <c r="EI243" s="836"/>
      <c r="EJ243" s="836"/>
      <c r="EK243" s="817"/>
      <c r="EL243" s="836"/>
      <c r="EM243" s="836"/>
      <c r="EN243" s="836"/>
      <c r="EO243" s="836"/>
      <c r="EP243" s="836"/>
      <c r="EQ243" s="836"/>
      <c r="ER243" s="836"/>
      <c r="ES243" s="836"/>
      <c r="ET243" s="836"/>
      <c r="EU243" s="836"/>
      <c r="EV243" s="836"/>
      <c r="EW243" s="837"/>
      <c r="EX243" s="836"/>
      <c r="EY243" s="838"/>
      <c r="EZ243" s="838"/>
      <c r="FA243" s="836"/>
      <c r="FC243" s="834"/>
      <c r="FD243" s="834"/>
      <c r="FE243" s="826"/>
      <c r="FF243" s="834"/>
    </row>
    <row r="244" spans="2:162" s="780" customFormat="1">
      <c r="R244" s="835"/>
      <c r="S244" s="836"/>
      <c r="T244" s="836"/>
      <c r="U244" s="836"/>
      <c r="V244" s="836"/>
      <c r="W244" s="836"/>
      <c r="X244" s="817"/>
      <c r="Y244" s="817"/>
      <c r="Z244" s="836"/>
      <c r="AA244" s="836"/>
      <c r="AB244" s="817"/>
      <c r="AC244" s="817"/>
      <c r="AD244" s="836"/>
      <c r="AE244" s="836"/>
      <c r="AF244" s="817"/>
      <c r="AG244" s="817"/>
      <c r="AH244" s="836"/>
      <c r="AI244" s="836"/>
      <c r="AJ244" s="817"/>
      <c r="AK244" s="817"/>
      <c r="AL244" s="817"/>
      <c r="AM244" s="836"/>
      <c r="AN244" s="836"/>
      <c r="AO244" s="836"/>
      <c r="AP244" s="836"/>
      <c r="AQ244" s="836"/>
      <c r="AR244" s="836"/>
      <c r="AS244" s="836"/>
      <c r="AT244" s="817"/>
      <c r="AU244" s="817"/>
      <c r="AV244" s="817"/>
      <c r="AW244" s="817"/>
      <c r="AX244" s="836"/>
      <c r="AY244" s="836"/>
      <c r="AZ244" s="817"/>
      <c r="BA244" s="817"/>
      <c r="BB244" s="836"/>
      <c r="BC244" s="836"/>
      <c r="BD244" s="817"/>
      <c r="BE244" s="817"/>
      <c r="BF244" s="836"/>
      <c r="BG244" s="836"/>
      <c r="BH244" s="836"/>
      <c r="BI244" s="836"/>
      <c r="BJ244" s="836"/>
      <c r="BK244" s="836"/>
      <c r="BL244" s="836"/>
      <c r="BM244" s="836"/>
      <c r="BN244" s="836"/>
      <c r="BO244" s="836"/>
      <c r="BP244" s="836"/>
      <c r="BQ244" s="836"/>
      <c r="BR244" s="836"/>
      <c r="BS244" s="836"/>
      <c r="BT244" s="836"/>
      <c r="BU244" s="836"/>
      <c r="BV244" s="836"/>
      <c r="BW244" s="836"/>
      <c r="BX244" s="817"/>
      <c r="BY244" s="817"/>
      <c r="BZ244" s="836"/>
      <c r="CA244" s="836"/>
      <c r="CB244" s="817"/>
      <c r="CC244" s="817"/>
      <c r="CD244" s="836"/>
      <c r="CE244" s="836"/>
      <c r="CF244" s="836"/>
      <c r="CG244" s="836"/>
      <c r="CH244" s="836"/>
      <c r="CI244" s="836"/>
      <c r="CJ244" s="836"/>
      <c r="CK244" s="836"/>
      <c r="CL244" s="817"/>
      <c r="CM244" s="836"/>
      <c r="CN244" s="836"/>
      <c r="CO244" s="836"/>
      <c r="CP244" s="836"/>
      <c r="CQ244" s="836"/>
      <c r="CR244" s="817"/>
      <c r="CS244" s="817"/>
      <c r="CT244" s="836"/>
      <c r="CU244" s="836"/>
      <c r="CV244" s="836"/>
      <c r="CW244" s="836"/>
      <c r="CX244" s="836"/>
      <c r="CY244" s="836"/>
      <c r="CZ244" s="836"/>
      <c r="DA244" s="817"/>
      <c r="DB244" s="817"/>
      <c r="DC244" s="836"/>
      <c r="DD244" s="836"/>
      <c r="DE244" s="817"/>
      <c r="DF244" s="817"/>
      <c r="DG244" s="836"/>
      <c r="DH244" s="836"/>
      <c r="DI244" s="836"/>
      <c r="DJ244" s="836"/>
      <c r="DK244" s="836"/>
      <c r="DL244" s="836"/>
      <c r="DM244" s="817"/>
      <c r="DN244" s="817"/>
      <c r="DO244" s="836"/>
      <c r="DP244" s="836"/>
      <c r="DQ244" s="817"/>
      <c r="DR244" s="817"/>
      <c r="DS244" s="836"/>
      <c r="DT244" s="836"/>
      <c r="DU244" s="817"/>
      <c r="DV244" s="817"/>
      <c r="DW244" s="836"/>
      <c r="DX244" s="836"/>
      <c r="DY244" s="836"/>
      <c r="DZ244" s="836"/>
      <c r="EA244" s="836"/>
      <c r="EB244" s="836"/>
      <c r="EC244" s="817"/>
      <c r="ED244" s="817"/>
      <c r="EE244" s="836"/>
      <c r="EF244" s="836"/>
      <c r="EG244" s="817"/>
      <c r="EH244" s="817"/>
      <c r="EI244" s="836"/>
      <c r="EJ244" s="836"/>
      <c r="EK244" s="817"/>
      <c r="EL244" s="836"/>
      <c r="EM244" s="836"/>
      <c r="EN244" s="836"/>
      <c r="EO244" s="836"/>
      <c r="EP244" s="836"/>
      <c r="EQ244" s="836"/>
      <c r="ER244" s="836"/>
      <c r="ES244" s="836"/>
      <c r="ET244" s="836"/>
      <c r="EU244" s="836"/>
      <c r="EV244" s="836"/>
      <c r="EW244" s="836"/>
      <c r="EX244" s="836"/>
      <c r="EY244" s="839"/>
      <c r="EZ244" s="839"/>
      <c r="FA244" s="836"/>
      <c r="FC244" s="834"/>
      <c r="FD244" s="834"/>
      <c r="FE244" s="826"/>
      <c r="FF244" s="834"/>
    </row>
    <row r="245" spans="2:162">
      <c r="S245" s="840"/>
      <c r="T245" s="840"/>
      <c r="U245" s="840"/>
      <c r="V245" s="840"/>
      <c r="W245" s="840"/>
      <c r="X245" s="841"/>
      <c r="Y245" s="841"/>
      <c r="Z245" s="840"/>
      <c r="AA245" s="840"/>
      <c r="AB245" s="841"/>
      <c r="AC245" s="841"/>
      <c r="AD245" s="840"/>
      <c r="AE245" s="840"/>
      <c r="AF245" s="841"/>
      <c r="AG245" s="841"/>
      <c r="AH245" s="840"/>
      <c r="AI245" s="840"/>
      <c r="AJ245" s="841"/>
      <c r="AK245" s="841"/>
      <c r="AL245" s="841"/>
      <c r="AM245" s="840"/>
      <c r="AN245" s="840"/>
      <c r="AO245" s="840"/>
      <c r="AP245" s="840"/>
      <c r="AQ245" s="840"/>
      <c r="AR245" s="840"/>
      <c r="AS245" s="840"/>
      <c r="AT245" s="841"/>
      <c r="AU245" s="841"/>
      <c r="AV245" s="841"/>
      <c r="AW245" s="841"/>
      <c r="AX245" s="840"/>
      <c r="AY245" s="840"/>
      <c r="AZ245" s="841"/>
      <c r="BA245" s="841"/>
      <c r="BB245" s="840"/>
      <c r="BC245" s="840"/>
      <c r="BD245" s="841"/>
      <c r="BE245" s="841"/>
      <c r="BF245" s="840"/>
      <c r="BG245" s="840"/>
      <c r="BH245" s="840"/>
      <c r="BI245" s="840"/>
      <c r="BJ245" s="840"/>
      <c r="BK245" s="840"/>
      <c r="BL245" s="840"/>
      <c r="BM245" s="840"/>
      <c r="BN245" s="840"/>
      <c r="BO245" s="840"/>
      <c r="BP245" s="840"/>
      <c r="BQ245" s="840"/>
      <c r="BR245" s="840"/>
      <c r="BS245" s="840"/>
      <c r="BT245" s="840"/>
      <c r="BU245" s="840"/>
      <c r="BV245" s="840"/>
      <c r="BW245" s="840"/>
      <c r="BX245" s="841"/>
      <c r="BY245" s="841"/>
      <c r="BZ245" s="840"/>
      <c r="CA245" s="840"/>
      <c r="CB245" s="841"/>
      <c r="CC245" s="841"/>
      <c r="CD245" s="840"/>
      <c r="CE245" s="840"/>
      <c r="CF245" s="840"/>
      <c r="CG245" s="840"/>
      <c r="CH245" s="840"/>
      <c r="CI245" s="840"/>
      <c r="CJ245" s="840"/>
      <c r="CK245" s="840"/>
      <c r="CL245" s="841"/>
      <c r="CM245" s="840"/>
      <c r="CN245" s="840"/>
      <c r="CO245" s="840"/>
      <c r="CP245" s="840"/>
      <c r="CQ245" s="840"/>
      <c r="CR245" s="841"/>
      <c r="CS245" s="841"/>
      <c r="CT245" s="840"/>
      <c r="CU245" s="840"/>
      <c r="CV245" s="840"/>
      <c r="CW245" s="840"/>
      <c r="CX245" s="840"/>
      <c r="CY245" s="840"/>
      <c r="CZ245" s="840"/>
      <c r="DA245" s="841"/>
      <c r="DB245" s="841"/>
      <c r="DC245" s="840"/>
      <c r="DD245" s="840"/>
      <c r="DE245" s="841"/>
      <c r="DF245" s="841"/>
      <c r="DG245" s="840"/>
      <c r="DH245" s="840"/>
      <c r="DI245" s="840"/>
      <c r="DJ245" s="840"/>
      <c r="DK245" s="840"/>
      <c r="DL245" s="840"/>
      <c r="DM245" s="841"/>
      <c r="DN245" s="841"/>
      <c r="DO245" s="840"/>
      <c r="DP245" s="840"/>
      <c r="DQ245" s="841"/>
      <c r="DR245" s="841"/>
      <c r="DS245" s="840"/>
      <c r="DT245" s="840"/>
      <c r="DU245" s="841"/>
      <c r="DV245" s="841"/>
      <c r="DW245" s="840"/>
      <c r="DX245" s="840"/>
      <c r="DY245" s="840"/>
      <c r="DZ245" s="840"/>
      <c r="EA245" s="840"/>
      <c r="EB245" s="840"/>
      <c r="EC245" s="841"/>
      <c r="ED245" s="841"/>
      <c r="EE245" s="840"/>
      <c r="EF245" s="840"/>
      <c r="EG245" s="841"/>
      <c r="EH245" s="841"/>
      <c r="EI245" s="840"/>
      <c r="EJ245" s="840"/>
      <c r="EK245" s="841"/>
      <c r="EL245" s="840"/>
      <c r="EM245" s="840"/>
      <c r="EN245" s="840"/>
      <c r="EO245" s="840"/>
      <c r="EP245" s="840"/>
      <c r="EQ245" s="840"/>
      <c r="ER245" s="840"/>
      <c r="ES245" s="840"/>
      <c r="ET245" s="840"/>
      <c r="EU245" s="840"/>
      <c r="EV245" s="840"/>
      <c r="EW245" s="619"/>
      <c r="EX245" s="840"/>
      <c r="EY245" s="842"/>
      <c r="EZ245" s="842"/>
      <c r="FA245" s="840"/>
    </row>
    <row r="246" spans="2:162">
      <c r="S246" s="840"/>
      <c r="T246" s="840"/>
      <c r="U246" s="840"/>
      <c r="V246" s="840"/>
      <c r="W246" s="840"/>
      <c r="X246" s="841"/>
      <c r="Y246" s="841"/>
      <c r="Z246" s="840"/>
      <c r="AA246" s="840"/>
      <c r="AB246" s="841"/>
      <c r="AC246" s="841"/>
      <c r="AD246" s="840"/>
      <c r="AE246" s="840"/>
      <c r="AF246" s="841"/>
      <c r="AG246" s="841"/>
      <c r="AH246" s="840"/>
      <c r="AI246" s="840"/>
      <c r="AJ246" s="841"/>
      <c r="AK246" s="841"/>
      <c r="AL246" s="841"/>
      <c r="AM246" s="840"/>
      <c r="AN246" s="840"/>
      <c r="AO246" s="840"/>
      <c r="AP246" s="840"/>
      <c r="AQ246" s="840"/>
      <c r="AR246" s="840"/>
      <c r="AS246" s="840"/>
      <c r="AT246" s="841"/>
      <c r="AU246" s="841"/>
      <c r="AV246" s="841"/>
      <c r="AW246" s="841"/>
      <c r="AX246" s="840"/>
      <c r="AY246" s="840"/>
      <c r="AZ246" s="841"/>
      <c r="BA246" s="841"/>
      <c r="BB246" s="840"/>
      <c r="BC246" s="840"/>
      <c r="BD246" s="841"/>
      <c r="BE246" s="841"/>
      <c r="BF246" s="840"/>
      <c r="BG246" s="840"/>
      <c r="BH246" s="840"/>
      <c r="BI246" s="840"/>
      <c r="BJ246" s="840"/>
      <c r="BK246" s="840"/>
      <c r="BL246" s="840"/>
      <c r="BM246" s="840"/>
      <c r="BN246" s="840"/>
      <c r="BO246" s="840"/>
      <c r="BP246" s="840"/>
      <c r="BQ246" s="840"/>
      <c r="BR246" s="840"/>
      <c r="BS246" s="840"/>
      <c r="BT246" s="840"/>
      <c r="BU246" s="840"/>
      <c r="BV246" s="840"/>
      <c r="BW246" s="840"/>
      <c r="BX246" s="841"/>
      <c r="BY246" s="841"/>
      <c r="BZ246" s="840"/>
      <c r="CA246" s="840"/>
      <c r="CB246" s="841"/>
      <c r="CC246" s="841"/>
      <c r="CD246" s="840"/>
      <c r="CE246" s="840"/>
      <c r="CF246" s="840"/>
      <c r="CG246" s="840"/>
      <c r="CH246" s="840"/>
      <c r="CI246" s="840"/>
      <c r="CJ246" s="840"/>
      <c r="CK246" s="840"/>
      <c r="CL246" s="841"/>
      <c r="CM246" s="840"/>
      <c r="CN246" s="840"/>
      <c r="CO246" s="840"/>
      <c r="CP246" s="840"/>
      <c r="CQ246" s="840"/>
      <c r="CR246" s="841"/>
      <c r="CS246" s="841"/>
      <c r="CT246" s="840"/>
      <c r="CU246" s="840"/>
      <c r="CV246" s="840"/>
      <c r="CW246" s="840"/>
      <c r="CX246" s="840"/>
      <c r="CY246" s="840"/>
      <c r="CZ246" s="840"/>
      <c r="DA246" s="841"/>
      <c r="DB246" s="841"/>
      <c r="DC246" s="840"/>
      <c r="DD246" s="840"/>
      <c r="DE246" s="841"/>
      <c r="DF246" s="841"/>
      <c r="DG246" s="840"/>
      <c r="DH246" s="840"/>
      <c r="DI246" s="840"/>
      <c r="DJ246" s="840"/>
      <c r="DK246" s="840"/>
      <c r="DL246" s="840"/>
      <c r="DM246" s="841"/>
      <c r="DN246" s="841"/>
      <c r="DO246" s="840"/>
      <c r="DP246" s="840"/>
      <c r="DQ246" s="841"/>
      <c r="DR246" s="841"/>
      <c r="DS246" s="840"/>
      <c r="DT246" s="840"/>
      <c r="DU246" s="841"/>
      <c r="DV246" s="841"/>
      <c r="DW246" s="840"/>
      <c r="DX246" s="840"/>
      <c r="DY246" s="840"/>
      <c r="DZ246" s="840"/>
      <c r="EA246" s="840"/>
      <c r="EB246" s="840"/>
      <c r="EC246" s="841"/>
      <c r="ED246" s="841"/>
      <c r="EE246" s="840"/>
      <c r="EF246" s="840"/>
      <c r="EG246" s="841"/>
      <c r="EH246" s="841"/>
      <c r="EI246" s="840"/>
      <c r="EJ246" s="840"/>
      <c r="EK246" s="841"/>
      <c r="EL246" s="840"/>
      <c r="EM246" s="840"/>
      <c r="EN246" s="840"/>
      <c r="EO246" s="840"/>
      <c r="EP246" s="840"/>
      <c r="EQ246" s="840"/>
      <c r="ER246" s="840"/>
      <c r="ES246" s="840"/>
      <c r="ET246" s="840"/>
      <c r="EU246" s="840"/>
      <c r="EV246" s="840"/>
      <c r="EW246" s="619"/>
      <c r="EX246" s="840"/>
      <c r="EY246" s="843"/>
      <c r="EZ246" s="843"/>
      <c r="FA246" s="840"/>
    </row>
    <row r="247" spans="2:162">
      <c r="S247" s="840"/>
      <c r="T247" s="840"/>
      <c r="U247" s="840"/>
      <c r="V247" s="840"/>
      <c r="W247" s="840"/>
      <c r="X247" s="841"/>
      <c r="Y247" s="841"/>
      <c r="Z247" s="840"/>
      <c r="AA247" s="840"/>
      <c r="AB247" s="841"/>
      <c r="AC247" s="841"/>
      <c r="AD247" s="840"/>
      <c r="AE247" s="840"/>
      <c r="AF247" s="841"/>
      <c r="AG247" s="841"/>
      <c r="AH247" s="840"/>
      <c r="AI247" s="840"/>
      <c r="AJ247" s="841"/>
      <c r="AK247" s="841"/>
      <c r="AL247" s="841"/>
      <c r="AM247" s="840"/>
      <c r="AN247" s="840"/>
      <c r="AO247" s="840"/>
      <c r="AP247" s="840"/>
      <c r="AQ247" s="840"/>
      <c r="AR247" s="840"/>
      <c r="AS247" s="840"/>
      <c r="AT247" s="841"/>
      <c r="AU247" s="841"/>
      <c r="AV247" s="841"/>
      <c r="AW247" s="841"/>
      <c r="AX247" s="840"/>
      <c r="AY247" s="840"/>
      <c r="AZ247" s="841"/>
      <c r="BA247" s="841"/>
      <c r="BB247" s="840"/>
      <c r="BC247" s="840"/>
      <c r="BD247" s="841"/>
      <c r="BE247" s="841"/>
      <c r="BF247" s="840"/>
      <c r="BG247" s="840"/>
      <c r="BH247" s="840"/>
      <c r="BI247" s="840"/>
      <c r="BJ247" s="840"/>
      <c r="BK247" s="840"/>
      <c r="BL247" s="840"/>
      <c r="BM247" s="840"/>
      <c r="BN247" s="840"/>
      <c r="BO247" s="840"/>
      <c r="BP247" s="840"/>
      <c r="BQ247" s="840"/>
      <c r="BR247" s="840"/>
      <c r="BS247" s="840"/>
      <c r="BT247" s="840"/>
      <c r="BU247" s="840"/>
      <c r="BV247" s="840"/>
      <c r="BW247" s="840"/>
      <c r="BX247" s="841"/>
      <c r="BY247" s="841"/>
      <c r="BZ247" s="840"/>
      <c r="CA247" s="840"/>
      <c r="CB247" s="841"/>
      <c r="CC247" s="841"/>
      <c r="CD247" s="840"/>
      <c r="CE247" s="840"/>
      <c r="CF247" s="840"/>
      <c r="CG247" s="840"/>
      <c r="CH247" s="840"/>
      <c r="CI247" s="840"/>
      <c r="CJ247" s="840"/>
      <c r="CK247" s="840"/>
      <c r="CL247" s="841"/>
      <c r="CM247" s="840"/>
      <c r="CN247" s="840"/>
      <c r="CO247" s="840"/>
      <c r="CP247" s="840"/>
      <c r="CQ247" s="840"/>
      <c r="CR247" s="841"/>
      <c r="CS247" s="841"/>
      <c r="CT247" s="840"/>
      <c r="CU247" s="840"/>
      <c r="CV247" s="840"/>
      <c r="CW247" s="840"/>
      <c r="CX247" s="840"/>
      <c r="CY247" s="840"/>
      <c r="CZ247" s="840"/>
      <c r="DA247" s="841"/>
      <c r="DB247" s="841"/>
      <c r="DC247" s="840"/>
      <c r="DD247" s="840"/>
      <c r="DE247" s="841"/>
      <c r="DF247" s="841"/>
      <c r="DG247" s="840"/>
      <c r="DH247" s="840"/>
      <c r="DI247" s="840"/>
      <c r="DJ247" s="840"/>
      <c r="DK247" s="840"/>
      <c r="DL247" s="840"/>
      <c r="DM247" s="841"/>
      <c r="DN247" s="841"/>
      <c r="DO247" s="840"/>
      <c r="DP247" s="840"/>
      <c r="DQ247" s="841"/>
      <c r="DR247" s="841"/>
      <c r="DS247" s="840"/>
      <c r="DT247" s="840"/>
      <c r="DU247" s="841"/>
      <c r="DV247" s="841"/>
      <c r="DW247" s="840"/>
      <c r="DX247" s="840"/>
      <c r="DY247" s="840"/>
      <c r="DZ247" s="840"/>
      <c r="EA247" s="840"/>
      <c r="EB247" s="840"/>
      <c r="EC247" s="841"/>
      <c r="ED247" s="841"/>
      <c r="EE247" s="840"/>
      <c r="EF247" s="840"/>
      <c r="EG247" s="841"/>
      <c r="EH247" s="841"/>
      <c r="EI247" s="840"/>
      <c r="EJ247" s="840"/>
      <c r="EK247" s="841"/>
      <c r="EL247" s="840"/>
      <c r="EM247" s="840"/>
      <c r="EN247" s="840"/>
      <c r="EO247" s="840"/>
      <c r="EP247" s="840"/>
      <c r="EQ247" s="840"/>
      <c r="ER247" s="840"/>
      <c r="ES247" s="840"/>
      <c r="ET247" s="840"/>
      <c r="EU247" s="840"/>
      <c r="EV247" s="840"/>
      <c r="EW247" s="619"/>
      <c r="EX247" s="840"/>
      <c r="EY247" s="843"/>
      <c r="EZ247" s="843"/>
      <c r="FA247" s="840"/>
    </row>
    <row r="248" spans="2:162">
      <c r="S248" s="840"/>
      <c r="T248" s="840"/>
      <c r="U248" s="840"/>
      <c r="V248" s="840"/>
      <c r="W248" s="840"/>
      <c r="X248" s="841"/>
      <c r="Y248" s="841"/>
      <c r="Z248" s="840"/>
      <c r="AA248" s="840"/>
      <c r="AB248" s="841"/>
      <c r="AC248" s="841"/>
      <c r="AD248" s="840"/>
      <c r="AE248" s="840"/>
      <c r="AF248" s="841"/>
      <c r="AG248" s="841"/>
      <c r="AH248" s="840"/>
      <c r="AI248" s="840"/>
      <c r="AJ248" s="841"/>
      <c r="AK248" s="841"/>
      <c r="AL248" s="841"/>
      <c r="AM248" s="840"/>
      <c r="AN248" s="840"/>
      <c r="AO248" s="840"/>
      <c r="AP248" s="840"/>
      <c r="AQ248" s="840"/>
      <c r="AR248" s="840"/>
      <c r="AS248" s="840"/>
      <c r="AT248" s="841"/>
      <c r="AU248" s="841"/>
      <c r="AV248" s="841"/>
      <c r="AW248" s="841"/>
      <c r="AX248" s="840"/>
      <c r="AY248" s="840"/>
      <c r="AZ248" s="841"/>
      <c r="BA248" s="841"/>
      <c r="BB248" s="840"/>
      <c r="BC248" s="840"/>
      <c r="BD248" s="841"/>
      <c r="BE248" s="841"/>
      <c r="BF248" s="840"/>
      <c r="BG248" s="840"/>
      <c r="BH248" s="840"/>
      <c r="BI248" s="840"/>
      <c r="BJ248" s="840"/>
      <c r="BK248" s="840"/>
      <c r="BL248" s="840"/>
      <c r="BM248" s="840"/>
      <c r="BN248" s="840"/>
      <c r="BO248" s="840"/>
      <c r="BP248" s="840"/>
      <c r="BQ248" s="840"/>
      <c r="BR248" s="840"/>
      <c r="BS248" s="840"/>
      <c r="BT248" s="840"/>
      <c r="BU248" s="840"/>
      <c r="BV248" s="840"/>
      <c r="BW248" s="840"/>
      <c r="BX248" s="841"/>
      <c r="BY248" s="841"/>
      <c r="BZ248" s="840"/>
      <c r="CA248" s="840"/>
      <c r="CB248" s="841"/>
      <c r="CC248" s="841"/>
      <c r="CD248" s="840"/>
      <c r="CE248" s="840"/>
      <c r="CF248" s="840"/>
      <c r="CG248" s="840"/>
      <c r="CH248" s="840"/>
      <c r="CI248" s="840"/>
      <c r="CJ248" s="840"/>
      <c r="CK248" s="840"/>
      <c r="CL248" s="841"/>
      <c r="CM248" s="840"/>
      <c r="CN248" s="840"/>
      <c r="CO248" s="840"/>
      <c r="CP248" s="840"/>
      <c r="CQ248" s="840"/>
      <c r="CR248" s="609"/>
      <c r="CS248" s="841"/>
      <c r="CT248" s="840"/>
      <c r="CU248" s="840"/>
      <c r="CV248" s="840"/>
      <c r="CW248" s="840"/>
      <c r="CX248" s="840"/>
      <c r="CY248" s="840"/>
      <c r="CZ248" s="840"/>
      <c r="DA248" s="841"/>
      <c r="DB248" s="841"/>
      <c r="DC248" s="840"/>
      <c r="DD248" s="840"/>
      <c r="DE248" s="841"/>
      <c r="DF248" s="841"/>
      <c r="DG248" s="840"/>
      <c r="DH248" s="840"/>
      <c r="DI248" s="840"/>
      <c r="DJ248" s="840"/>
      <c r="DK248" s="840"/>
      <c r="DL248" s="840"/>
      <c r="DM248" s="841"/>
      <c r="DN248" s="841"/>
      <c r="DO248" s="840"/>
      <c r="DP248" s="840"/>
      <c r="DQ248" s="841"/>
      <c r="DR248" s="841"/>
      <c r="DS248" s="840"/>
      <c r="DT248" s="840"/>
      <c r="DU248" s="841"/>
      <c r="DV248" s="841"/>
      <c r="DW248" s="840"/>
      <c r="DX248" s="840"/>
      <c r="DY248" s="840"/>
      <c r="DZ248" s="840"/>
      <c r="EA248" s="840"/>
      <c r="EB248" s="840"/>
      <c r="EC248" s="841"/>
      <c r="ED248" s="841"/>
      <c r="EE248" s="840"/>
      <c r="EF248" s="840"/>
      <c r="EG248" s="841"/>
      <c r="EH248" s="841"/>
      <c r="EI248" s="840"/>
      <c r="EJ248" s="840"/>
      <c r="EK248" s="841"/>
      <c r="EL248" s="840"/>
      <c r="EM248" s="840"/>
      <c r="EN248" s="840"/>
      <c r="EO248" s="840"/>
      <c r="EP248" s="840"/>
      <c r="EQ248" s="840"/>
      <c r="ER248" s="840"/>
      <c r="ES248" s="840"/>
      <c r="ET248" s="840"/>
      <c r="EU248" s="840"/>
      <c r="EV248" s="840"/>
      <c r="EW248" s="619"/>
      <c r="EX248" s="840"/>
      <c r="EY248" s="843"/>
      <c r="EZ248" s="843"/>
      <c r="FA248" s="840"/>
    </row>
    <row r="249" spans="2:162">
      <c r="S249" s="840"/>
      <c r="T249" s="840"/>
      <c r="U249" s="840"/>
      <c r="V249" s="840"/>
      <c r="W249" s="840"/>
      <c r="X249" s="841"/>
      <c r="Y249" s="841"/>
      <c r="Z249" s="840"/>
      <c r="AA249" s="840"/>
      <c r="AB249" s="841"/>
      <c r="AC249" s="841"/>
      <c r="AD249" s="840"/>
      <c r="AE249" s="840"/>
      <c r="AF249" s="841"/>
      <c r="AG249" s="841"/>
      <c r="AH249" s="840"/>
      <c r="AI249" s="840"/>
      <c r="AJ249" s="841"/>
      <c r="AK249" s="841"/>
      <c r="AL249" s="841"/>
      <c r="AM249" s="840"/>
      <c r="AN249" s="840"/>
      <c r="AO249" s="840"/>
      <c r="AP249" s="840"/>
      <c r="AQ249" s="840"/>
      <c r="AR249" s="840"/>
      <c r="AS249" s="840"/>
      <c r="AT249" s="841"/>
      <c r="AU249" s="841"/>
      <c r="AV249" s="841"/>
      <c r="AW249" s="841"/>
      <c r="AX249" s="840"/>
      <c r="AY249" s="840"/>
      <c r="AZ249" s="841"/>
      <c r="BA249" s="841"/>
      <c r="BB249" s="840"/>
      <c r="BC249" s="840"/>
      <c r="BD249" s="841"/>
      <c r="BE249" s="841"/>
      <c r="BF249" s="840"/>
      <c r="BG249" s="840"/>
      <c r="BH249" s="840"/>
      <c r="BI249" s="840"/>
      <c r="BJ249" s="840"/>
      <c r="BK249" s="840"/>
      <c r="BL249" s="840"/>
      <c r="BM249" s="840"/>
      <c r="BN249" s="840"/>
      <c r="BO249" s="840"/>
      <c r="BP249" s="840"/>
      <c r="BQ249" s="840"/>
      <c r="BR249" s="840"/>
      <c r="BS249" s="840"/>
      <c r="BT249" s="840"/>
      <c r="BU249" s="840"/>
      <c r="BV249" s="840"/>
      <c r="BW249" s="840"/>
      <c r="BX249" s="841"/>
      <c r="BY249" s="841"/>
      <c r="BZ249" s="840"/>
      <c r="CA249" s="840"/>
      <c r="CB249" s="841"/>
      <c r="CC249" s="841"/>
      <c r="CD249" s="840"/>
      <c r="CE249" s="840"/>
      <c r="CF249" s="840"/>
      <c r="CG249" s="840"/>
      <c r="CH249" s="840"/>
      <c r="CI249" s="840"/>
      <c r="CJ249" s="840"/>
      <c r="CK249" s="840"/>
      <c r="CL249" s="841"/>
      <c r="CM249" s="840"/>
      <c r="CN249" s="840"/>
      <c r="CO249" s="840"/>
      <c r="CP249" s="840"/>
      <c r="CQ249" s="840"/>
      <c r="CR249" s="841"/>
      <c r="CS249" s="841"/>
      <c r="CT249" s="840"/>
      <c r="CU249" s="840"/>
      <c r="CV249" s="840"/>
      <c r="CW249" s="840"/>
      <c r="CX249" s="840"/>
      <c r="CY249" s="840"/>
      <c r="CZ249" s="840"/>
      <c r="DA249" s="841"/>
      <c r="DB249" s="841"/>
      <c r="DC249" s="840"/>
      <c r="DD249" s="840"/>
      <c r="DE249" s="841"/>
      <c r="DF249" s="841"/>
      <c r="DG249" s="840"/>
      <c r="DH249" s="840"/>
      <c r="DI249" s="840"/>
      <c r="DJ249" s="840"/>
      <c r="DK249" s="840"/>
      <c r="DL249" s="840"/>
      <c r="DM249" s="841"/>
      <c r="DN249" s="841"/>
      <c r="DO249" s="840"/>
      <c r="DP249" s="840"/>
      <c r="DQ249" s="841"/>
      <c r="DR249" s="841"/>
      <c r="DS249" s="840"/>
      <c r="DT249" s="840"/>
      <c r="DU249" s="841"/>
      <c r="DV249" s="841"/>
      <c r="DW249" s="840"/>
      <c r="DX249" s="840"/>
      <c r="DY249" s="840"/>
      <c r="DZ249" s="840"/>
      <c r="EA249" s="840"/>
      <c r="EB249" s="840"/>
      <c r="EC249" s="841"/>
      <c r="ED249" s="841"/>
      <c r="EE249" s="840"/>
      <c r="EF249" s="840"/>
      <c r="EG249" s="841"/>
      <c r="EH249" s="841"/>
      <c r="EI249" s="840"/>
      <c r="EJ249" s="840"/>
      <c r="EK249" s="841"/>
      <c r="EL249" s="840"/>
      <c r="EM249" s="840"/>
      <c r="EN249" s="840"/>
      <c r="EO249" s="840"/>
      <c r="EP249" s="840"/>
      <c r="EQ249" s="840"/>
      <c r="ER249" s="840"/>
      <c r="ES249" s="840"/>
      <c r="ET249" s="840"/>
      <c r="EU249" s="840"/>
      <c r="EV249" s="840"/>
      <c r="EW249" s="619"/>
      <c r="EX249" s="840"/>
      <c r="EY249" s="843"/>
      <c r="EZ249" s="843"/>
      <c r="FA249" s="840"/>
    </row>
    <row r="250" spans="2:162">
      <c r="S250" s="840"/>
      <c r="T250" s="840"/>
      <c r="U250" s="840"/>
      <c r="V250" s="840"/>
      <c r="W250" s="840"/>
      <c r="X250" s="841"/>
      <c r="Y250" s="841"/>
      <c r="Z250" s="840"/>
      <c r="AA250" s="840"/>
      <c r="AB250" s="841"/>
      <c r="AC250" s="841"/>
      <c r="AD250" s="840"/>
      <c r="AE250" s="840"/>
      <c r="AF250" s="841"/>
      <c r="AG250" s="841"/>
      <c r="AH250" s="840"/>
      <c r="AI250" s="840"/>
      <c r="AJ250" s="841"/>
      <c r="AK250" s="841"/>
      <c r="AL250" s="841"/>
      <c r="AM250" s="840"/>
      <c r="AN250" s="840"/>
      <c r="AO250" s="840"/>
      <c r="AP250" s="840"/>
      <c r="AQ250" s="840"/>
      <c r="AR250" s="840"/>
      <c r="AS250" s="840"/>
      <c r="AT250" s="841"/>
      <c r="AU250" s="841"/>
      <c r="AV250" s="841"/>
      <c r="AW250" s="841"/>
      <c r="AX250" s="840"/>
      <c r="AY250" s="840"/>
      <c r="AZ250" s="841"/>
      <c r="BA250" s="841"/>
      <c r="BB250" s="840"/>
      <c r="BC250" s="840"/>
      <c r="BD250" s="841"/>
      <c r="BE250" s="841"/>
      <c r="BF250" s="840"/>
      <c r="BG250" s="840"/>
      <c r="BH250" s="840"/>
      <c r="BI250" s="840"/>
      <c r="BJ250" s="840"/>
      <c r="BK250" s="840"/>
      <c r="BL250" s="840"/>
      <c r="BM250" s="840"/>
      <c r="BN250" s="840"/>
      <c r="BO250" s="840"/>
      <c r="BP250" s="840"/>
      <c r="BQ250" s="840"/>
      <c r="BR250" s="840"/>
      <c r="BS250" s="840"/>
      <c r="BT250" s="840"/>
      <c r="BU250" s="840"/>
      <c r="BV250" s="840"/>
      <c r="BW250" s="840"/>
      <c r="BX250" s="841"/>
      <c r="BY250" s="841"/>
      <c r="BZ250" s="840"/>
      <c r="CA250" s="840"/>
      <c r="CB250" s="841"/>
      <c r="CC250" s="841"/>
      <c r="CD250" s="840"/>
      <c r="CE250" s="840"/>
      <c r="CF250" s="840"/>
      <c r="CG250" s="840"/>
      <c r="CH250" s="840"/>
      <c r="CI250" s="840"/>
      <c r="CJ250" s="840"/>
      <c r="CK250" s="840"/>
      <c r="CL250" s="841"/>
      <c r="CM250" s="840"/>
      <c r="CN250" s="840"/>
      <c r="CO250" s="840"/>
      <c r="CP250" s="840"/>
      <c r="CQ250" s="840"/>
      <c r="CR250" s="841"/>
      <c r="CS250" s="841"/>
      <c r="CT250" s="840"/>
      <c r="CU250" s="840"/>
      <c r="CV250" s="840"/>
      <c r="CW250" s="840"/>
      <c r="CX250" s="840"/>
      <c r="CY250" s="840"/>
      <c r="CZ250" s="840"/>
      <c r="DA250" s="841"/>
      <c r="DB250" s="841"/>
      <c r="DC250" s="840"/>
      <c r="DD250" s="840"/>
      <c r="DE250" s="841"/>
      <c r="DF250" s="841"/>
      <c r="DG250" s="840"/>
      <c r="DH250" s="840"/>
      <c r="DI250" s="840"/>
      <c r="DJ250" s="840"/>
      <c r="DK250" s="840"/>
      <c r="DL250" s="840"/>
      <c r="DM250" s="841"/>
      <c r="DN250" s="841"/>
      <c r="DO250" s="840"/>
      <c r="DP250" s="840"/>
      <c r="DQ250" s="841"/>
      <c r="DR250" s="841"/>
      <c r="DS250" s="840"/>
      <c r="DT250" s="840"/>
      <c r="DU250" s="841"/>
      <c r="DV250" s="841"/>
      <c r="DW250" s="840"/>
      <c r="DX250" s="840"/>
      <c r="DY250" s="840"/>
      <c r="DZ250" s="840"/>
      <c r="EA250" s="840"/>
      <c r="EB250" s="840"/>
      <c r="EC250" s="841"/>
      <c r="ED250" s="841"/>
      <c r="EE250" s="840"/>
      <c r="EF250" s="840"/>
      <c r="EG250" s="841"/>
      <c r="EH250" s="841"/>
      <c r="EI250" s="840"/>
      <c r="EJ250" s="840"/>
      <c r="EK250" s="841"/>
      <c r="EL250" s="840"/>
      <c r="EM250" s="840"/>
      <c r="EN250" s="840"/>
      <c r="EO250" s="840"/>
      <c r="EP250" s="840"/>
      <c r="EQ250" s="840"/>
      <c r="ER250" s="840"/>
      <c r="ES250" s="840"/>
      <c r="ET250" s="840"/>
      <c r="EU250" s="840"/>
      <c r="EV250" s="840"/>
      <c r="EW250" s="619"/>
      <c r="EX250" s="840"/>
      <c r="EY250" s="843"/>
      <c r="EZ250" s="843"/>
      <c r="FA250" s="840"/>
    </row>
    <row r="251" spans="2:162">
      <c r="S251" s="840"/>
      <c r="T251" s="840"/>
      <c r="U251" s="840"/>
      <c r="V251" s="840"/>
      <c r="W251" s="840"/>
      <c r="X251" s="841"/>
      <c r="Y251" s="841"/>
      <c r="Z251" s="840"/>
      <c r="AA251" s="840"/>
      <c r="AB251" s="841"/>
      <c r="AC251" s="841"/>
      <c r="AD251" s="840"/>
      <c r="AE251" s="840"/>
      <c r="AF251" s="841"/>
      <c r="AG251" s="841"/>
      <c r="AH251" s="840"/>
      <c r="AI251" s="840"/>
      <c r="AJ251" s="841"/>
      <c r="AK251" s="841"/>
      <c r="AL251" s="841"/>
      <c r="AM251" s="840"/>
      <c r="AN251" s="840"/>
      <c r="AO251" s="840"/>
      <c r="AP251" s="840"/>
      <c r="AQ251" s="840"/>
      <c r="AR251" s="840"/>
      <c r="AS251" s="840"/>
      <c r="AT251" s="841"/>
      <c r="AU251" s="841"/>
      <c r="AV251" s="841"/>
      <c r="AW251" s="841"/>
      <c r="AX251" s="840"/>
      <c r="AY251" s="840"/>
      <c r="AZ251" s="841"/>
      <c r="BA251" s="841"/>
      <c r="BB251" s="840"/>
      <c r="BC251" s="840"/>
      <c r="BD251" s="841"/>
      <c r="BE251" s="841"/>
      <c r="BF251" s="840"/>
      <c r="BG251" s="840"/>
      <c r="BH251" s="840"/>
      <c r="BI251" s="840"/>
      <c r="BJ251" s="840"/>
      <c r="BK251" s="840"/>
      <c r="BL251" s="840"/>
      <c r="BM251" s="840"/>
      <c r="BN251" s="840"/>
      <c r="BO251" s="840"/>
      <c r="BP251" s="840"/>
      <c r="BQ251" s="840"/>
      <c r="BR251" s="840"/>
      <c r="BS251" s="840"/>
      <c r="BT251" s="840"/>
      <c r="BU251" s="840"/>
      <c r="BV251" s="840"/>
      <c r="BW251" s="840"/>
      <c r="BX251" s="841"/>
      <c r="BY251" s="841"/>
      <c r="BZ251" s="840"/>
      <c r="CA251" s="840"/>
      <c r="CB251" s="841"/>
      <c r="CC251" s="841"/>
      <c r="CD251" s="840"/>
      <c r="CE251" s="840"/>
      <c r="CF251" s="840"/>
      <c r="CG251" s="840"/>
      <c r="CH251" s="840"/>
      <c r="CI251" s="840"/>
      <c r="CJ251" s="840"/>
      <c r="CK251" s="840"/>
      <c r="CL251" s="841"/>
      <c r="CM251" s="840"/>
      <c r="CN251" s="840"/>
      <c r="CO251" s="840"/>
      <c r="CP251" s="840"/>
      <c r="CQ251" s="840"/>
      <c r="CR251" s="841"/>
      <c r="CS251" s="841"/>
      <c r="CT251" s="840"/>
      <c r="CU251" s="840"/>
      <c r="CV251" s="840"/>
      <c r="CW251" s="840"/>
      <c r="CX251" s="840"/>
      <c r="CY251" s="840"/>
      <c r="CZ251" s="840"/>
      <c r="DA251" s="841"/>
      <c r="DB251" s="841"/>
      <c r="DC251" s="840"/>
      <c r="DD251" s="840"/>
      <c r="DE251" s="841"/>
      <c r="DF251" s="841"/>
      <c r="DG251" s="840"/>
      <c r="DH251" s="840"/>
      <c r="DI251" s="840"/>
      <c r="DJ251" s="840"/>
      <c r="DK251" s="840"/>
      <c r="DL251" s="840"/>
      <c r="DM251" s="841"/>
      <c r="DN251" s="841"/>
      <c r="DO251" s="840"/>
      <c r="DP251" s="840"/>
      <c r="DQ251" s="841"/>
      <c r="DR251" s="841"/>
      <c r="DS251" s="840"/>
      <c r="DT251" s="840"/>
      <c r="DU251" s="841"/>
      <c r="DV251" s="841"/>
      <c r="DW251" s="840"/>
      <c r="DX251" s="840"/>
      <c r="DY251" s="840"/>
      <c r="DZ251" s="840"/>
      <c r="EA251" s="840"/>
      <c r="EB251" s="840"/>
      <c r="EC251" s="841"/>
      <c r="ED251" s="841"/>
      <c r="EE251" s="840"/>
      <c r="EF251" s="840"/>
      <c r="EG251" s="841"/>
      <c r="EH251" s="841"/>
      <c r="EI251" s="840"/>
      <c r="EJ251" s="840"/>
      <c r="EK251" s="841"/>
      <c r="EL251" s="840"/>
      <c r="EM251" s="840"/>
      <c r="EN251" s="840"/>
      <c r="EO251" s="840"/>
      <c r="EP251" s="840"/>
      <c r="EQ251" s="840"/>
      <c r="ER251" s="840"/>
      <c r="ES251" s="840"/>
      <c r="ET251" s="840"/>
      <c r="EU251" s="840"/>
      <c r="EV251" s="840"/>
      <c r="EW251" s="619"/>
      <c r="EX251" s="840"/>
      <c r="EY251" s="843"/>
      <c r="EZ251" s="843"/>
      <c r="FA251" s="840"/>
    </row>
    <row r="252" spans="2:162">
      <c r="S252" s="840"/>
      <c r="T252" s="840"/>
      <c r="U252" s="840"/>
      <c r="V252" s="840"/>
      <c r="W252" s="840"/>
      <c r="X252" s="841"/>
      <c r="Y252" s="841"/>
      <c r="Z252" s="840"/>
      <c r="AA252" s="840"/>
      <c r="AB252" s="841"/>
      <c r="AC252" s="841"/>
      <c r="AD252" s="840"/>
      <c r="AE252" s="840"/>
      <c r="AF252" s="841"/>
      <c r="AG252" s="841"/>
      <c r="AH252" s="840"/>
      <c r="AI252" s="840"/>
      <c r="AJ252" s="841"/>
      <c r="AK252" s="841"/>
      <c r="AL252" s="841"/>
      <c r="AM252" s="840"/>
      <c r="AN252" s="840"/>
      <c r="AO252" s="840"/>
      <c r="AP252" s="840"/>
      <c r="AQ252" s="840"/>
      <c r="AR252" s="840"/>
      <c r="AS252" s="840"/>
      <c r="AT252" s="841"/>
      <c r="AU252" s="841"/>
      <c r="AV252" s="841"/>
      <c r="AW252" s="841"/>
      <c r="AX252" s="840"/>
      <c r="AY252" s="840"/>
      <c r="AZ252" s="841"/>
      <c r="BA252" s="841"/>
      <c r="BB252" s="840"/>
      <c r="BC252" s="840"/>
      <c r="BD252" s="841"/>
      <c r="BE252" s="841"/>
      <c r="BF252" s="840"/>
      <c r="BG252" s="840"/>
      <c r="BH252" s="840"/>
      <c r="BI252" s="840"/>
      <c r="BJ252" s="840"/>
      <c r="BK252" s="840"/>
      <c r="BL252" s="840"/>
      <c r="BM252" s="840"/>
      <c r="BN252" s="840"/>
      <c r="BO252" s="840"/>
      <c r="BP252" s="840"/>
      <c r="BQ252" s="840"/>
      <c r="BR252" s="840"/>
      <c r="BS252" s="840"/>
      <c r="BT252" s="840"/>
      <c r="BU252" s="840"/>
      <c r="BV252" s="840"/>
      <c r="BW252" s="840"/>
      <c r="BX252" s="841"/>
      <c r="BY252" s="841"/>
      <c r="BZ252" s="840"/>
      <c r="CA252" s="840"/>
      <c r="CB252" s="841"/>
      <c r="CC252" s="841"/>
      <c r="CD252" s="840"/>
      <c r="CE252" s="840"/>
      <c r="CF252" s="840"/>
      <c r="CG252" s="840"/>
      <c r="CH252" s="840"/>
      <c r="CI252" s="840"/>
      <c r="CJ252" s="840"/>
      <c r="CK252" s="840"/>
      <c r="CL252" s="841"/>
      <c r="CM252" s="840"/>
      <c r="CN252" s="840"/>
      <c r="CO252" s="840"/>
      <c r="CP252" s="840"/>
      <c r="CQ252" s="840"/>
      <c r="CR252" s="841"/>
      <c r="CS252" s="841"/>
      <c r="CT252" s="840"/>
      <c r="CU252" s="840"/>
      <c r="CV252" s="840"/>
      <c r="CW252" s="840"/>
      <c r="CX252" s="840"/>
      <c r="CY252" s="840"/>
      <c r="CZ252" s="840"/>
      <c r="DA252" s="841"/>
      <c r="DB252" s="841"/>
      <c r="DC252" s="840"/>
      <c r="DD252" s="840"/>
      <c r="DE252" s="841"/>
      <c r="DF252" s="841"/>
      <c r="DG252" s="840"/>
      <c r="DH252" s="840"/>
      <c r="DI252" s="840"/>
      <c r="DJ252" s="840"/>
      <c r="DK252" s="840"/>
      <c r="DL252" s="840"/>
      <c r="DM252" s="841"/>
      <c r="DN252" s="841"/>
      <c r="DO252" s="840"/>
      <c r="DP252" s="840"/>
      <c r="DQ252" s="841"/>
      <c r="DR252" s="841"/>
      <c r="DS252" s="840"/>
      <c r="DT252" s="840"/>
      <c r="DU252" s="841"/>
      <c r="DV252" s="841"/>
      <c r="DW252" s="840"/>
      <c r="DX252" s="840"/>
      <c r="DY252" s="840"/>
      <c r="DZ252" s="840"/>
      <c r="EA252" s="840"/>
      <c r="EB252" s="840"/>
      <c r="EC252" s="841"/>
      <c r="ED252" s="841"/>
      <c r="EE252" s="840"/>
      <c r="EF252" s="840"/>
      <c r="EG252" s="841"/>
      <c r="EH252" s="841"/>
      <c r="EI252" s="840"/>
      <c r="EJ252" s="840"/>
      <c r="EK252" s="841"/>
      <c r="EL252" s="840"/>
      <c r="EM252" s="840"/>
      <c r="EN252" s="840"/>
      <c r="EO252" s="840"/>
      <c r="EP252" s="840"/>
      <c r="EQ252" s="840"/>
      <c r="ER252" s="840"/>
      <c r="ES252" s="840"/>
      <c r="ET252" s="840"/>
      <c r="EU252" s="840"/>
      <c r="EV252" s="840"/>
      <c r="EW252" s="619"/>
      <c r="EX252" s="840"/>
      <c r="EY252" s="843"/>
      <c r="EZ252" s="843"/>
      <c r="FA252" s="840"/>
    </row>
    <row r="253" spans="2:162">
      <c r="S253" s="840"/>
      <c r="T253" s="840"/>
      <c r="U253" s="840"/>
      <c r="V253" s="840"/>
      <c r="W253" s="840"/>
      <c r="X253" s="841"/>
      <c r="Y253" s="841"/>
      <c r="Z253" s="840"/>
      <c r="AA253" s="840"/>
      <c r="AB253" s="841"/>
      <c r="AC253" s="841"/>
      <c r="AD253" s="840"/>
      <c r="AE253" s="840"/>
      <c r="AF253" s="841"/>
      <c r="AG253" s="841"/>
      <c r="AH253" s="840"/>
      <c r="AI253" s="840"/>
      <c r="AJ253" s="841"/>
      <c r="AK253" s="841"/>
      <c r="AL253" s="841"/>
      <c r="AM253" s="840"/>
      <c r="AN253" s="840"/>
      <c r="AO253" s="840"/>
      <c r="AP253" s="840"/>
      <c r="AQ253" s="840"/>
      <c r="AR253" s="840"/>
      <c r="AS253" s="840"/>
      <c r="AT253" s="841"/>
      <c r="AU253" s="841"/>
      <c r="AV253" s="841"/>
      <c r="AW253" s="841"/>
      <c r="AX253" s="840"/>
      <c r="AY253" s="840"/>
      <c r="AZ253" s="841"/>
      <c r="BA253" s="841"/>
      <c r="BB253" s="840"/>
      <c r="BC253" s="840"/>
      <c r="BD253" s="841"/>
      <c r="BE253" s="841"/>
      <c r="BF253" s="840"/>
      <c r="BG253" s="840"/>
      <c r="BH253" s="840"/>
      <c r="BI253" s="840"/>
      <c r="BJ253" s="840"/>
      <c r="BK253" s="840"/>
      <c r="BL253" s="840"/>
      <c r="BM253" s="840"/>
      <c r="BN253" s="840"/>
      <c r="BO253" s="840"/>
      <c r="BP253" s="840"/>
      <c r="BQ253" s="840"/>
      <c r="BR253" s="840"/>
      <c r="BS253" s="840"/>
      <c r="BT253" s="840"/>
      <c r="BU253" s="840"/>
      <c r="BV253" s="840"/>
      <c r="BW253" s="840"/>
      <c r="BX253" s="841"/>
      <c r="BY253" s="841"/>
      <c r="BZ253" s="840"/>
      <c r="CA253" s="840"/>
      <c r="CB253" s="841"/>
      <c r="CC253" s="841"/>
      <c r="CD253" s="840"/>
      <c r="CE253" s="840"/>
      <c r="CF253" s="840"/>
      <c r="CG253" s="840"/>
      <c r="CH253" s="840"/>
      <c r="CI253" s="840"/>
      <c r="CJ253" s="840"/>
      <c r="CK253" s="840"/>
      <c r="CL253" s="841"/>
      <c r="CM253" s="840"/>
      <c r="CN253" s="840"/>
      <c r="CO253" s="840"/>
      <c r="CP253" s="840"/>
      <c r="CQ253" s="840"/>
      <c r="CR253" s="841"/>
      <c r="CS253" s="841"/>
      <c r="CT253" s="840"/>
      <c r="CU253" s="840"/>
      <c r="CV253" s="840"/>
      <c r="CW253" s="840"/>
      <c r="CX253" s="840"/>
      <c r="CY253" s="840"/>
      <c r="CZ253" s="840"/>
      <c r="DA253" s="841"/>
      <c r="DB253" s="841"/>
      <c r="DC253" s="840"/>
      <c r="DD253" s="840"/>
      <c r="DE253" s="841"/>
      <c r="DF253" s="841"/>
      <c r="DG253" s="840"/>
      <c r="DH253" s="840"/>
      <c r="DI253" s="840"/>
      <c r="DJ253" s="840"/>
      <c r="DK253" s="840"/>
      <c r="DL253" s="840"/>
      <c r="DM253" s="841"/>
      <c r="DN253" s="841"/>
      <c r="DO253" s="840"/>
      <c r="DP253" s="840"/>
      <c r="DQ253" s="841"/>
      <c r="DR253" s="841"/>
      <c r="DS253" s="840"/>
      <c r="DT253" s="840"/>
      <c r="DU253" s="841"/>
      <c r="DV253" s="841"/>
      <c r="DW253" s="840"/>
      <c r="DX253" s="840"/>
      <c r="DY253" s="840"/>
      <c r="DZ253" s="840"/>
      <c r="EA253" s="840"/>
      <c r="EB253" s="840"/>
      <c r="EC253" s="841"/>
      <c r="ED253" s="841"/>
      <c r="EE253" s="840"/>
      <c r="EF253" s="840"/>
      <c r="EG253" s="841"/>
      <c r="EH253" s="841"/>
      <c r="EI253" s="840"/>
      <c r="EJ253" s="840"/>
      <c r="EK253" s="841"/>
      <c r="EL253" s="840"/>
      <c r="EM253" s="840"/>
      <c r="EN253" s="840"/>
      <c r="EO253" s="840"/>
      <c r="EP253" s="840"/>
      <c r="EQ253" s="840"/>
      <c r="ER253" s="840"/>
      <c r="ES253" s="840"/>
      <c r="ET253" s="840"/>
      <c r="EU253" s="840"/>
      <c r="EV253" s="840"/>
      <c r="EW253" s="619"/>
      <c r="EX253" s="840"/>
      <c r="EY253" s="843"/>
      <c r="EZ253" s="843"/>
      <c r="FA253" s="840"/>
    </row>
    <row r="254" spans="2:162">
      <c r="S254" s="840"/>
      <c r="T254" s="840"/>
      <c r="U254" s="840"/>
      <c r="V254" s="840"/>
      <c r="W254" s="840"/>
      <c r="X254" s="841"/>
      <c r="Y254" s="841"/>
      <c r="Z254" s="840"/>
      <c r="AA254" s="840"/>
      <c r="AB254" s="841"/>
      <c r="AC254" s="841"/>
      <c r="AD254" s="840"/>
      <c r="AE254" s="840"/>
      <c r="AF254" s="841"/>
      <c r="AG254" s="841"/>
      <c r="AH254" s="840"/>
      <c r="AI254" s="840"/>
      <c r="AJ254" s="841"/>
      <c r="AK254" s="841"/>
      <c r="AL254" s="841"/>
      <c r="AM254" s="840"/>
      <c r="AN254" s="840"/>
      <c r="AO254" s="840"/>
      <c r="AP254" s="840"/>
      <c r="AQ254" s="840"/>
      <c r="AR254" s="840"/>
      <c r="AS254" s="840"/>
      <c r="AT254" s="841"/>
      <c r="AU254" s="841"/>
      <c r="AV254" s="841"/>
      <c r="AW254" s="841"/>
      <c r="AX254" s="840"/>
      <c r="AY254" s="840"/>
      <c r="AZ254" s="841"/>
      <c r="BA254" s="841"/>
      <c r="BB254" s="840"/>
      <c r="BC254" s="840"/>
      <c r="BD254" s="841"/>
      <c r="BE254" s="841"/>
      <c r="BF254" s="840"/>
      <c r="BG254" s="840"/>
      <c r="BH254" s="840"/>
      <c r="BI254" s="840"/>
      <c r="BJ254" s="840"/>
      <c r="BK254" s="840"/>
      <c r="BL254" s="840"/>
      <c r="BM254" s="840"/>
      <c r="BN254" s="840"/>
      <c r="BO254" s="840"/>
      <c r="BP254" s="840"/>
      <c r="BQ254" s="840"/>
      <c r="BR254" s="840"/>
      <c r="BS254" s="840"/>
      <c r="BT254" s="840"/>
      <c r="BU254" s="840"/>
      <c r="BV254" s="840"/>
      <c r="BW254" s="840"/>
      <c r="BX254" s="841"/>
      <c r="BY254" s="841"/>
      <c r="BZ254" s="840"/>
      <c r="CA254" s="840"/>
      <c r="CB254" s="841"/>
      <c r="CC254" s="841"/>
      <c r="CD254" s="840"/>
      <c r="CE254" s="840"/>
      <c r="CF254" s="840"/>
      <c r="CG254" s="840"/>
      <c r="CH254" s="840"/>
      <c r="CI254" s="840"/>
      <c r="CJ254" s="840"/>
      <c r="CK254" s="840"/>
      <c r="CL254" s="841"/>
      <c r="CM254" s="840"/>
      <c r="CN254" s="840"/>
      <c r="CO254" s="840"/>
      <c r="CP254" s="840"/>
      <c r="CQ254" s="840"/>
      <c r="CR254" s="841"/>
      <c r="CS254" s="841"/>
      <c r="CT254" s="840"/>
      <c r="CU254" s="840"/>
      <c r="CV254" s="840"/>
      <c r="CW254" s="840"/>
      <c r="CX254" s="840"/>
      <c r="CY254" s="840"/>
      <c r="CZ254" s="840"/>
      <c r="DA254" s="841"/>
      <c r="DB254" s="841"/>
      <c r="DC254" s="840"/>
      <c r="DD254" s="840"/>
      <c r="DE254" s="841"/>
      <c r="DF254" s="841"/>
      <c r="DG254" s="840"/>
      <c r="DH254" s="840"/>
      <c r="DI254" s="840"/>
      <c r="DJ254" s="840"/>
      <c r="DK254" s="840"/>
      <c r="DL254" s="840"/>
      <c r="DM254" s="841"/>
      <c r="DN254" s="841"/>
      <c r="DO254" s="840"/>
      <c r="DP254" s="840"/>
      <c r="DQ254" s="841"/>
      <c r="DR254" s="841"/>
      <c r="DS254" s="840"/>
      <c r="DT254" s="840"/>
      <c r="DU254" s="841"/>
      <c r="DV254" s="841"/>
      <c r="DW254" s="840"/>
      <c r="DX254" s="840"/>
      <c r="DY254" s="840"/>
      <c r="DZ254" s="840"/>
      <c r="EA254" s="840"/>
      <c r="EB254" s="840"/>
      <c r="EC254" s="841"/>
      <c r="ED254" s="841"/>
      <c r="EE254" s="840"/>
      <c r="EF254" s="840"/>
      <c r="EG254" s="841"/>
      <c r="EH254" s="841"/>
      <c r="EI254" s="840"/>
      <c r="EJ254" s="840"/>
      <c r="EK254" s="841"/>
      <c r="EL254" s="840"/>
      <c r="EM254" s="840"/>
      <c r="EN254" s="840"/>
      <c r="EO254" s="840"/>
      <c r="EP254" s="840"/>
      <c r="EQ254" s="840"/>
      <c r="ER254" s="840"/>
      <c r="ES254" s="840"/>
      <c r="ET254" s="840"/>
      <c r="EU254" s="840"/>
      <c r="EV254" s="840"/>
      <c r="EW254" s="619"/>
      <c r="EX254" s="840"/>
      <c r="EY254" s="843"/>
      <c r="EZ254" s="843"/>
      <c r="FA254" s="840"/>
    </row>
  </sheetData>
  <autoFilter ref="A7:FH11">
    <filterColumn colId="2" showButton="0"/>
  </autoFilter>
  <mergeCells count="75">
    <mergeCell ref="BX5:BX6"/>
    <mergeCell ref="AZ5:AZ6"/>
    <mergeCell ref="CF5:CF6"/>
    <mergeCell ref="AZ3:BC3"/>
    <mergeCell ref="BD3:BG3"/>
    <mergeCell ref="CF3:CI3"/>
    <mergeCell ref="BT5:BT6"/>
    <mergeCell ref="BH5:BH6"/>
    <mergeCell ref="BL5:BL6"/>
    <mergeCell ref="BP5:BP6"/>
    <mergeCell ref="BL3:BO3"/>
    <mergeCell ref="BP3:BS3"/>
    <mergeCell ref="CR5:CR6"/>
    <mergeCell ref="CB5:CB6"/>
    <mergeCell ref="DY5:DY6"/>
    <mergeCell ref="EC5:EC6"/>
    <mergeCell ref="DA5:DA6"/>
    <mergeCell ref="CV5:CV6"/>
    <mergeCell ref="CW5:CW6"/>
    <mergeCell ref="CJ5:CJ6"/>
    <mergeCell ref="CK5:CK6"/>
    <mergeCell ref="EG5:EG6"/>
    <mergeCell ref="E4:E5"/>
    <mergeCell ref="F4:F5"/>
    <mergeCell ref="G4:G5"/>
    <mergeCell ref="H4:H5"/>
    <mergeCell ref="AT4:AU4"/>
    <mergeCell ref="P5:P6"/>
    <mergeCell ref="T5:T6"/>
    <mergeCell ref="X5:X6"/>
    <mergeCell ref="AB5:AB6"/>
    <mergeCell ref="CO5:CO6"/>
    <mergeCell ref="CP5:CP6"/>
    <mergeCell ref="CQ5:CQ6"/>
    <mergeCell ref="AJ5:AJ6"/>
    <mergeCell ref="AK5:AK6"/>
    <mergeCell ref="BD5:BD6"/>
    <mergeCell ref="AT5:AT6"/>
    <mergeCell ref="AU5:AU6"/>
    <mergeCell ref="AV5:AV6"/>
    <mergeCell ref="AO5:AO6"/>
    <mergeCell ref="E3:K3"/>
    <mergeCell ref="L3:O3"/>
    <mergeCell ref="P3:S3"/>
    <mergeCell ref="I4:I5"/>
    <mergeCell ref="J4:J5"/>
    <mergeCell ref="AP5:AP6"/>
    <mergeCell ref="N4:N5"/>
    <mergeCell ref="O4:O5"/>
    <mergeCell ref="K4:K5"/>
    <mergeCell ref="L4:L5"/>
    <mergeCell ref="M4:M5"/>
    <mergeCell ref="T3:W3"/>
    <mergeCell ref="DY3:EB3"/>
    <mergeCell ref="EC3:EF3"/>
    <mergeCell ref="EG3:EJ3"/>
    <mergeCell ref="DQ3:DT3"/>
    <mergeCell ref="CO3:CU3"/>
    <mergeCell ref="DE3:DH3"/>
    <mergeCell ref="DI3:DL3"/>
    <mergeCell ref="DM3:DP3"/>
    <mergeCell ref="CV3:CZ3"/>
    <mergeCell ref="DA3:DD3"/>
    <mergeCell ref="DU3:DX3"/>
    <mergeCell ref="AT3:AY3"/>
    <mergeCell ref="X3:AA3"/>
    <mergeCell ref="AB3:AE3"/>
    <mergeCell ref="AF3:AI3"/>
    <mergeCell ref="AJ3:AN3"/>
    <mergeCell ref="AO3:AS3"/>
    <mergeCell ref="CJ3:CN3"/>
    <mergeCell ref="CB3:CE3"/>
    <mergeCell ref="BX3:CA3"/>
    <mergeCell ref="BT3:BW3"/>
    <mergeCell ref="BH3:BK3"/>
  </mergeCells>
  <pageMargins left="0.70866141732283472" right="0.70866141732283472" top="0.55118110236220474" bottom="0.35433070866141736" header="0.31496062992125984" footer="0.31496062992125984"/>
  <pageSetup paperSize="9" scale="10" fitToHeight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theme="7" tint="0.59999389629810485"/>
  </sheetPr>
  <dimension ref="C2:S160"/>
  <sheetViews>
    <sheetView topLeftCell="I1" zoomScale="85" zoomScaleNormal="85" workbookViewId="0">
      <selection activeCell="Z130" sqref="Z130"/>
    </sheetView>
  </sheetViews>
  <sheetFormatPr defaultRowHeight="12.75"/>
  <cols>
    <col min="1" max="1" width="3.28515625" customWidth="1"/>
    <col min="3" max="3" width="53.140625" style="276" customWidth="1"/>
    <col min="5" max="5" width="14.85546875" bestFit="1" customWidth="1"/>
    <col min="6" max="6" width="58.7109375" style="144" bestFit="1" customWidth="1"/>
    <col min="7" max="7" width="54.85546875" customWidth="1"/>
    <col min="8" max="9" width="9.140625" style="144"/>
    <col min="10" max="10" width="44.85546875" style="144" customWidth="1"/>
    <col min="11" max="11" width="9.140625" style="144"/>
    <col min="12" max="12" width="10.7109375" customWidth="1"/>
    <col min="13" max="13" width="72" style="506" customWidth="1"/>
    <col min="14" max="14" width="10.140625" customWidth="1"/>
    <col min="15" max="15" width="11.28515625" customWidth="1"/>
    <col min="16" max="16" width="10.7109375" customWidth="1"/>
    <col min="17" max="17" width="2.28515625" customWidth="1"/>
    <col min="18" max="18" width="13.7109375" style="275" customWidth="1"/>
    <col min="19" max="19" width="15.42578125" customWidth="1"/>
  </cols>
  <sheetData>
    <row r="2" spans="3:19">
      <c r="F2" s="191" t="s">
        <v>670</v>
      </c>
      <c r="G2" s="215" t="s">
        <v>682</v>
      </c>
    </row>
    <row r="3" spans="3:19">
      <c r="F3" s="191" t="s">
        <v>671</v>
      </c>
      <c r="G3" s="113" t="s">
        <v>675</v>
      </c>
    </row>
    <row r="4" spans="3:19">
      <c r="F4" s="191" t="s">
        <v>672</v>
      </c>
      <c r="G4" s="113" t="s">
        <v>675</v>
      </c>
    </row>
    <row r="5" spans="3:19">
      <c r="F5" s="191" t="s">
        <v>673</v>
      </c>
      <c r="G5" s="113" t="s">
        <v>675</v>
      </c>
    </row>
    <row r="6" spans="3:19">
      <c r="F6" s="191" t="s">
        <v>674</v>
      </c>
      <c r="G6" s="113" t="s">
        <v>675</v>
      </c>
    </row>
    <row r="7" spans="3:19">
      <c r="F7" s="191" t="s">
        <v>676</v>
      </c>
      <c r="G7" s="113" t="s">
        <v>680</v>
      </c>
    </row>
    <row r="8" spans="3:19">
      <c r="F8" s="191" t="s">
        <v>677</v>
      </c>
      <c r="G8" s="113" t="s">
        <v>680</v>
      </c>
    </row>
    <row r="9" spans="3:19">
      <c r="F9" s="191" t="s">
        <v>678</v>
      </c>
      <c r="G9" s="113" t="s">
        <v>680</v>
      </c>
    </row>
    <row r="10" spans="3:19">
      <c r="F10" s="191" t="s">
        <v>679</v>
      </c>
      <c r="G10" s="113" t="s">
        <v>680</v>
      </c>
    </row>
    <row r="12" spans="3:19">
      <c r="F12" s="191" t="s">
        <v>681</v>
      </c>
      <c r="G12" s="113" t="s">
        <v>683</v>
      </c>
    </row>
    <row r="13" spans="3:19">
      <c r="R13" s="275">
        <v>0.15</v>
      </c>
    </row>
    <row r="14" spans="3:19">
      <c r="R14" s="555" t="str">
        <f>'Ціни контур мережний'!G26</f>
        <v>29,3682</v>
      </c>
      <c r="S14" s="556" t="str">
        <f>'Ціни контур мережний'!E26</f>
        <v>КУРС ЕВРО НБУ</v>
      </c>
    </row>
    <row r="15" spans="3:19">
      <c r="G15" s="219"/>
      <c r="H15" s="486"/>
      <c r="I15" s="486"/>
      <c r="J15" s="486"/>
      <c r="K15" s="487"/>
      <c r="L15" s="235"/>
      <c r="M15" s="531"/>
      <c r="N15" s="235"/>
      <c r="O15" s="229"/>
      <c r="P15" s="229"/>
      <c r="Q15" s="219"/>
    </row>
    <row r="16" spans="3:19" ht="26.25">
      <c r="C16" s="400"/>
      <c r="D16" s="202"/>
      <c r="F16" s="1437" t="s">
        <v>1028</v>
      </c>
      <c r="G16" s="1438" t="s">
        <v>711</v>
      </c>
      <c r="H16" s="1439" t="s">
        <v>1026</v>
      </c>
      <c r="I16" s="1439"/>
      <c r="J16" s="1439" t="s">
        <v>1027</v>
      </c>
      <c r="K16" s="1439" t="s">
        <v>984</v>
      </c>
      <c r="L16" s="1443" t="s">
        <v>1029</v>
      </c>
      <c r="M16" s="530" t="s">
        <v>688</v>
      </c>
      <c r="N16" s="1445" t="s">
        <v>1030</v>
      </c>
      <c r="O16" s="1433" t="s">
        <v>1031</v>
      </c>
      <c r="P16" s="1433" t="s">
        <v>1032</v>
      </c>
      <c r="Q16" s="218"/>
      <c r="R16" s="289" t="s">
        <v>696</v>
      </c>
      <c r="S16" s="277" t="s">
        <v>695</v>
      </c>
    </row>
    <row r="17" spans="3:19" ht="15">
      <c r="C17" s="401"/>
      <c r="F17" s="1437"/>
      <c r="G17" s="1438"/>
      <c r="H17" s="1439"/>
      <c r="I17" s="1439"/>
      <c r="J17" s="1441"/>
      <c r="K17" s="1442"/>
      <c r="L17" s="1444"/>
      <c r="M17" s="532"/>
      <c r="N17" s="1446"/>
      <c r="O17" s="1434"/>
      <c r="P17" s="1434"/>
      <c r="Q17" s="218"/>
    </row>
    <row r="18" spans="3:19" ht="15">
      <c r="C18" s="506" t="str">
        <f>F18&amp;" "&amp;H18</f>
        <v>Threaded screen filter IVR</v>
      </c>
      <c r="D18">
        <v>380</v>
      </c>
      <c r="E18" s="113" t="s">
        <v>1121</v>
      </c>
      <c r="F18" s="413" t="s">
        <v>750</v>
      </c>
      <c r="G18" s="481" t="s">
        <v>12</v>
      </c>
      <c r="H18" s="1436" t="s">
        <v>715</v>
      </c>
      <c r="I18" s="1436"/>
      <c r="J18" s="416" t="s">
        <v>11</v>
      </c>
      <c r="K18" s="417">
        <v>20</v>
      </c>
      <c r="L18" s="478">
        <f>'Ціни контур теплопостачання'!O6</f>
        <v>53</v>
      </c>
      <c r="M18" s="533" t="str">
        <f>F18&amp;", "&amp;H18&amp;" "&amp;J18&amp;" Dn"&amp;K18</f>
        <v>Threaded screen filter, IVR 924 Dn20</v>
      </c>
      <c r="N18" s="417">
        <v>3</v>
      </c>
      <c r="O18" s="480">
        <f>R18+R18*$R$13</f>
        <v>4.0019999999999998</v>
      </c>
      <c r="P18" s="480">
        <f>N18*O18</f>
        <v>12.006</v>
      </c>
      <c r="Q18" s="218"/>
      <c r="R18" s="275">
        <f>'Ціни контур теплопостачання'!M6</f>
        <v>3.48</v>
      </c>
      <c r="S18" s="62"/>
    </row>
    <row r="19" spans="3:19" ht="15">
      <c r="C19" s="506" t="str">
        <f t="shared" ref="C19:C82" si="0">F19&amp;" "&amp;H19</f>
        <v>Threaded screen filter IVR</v>
      </c>
      <c r="F19" s="413" t="s">
        <v>750</v>
      </c>
      <c r="G19" s="481" t="s">
        <v>12</v>
      </c>
      <c r="H19" s="1436" t="s">
        <v>715</v>
      </c>
      <c r="I19" s="1436"/>
      <c r="J19" s="416" t="s">
        <v>11</v>
      </c>
      <c r="K19" s="417">
        <v>25</v>
      </c>
      <c r="L19" s="478">
        <f>'Ціни контур теплопостачання'!O7</f>
        <v>57</v>
      </c>
      <c r="M19" s="533" t="str">
        <f t="shared" ref="M19:M41" si="1">F19&amp;", "&amp;H19&amp;" "&amp;J19&amp;" Dn"&amp;K19</f>
        <v>Threaded screen filter, IVR 924 Dn25</v>
      </c>
      <c r="N19" s="417">
        <v>3</v>
      </c>
      <c r="O19" s="480">
        <f t="shared" ref="O19:O82" si="2">R19+R19*$R$13</f>
        <v>5.4969999999999999</v>
      </c>
      <c r="P19" s="480">
        <f>N19*O19</f>
        <v>16.491</v>
      </c>
      <c r="Q19" s="218"/>
      <c r="R19" s="275">
        <f>'Ціни контур теплопостачання'!M7</f>
        <v>4.78</v>
      </c>
      <c r="S19" s="62"/>
    </row>
    <row r="20" spans="3:19" ht="15">
      <c r="C20" s="506" t="str">
        <f t="shared" si="0"/>
        <v>Threaded screen filter IVR</v>
      </c>
      <c r="F20" s="413" t="s">
        <v>750</v>
      </c>
      <c r="G20" s="481" t="s">
        <v>12</v>
      </c>
      <c r="H20" s="1436" t="s">
        <v>715</v>
      </c>
      <c r="I20" s="1436"/>
      <c r="J20" s="416" t="s">
        <v>11</v>
      </c>
      <c r="K20" s="417">
        <v>32</v>
      </c>
      <c r="L20" s="478">
        <f>'Ціни контур теплопостачання'!O8</f>
        <v>48</v>
      </c>
      <c r="M20" s="533" t="str">
        <f t="shared" si="1"/>
        <v>Threaded screen filter, IVR 924 Dn32</v>
      </c>
      <c r="N20" s="417">
        <v>2</v>
      </c>
      <c r="O20" s="480">
        <f t="shared" si="2"/>
        <v>10.902000000000001</v>
      </c>
      <c r="P20" s="480">
        <f t="shared" ref="P20:P85" si="3">N20*O20</f>
        <v>21.804000000000002</v>
      </c>
      <c r="Q20" s="218"/>
      <c r="R20" s="275">
        <f>'Ціни контур теплопостачання'!M8</f>
        <v>9.48</v>
      </c>
      <c r="S20" s="62"/>
    </row>
    <row r="21" spans="3:19" ht="15">
      <c r="C21" s="506" t="str">
        <f t="shared" si="0"/>
        <v>Threaded check valve IVR</v>
      </c>
      <c r="F21" s="483" t="s">
        <v>734</v>
      </c>
      <c r="G21" s="481" t="s">
        <v>29</v>
      </c>
      <c r="H21" s="1436" t="s">
        <v>715</v>
      </c>
      <c r="I21" s="1436"/>
      <c r="J21" s="416" t="s">
        <v>30</v>
      </c>
      <c r="K21" s="417">
        <v>20</v>
      </c>
      <c r="L21" s="478">
        <f>'Ціни контур теплопостачання'!AC25+'Ціни контур теплопостачання'!AS39</f>
        <v>53</v>
      </c>
      <c r="M21" s="533" t="str">
        <f t="shared" si="1"/>
        <v>Threaded check valve, IVR 999/H Dn20</v>
      </c>
      <c r="N21" s="417">
        <v>3</v>
      </c>
      <c r="O21" s="480">
        <f t="shared" si="2"/>
        <v>6.4399999999999995</v>
      </c>
      <c r="P21" s="480">
        <f t="shared" si="3"/>
        <v>19.32</v>
      </c>
      <c r="Q21" s="218"/>
      <c r="R21" s="275">
        <f>'Ціни контур теплопостачання'!AU39</f>
        <v>5.6</v>
      </c>
    </row>
    <row r="22" spans="3:19" ht="15">
      <c r="C22" s="506" t="str">
        <f t="shared" si="0"/>
        <v>Threaded check valve IVR</v>
      </c>
      <c r="F22" s="483" t="s">
        <v>734</v>
      </c>
      <c r="G22" s="481" t="s">
        <v>29</v>
      </c>
      <c r="H22" s="1436" t="s">
        <v>715</v>
      </c>
      <c r="I22" s="1436"/>
      <c r="J22" s="416" t="s">
        <v>30</v>
      </c>
      <c r="K22" s="417">
        <v>25</v>
      </c>
      <c r="L22" s="478">
        <f>'Ціни контур теплопостачання'!AC26+'Ціни контур теплопостачання'!AS40</f>
        <v>59</v>
      </c>
      <c r="M22" s="533" t="str">
        <f t="shared" si="1"/>
        <v>Threaded check valve, IVR 999/H Dn25</v>
      </c>
      <c r="N22" s="417">
        <v>3</v>
      </c>
      <c r="O22" s="480">
        <f t="shared" si="2"/>
        <v>9.8899999999999988</v>
      </c>
      <c r="P22" s="480">
        <f t="shared" si="3"/>
        <v>29.669999999999995</v>
      </c>
      <c r="Q22" s="218"/>
      <c r="R22" s="275">
        <f>'Ціни контур теплопостачання'!AU40</f>
        <v>8.6</v>
      </c>
    </row>
    <row r="23" spans="3:19" ht="15">
      <c r="C23" s="506" t="str">
        <f t="shared" si="0"/>
        <v>Threaded check valve IVR</v>
      </c>
      <c r="F23" s="483" t="s">
        <v>734</v>
      </c>
      <c r="G23" s="481" t="s">
        <v>29</v>
      </c>
      <c r="H23" s="1436" t="s">
        <v>715</v>
      </c>
      <c r="I23" s="1436"/>
      <c r="J23" s="416" t="s">
        <v>30</v>
      </c>
      <c r="K23" s="417">
        <v>32</v>
      </c>
      <c r="L23" s="478">
        <f>'Ціни контур теплопостачання'!AC27+'Ціни контур теплопостачання'!AS41+103</f>
        <v>163</v>
      </c>
      <c r="M23" s="533" t="str">
        <f t="shared" si="1"/>
        <v>Threaded check valve, IVR 999/H Dn32</v>
      </c>
      <c r="N23" s="417">
        <v>8</v>
      </c>
      <c r="O23" s="480">
        <f t="shared" si="2"/>
        <v>15.295000000000002</v>
      </c>
      <c r="P23" s="480">
        <f t="shared" si="3"/>
        <v>122.36000000000001</v>
      </c>
      <c r="Q23" s="218"/>
      <c r="R23" s="275">
        <f>'Ціни контур теплопостачання'!AU41</f>
        <v>13.3</v>
      </c>
    </row>
    <row r="24" spans="3:19" ht="15">
      <c r="C24" s="506" t="str">
        <f t="shared" si="0"/>
        <v>Interflanged check valve IVR</v>
      </c>
      <c r="D24">
        <v>380</v>
      </c>
      <c r="E24" s="113" t="s">
        <v>1121</v>
      </c>
      <c r="F24" s="483" t="s">
        <v>1035</v>
      </c>
      <c r="G24" s="481" t="s">
        <v>31</v>
      </c>
      <c r="H24" s="1436" t="s">
        <v>715</v>
      </c>
      <c r="I24" s="1436"/>
      <c r="J24" s="417">
        <v>656</v>
      </c>
      <c r="K24" s="417">
        <v>40</v>
      </c>
      <c r="L24" s="478">
        <f>'Ціни контур теплопостачання'!AC28+'Ціни контур теплопостачання'!AS42</f>
        <v>59</v>
      </c>
      <c r="M24" s="533" t="str">
        <f t="shared" si="1"/>
        <v>Interflanged check valve, IVR 656 Dn40</v>
      </c>
      <c r="N24" s="417">
        <v>3</v>
      </c>
      <c r="O24" s="480">
        <f t="shared" si="2"/>
        <v>27.715000000000003</v>
      </c>
      <c r="P24" s="480">
        <f t="shared" si="3"/>
        <v>83.14500000000001</v>
      </c>
      <c r="Q24" s="218"/>
      <c r="R24" s="275">
        <f>'Ціни контур теплопостачання'!AD28</f>
        <v>24.1</v>
      </c>
      <c r="S24" s="62"/>
    </row>
    <row r="25" spans="3:19" ht="15">
      <c r="C25" s="506" t="str">
        <f t="shared" si="0"/>
        <v>Interflanged check valve IVR</v>
      </c>
      <c r="F25" s="483" t="s">
        <v>1035</v>
      </c>
      <c r="G25" s="481" t="s">
        <v>31</v>
      </c>
      <c r="H25" s="1436" t="s">
        <v>715</v>
      </c>
      <c r="I25" s="1436"/>
      <c r="J25" s="417">
        <v>656</v>
      </c>
      <c r="K25" s="417">
        <v>50</v>
      </c>
      <c r="L25" s="478">
        <f>'Ціни контур теплопостачання'!AC29+'Ціни контур теплопостачання'!AS43</f>
        <v>63</v>
      </c>
      <c r="M25" s="533" t="str">
        <f t="shared" si="1"/>
        <v>Interflanged check valve, IVR 656 Dn50</v>
      </c>
      <c r="N25" s="417">
        <v>3</v>
      </c>
      <c r="O25" s="480">
        <f t="shared" si="2"/>
        <v>38.869999999999997</v>
      </c>
      <c r="P25" s="480">
        <f t="shared" si="3"/>
        <v>116.60999999999999</v>
      </c>
      <c r="Q25" s="218"/>
      <c r="R25" s="275">
        <f>'Ціни контур теплопостачання'!AD29</f>
        <v>33.799999999999997</v>
      </c>
      <c r="S25" s="62"/>
    </row>
    <row r="26" spans="3:19" ht="15">
      <c r="C26" s="506" t="str">
        <f t="shared" si="0"/>
        <v>Interflanged check valve IVR</v>
      </c>
      <c r="F26" s="483" t="s">
        <v>1035</v>
      </c>
      <c r="G26" s="481" t="s">
        <v>31</v>
      </c>
      <c r="H26" s="1436" t="s">
        <v>715</v>
      </c>
      <c r="I26" s="1436"/>
      <c r="J26" s="417">
        <v>656</v>
      </c>
      <c r="K26" s="417">
        <v>65</v>
      </c>
      <c r="L26" s="478">
        <f>'Ціни контур теплопостачання'!AC30+'Ціни контур теплопостачання'!AS44</f>
        <v>106</v>
      </c>
      <c r="M26" s="533" t="str">
        <f t="shared" si="1"/>
        <v>Interflanged check valve, IVR 656 Dn65</v>
      </c>
      <c r="N26" s="417">
        <v>5</v>
      </c>
      <c r="O26" s="480">
        <f t="shared" si="2"/>
        <v>57.269999999999996</v>
      </c>
      <c r="P26" s="480">
        <f t="shared" si="3"/>
        <v>286.34999999999997</v>
      </c>
      <c r="Q26" s="218"/>
      <c r="R26" s="275">
        <f>'Ціни контур теплопостачання'!AD30</f>
        <v>49.8</v>
      </c>
      <c r="S26" s="62"/>
    </row>
    <row r="27" spans="3:19" ht="15">
      <c r="C27" s="506" t="str">
        <f t="shared" si="0"/>
        <v>Interflanged check valve IVR</v>
      </c>
      <c r="F27" s="483" t="s">
        <v>1035</v>
      </c>
      <c r="G27" s="481" t="s">
        <v>31</v>
      </c>
      <c r="H27" s="1436" t="s">
        <v>715</v>
      </c>
      <c r="I27" s="1436"/>
      <c r="J27" s="417">
        <v>656</v>
      </c>
      <c r="K27" s="417">
        <v>80</v>
      </c>
      <c r="L27" s="478">
        <f>'Ціни контур теплопостачання'!AC31+'Ціни контур теплопостачання'!AS45</f>
        <v>81</v>
      </c>
      <c r="M27" s="533" t="str">
        <f t="shared" si="1"/>
        <v>Interflanged check valve, IVR 656 Dn80</v>
      </c>
      <c r="N27" s="417">
        <v>4</v>
      </c>
      <c r="O27" s="480">
        <f t="shared" si="2"/>
        <v>81.764999999999986</v>
      </c>
      <c r="P27" s="480">
        <f t="shared" si="3"/>
        <v>327.05999999999995</v>
      </c>
      <c r="Q27" s="218"/>
      <c r="R27" s="275">
        <f>'Ціни контур теплопостачання'!AD31</f>
        <v>71.099999999999994</v>
      </c>
    </row>
    <row r="28" spans="3:19" ht="15">
      <c r="C28" s="506" t="str">
        <f t="shared" si="0"/>
        <v>Interflanged check valve IVR</v>
      </c>
      <c r="F28" s="483" t="s">
        <v>1035</v>
      </c>
      <c r="G28" s="481" t="s">
        <v>31</v>
      </c>
      <c r="H28" s="1436" t="s">
        <v>715</v>
      </c>
      <c r="I28" s="1436"/>
      <c r="J28" s="417">
        <v>656</v>
      </c>
      <c r="K28" s="417">
        <v>100</v>
      </c>
      <c r="L28" s="478">
        <f>'Ціни контур теплопостачання'!AC32+'Ціни контур теплопостачання'!AS46</f>
        <v>20</v>
      </c>
      <c r="M28" s="533" t="str">
        <f t="shared" si="1"/>
        <v>Interflanged check valve, IVR 656 Dn100</v>
      </c>
      <c r="N28" s="417">
        <v>1</v>
      </c>
      <c r="O28" s="480">
        <f t="shared" si="2"/>
        <v>119.48500000000001</v>
      </c>
      <c r="P28" s="480">
        <f t="shared" si="3"/>
        <v>119.48500000000001</v>
      </c>
      <c r="Q28" s="218"/>
      <c r="R28" s="275">
        <f>'Ціни контур теплопостачання'!AD32</f>
        <v>103.9</v>
      </c>
    </row>
    <row r="29" spans="3:19" ht="15">
      <c r="C29" s="506" t="str">
        <f t="shared" si="0"/>
        <v>Interflanged check valve IVR</v>
      </c>
      <c r="F29" s="483" t="s">
        <v>1035</v>
      </c>
      <c r="G29" s="481" t="s">
        <v>31</v>
      </c>
      <c r="H29" s="1436" t="s">
        <v>715</v>
      </c>
      <c r="I29" s="1436"/>
      <c r="J29" s="417">
        <v>656</v>
      </c>
      <c r="K29" s="417">
        <v>125</v>
      </c>
      <c r="L29" s="478">
        <f>'Ціни контур теплопостачання'!AC33+'Ціни контур теплопостачання'!AS47</f>
        <v>6</v>
      </c>
      <c r="M29" s="533" t="str">
        <f t="shared" si="1"/>
        <v>Interflanged check valve, IVR 656 Dn125</v>
      </c>
      <c r="N29" s="417">
        <v>1</v>
      </c>
      <c r="O29" s="480">
        <f t="shared" si="2"/>
        <v>247.59500000000003</v>
      </c>
      <c r="P29" s="480">
        <f t="shared" si="3"/>
        <v>247.59500000000003</v>
      </c>
      <c r="Q29" s="218"/>
      <c r="R29" s="275">
        <f>'Ціни контур теплопостачання'!AD33</f>
        <v>215.3</v>
      </c>
    </row>
    <row r="30" spans="3:19" ht="15">
      <c r="C30" s="506" t="str">
        <f t="shared" si="0"/>
        <v xml:space="preserve">Expansion tank with replaceable membrane ROZ-NAVI </v>
      </c>
      <c r="D30">
        <v>792</v>
      </c>
      <c r="E30" s="113" t="s">
        <v>1116</v>
      </c>
      <c r="F30" s="483" t="s">
        <v>729</v>
      </c>
      <c r="G30" s="481" t="s">
        <v>33</v>
      </c>
      <c r="H30" s="1436" t="s">
        <v>35</v>
      </c>
      <c r="I30" s="1436"/>
      <c r="J30" s="488" t="s">
        <v>1036</v>
      </c>
      <c r="K30" s="417">
        <v>32</v>
      </c>
      <c r="L30" s="478">
        <f>'Ціни контур теплопостачання'!O48</f>
        <v>2</v>
      </c>
      <c r="M30" s="533" t="str">
        <f>F30&amp;", "&amp;H30&amp;" "&amp;J30</f>
        <v>Expansion tank with replaceable membrane, ROZ-NAVI  300 l</v>
      </c>
      <c r="N30" s="417">
        <v>1</v>
      </c>
      <c r="O30" s="480">
        <f t="shared" si="2"/>
        <v>245.58939999999998</v>
      </c>
      <c r="P30" s="480">
        <f t="shared" si="3"/>
        <v>245.58939999999998</v>
      </c>
      <c r="Q30" s="218"/>
      <c r="R30" s="275">
        <f>'Ціни контур теплопостачання'!M48*1.4</f>
        <v>213.55599999999998</v>
      </c>
    </row>
    <row r="31" spans="3:19" ht="15">
      <c r="C31" s="506" t="str">
        <f t="shared" si="0"/>
        <v xml:space="preserve">Expansion tank with replaceable membrane ROZ-NAVI </v>
      </c>
      <c r="F31" s="483" t="s">
        <v>729</v>
      </c>
      <c r="G31" s="481" t="s">
        <v>33</v>
      </c>
      <c r="H31" s="1436" t="s">
        <v>35</v>
      </c>
      <c r="I31" s="1436"/>
      <c r="J31" s="488" t="s">
        <v>1037</v>
      </c>
      <c r="K31" s="417">
        <v>32</v>
      </c>
      <c r="L31" s="478">
        <f>'Ціни контур теплопостачання'!O49</f>
        <v>10</v>
      </c>
      <c r="M31" s="533" t="str">
        <f t="shared" ref="M31:M33" si="4">F31&amp;", "&amp;H31&amp;" "&amp;J31</f>
        <v>Expansion tank with replaceable membrane, ROZ-NAVI  500 l</v>
      </c>
      <c r="N31" s="417">
        <v>1</v>
      </c>
      <c r="O31" s="480">
        <f t="shared" si="2"/>
        <v>402.04919999999998</v>
      </c>
      <c r="P31" s="480">
        <f t="shared" si="3"/>
        <v>402.04919999999998</v>
      </c>
      <c r="Q31" s="218"/>
      <c r="R31" s="275">
        <f>'Ціни контур теплопостачання'!M49*1.4</f>
        <v>349.608</v>
      </c>
    </row>
    <row r="32" spans="3:19" ht="15">
      <c r="C32" s="506" t="str">
        <f t="shared" si="0"/>
        <v xml:space="preserve">Expansion tank with replaceable membrane ROZ-NAVI </v>
      </c>
      <c r="F32" s="483" t="s">
        <v>729</v>
      </c>
      <c r="G32" s="481" t="s">
        <v>33</v>
      </c>
      <c r="H32" s="1436" t="s">
        <v>35</v>
      </c>
      <c r="I32" s="1436"/>
      <c r="J32" s="488" t="s">
        <v>1038</v>
      </c>
      <c r="K32" s="417">
        <v>32</v>
      </c>
      <c r="L32" s="478">
        <f>'Ціни контур теплопостачання'!O50</f>
        <v>18</v>
      </c>
      <c r="M32" s="533" t="str">
        <f t="shared" si="4"/>
        <v>Expansion tank with replaceable membrane, ROZ-NAVI  750 l</v>
      </c>
      <c r="N32" s="417">
        <v>1</v>
      </c>
      <c r="O32" s="480">
        <f t="shared" si="2"/>
        <v>606.87339999999995</v>
      </c>
      <c r="P32" s="480">
        <f t="shared" si="3"/>
        <v>606.87339999999995</v>
      </c>
      <c r="Q32" s="218"/>
      <c r="R32" s="275">
        <f>'Ціни контур теплопостачання'!M50*1.4</f>
        <v>527.71600000000001</v>
      </c>
    </row>
    <row r="33" spans="3:19" ht="15">
      <c r="C33" s="506" t="str">
        <f t="shared" si="0"/>
        <v xml:space="preserve">Expansion tank with replaceable membrane ROZ-NAVI </v>
      </c>
      <c r="F33" s="483" t="s">
        <v>729</v>
      </c>
      <c r="G33" s="481" t="s">
        <v>33</v>
      </c>
      <c r="H33" s="1436" t="s">
        <v>35</v>
      </c>
      <c r="I33" s="1436"/>
      <c r="J33" s="488" t="s">
        <v>1039</v>
      </c>
      <c r="K33" s="417">
        <v>50</v>
      </c>
      <c r="L33" s="478">
        <f>'Ціни контур теплопостачання'!O51</f>
        <v>9</v>
      </c>
      <c r="M33" s="533" t="str">
        <f t="shared" si="4"/>
        <v>Expansion tank with replaceable membrane, ROZ-NAVI  1000 l</v>
      </c>
      <c r="N33" s="417">
        <v>1</v>
      </c>
      <c r="O33" s="480">
        <f t="shared" si="2"/>
        <v>971.20029999999997</v>
      </c>
      <c r="P33" s="480">
        <f t="shared" si="3"/>
        <v>971.20029999999997</v>
      </c>
      <c r="Q33" s="218"/>
      <c r="R33" s="275">
        <f>'Ціни контур теплопостачання'!M51*1.4</f>
        <v>844.52199999999993</v>
      </c>
    </row>
    <row r="34" spans="3:19" ht="15">
      <c r="C34" s="506" t="str">
        <f t="shared" si="0"/>
        <v>Threaded ball valve with electric drive 218 IVR</v>
      </c>
      <c r="D34">
        <v>380</v>
      </c>
      <c r="E34" s="113" t="s">
        <v>1121</v>
      </c>
      <c r="F34" s="483" t="s">
        <v>1088</v>
      </c>
      <c r="G34" s="481" t="s">
        <v>1040</v>
      </c>
      <c r="H34" s="1436" t="s">
        <v>715</v>
      </c>
      <c r="I34" s="1436"/>
      <c r="J34" s="412">
        <v>230</v>
      </c>
      <c r="K34" s="417">
        <v>20</v>
      </c>
      <c r="L34" s="478">
        <f>'Ціни контур теплопостачання'!O63</f>
        <v>10</v>
      </c>
      <c r="M34" s="533" t="str">
        <f t="shared" si="1"/>
        <v>Threaded ball valve with electric drive 218, IVR 230 Dn20</v>
      </c>
      <c r="N34" s="417">
        <v>1</v>
      </c>
      <c r="O34" s="480">
        <f t="shared" si="2"/>
        <v>127.85538999999999</v>
      </c>
      <c r="P34" s="480">
        <f t="shared" si="3"/>
        <v>127.85538999999999</v>
      </c>
      <c r="Q34" s="218"/>
      <c r="R34" s="275">
        <f>'Ціни контур теплопостачання'!M63*1.22</f>
        <v>111.17859999999999</v>
      </c>
    </row>
    <row r="35" spans="3:19" ht="15">
      <c r="C35" s="506" t="str">
        <f t="shared" si="0"/>
        <v>Threaded ball valve with electric drive 218 IVR</v>
      </c>
      <c r="F35" s="483" t="s">
        <v>1088</v>
      </c>
      <c r="G35" s="481" t="s">
        <v>1040</v>
      </c>
      <c r="H35" s="1436" t="s">
        <v>715</v>
      </c>
      <c r="I35" s="1436"/>
      <c r="J35" s="412">
        <v>230</v>
      </c>
      <c r="K35" s="417">
        <v>25</v>
      </c>
      <c r="L35" s="478">
        <f>'Ціни контур теплопостачання'!O64</f>
        <v>23</v>
      </c>
      <c r="M35" s="533" t="str">
        <f t="shared" si="1"/>
        <v>Threaded ball valve with electric drive 218, IVR 230 Dn25</v>
      </c>
      <c r="N35" s="417">
        <v>2</v>
      </c>
      <c r="O35" s="480">
        <f t="shared" si="2"/>
        <v>130.35272999999998</v>
      </c>
      <c r="P35" s="480">
        <f t="shared" si="3"/>
        <v>260.70545999999996</v>
      </c>
      <c r="Q35" s="218"/>
      <c r="R35" s="275">
        <f>'Ціни контур теплопостачання'!M64*1.22</f>
        <v>113.35019999999999</v>
      </c>
    </row>
    <row r="36" spans="3:19" ht="14.25">
      <c r="C36" s="506" t="str">
        <f t="shared" si="0"/>
        <v>Safety valve,  adjustment range 0,1-1,2 Мpa IVR (Valtec)</v>
      </c>
      <c r="D36">
        <v>380</v>
      </c>
      <c r="E36" s="113" t="s">
        <v>1121</v>
      </c>
      <c r="F36" s="483" t="s">
        <v>731</v>
      </c>
      <c r="G36" s="481" t="s">
        <v>61</v>
      </c>
      <c r="H36" s="1436" t="s">
        <v>1284</v>
      </c>
      <c r="I36" s="1436"/>
      <c r="J36" s="488">
        <v>369</v>
      </c>
      <c r="K36" s="417">
        <v>15</v>
      </c>
      <c r="L36" s="478">
        <f>'Ціни контур теплопостачання'!O74</f>
        <v>20</v>
      </c>
      <c r="M36" s="533" t="str">
        <f t="shared" si="1"/>
        <v>Safety valve,  adjustment range 0,1-1,2 Мpa, IVR (Valtec) 369 Dn15</v>
      </c>
      <c r="N36" s="417">
        <v>1</v>
      </c>
      <c r="O36" s="480">
        <f t="shared" si="2"/>
        <v>19.928350000000002</v>
      </c>
      <c r="P36" s="480">
        <f t="shared" si="3"/>
        <v>19.928350000000002</v>
      </c>
      <c r="Q36" s="230"/>
      <c r="R36" s="275">
        <f>'Ціни контур теплопостачання'!M74*1.3</f>
        <v>17.329000000000001</v>
      </c>
    </row>
    <row r="37" spans="3:19" ht="14.25">
      <c r="C37" s="506" t="str">
        <f t="shared" si="0"/>
        <v>Safety valve,  adjustment range 0,1-1,2 Мpa IVR (Valtec)</v>
      </c>
      <c r="F37" s="483" t="s">
        <v>731</v>
      </c>
      <c r="G37" s="481" t="s">
        <v>61</v>
      </c>
      <c r="H37" s="1436" t="s">
        <v>1284</v>
      </c>
      <c r="I37" s="1436"/>
      <c r="J37" s="488">
        <v>369</v>
      </c>
      <c r="K37" s="417">
        <v>20</v>
      </c>
      <c r="L37" s="478">
        <f>'Ціни контур теплопостачання'!O75</f>
        <v>30</v>
      </c>
      <c r="M37" s="533" t="str">
        <f t="shared" si="1"/>
        <v>Safety valve,  adjustment range 0,1-1,2 Мpa, IVR (Valtec) 369 Dn20</v>
      </c>
      <c r="N37" s="417">
        <v>1</v>
      </c>
      <c r="O37" s="480">
        <f t="shared" si="2"/>
        <v>24.577800000000003</v>
      </c>
      <c r="P37" s="480">
        <f t="shared" si="3"/>
        <v>24.577800000000003</v>
      </c>
      <c r="Q37" s="230"/>
      <c r="R37" s="275">
        <f>'Ціни контур теплопостачання'!M75*1.3</f>
        <v>21.372000000000003</v>
      </c>
    </row>
    <row r="38" spans="3:19" ht="14.25">
      <c r="C38" s="506" t="str">
        <f t="shared" si="0"/>
        <v>Safety valve,  adjustment range 0,1-1,2 Мpa IVR (Valtec)</v>
      </c>
      <c r="F38" s="483" t="s">
        <v>731</v>
      </c>
      <c r="G38" s="481" t="s">
        <v>61</v>
      </c>
      <c r="H38" s="1436" t="s">
        <v>1284</v>
      </c>
      <c r="I38" s="1436"/>
      <c r="J38" s="488">
        <v>369</v>
      </c>
      <c r="K38" s="417">
        <v>25</v>
      </c>
      <c r="L38" s="478">
        <f>'Ціни контур теплопостачання'!O76</f>
        <v>54</v>
      </c>
      <c r="M38" s="533" t="str">
        <f t="shared" si="1"/>
        <v>Safety valve,  adjustment range 0,1-1,2 Мpa, IVR (Valtec) 369 Dn25</v>
      </c>
      <c r="N38" s="417">
        <v>3</v>
      </c>
      <c r="O38" s="480">
        <f t="shared" si="2"/>
        <v>33.218899999999998</v>
      </c>
      <c r="P38" s="480">
        <f t="shared" si="3"/>
        <v>99.656700000000001</v>
      </c>
      <c r="Q38" s="230"/>
      <c r="R38" s="275">
        <f>'Ціни контур теплопостачання'!M76*1.3</f>
        <v>28.885999999999999</v>
      </c>
    </row>
    <row r="39" spans="3:19" ht="14.25">
      <c r="C39" s="506" t="str">
        <f t="shared" si="0"/>
        <v>Safety valve,  adjustment range 0,1-1,2 Мpa IVR (Valtec)</v>
      </c>
      <c r="F39" s="483" t="s">
        <v>731</v>
      </c>
      <c r="G39" s="481" t="s">
        <v>61</v>
      </c>
      <c r="H39" s="1436" t="s">
        <v>1284</v>
      </c>
      <c r="I39" s="1436"/>
      <c r="J39" s="488">
        <v>369</v>
      </c>
      <c r="K39" s="417">
        <v>32</v>
      </c>
      <c r="L39" s="478">
        <f>'Ціни контур теплопостачання'!O77</f>
        <v>64</v>
      </c>
      <c r="M39" s="533" t="str">
        <f t="shared" si="1"/>
        <v>Safety valve,  adjustment range 0,1-1,2 Мpa, IVR (Valtec) 369 Dn32</v>
      </c>
      <c r="N39" s="417">
        <v>3</v>
      </c>
      <c r="O39" s="480">
        <f t="shared" si="2"/>
        <v>50.351599999999998</v>
      </c>
      <c r="P39" s="480">
        <f t="shared" si="3"/>
        <v>151.0548</v>
      </c>
      <c r="Q39" s="243"/>
      <c r="R39" s="275">
        <f>'Ціни контур теплопостачання'!M77*1.3</f>
        <v>43.783999999999999</v>
      </c>
    </row>
    <row r="40" spans="3:19" ht="14.25">
      <c r="C40" s="506" t="str">
        <f t="shared" si="0"/>
        <v>Safety valve,  adjustment range 0,1-1,2 Мpa IVR (Valtec)</v>
      </c>
      <c r="F40" s="483" t="s">
        <v>731</v>
      </c>
      <c r="G40" s="481" t="s">
        <v>61</v>
      </c>
      <c r="H40" s="1436" t="s">
        <v>1284</v>
      </c>
      <c r="I40" s="1436"/>
      <c r="J40" s="488">
        <v>369</v>
      </c>
      <c r="K40" s="417">
        <v>40</v>
      </c>
      <c r="L40" s="478">
        <f>'Ціни контур теплопостачання'!O78</f>
        <v>26</v>
      </c>
      <c r="M40" s="533" t="str">
        <f t="shared" si="1"/>
        <v>Safety valve,  adjustment range 0,1-1,2 Мpa, IVR (Valtec) 369 Dn40</v>
      </c>
      <c r="N40" s="417">
        <v>1</v>
      </c>
      <c r="O40" s="480">
        <f t="shared" si="2"/>
        <v>64.569050000000004</v>
      </c>
      <c r="P40" s="480">
        <f t="shared" si="3"/>
        <v>64.569050000000004</v>
      </c>
      <c r="Q40" s="243"/>
      <c r="R40" s="275">
        <f>'Ціни контур теплопостачання'!M78*1.3</f>
        <v>56.146999999999998</v>
      </c>
    </row>
    <row r="41" spans="3:19" ht="14.25">
      <c r="C41" s="506" t="str">
        <f t="shared" si="0"/>
        <v>Safety valve,  adjustment range 0,1-1,2 Мpa IVR (Valtec)</v>
      </c>
      <c r="F41" s="483" t="s">
        <v>731</v>
      </c>
      <c r="G41" s="481" t="s">
        <v>61</v>
      </c>
      <c r="H41" s="1436" t="s">
        <v>1284</v>
      </c>
      <c r="I41" s="1436"/>
      <c r="J41" s="488">
        <v>369</v>
      </c>
      <c r="K41" s="417">
        <v>50</v>
      </c>
      <c r="L41" s="478">
        <f>'Ціни контур теплопостачання'!O79</f>
        <v>12</v>
      </c>
      <c r="M41" s="533" t="str">
        <f t="shared" si="1"/>
        <v>Safety valve,  adjustment range 0,1-1,2 Мpa, IVR (Valtec) 369 Dn50</v>
      </c>
      <c r="N41" s="417">
        <v>1</v>
      </c>
      <c r="O41" s="480">
        <f t="shared" si="2"/>
        <v>73.165300000000002</v>
      </c>
      <c r="P41" s="480">
        <f t="shared" si="3"/>
        <v>73.165300000000002</v>
      </c>
      <c r="Q41" s="243"/>
      <c r="R41" s="275">
        <f>'Ціни контур теплопостачання'!M79*1.3</f>
        <v>63.622</v>
      </c>
    </row>
    <row r="42" spans="3:19" ht="14.25">
      <c r="C42" s="506" t="str">
        <f t="shared" si="0"/>
        <v xml:space="preserve">Pump WILO </v>
      </c>
      <c r="D42">
        <v>276</v>
      </c>
      <c r="E42" s="113" t="s">
        <v>1120</v>
      </c>
      <c r="F42" s="413" t="s">
        <v>732</v>
      </c>
      <c r="G42" s="481" t="s">
        <v>610</v>
      </c>
      <c r="H42" s="1436" t="s">
        <v>606</v>
      </c>
      <c r="I42" s="1436"/>
      <c r="J42" s="415" t="s">
        <v>1094</v>
      </c>
      <c r="K42" s="417"/>
      <c r="L42" s="478">
        <f>'Ціни контур теплопостачання'!O89</f>
        <v>16</v>
      </c>
      <c r="M42" s="533" t="str">
        <f>F42&amp;", "&amp;H42&amp;" "&amp;J42</f>
        <v>Pump, WILO  Yonos PICO 25/1-8-130</v>
      </c>
      <c r="N42" s="417">
        <v>1</v>
      </c>
      <c r="O42" s="480">
        <f t="shared" si="2"/>
        <v>353.28</v>
      </c>
      <c r="P42" s="480">
        <f t="shared" si="3"/>
        <v>353.28</v>
      </c>
      <c r="Q42" s="230"/>
      <c r="R42" s="290">
        <f>S42*1.2</f>
        <v>307.2</v>
      </c>
      <c r="S42">
        <v>256</v>
      </c>
    </row>
    <row r="43" spans="3:19" ht="14.25">
      <c r="C43" s="506" t="str">
        <f t="shared" si="0"/>
        <v xml:space="preserve">Pump WILO </v>
      </c>
      <c r="F43" s="413" t="s">
        <v>732</v>
      </c>
      <c r="G43" s="481" t="s">
        <v>610</v>
      </c>
      <c r="H43" s="1436" t="s">
        <v>606</v>
      </c>
      <c r="I43" s="1436"/>
      <c r="J43" s="415" t="s">
        <v>1093</v>
      </c>
      <c r="K43" s="417"/>
      <c r="L43" s="478">
        <f>'Ціни контур теплопостачання'!O90</f>
        <v>6</v>
      </c>
      <c r="M43" s="533" t="str">
        <f t="shared" ref="M43:M58" si="5">F43&amp;", "&amp;H43&amp;" "&amp;J43</f>
        <v>Pump, WILO  Yonos MAXO 25/0,5-7 PN 10</v>
      </c>
      <c r="N43" s="417">
        <v>1</v>
      </c>
      <c r="O43" s="480">
        <f t="shared" si="2"/>
        <v>531.29999999999995</v>
      </c>
      <c r="P43" s="480">
        <f t="shared" si="3"/>
        <v>531.29999999999995</v>
      </c>
      <c r="Q43" s="230"/>
      <c r="R43" s="290">
        <f t="shared" ref="R43:R58" si="6">S43*1.2</f>
        <v>462</v>
      </c>
      <c r="S43">
        <v>385</v>
      </c>
    </row>
    <row r="44" spans="3:19" ht="14.25">
      <c r="C44" s="506" t="str">
        <f t="shared" si="0"/>
        <v xml:space="preserve">Pump WILO </v>
      </c>
      <c r="F44" s="413" t="s">
        <v>732</v>
      </c>
      <c r="G44" s="481" t="s">
        <v>610</v>
      </c>
      <c r="H44" s="1436" t="s">
        <v>606</v>
      </c>
      <c r="I44" s="1436"/>
      <c r="J44" s="415" t="s">
        <v>120</v>
      </c>
      <c r="K44" s="417"/>
      <c r="L44" s="478">
        <f>'Ціни контур теплопостачання'!O91</f>
        <v>8</v>
      </c>
      <c r="M44" s="533" t="str">
        <f t="shared" si="5"/>
        <v>Pump, WILO  Yonos MAXO 25/0,5-10 PN 10</v>
      </c>
      <c r="N44" s="417">
        <v>1</v>
      </c>
      <c r="O44" s="480">
        <f t="shared" si="2"/>
        <v>580.98</v>
      </c>
      <c r="P44" s="480">
        <f t="shared" si="3"/>
        <v>580.98</v>
      </c>
      <c r="Q44" s="219"/>
      <c r="R44" s="290">
        <f t="shared" si="6"/>
        <v>505.2</v>
      </c>
      <c r="S44">
        <v>421</v>
      </c>
    </row>
    <row r="45" spans="3:19" ht="14.25">
      <c r="C45" s="506" t="str">
        <f t="shared" si="0"/>
        <v xml:space="preserve">Pump WILO </v>
      </c>
      <c r="F45" s="413" t="s">
        <v>732</v>
      </c>
      <c r="G45" s="481" t="s">
        <v>610</v>
      </c>
      <c r="H45" s="1436" t="s">
        <v>606</v>
      </c>
      <c r="I45" s="1436"/>
      <c r="J45" s="415" t="s">
        <v>1091</v>
      </c>
      <c r="K45" s="417"/>
      <c r="L45" s="478">
        <f>'Ціни контур теплопостачання'!O92</f>
        <v>20</v>
      </c>
      <c r="M45" s="533" t="str">
        <f t="shared" si="5"/>
        <v>Pump, WILO  Yonos MAXO 25/0,5-12 PN 10</v>
      </c>
      <c r="N45" s="417">
        <v>2</v>
      </c>
      <c r="O45" s="480">
        <f t="shared" si="2"/>
        <v>749.34</v>
      </c>
      <c r="P45" s="480">
        <f t="shared" si="3"/>
        <v>1498.68</v>
      </c>
      <c r="Q45" s="219"/>
      <c r="R45" s="290">
        <f t="shared" si="6"/>
        <v>651.6</v>
      </c>
      <c r="S45">
        <v>543</v>
      </c>
    </row>
    <row r="46" spans="3:19" ht="14.25">
      <c r="C46" s="506" t="str">
        <f t="shared" si="0"/>
        <v xml:space="preserve">Pump WILO </v>
      </c>
      <c r="F46" s="413" t="s">
        <v>732</v>
      </c>
      <c r="G46" s="481" t="s">
        <v>610</v>
      </c>
      <c r="H46" s="1436" t="s">
        <v>606</v>
      </c>
      <c r="I46" s="1436"/>
      <c r="J46" s="415" t="s">
        <v>122</v>
      </c>
      <c r="K46" s="417"/>
      <c r="L46" s="478">
        <f>'Ціни контур теплопостачання'!O93</f>
        <v>4</v>
      </c>
      <c r="M46" s="533" t="str">
        <f t="shared" si="5"/>
        <v>Pump, WILO  Yonos MAXO 30/0,5-12 PN 10</v>
      </c>
      <c r="N46" s="417">
        <v>1</v>
      </c>
      <c r="O46" s="480">
        <f t="shared" si="2"/>
        <v>855.6</v>
      </c>
      <c r="P46" s="480">
        <f t="shared" si="3"/>
        <v>855.6</v>
      </c>
      <c r="Q46" s="219"/>
      <c r="R46" s="290">
        <f t="shared" si="6"/>
        <v>744</v>
      </c>
      <c r="S46">
        <v>620</v>
      </c>
    </row>
    <row r="47" spans="3:19" ht="14.25">
      <c r="C47" s="506" t="str">
        <f t="shared" si="0"/>
        <v xml:space="preserve">Pump WILO </v>
      </c>
      <c r="F47" s="413" t="s">
        <v>732</v>
      </c>
      <c r="G47" s="481" t="s">
        <v>610</v>
      </c>
      <c r="H47" s="1436" t="s">
        <v>606</v>
      </c>
      <c r="I47" s="1436"/>
      <c r="J47" s="415" t="s">
        <v>1092</v>
      </c>
      <c r="K47" s="417"/>
      <c r="L47" s="478">
        <f>'Ціни контур теплопостачання'!O94</f>
        <v>4</v>
      </c>
      <c r="M47" s="533" t="str">
        <f t="shared" si="5"/>
        <v>Pump, WILO  Yonos MAXO 40/0,5-8 PN 6/10</v>
      </c>
      <c r="N47" s="417">
        <v>1</v>
      </c>
      <c r="O47" s="480">
        <f t="shared" si="2"/>
        <v>847.31999999999994</v>
      </c>
      <c r="P47" s="480">
        <f t="shared" si="3"/>
        <v>847.31999999999994</v>
      </c>
      <c r="Q47" s="219"/>
      <c r="R47" s="290">
        <f t="shared" si="6"/>
        <v>736.8</v>
      </c>
      <c r="S47">
        <v>614</v>
      </c>
    </row>
    <row r="48" spans="3:19" ht="14.25">
      <c r="C48" s="506" t="str">
        <f t="shared" si="0"/>
        <v xml:space="preserve">Pump WILO </v>
      </c>
      <c r="F48" s="413" t="s">
        <v>732</v>
      </c>
      <c r="G48" s="481" t="s">
        <v>610</v>
      </c>
      <c r="H48" s="1436" t="s">
        <v>606</v>
      </c>
      <c r="I48" s="1436"/>
      <c r="J48" s="415" t="s">
        <v>123</v>
      </c>
      <c r="K48" s="417"/>
      <c r="L48" s="478">
        <f>'Ціни контур теплопостачання'!O95</f>
        <v>38</v>
      </c>
      <c r="M48" s="533" t="str">
        <f t="shared" si="5"/>
        <v>Pump, WILO  Yonos MAXO 40/0,5-12 PN 6/10</v>
      </c>
      <c r="N48" s="417">
        <v>4</v>
      </c>
      <c r="O48" s="480">
        <f t="shared" si="2"/>
        <v>1356.54</v>
      </c>
      <c r="P48" s="480">
        <f t="shared" si="3"/>
        <v>5426.16</v>
      </c>
      <c r="Q48" s="219"/>
      <c r="R48" s="290">
        <f t="shared" si="6"/>
        <v>1179.5999999999999</v>
      </c>
      <c r="S48">
        <v>983</v>
      </c>
    </row>
    <row r="49" spans="3:19" ht="14.25">
      <c r="C49" s="506" t="str">
        <f t="shared" si="0"/>
        <v xml:space="preserve">Pump WILO </v>
      </c>
      <c r="F49" s="413" t="s">
        <v>732</v>
      </c>
      <c r="G49" s="481" t="s">
        <v>610</v>
      </c>
      <c r="H49" s="1436" t="s">
        <v>606</v>
      </c>
      <c r="I49" s="1436"/>
      <c r="J49" s="415" t="s">
        <v>1090</v>
      </c>
      <c r="K49" s="417"/>
      <c r="L49" s="478">
        <f>'Ціни контур теплопостачання'!O96</f>
        <v>40</v>
      </c>
      <c r="M49" s="533" t="str">
        <f t="shared" si="5"/>
        <v>Pump, WILO  Yonos MAXO 40/0,5-16 PN 6/10</v>
      </c>
      <c r="N49" s="417">
        <v>4</v>
      </c>
      <c r="O49" s="480">
        <f t="shared" si="2"/>
        <v>1611.84</v>
      </c>
      <c r="P49" s="480">
        <f t="shared" si="3"/>
        <v>6447.36</v>
      </c>
      <c r="Q49" s="219"/>
      <c r="R49" s="290">
        <f t="shared" si="6"/>
        <v>1401.6</v>
      </c>
      <c r="S49">
        <v>1168</v>
      </c>
    </row>
    <row r="50" spans="3:19" ht="15">
      <c r="C50" s="506" t="str">
        <f t="shared" si="0"/>
        <v xml:space="preserve">Pump WILO </v>
      </c>
      <c r="F50" s="413" t="s">
        <v>732</v>
      </c>
      <c r="G50" s="481" t="s">
        <v>610</v>
      </c>
      <c r="H50" s="1436" t="s">
        <v>606</v>
      </c>
      <c r="I50" s="1436"/>
      <c r="J50" s="415" t="s">
        <v>119</v>
      </c>
      <c r="K50" s="417"/>
      <c r="L50" s="478">
        <f>'Ціни контур теплопостачання'!O97</f>
        <v>46</v>
      </c>
      <c r="M50" s="533" t="str">
        <f t="shared" si="5"/>
        <v>Pump, WILO  Yonos MAXO 50/0,5-12 PN 6/10</v>
      </c>
      <c r="N50" s="417">
        <v>4</v>
      </c>
      <c r="O50" s="480">
        <f t="shared" si="2"/>
        <v>1356.54</v>
      </c>
      <c r="P50" s="480">
        <f t="shared" si="3"/>
        <v>5426.16</v>
      </c>
      <c r="Q50" s="218"/>
      <c r="R50" s="290">
        <f t="shared" si="6"/>
        <v>1179.5999999999999</v>
      </c>
      <c r="S50">
        <v>983</v>
      </c>
    </row>
    <row r="51" spans="3:19" ht="15">
      <c r="C51" s="506" t="str">
        <f t="shared" si="0"/>
        <v xml:space="preserve">Pump WILO </v>
      </c>
      <c r="F51" s="413" t="s">
        <v>732</v>
      </c>
      <c r="G51" s="481" t="s">
        <v>610</v>
      </c>
      <c r="H51" s="1436" t="s">
        <v>606</v>
      </c>
      <c r="I51" s="1436"/>
      <c r="J51" s="415" t="s">
        <v>124</v>
      </c>
      <c r="K51" s="417"/>
      <c r="L51" s="478">
        <f>'Ціни контур теплопостачання'!O98</f>
        <v>16</v>
      </c>
      <c r="M51" s="533" t="str">
        <f t="shared" si="5"/>
        <v>Pump, WILO  Yonos MAXO 50/0,5-16 PN 6/10</v>
      </c>
      <c r="N51" s="417">
        <v>1</v>
      </c>
      <c r="O51" s="480">
        <f t="shared" si="2"/>
        <v>1824.36</v>
      </c>
      <c r="P51" s="480">
        <f t="shared" si="3"/>
        <v>1824.36</v>
      </c>
      <c r="Q51" s="218"/>
      <c r="R51" s="290">
        <f t="shared" si="6"/>
        <v>1586.3999999999999</v>
      </c>
      <c r="S51">
        <v>1322</v>
      </c>
    </row>
    <row r="52" spans="3:19" ht="15">
      <c r="C52" s="506" t="str">
        <f t="shared" si="0"/>
        <v xml:space="preserve">Pump WILO </v>
      </c>
      <c r="F52" s="413" t="s">
        <v>732</v>
      </c>
      <c r="G52" s="481" t="s">
        <v>610</v>
      </c>
      <c r="H52" s="1436" t="s">
        <v>606</v>
      </c>
      <c r="I52" s="1436"/>
      <c r="J52" s="415" t="s">
        <v>125</v>
      </c>
      <c r="K52" s="417"/>
      <c r="L52" s="478">
        <f>'Ціни контур теплопостачання'!O99</f>
        <v>2</v>
      </c>
      <c r="M52" s="533" t="str">
        <f t="shared" si="5"/>
        <v>Pump, WILO  Yonos MAXO 65/0,5-12 PN 6/10</v>
      </c>
      <c r="N52" s="417">
        <v>1</v>
      </c>
      <c r="O52" s="480">
        <f t="shared" si="2"/>
        <v>1651.86</v>
      </c>
      <c r="P52" s="480">
        <f t="shared" si="3"/>
        <v>1651.86</v>
      </c>
      <c r="Q52" s="218"/>
      <c r="R52" s="290">
        <f t="shared" si="6"/>
        <v>1436.3999999999999</v>
      </c>
      <c r="S52">
        <v>1197</v>
      </c>
    </row>
    <row r="53" spans="3:19" ht="15">
      <c r="C53" s="506" t="str">
        <f t="shared" si="0"/>
        <v xml:space="preserve">Pump WILO </v>
      </c>
      <c r="F53" s="413" t="s">
        <v>732</v>
      </c>
      <c r="G53" s="481" t="s">
        <v>610</v>
      </c>
      <c r="H53" s="1436" t="s">
        <v>606</v>
      </c>
      <c r="I53" s="1436"/>
      <c r="J53" s="415" t="s">
        <v>126</v>
      </c>
      <c r="K53" s="417"/>
      <c r="L53" s="478">
        <f>'Ціни контур теплопостачання'!O100</f>
        <v>6</v>
      </c>
      <c r="M53" s="533" t="str">
        <f t="shared" si="5"/>
        <v>Pump, WILO  Yonos MAXO 65/0,5-16 PN 6/10</v>
      </c>
      <c r="N53" s="417">
        <v>1</v>
      </c>
      <c r="O53" s="480">
        <f t="shared" si="2"/>
        <v>1883.7</v>
      </c>
      <c r="P53" s="480">
        <f t="shared" si="3"/>
        <v>1883.7</v>
      </c>
      <c r="Q53" s="218"/>
      <c r="R53" s="290">
        <f t="shared" si="6"/>
        <v>1638</v>
      </c>
      <c r="S53">
        <v>1365</v>
      </c>
    </row>
    <row r="54" spans="3:19" ht="15">
      <c r="C54" s="506" t="str">
        <f t="shared" si="0"/>
        <v xml:space="preserve">Pump WILO </v>
      </c>
      <c r="F54" s="413" t="s">
        <v>732</v>
      </c>
      <c r="G54" s="481" t="s">
        <v>610</v>
      </c>
      <c r="H54" s="1436" t="s">
        <v>606</v>
      </c>
      <c r="I54" s="1436"/>
      <c r="J54" s="415" t="s">
        <v>1096</v>
      </c>
      <c r="K54" s="417"/>
      <c r="L54" s="478">
        <f>'Ціни контур теплопостачання'!O101</f>
        <v>4</v>
      </c>
      <c r="M54" s="533" t="str">
        <f t="shared" si="5"/>
        <v>Pump, WILO  TOP-Z 25/6 3- PN 10</v>
      </c>
      <c r="N54" s="417">
        <v>1</v>
      </c>
      <c r="O54" s="480">
        <f t="shared" si="2"/>
        <v>481.62</v>
      </c>
      <c r="P54" s="480">
        <f t="shared" si="3"/>
        <v>481.62</v>
      </c>
      <c r="Q54" s="218"/>
      <c r="R54" s="290">
        <f t="shared" si="6"/>
        <v>418.8</v>
      </c>
      <c r="S54">
        <v>349</v>
      </c>
    </row>
    <row r="55" spans="3:19" ht="15">
      <c r="C55" s="506" t="str">
        <f t="shared" si="0"/>
        <v xml:space="preserve">Pump WILO </v>
      </c>
      <c r="F55" s="413" t="s">
        <v>732</v>
      </c>
      <c r="G55" s="481" t="s">
        <v>610</v>
      </c>
      <c r="H55" s="1436" t="s">
        <v>606</v>
      </c>
      <c r="I55" s="1436"/>
      <c r="J55" s="415" t="s">
        <v>1097</v>
      </c>
      <c r="K55" s="417"/>
      <c r="L55" s="478">
        <f>'Ціни контур теплопостачання'!O102</f>
        <v>83</v>
      </c>
      <c r="M55" s="533" t="str">
        <f t="shared" si="5"/>
        <v>Pump, WILO  TOP-Z 25/10 3- PN 10</v>
      </c>
      <c r="N55" s="417">
        <v>8</v>
      </c>
      <c r="O55" s="480">
        <f t="shared" si="2"/>
        <v>843.18</v>
      </c>
      <c r="P55" s="480">
        <f>N55*O55</f>
        <v>6745.44</v>
      </c>
      <c r="Q55" s="218"/>
      <c r="R55" s="290">
        <f t="shared" si="6"/>
        <v>733.19999999999993</v>
      </c>
      <c r="S55">
        <v>611</v>
      </c>
    </row>
    <row r="56" spans="3:19" ht="15">
      <c r="C56" s="506" t="str">
        <f t="shared" si="0"/>
        <v xml:space="preserve">Pump WILO </v>
      </c>
      <c r="F56" s="413" t="s">
        <v>732</v>
      </c>
      <c r="G56" s="481" t="s">
        <v>610</v>
      </c>
      <c r="H56" s="1436" t="s">
        <v>606</v>
      </c>
      <c r="I56" s="1436"/>
      <c r="J56" s="415" t="s">
        <v>1095</v>
      </c>
      <c r="K56" s="417"/>
      <c r="L56" s="478">
        <f>'Ціни контур теплопостачання'!O103</f>
        <v>1</v>
      </c>
      <c r="M56" s="533" t="str">
        <f t="shared" si="5"/>
        <v>Pump, WILO  TOP-Z 65/10 3- GG PN 6/10</v>
      </c>
      <c r="N56" s="417">
        <v>1</v>
      </c>
      <c r="O56" s="480">
        <f t="shared" si="2"/>
        <v>1798.1399999999999</v>
      </c>
      <c r="P56" s="480">
        <f>N56*O56</f>
        <v>1798.1399999999999</v>
      </c>
      <c r="Q56" s="218"/>
      <c r="R56" s="290">
        <f t="shared" si="6"/>
        <v>1563.6</v>
      </c>
      <c r="S56">
        <v>1303</v>
      </c>
    </row>
    <row r="57" spans="3:19" ht="15">
      <c r="C57" s="506" t="str">
        <f t="shared" si="0"/>
        <v xml:space="preserve">Pump WILO </v>
      </c>
      <c r="F57" s="413" t="s">
        <v>732</v>
      </c>
      <c r="G57" s="481" t="s">
        <v>610</v>
      </c>
      <c r="H57" s="1436" t="s">
        <v>606</v>
      </c>
      <c r="I57" s="1436"/>
      <c r="J57" s="415" t="s">
        <v>1098</v>
      </c>
      <c r="K57" s="417"/>
      <c r="L57" s="478">
        <f>'Ціни контур теплопостачання'!O104</f>
        <v>11</v>
      </c>
      <c r="M57" s="533" t="str">
        <f t="shared" si="5"/>
        <v>Pump, WILO  Star-Z 20/7 3- PN 10</v>
      </c>
      <c r="N57" s="417">
        <v>1</v>
      </c>
      <c r="O57" s="480">
        <f t="shared" si="2"/>
        <v>151.80000000000001</v>
      </c>
      <c r="P57" s="480">
        <f t="shared" si="3"/>
        <v>151.80000000000001</v>
      </c>
      <c r="Q57" s="218"/>
      <c r="R57" s="290">
        <f t="shared" si="6"/>
        <v>132</v>
      </c>
      <c r="S57" s="212">
        <v>110</v>
      </c>
    </row>
    <row r="58" spans="3:19" ht="15">
      <c r="C58" s="506" t="str">
        <f t="shared" si="0"/>
        <v xml:space="preserve">Flood pump  WILO </v>
      </c>
      <c r="F58" s="483" t="s">
        <v>740</v>
      </c>
      <c r="G58" s="482" t="s">
        <v>741</v>
      </c>
      <c r="H58" s="1435" t="s">
        <v>606</v>
      </c>
      <c r="I58" s="1435"/>
      <c r="J58" s="412" t="s">
        <v>1033</v>
      </c>
      <c r="K58" s="419"/>
      <c r="L58" s="479">
        <v>103</v>
      </c>
      <c r="M58" s="533" t="str">
        <f t="shared" si="5"/>
        <v>Flood pump , WILO  TМW32/8</v>
      </c>
      <c r="N58" s="419">
        <v>10</v>
      </c>
      <c r="O58" s="480">
        <f t="shared" si="2"/>
        <v>179.4</v>
      </c>
      <c r="P58" s="480">
        <f t="shared" si="3"/>
        <v>1794</v>
      </c>
      <c r="Q58" s="218"/>
      <c r="R58" s="290">
        <f t="shared" si="6"/>
        <v>156</v>
      </c>
      <c r="S58">
        <v>130</v>
      </c>
    </row>
    <row r="59" spans="3:19" ht="15">
      <c r="C59" s="506" t="str">
        <f t="shared" si="0"/>
        <v>Hot water flow meter, threaded with pulsed output  Apator</v>
      </c>
      <c r="D59">
        <v>616</v>
      </c>
      <c r="E59" s="113" t="s">
        <v>1117</v>
      </c>
      <c r="F59" s="484" t="s">
        <v>733</v>
      </c>
      <c r="G59" s="482" t="s">
        <v>37</v>
      </c>
      <c r="H59" s="1435" t="s">
        <v>714</v>
      </c>
      <c r="I59" s="1435"/>
      <c r="J59" s="418" t="s">
        <v>64</v>
      </c>
      <c r="K59" s="419">
        <v>20</v>
      </c>
      <c r="L59" s="479">
        <f>'Ціни контур теплопостачання'!AC63</f>
        <v>10</v>
      </c>
      <c r="M59" s="533" t="str">
        <f t="shared" ref="M59:M116" si="7">F59&amp;", "&amp;H59&amp;" "&amp;J59&amp;" Dn"&amp;K59</f>
        <v>Hot water flow meter, threaded with pulsed output , Apator js90-2.5NK Dn20</v>
      </c>
      <c r="N59" s="419">
        <v>1</v>
      </c>
      <c r="O59" s="480">
        <f t="shared" si="2"/>
        <v>34.145684999999993</v>
      </c>
      <c r="P59" s="480">
        <f t="shared" si="3"/>
        <v>34.145684999999993</v>
      </c>
      <c r="Q59" s="218"/>
      <c r="R59" s="290">
        <f>'Ціни контур теплопостачання'!AA63*1.25</f>
        <v>29.691899999999997</v>
      </c>
    </row>
    <row r="60" spans="3:19" ht="15">
      <c r="C60" s="506" t="str">
        <f t="shared" si="0"/>
        <v>Hot water flow meter, threaded with pulsed output  Apator</v>
      </c>
      <c r="F60" s="484" t="s">
        <v>733</v>
      </c>
      <c r="G60" s="482" t="s">
        <v>37</v>
      </c>
      <c r="H60" s="1435" t="s">
        <v>714</v>
      </c>
      <c r="I60" s="1435"/>
      <c r="J60" s="418" t="s">
        <v>65</v>
      </c>
      <c r="K60" s="419">
        <v>25</v>
      </c>
      <c r="L60" s="479">
        <f>'Ціни контур теплопостачання'!AC64</f>
        <v>23</v>
      </c>
      <c r="M60" s="533" t="str">
        <f t="shared" si="7"/>
        <v>Hot water flow meter, threaded with pulsed output , Apator js130-3.5NK Dn25</v>
      </c>
      <c r="N60" s="419">
        <v>2</v>
      </c>
      <c r="O60" s="480">
        <f t="shared" si="2"/>
        <v>129.26580749999999</v>
      </c>
      <c r="P60" s="480">
        <f t="shared" si="3"/>
        <v>258.53161499999999</v>
      </c>
      <c r="Q60" s="218"/>
      <c r="R60" s="290">
        <f>'Ціни контур теплопостачання'!AA64*1.25</f>
        <v>112.40505</v>
      </c>
    </row>
    <row r="61" spans="3:19" ht="15">
      <c r="C61" s="506" t="str">
        <f t="shared" si="0"/>
        <v>Threaded vibration damper VITECH</v>
      </c>
      <c r="D61">
        <v>705</v>
      </c>
      <c r="E61" s="113" t="s">
        <v>1122</v>
      </c>
      <c r="F61" s="484" t="s">
        <v>1041</v>
      </c>
      <c r="G61" s="482" t="s">
        <v>53</v>
      </c>
      <c r="H61" s="1440" t="s">
        <v>1285</v>
      </c>
      <c r="I61" s="1440"/>
      <c r="J61" s="418" t="s">
        <v>1286</v>
      </c>
      <c r="K61" s="419">
        <v>20</v>
      </c>
      <c r="L61" s="479">
        <f>'Ціни контур теплопостачання'!AC77</f>
        <v>71</v>
      </c>
      <c r="M61" s="533" t="str">
        <f t="shared" si="7"/>
        <v>Threaded vibration damper, VITECH V.I.T. АB-G Dn20</v>
      </c>
      <c r="N61" s="419">
        <v>4</v>
      </c>
      <c r="O61" s="480">
        <f t="shared" si="2"/>
        <v>19.751249999999995</v>
      </c>
      <c r="P61" s="480">
        <f t="shared" si="3"/>
        <v>79.004999999999981</v>
      </c>
      <c r="Q61" s="218"/>
      <c r="R61" s="290">
        <f>'Ціни контур теплопостачання'!AD77*1.5</f>
        <v>17.174999999999997</v>
      </c>
    </row>
    <row r="62" spans="3:19" ht="15">
      <c r="C62" s="506" t="str">
        <f t="shared" si="0"/>
        <v>Threaded vibration damper VITECH</v>
      </c>
      <c r="F62" s="484" t="s">
        <v>1041</v>
      </c>
      <c r="G62" s="482" t="s">
        <v>53</v>
      </c>
      <c r="H62" s="1440" t="s">
        <v>1285</v>
      </c>
      <c r="I62" s="1440"/>
      <c r="J62" s="418" t="s">
        <v>1286</v>
      </c>
      <c r="K62" s="419">
        <v>25</v>
      </c>
      <c r="L62" s="479">
        <f>'Ціни контур теплопостачання'!AC78</f>
        <v>41</v>
      </c>
      <c r="M62" s="533" t="str">
        <f t="shared" si="7"/>
        <v>Threaded vibration damper, VITECH V.I.T. АB-G Dn25</v>
      </c>
      <c r="N62" s="419">
        <v>2</v>
      </c>
      <c r="O62" s="480">
        <f t="shared" si="2"/>
        <v>19.751249999999995</v>
      </c>
      <c r="P62" s="480">
        <f t="shared" si="3"/>
        <v>39.502499999999991</v>
      </c>
      <c r="Q62" s="218"/>
      <c r="R62" s="290">
        <f>'Ціни контур теплопостачання'!AD78*1.5</f>
        <v>17.174999999999997</v>
      </c>
    </row>
    <row r="63" spans="3:19" ht="15">
      <c r="C63" s="506" t="str">
        <f t="shared" si="0"/>
        <v>Threaded vibration damper VITECH</v>
      </c>
      <c r="F63" s="484" t="s">
        <v>1041</v>
      </c>
      <c r="G63" s="482" t="s">
        <v>53</v>
      </c>
      <c r="H63" s="1440" t="s">
        <v>1285</v>
      </c>
      <c r="I63" s="1440"/>
      <c r="J63" s="418" t="s">
        <v>1286</v>
      </c>
      <c r="K63" s="419">
        <v>32</v>
      </c>
      <c r="L63" s="479">
        <f>'Ціни контур теплопостачання'!AC79</f>
        <v>194</v>
      </c>
      <c r="M63" s="533" t="str">
        <f t="shared" si="7"/>
        <v>Threaded vibration damper, VITECH V.I.T. АB-G Dn32</v>
      </c>
      <c r="N63" s="419">
        <v>10</v>
      </c>
      <c r="O63" s="480">
        <f t="shared" si="2"/>
        <v>22.683750000000003</v>
      </c>
      <c r="P63" s="480">
        <f t="shared" si="3"/>
        <v>226.83750000000003</v>
      </c>
      <c r="Q63" s="218"/>
      <c r="R63" s="290">
        <f>'Ціни контур теплопостачання'!AD79*1.5</f>
        <v>19.725000000000001</v>
      </c>
    </row>
    <row r="64" spans="3:19" ht="15">
      <c r="C64" s="506" t="str">
        <f t="shared" si="0"/>
        <v>Flanged vibration damper VITECH</v>
      </c>
      <c r="F64" s="484" t="s">
        <v>1042</v>
      </c>
      <c r="G64" s="482" t="s">
        <v>55</v>
      </c>
      <c r="H64" s="1440" t="s">
        <v>1285</v>
      </c>
      <c r="I64" s="1440"/>
      <c r="J64" s="418" t="s">
        <v>1287</v>
      </c>
      <c r="K64" s="419">
        <v>40</v>
      </c>
      <c r="L64" s="479">
        <f>'Ціни контур теплопостачання'!AC80</f>
        <v>183</v>
      </c>
      <c r="M64" s="533" t="str">
        <f t="shared" si="7"/>
        <v>Flanged vibration damper, VITECH V.I.T. АB-E Dn40</v>
      </c>
      <c r="N64" s="419">
        <v>9</v>
      </c>
      <c r="O64" s="480">
        <f t="shared" si="2"/>
        <v>28.997249999999994</v>
      </c>
      <c r="P64" s="480">
        <f t="shared" si="3"/>
        <v>260.97524999999996</v>
      </c>
      <c r="Q64" s="218"/>
      <c r="R64" s="290">
        <f>'Ціни контур теплопостачання'!AD80*1.5</f>
        <v>25.214999999999996</v>
      </c>
    </row>
    <row r="65" spans="3:18" ht="15">
      <c r="C65" s="506" t="str">
        <f t="shared" si="0"/>
        <v>Flanged vibration damper VITECH</v>
      </c>
      <c r="F65" s="484" t="s">
        <v>1042</v>
      </c>
      <c r="G65" s="482" t="s">
        <v>55</v>
      </c>
      <c r="H65" s="1440" t="s">
        <v>1285</v>
      </c>
      <c r="I65" s="1440"/>
      <c r="J65" s="418" t="s">
        <v>1287</v>
      </c>
      <c r="K65" s="419">
        <v>50</v>
      </c>
      <c r="L65" s="479">
        <f>'Ціни контур теплопостачання'!AC81</f>
        <v>215</v>
      </c>
      <c r="M65" s="533" t="str">
        <f t="shared" si="7"/>
        <v>Flanged vibration damper, VITECH V.I.T. АB-E Dn50</v>
      </c>
      <c r="N65" s="419">
        <v>11</v>
      </c>
      <c r="O65" s="480">
        <f t="shared" si="2"/>
        <v>35.535000000000004</v>
      </c>
      <c r="P65" s="480">
        <f t="shared" si="3"/>
        <v>390.88500000000005</v>
      </c>
      <c r="Q65" s="218"/>
      <c r="R65" s="290">
        <f>'Ціни контур теплопостачання'!AD81*1.5</f>
        <v>30.900000000000002</v>
      </c>
    </row>
    <row r="66" spans="3:18" ht="15">
      <c r="C66" s="506" t="str">
        <f t="shared" si="0"/>
        <v>Flanged vibration damper VITECH</v>
      </c>
      <c r="F66" s="484" t="s">
        <v>1042</v>
      </c>
      <c r="G66" s="482" t="s">
        <v>55</v>
      </c>
      <c r="H66" s="1440" t="s">
        <v>1285</v>
      </c>
      <c r="I66" s="1440"/>
      <c r="J66" s="418" t="s">
        <v>1287</v>
      </c>
      <c r="K66" s="419">
        <v>65</v>
      </c>
      <c r="L66" s="479">
        <f>'Ціни контур теплопостачання'!AC82</f>
        <v>28</v>
      </c>
      <c r="M66" s="533" t="str">
        <f t="shared" si="7"/>
        <v>Flanged vibration damper, VITECH V.I.T. АB-E Dn65</v>
      </c>
      <c r="N66" s="419">
        <v>1</v>
      </c>
      <c r="O66" s="480">
        <f t="shared" si="2"/>
        <v>45.419249999999998</v>
      </c>
      <c r="P66" s="480">
        <f t="shared" si="3"/>
        <v>45.419249999999998</v>
      </c>
      <c r="Q66" s="218"/>
      <c r="R66" s="290">
        <f>'Ціни контур теплопостачання'!AD82*1.5</f>
        <v>39.494999999999997</v>
      </c>
    </row>
    <row r="67" spans="3:18" ht="15">
      <c r="C67" s="506" t="str">
        <f t="shared" si="0"/>
        <v>Flanged vibration damper VITECH</v>
      </c>
      <c r="F67" s="484" t="s">
        <v>1042</v>
      </c>
      <c r="G67" s="482" t="s">
        <v>55</v>
      </c>
      <c r="H67" s="1440" t="s">
        <v>1285</v>
      </c>
      <c r="I67" s="1440"/>
      <c r="J67" s="418" t="s">
        <v>1287</v>
      </c>
      <c r="K67" s="419">
        <v>80</v>
      </c>
      <c r="L67" s="479">
        <f>'Ціни контур теплопостачання'!AC83</f>
        <v>13</v>
      </c>
      <c r="M67" s="533" t="str">
        <f t="shared" si="7"/>
        <v>Flanged vibration damper, VITECH V.I.T. АB-E Dn80</v>
      </c>
      <c r="N67" s="419">
        <v>1</v>
      </c>
      <c r="O67" s="480">
        <f t="shared" si="2"/>
        <v>54.1995</v>
      </c>
      <c r="P67" s="480">
        <f t="shared" si="3"/>
        <v>54.1995</v>
      </c>
      <c r="Q67" s="218"/>
      <c r="R67" s="290">
        <f>'Ціни контур теплопостачання'!AD83*1.5</f>
        <v>47.13</v>
      </c>
    </row>
    <row r="68" spans="3:18" ht="15">
      <c r="C68" s="506" t="str">
        <f t="shared" si="0"/>
        <v>Flanged vibration damper VITECH</v>
      </c>
      <c r="F68" s="484" t="s">
        <v>1042</v>
      </c>
      <c r="G68" s="482" t="s">
        <v>55</v>
      </c>
      <c r="H68" s="1440" t="s">
        <v>1285</v>
      </c>
      <c r="I68" s="1440"/>
      <c r="J68" s="418" t="s">
        <v>1287</v>
      </c>
      <c r="K68" s="419">
        <v>100</v>
      </c>
      <c r="L68" s="479">
        <f>'Ціни контур теплопостачання'!AC84</f>
        <v>1</v>
      </c>
      <c r="M68" s="533" t="str">
        <f t="shared" si="7"/>
        <v>Flanged vibration damper, VITECH V.I.T. АB-E Dn100</v>
      </c>
      <c r="N68" s="419">
        <v>1</v>
      </c>
      <c r="O68" s="480">
        <f t="shared" si="2"/>
        <v>70.017750000000007</v>
      </c>
      <c r="P68" s="480">
        <f t="shared" si="3"/>
        <v>70.017750000000007</v>
      </c>
      <c r="Q68" s="218"/>
      <c r="R68" s="290">
        <f>'Ціни контур теплопостачання'!AD84*1.5</f>
        <v>60.885000000000005</v>
      </c>
    </row>
    <row r="69" spans="3:18" ht="15">
      <c r="C69" s="506" t="str">
        <f t="shared" si="0"/>
        <v>Threaded ball valve EVOLUTION</v>
      </c>
      <c r="D69">
        <v>380</v>
      </c>
      <c r="E69" s="113" t="s">
        <v>1121</v>
      </c>
      <c r="F69" s="483" t="s">
        <v>730</v>
      </c>
      <c r="G69" s="482" t="s">
        <v>26</v>
      </c>
      <c r="H69" s="1435" t="s">
        <v>833</v>
      </c>
      <c r="I69" s="1435"/>
      <c r="J69" s="418" t="s">
        <v>834</v>
      </c>
      <c r="K69" s="419">
        <v>15</v>
      </c>
      <c r="L69" s="479">
        <f>'Ціни контур теплопостачання'!AC5+'Ціни контур теплопостачання'!AS20</f>
        <v>878</v>
      </c>
      <c r="M69" s="533" t="str">
        <f t="shared" si="7"/>
        <v>Threaded ball valve, EVOLUTION F.I.V. Dn15</v>
      </c>
      <c r="N69" s="419">
        <v>44</v>
      </c>
      <c r="O69" s="480">
        <f t="shared" si="2"/>
        <v>4.048</v>
      </c>
      <c r="P69" s="480">
        <f t="shared" si="3"/>
        <v>178.11199999999999</v>
      </c>
      <c r="Q69" s="218"/>
      <c r="R69" s="275">
        <f>'Ціни контур теплопостачання'!AV20</f>
        <v>3.52</v>
      </c>
    </row>
    <row r="70" spans="3:18" ht="15">
      <c r="C70" s="506" t="str">
        <f t="shared" si="0"/>
        <v>Threaded ball valve EVOLUTION</v>
      </c>
      <c r="F70" s="483" t="s">
        <v>730</v>
      </c>
      <c r="G70" s="482" t="s">
        <v>26</v>
      </c>
      <c r="H70" s="1435" t="s">
        <v>833</v>
      </c>
      <c r="I70" s="1435"/>
      <c r="J70" s="418" t="s">
        <v>834</v>
      </c>
      <c r="K70" s="419">
        <v>20</v>
      </c>
      <c r="L70" s="479">
        <f>'Ціни контур теплопостачання'!AC6+'Ціни контур теплопостачання'!AS21</f>
        <v>404</v>
      </c>
      <c r="M70" s="533" t="str">
        <f t="shared" si="7"/>
        <v>Threaded ball valve, EVOLUTION F.I.V. Dn20</v>
      </c>
      <c r="N70" s="419">
        <v>20</v>
      </c>
      <c r="O70" s="480">
        <f t="shared" si="2"/>
        <v>5.8765000000000001</v>
      </c>
      <c r="P70" s="480">
        <f t="shared" si="3"/>
        <v>117.53</v>
      </c>
      <c r="Q70" s="218"/>
      <c r="R70" s="275">
        <f>'Ціни контур теплопостачання'!AV21</f>
        <v>5.1100000000000003</v>
      </c>
    </row>
    <row r="71" spans="3:18" ht="15">
      <c r="C71" s="506" t="str">
        <f t="shared" si="0"/>
        <v>Threaded ball valve EVOLUTION</v>
      </c>
      <c r="F71" s="483" t="s">
        <v>730</v>
      </c>
      <c r="G71" s="482" t="s">
        <v>26</v>
      </c>
      <c r="H71" s="1435" t="s">
        <v>833</v>
      </c>
      <c r="I71" s="1435"/>
      <c r="J71" s="418" t="s">
        <v>834</v>
      </c>
      <c r="K71" s="419">
        <v>25</v>
      </c>
      <c r="L71" s="479">
        <f>'Ціни контур теплопостачання'!AC7+'Ціни контур теплопостачання'!AS22</f>
        <v>172</v>
      </c>
      <c r="M71" s="533" t="str">
        <f t="shared" si="7"/>
        <v>Threaded ball valve, EVOLUTION F.I.V. Dn25</v>
      </c>
      <c r="N71" s="419">
        <v>9</v>
      </c>
      <c r="O71" s="480">
        <f t="shared" si="2"/>
        <v>10.361499999999999</v>
      </c>
      <c r="P71" s="480">
        <f t="shared" si="3"/>
        <v>93.253500000000003</v>
      </c>
      <c r="Q71" s="218"/>
      <c r="R71" s="275">
        <f>'Ціни контур теплопостачання'!AV22</f>
        <v>9.01</v>
      </c>
    </row>
    <row r="72" spans="3:18" ht="15">
      <c r="C72" s="506" t="str">
        <f t="shared" si="0"/>
        <v>Threaded ball valve EVOLUTION</v>
      </c>
      <c r="F72" s="483" t="s">
        <v>730</v>
      </c>
      <c r="G72" s="482" t="s">
        <v>26</v>
      </c>
      <c r="H72" s="1435" t="s">
        <v>833</v>
      </c>
      <c r="I72" s="1435"/>
      <c r="J72" s="418" t="s">
        <v>834</v>
      </c>
      <c r="K72" s="419">
        <v>32</v>
      </c>
      <c r="L72" s="479">
        <f>'Ціни контур теплопостачання'!AC8+'Ціни контур теплопостачання'!AS23+103</f>
        <v>501</v>
      </c>
      <c r="M72" s="533" t="str">
        <f t="shared" si="7"/>
        <v>Threaded ball valve, EVOLUTION F.I.V. Dn32</v>
      </c>
      <c r="N72" s="419">
        <v>25</v>
      </c>
      <c r="O72" s="480">
        <f t="shared" si="2"/>
        <v>17.054500000000001</v>
      </c>
      <c r="P72" s="480">
        <f t="shared" si="3"/>
        <v>426.36250000000001</v>
      </c>
      <c r="Q72" s="218"/>
      <c r="R72" s="275">
        <f>'Ціни контур теплопостачання'!AV23</f>
        <v>14.83</v>
      </c>
    </row>
    <row r="73" spans="3:18" ht="15">
      <c r="C73" s="506" t="str">
        <f t="shared" si="0"/>
        <v>Cold water flow meter, threaded with pulsed output  Apator</v>
      </c>
      <c r="D73">
        <v>616</v>
      </c>
      <c r="E73" s="113" t="s">
        <v>1117</v>
      </c>
      <c r="F73" s="484" t="s">
        <v>742</v>
      </c>
      <c r="G73" s="482" t="s">
        <v>611</v>
      </c>
      <c r="H73" s="1435" t="s">
        <v>714</v>
      </c>
      <c r="I73" s="1435"/>
      <c r="J73" s="418" t="s">
        <v>86</v>
      </c>
      <c r="K73" s="419">
        <v>15</v>
      </c>
      <c r="L73" s="479">
        <f>'Ціни контур теплопостачання'!AS6</f>
        <v>11</v>
      </c>
      <c r="M73" s="533" t="str">
        <f t="shared" si="7"/>
        <v>Cold water flow meter, threaded with pulsed output , Apator js-1.5NK Dn15</v>
      </c>
      <c r="N73" s="419">
        <v>1</v>
      </c>
      <c r="O73" s="480">
        <f t="shared" si="2"/>
        <v>28.04824125</v>
      </c>
      <c r="P73" s="480">
        <f t="shared" si="3"/>
        <v>28.04824125</v>
      </c>
      <c r="Q73" s="218"/>
      <c r="R73" s="275">
        <f>'Ціни контур теплопостачання'!AQ6*1.25</f>
        <v>24.389775</v>
      </c>
    </row>
    <row r="74" spans="3:18" ht="15">
      <c r="C74" s="506" t="str">
        <f t="shared" si="0"/>
        <v>Cold water flow meter, threaded with pulsed output  Apator</v>
      </c>
      <c r="F74" s="484" t="s">
        <v>742</v>
      </c>
      <c r="G74" s="482" t="s">
        <v>611</v>
      </c>
      <c r="H74" s="1435" t="s">
        <v>714</v>
      </c>
      <c r="I74" s="1435"/>
      <c r="J74" s="418" t="s">
        <v>87</v>
      </c>
      <c r="K74" s="419">
        <v>20</v>
      </c>
      <c r="L74" s="479">
        <f>'Ціни контур теплопостачання'!AS7</f>
        <v>10</v>
      </c>
      <c r="M74" s="533" t="str">
        <f t="shared" si="7"/>
        <v>Cold water flow meter, threaded with pulsed output , Apator js-2.5NK Dn20</v>
      </c>
      <c r="N74" s="419">
        <v>1</v>
      </c>
      <c r="O74" s="480">
        <f t="shared" si="2"/>
        <v>34.145684999999993</v>
      </c>
      <c r="P74" s="480">
        <f t="shared" si="3"/>
        <v>34.145684999999993</v>
      </c>
      <c r="Q74" s="218"/>
      <c r="R74" s="275">
        <f>'Ціни контур теплопостачання'!AQ7*1.25</f>
        <v>29.691899999999997</v>
      </c>
    </row>
    <row r="75" spans="3:18" ht="15">
      <c r="C75" s="506" t="str">
        <f t="shared" si="0"/>
        <v>Cold water flow meter, threaded with pulsed output  Apator</v>
      </c>
      <c r="F75" s="484" t="s">
        <v>742</v>
      </c>
      <c r="G75" s="482" t="s">
        <v>611</v>
      </c>
      <c r="H75" s="1435" t="s">
        <v>714</v>
      </c>
      <c r="I75" s="1435"/>
      <c r="J75" s="418" t="s">
        <v>88</v>
      </c>
      <c r="K75" s="419">
        <v>25</v>
      </c>
      <c r="L75" s="479">
        <f>'Ціни контур теплопостачання'!AS8</f>
        <v>16</v>
      </c>
      <c r="M75" s="533" t="str">
        <f t="shared" si="7"/>
        <v>Cold water flow meter, threaded with pulsed output , Apator js-3.5NK Dn25</v>
      </c>
      <c r="N75" s="419">
        <v>1</v>
      </c>
      <c r="O75" s="480">
        <f t="shared" si="2"/>
        <v>109.75398749999999</v>
      </c>
      <c r="P75" s="480">
        <f t="shared" si="3"/>
        <v>109.75398749999999</v>
      </c>
      <c r="Q75" s="218"/>
      <c r="R75" s="275">
        <f>'Ціни контур теплопостачання'!AQ8*1.25</f>
        <v>95.438249999999996</v>
      </c>
    </row>
    <row r="76" spans="3:18" ht="15">
      <c r="C76" s="506" t="str">
        <f t="shared" si="0"/>
        <v>Cold water flow meter, threaded with pulsed output  Apator</v>
      </c>
      <c r="F76" s="484" t="s">
        <v>742</v>
      </c>
      <c r="G76" s="482" t="s">
        <v>611</v>
      </c>
      <c r="H76" s="1435" t="s">
        <v>714</v>
      </c>
      <c r="I76" s="1435"/>
      <c r="J76" s="418" t="s">
        <v>89</v>
      </c>
      <c r="K76" s="419">
        <v>32</v>
      </c>
      <c r="L76" s="479">
        <f>'Ціни контур теплопостачання'!AS9</f>
        <v>35</v>
      </c>
      <c r="M76" s="533" t="str">
        <f t="shared" si="7"/>
        <v>Cold water flow meter, threaded with pulsed output , Apator js-6NK Dn32</v>
      </c>
      <c r="N76" s="419">
        <v>3</v>
      </c>
      <c r="O76" s="480">
        <f t="shared" si="2"/>
        <v>123.16836375000001</v>
      </c>
      <c r="P76" s="480">
        <f t="shared" si="3"/>
        <v>369.50509125000002</v>
      </c>
      <c r="Q76" s="218"/>
      <c r="R76" s="275">
        <f>'Ціни контур теплопостачання'!AQ9*1.25</f>
        <v>107.10292500000001</v>
      </c>
    </row>
    <row r="77" spans="3:18" ht="15">
      <c r="C77" s="506" t="str">
        <f t="shared" si="0"/>
        <v>Cold water flow meter, flanger with pulsed output  Apator</v>
      </c>
      <c r="F77" s="484" t="s">
        <v>1283</v>
      </c>
      <c r="G77" s="482" t="s">
        <v>611</v>
      </c>
      <c r="H77" s="1435" t="s">
        <v>714</v>
      </c>
      <c r="I77" s="1435"/>
      <c r="J77" s="418" t="s">
        <v>857</v>
      </c>
      <c r="K77" s="419">
        <v>40</v>
      </c>
      <c r="L77" s="479">
        <f>'Ціни контур теплопостачання'!AS10</f>
        <v>25</v>
      </c>
      <c r="M77" s="533" t="str">
        <f t="shared" si="7"/>
        <v>Cold water flow meter, flanger with pulsed output , Apator MWN-40NK Dn40</v>
      </c>
      <c r="N77" s="419">
        <v>2</v>
      </c>
      <c r="O77" s="480">
        <f t="shared" si="2"/>
        <v>202.43513250000001</v>
      </c>
      <c r="P77" s="480">
        <f t="shared" si="3"/>
        <v>404.87026500000002</v>
      </c>
      <c r="Q77" s="218"/>
      <c r="R77" s="275">
        <f>'Ціни контур теплопостачання'!AQ10*1.25</f>
        <v>176.03055000000001</v>
      </c>
    </row>
    <row r="78" spans="3:18" ht="15">
      <c r="C78" s="506" t="str">
        <f t="shared" si="0"/>
        <v>Cold water flow meter, flanger with pulsed output  Apator</v>
      </c>
      <c r="F78" s="484" t="s">
        <v>1283</v>
      </c>
      <c r="G78" s="482" t="s">
        <v>611</v>
      </c>
      <c r="H78" s="1435" t="s">
        <v>714</v>
      </c>
      <c r="I78" s="1435"/>
      <c r="J78" s="418" t="s">
        <v>92</v>
      </c>
      <c r="K78" s="419">
        <v>65</v>
      </c>
      <c r="L78" s="479">
        <f>'Ціни контур теплопостачання'!AS12</f>
        <v>1</v>
      </c>
      <c r="M78" s="533" t="str">
        <f t="shared" si="7"/>
        <v>Cold water flow meter, flanger with pulsed output , Apator MWN-65NK Dn65</v>
      </c>
      <c r="N78" s="419">
        <v>1</v>
      </c>
      <c r="O78" s="480">
        <f t="shared" si="2"/>
        <v>224.38593</v>
      </c>
      <c r="P78" s="480">
        <f t="shared" si="3"/>
        <v>224.38593</v>
      </c>
      <c r="Q78" s="218"/>
      <c r="R78" s="275">
        <f>'Ціни контур теплопостачання'!AQ12*1.25</f>
        <v>195.1182</v>
      </c>
    </row>
    <row r="79" spans="3:18" ht="15">
      <c r="C79" s="506" t="str">
        <f t="shared" si="0"/>
        <v>Cold water flow meter, flanger with pulsed output  Apator</v>
      </c>
      <c r="F79" s="484" t="s">
        <v>1283</v>
      </c>
      <c r="G79" s="482" t="s">
        <v>611</v>
      </c>
      <c r="H79" s="1435" t="s">
        <v>714</v>
      </c>
      <c r="I79" s="1435"/>
      <c r="J79" s="418" t="s">
        <v>858</v>
      </c>
      <c r="K79" s="419">
        <v>80</v>
      </c>
      <c r="L79" s="479">
        <f>'Ціни контур теплопостачання'!AS13</f>
        <v>1</v>
      </c>
      <c r="M79" s="533" t="str">
        <f t="shared" si="7"/>
        <v>Cold water flow meter, flanger with pulsed output , Apator MWN-80NK Dn80</v>
      </c>
      <c r="N79" s="419">
        <v>1</v>
      </c>
      <c r="O79" s="480">
        <f t="shared" si="2"/>
        <v>234.14184000000003</v>
      </c>
      <c r="P79" s="480">
        <f t="shared" si="3"/>
        <v>234.14184000000003</v>
      </c>
      <c r="Q79" s="218"/>
      <c r="R79" s="275">
        <f>'Ціни контур теплопостачання'!AQ13*1.25</f>
        <v>203.60160000000002</v>
      </c>
    </row>
    <row r="80" spans="3:18" ht="15">
      <c r="C80" s="506" t="str">
        <f t="shared" si="0"/>
        <v>Flanged  ball valve, cast iron Duyar</v>
      </c>
      <c r="D80">
        <v>792</v>
      </c>
      <c r="E80" s="113" t="s">
        <v>1116</v>
      </c>
      <c r="F80" s="484" t="s">
        <v>752</v>
      </c>
      <c r="G80" s="482" t="s">
        <v>70</v>
      </c>
      <c r="H80" s="1440" t="s">
        <v>1100</v>
      </c>
      <c r="I80" s="1440"/>
      <c r="J80" s="418" t="s">
        <v>951</v>
      </c>
      <c r="K80" s="419">
        <v>40</v>
      </c>
      <c r="L80" s="479">
        <f>'Ціни контур теплопостачання'!AS24</f>
        <v>213</v>
      </c>
      <c r="M80" s="533" t="str">
        <f t="shared" si="7"/>
        <v>Flanged  ball valve, cast iron, Duyar T-0520 Dn40</v>
      </c>
      <c r="N80" s="419">
        <v>11</v>
      </c>
      <c r="O80" s="480">
        <f t="shared" si="2"/>
        <v>72.191249999999997</v>
      </c>
      <c r="P80" s="480">
        <f t="shared" si="3"/>
        <v>794.10374999999999</v>
      </c>
      <c r="Q80" s="218"/>
      <c r="R80" s="275">
        <f>69.75*0.9</f>
        <v>62.774999999999999</v>
      </c>
    </row>
    <row r="81" spans="3:19" ht="15">
      <c r="C81" s="506" t="str">
        <f t="shared" si="0"/>
        <v>Flanged ball valve, cast iron "Zavod gazovogo oborudovaniy Alfa-Gazkomplekt" LLC</v>
      </c>
      <c r="D81">
        <v>804</v>
      </c>
      <c r="E81" s="526" t="s">
        <v>1115</v>
      </c>
      <c r="F81" s="484" t="s">
        <v>753</v>
      </c>
      <c r="G81" s="482" t="s">
        <v>70</v>
      </c>
      <c r="H81" s="1435" t="s">
        <v>1099</v>
      </c>
      <c r="I81" s="1435"/>
      <c r="J81" s="418" t="s">
        <v>837</v>
      </c>
      <c r="K81" s="419">
        <v>50</v>
      </c>
      <c r="L81" s="479">
        <f>'Ціни контур теплопостачання'!AS25</f>
        <v>129</v>
      </c>
      <c r="M81" s="533" t="str">
        <f t="shared" si="7"/>
        <v>Flanged ball valve, cast iron, "Zavod gazovogo oborudovaniy Alfa-Gazkomplekt" LLC КЗК 41нж Dn50</v>
      </c>
      <c r="N81" s="419">
        <v>6</v>
      </c>
      <c r="O81" s="480">
        <f t="shared" si="2"/>
        <v>52.079984473001403</v>
      </c>
      <c r="P81" s="480">
        <f t="shared" si="3"/>
        <v>312.47990683800845</v>
      </c>
      <c r="Q81" s="218"/>
      <c r="R81" s="275">
        <f t="shared" ref="R81:R84" si="8">S81/$R$14</f>
        <v>45.286943020001218</v>
      </c>
      <c r="S81">
        <f>1108.33*1.2</f>
        <v>1329.9959999999999</v>
      </c>
    </row>
    <row r="82" spans="3:19" ht="15">
      <c r="C82" s="506" t="str">
        <f t="shared" si="0"/>
        <v>Flanged ball valve, cast iron "Zavod gazovogo oborudovaniy Alfa-Gazkomplekt" LLC</v>
      </c>
      <c r="F82" s="484" t="s">
        <v>753</v>
      </c>
      <c r="G82" s="482" t="s">
        <v>70</v>
      </c>
      <c r="H82" s="1435" t="s">
        <v>1099</v>
      </c>
      <c r="I82" s="1435"/>
      <c r="J82" s="418" t="s">
        <v>837</v>
      </c>
      <c r="K82" s="419">
        <v>65</v>
      </c>
      <c r="L82" s="479">
        <f>'Ціни контур теплопостачання'!AS26</f>
        <v>69</v>
      </c>
      <c r="M82" s="533" t="str">
        <f t="shared" si="7"/>
        <v>Flanged ball valve, cast iron, "Zavod gazovogo oborudovaniy Alfa-Gazkomplekt" LLC КЗК 41нж Dn65</v>
      </c>
      <c r="N82" s="419">
        <v>3</v>
      </c>
      <c r="O82" s="480">
        <f t="shared" si="2"/>
        <v>59.128424622550909</v>
      </c>
      <c r="P82" s="480">
        <f t="shared" si="3"/>
        <v>177.38527386765273</v>
      </c>
      <c r="Q82" s="218"/>
      <c r="R82" s="275">
        <f t="shared" si="8"/>
        <v>51.416021410913835</v>
      </c>
      <c r="S82">
        <f>1258.33*1.2</f>
        <v>1509.9959999999999</v>
      </c>
    </row>
    <row r="83" spans="3:19" ht="15">
      <c r="C83" s="506" t="str">
        <f t="shared" ref="C83:C143" si="9">F83&amp;" "&amp;H83</f>
        <v>Flanged ball valve, cast iron "Zavod gazovogo oborudovaniy Alfa-Gazkomplekt" LLC</v>
      </c>
      <c r="F83" s="484" t="s">
        <v>753</v>
      </c>
      <c r="G83" s="482" t="s">
        <v>70</v>
      </c>
      <c r="H83" s="1435" t="s">
        <v>1099</v>
      </c>
      <c r="I83" s="1435"/>
      <c r="J83" s="418" t="s">
        <v>837</v>
      </c>
      <c r="K83" s="419">
        <v>80</v>
      </c>
      <c r="L83" s="479">
        <f>'Ціни контур теплопостачання'!AS27</f>
        <v>18</v>
      </c>
      <c r="M83" s="533" t="str">
        <f t="shared" si="7"/>
        <v>Flanged ball valve, cast iron, "Zavod gazovogo oborudovaniy Alfa-Gazkomplekt" LLC КЗК 41нж Dn80</v>
      </c>
      <c r="N83" s="419">
        <v>1</v>
      </c>
      <c r="O83" s="480">
        <f t="shared" ref="O83:O143" si="10">R83+R83*$R$13</f>
        <v>93.979201993993499</v>
      </c>
      <c r="P83" s="480">
        <f t="shared" si="3"/>
        <v>93.979201993993499</v>
      </c>
      <c r="Q83" s="218"/>
      <c r="R83" s="275">
        <f t="shared" si="8"/>
        <v>81.721045212168264</v>
      </c>
      <c r="S83">
        <f>2000*1.2</f>
        <v>2400</v>
      </c>
    </row>
    <row r="84" spans="3:19" ht="15">
      <c r="C84" s="506" t="str">
        <f t="shared" si="9"/>
        <v>Flanged ball valve, cast iron "Zavod gazovogo oborudovaniy Alfa-Gazkomplekt" LLC</v>
      </c>
      <c r="F84" s="484" t="s">
        <v>753</v>
      </c>
      <c r="G84" s="482" t="s">
        <v>70</v>
      </c>
      <c r="H84" s="1435" t="s">
        <v>1099</v>
      </c>
      <c r="I84" s="1435"/>
      <c r="J84" s="418" t="s">
        <v>837</v>
      </c>
      <c r="K84" s="419">
        <v>100</v>
      </c>
      <c r="L84" s="479">
        <f>'Ціни контур теплопостачання'!AS28</f>
        <v>6</v>
      </c>
      <c r="M84" s="533" t="str">
        <f t="shared" si="7"/>
        <v>Flanged ball valve, cast iron, "Zavod gazovogo oborudovaniy Alfa-Gazkomplekt" LLC КЗК 41нж Dn100</v>
      </c>
      <c r="N84" s="419">
        <v>1</v>
      </c>
      <c r="O84" s="480">
        <f t="shared" si="10"/>
        <v>146.0591864669949</v>
      </c>
      <c r="P84" s="480">
        <f t="shared" si="3"/>
        <v>146.0591864669949</v>
      </c>
      <c r="Q84" s="218"/>
      <c r="R84" s="275">
        <f t="shared" si="8"/>
        <v>127.00798823216947</v>
      </c>
      <c r="S84">
        <f>3108.33*1.2</f>
        <v>3729.9959999999996</v>
      </c>
    </row>
    <row r="85" spans="3:19" ht="15">
      <c r="C85" s="506" t="str">
        <f t="shared" si="9"/>
        <v>Electromagnetic water treatment device EZV</v>
      </c>
      <c r="D85">
        <v>705</v>
      </c>
      <c r="E85" s="113" t="s">
        <v>1122</v>
      </c>
      <c r="F85" s="483" t="s">
        <v>747</v>
      </c>
      <c r="G85" s="482" t="s">
        <v>700</v>
      </c>
      <c r="H85" s="1435" t="s">
        <v>716</v>
      </c>
      <c r="I85" s="1435"/>
      <c r="J85" s="418" t="s">
        <v>76</v>
      </c>
      <c r="K85" s="419">
        <v>20</v>
      </c>
      <c r="L85" s="479">
        <f>'Ціни контур теплопостачання'!AS56</f>
        <v>7</v>
      </c>
      <c r="M85" s="533" t="str">
        <f>F85&amp;", "&amp;H85&amp;", "&amp;" Dn"&amp;K85</f>
        <v>Electromagnetic water treatment device, EZV,  Dn20</v>
      </c>
      <c r="N85" s="419">
        <v>1</v>
      </c>
      <c r="O85" s="480">
        <f t="shared" si="10"/>
        <v>179.6875</v>
      </c>
      <c r="P85" s="480">
        <f t="shared" si="3"/>
        <v>179.6875</v>
      </c>
      <c r="Q85" s="218"/>
      <c r="R85" s="275">
        <f>'Ціни контур теплопостачання'!AU56*1.25</f>
        <v>156.25</v>
      </c>
    </row>
    <row r="86" spans="3:19" ht="15">
      <c r="C86" s="506" t="str">
        <f t="shared" si="9"/>
        <v>Electromagnetic water treatment device EZV</v>
      </c>
      <c r="F86" s="483" t="s">
        <v>747</v>
      </c>
      <c r="G86" s="482" t="s">
        <v>700</v>
      </c>
      <c r="H86" s="1435" t="s">
        <v>716</v>
      </c>
      <c r="I86" s="1435"/>
      <c r="J86" s="418" t="s">
        <v>77</v>
      </c>
      <c r="K86" s="419">
        <v>25</v>
      </c>
      <c r="L86" s="479">
        <f>'Ціни контур теплопостачання'!AS57</f>
        <v>5</v>
      </c>
      <c r="M86" s="533" t="str">
        <f t="shared" ref="M86:M92" si="11">F86&amp;", "&amp;H86&amp;", "&amp;" Dn"&amp;K86</f>
        <v>Electromagnetic water treatment device, EZV,  Dn25</v>
      </c>
      <c r="N86" s="419">
        <v>1</v>
      </c>
      <c r="O86" s="480">
        <f t="shared" si="10"/>
        <v>222.8125</v>
      </c>
      <c r="P86" s="480">
        <f t="shared" ref="P86:P146" si="12">N86*O86</f>
        <v>222.8125</v>
      </c>
      <c r="Q86" s="218"/>
      <c r="R86" s="275">
        <f>'Ціни контур теплопостачання'!AU57*1.25</f>
        <v>193.75</v>
      </c>
    </row>
    <row r="87" spans="3:19" ht="15">
      <c r="C87" s="506" t="str">
        <f t="shared" si="9"/>
        <v>Electromagnetic water treatment device EZV</v>
      </c>
      <c r="F87" s="483" t="s">
        <v>747</v>
      </c>
      <c r="G87" s="482" t="s">
        <v>700</v>
      </c>
      <c r="H87" s="1435" t="s">
        <v>716</v>
      </c>
      <c r="I87" s="1435"/>
      <c r="J87" s="418" t="s">
        <v>78</v>
      </c>
      <c r="K87" s="419">
        <v>32</v>
      </c>
      <c r="L87" s="479">
        <f>'Ціни контур теплопостачання'!AS58</f>
        <v>22</v>
      </c>
      <c r="M87" s="533" t="str">
        <f t="shared" si="11"/>
        <v>Electromagnetic water treatment device, EZV,  Dn32</v>
      </c>
      <c r="N87" s="419">
        <v>1</v>
      </c>
      <c r="O87" s="480">
        <f t="shared" si="10"/>
        <v>273.125</v>
      </c>
      <c r="P87" s="480">
        <f t="shared" si="12"/>
        <v>273.125</v>
      </c>
      <c r="Q87" s="218"/>
      <c r="R87" s="275">
        <f>'Ціни контур теплопостачання'!AU58*1.25</f>
        <v>237.5</v>
      </c>
    </row>
    <row r="88" spans="3:19" ht="15">
      <c r="C88" s="506" t="str">
        <f t="shared" si="9"/>
        <v>Electromagnetic water treatment device EZV</v>
      </c>
      <c r="F88" s="483" t="s">
        <v>747</v>
      </c>
      <c r="G88" s="482" t="s">
        <v>700</v>
      </c>
      <c r="H88" s="1435" t="s">
        <v>716</v>
      </c>
      <c r="I88" s="1435"/>
      <c r="J88" s="418" t="s">
        <v>79</v>
      </c>
      <c r="K88" s="419">
        <v>40</v>
      </c>
      <c r="L88" s="479">
        <f>'Ціни контур теплопостачання'!AS59</f>
        <v>30</v>
      </c>
      <c r="M88" s="533" t="str">
        <f t="shared" si="11"/>
        <v>Electromagnetic water treatment device, EZV,  Dn40</v>
      </c>
      <c r="N88" s="419">
        <v>2</v>
      </c>
      <c r="O88" s="480">
        <f t="shared" si="10"/>
        <v>352.1875</v>
      </c>
      <c r="P88" s="480">
        <f t="shared" si="12"/>
        <v>704.375</v>
      </c>
      <c r="Q88" s="218"/>
      <c r="R88" s="275">
        <f>'Ціни контур теплопостачання'!AU59*1.25</f>
        <v>306.25</v>
      </c>
    </row>
    <row r="89" spans="3:19" ht="15">
      <c r="C89" s="506" t="str">
        <f t="shared" si="9"/>
        <v>Electromagnetic water treatment device EZV</v>
      </c>
      <c r="F89" s="483" t="s">
        <v>747</v>
      </c>
      <c r="G89" s="482" t="s">
        <v>700</v>
      </c>
      <c r="H89" s="1435" t="s">
        <v>716</v>
      </c>
      <c r="I89" s="1435"/>
      <c r="J89" s="418" t="s">
        <v>80</v>
      </c>
      <c r="K89" s="419">
        <v>50</v>
      </c>
      <c r="L89" s="479">
        <f>'Ціни контур теплопостачання'!AS60</f>
        <v>20</v>
      </c>
      <c r="M89" s="533" t="str">
        <f t="shared" si="11"/>
        <v>Electromagnetic water treatment device, EZV,  Dn50</v>
      </c>
      <c r="N89" s="419">
        <v>1</v>
      </c>
      <c r="O89" s="480">
        <f t="shared" si="10"/>
        <v>646.875</v>
      </c>
      <c r="P89" s="480">
        <f t="shared" si="12"/>
        <v>646.875</v>
      </c>
      <c r="Q89" s="218"/>
      <c r="R89" s="275">
        <f>'Ціни контур теплопостачання'!AU60*1.25</f>
        <v>562.5</v>
      </c>
    </row>
    <row r="90" spans="3:19" ht="15">
      <c r="C90" s="506" t="str">
        <f t="shared" si="9"/>
        <v>Electromagnetic water treatment device EZV</v>
      </c>
      <c r="F90" s="483" t="s">
        <v>747</v>
      </c>
      <c r="G90" s="482" t="s">
        <v>700</v>
      </c>
      <c r="H90" s="1435" t="s">
        <v>716</v>
      </c>
      <c r="I90" s="1435"/>
      <c r="J90" s="418" t="s">
        <v>609</v>
      </c>
      <c r="K90" s="419">
        <v>65</v>
      </c>
      <c r="L90" s="479">
        <f>'Ціни контур теплопостачання'!AS61</f>
        <v>11</v>
      </c>
      <c r="M90" s="533" t="str">
        <f t="shared" si="11"/>
        <v>Electromagnetic water treatment device, EZV,  Dn65</v>
      </c>
      <c r="N90" s="419">
        <v>1</v>
      </c>
      <c r="O90" s="480">
        <f t="shared" si="10"/>
        <v>776.25</v>
      </c>
      <c r="P90" s="480">
        <f t="shared" si="12"/>
        <v>776.25</v>
      </c>
      <c r="Q90" s="218"/>
      <c r="R90" s="275">
        <f>'Ціни контур теплопостачання'!AU61*1.25</f>
        <v>675</v>
      </c>
    </row>
    <row r="91" spans="3:19" ht="15">
      <c r="C91" s="506" t="str">
        <f t="shared" si="9"/>
        <v>Electromagnetic water treatment device EZV</v>
      </c>
      <c r="F91" s="483" t="s">
        <v>747</v>
      </c>
      <c r="G91" s="482" t="s">
        <v>700</v>
      </c>
      <c r="H91" s="1435" t="s">
        <v>716</v>
      </c>
      <c r="I91" s="1435"/>
      <c r="J91" s="418" t="s">
        <v>860</v>
      </c>
      <c r="K91" s="419">
        <v>80</v>
      </c>
      <c r="L91" s="479">
        <f>'Ціни контур теплопостачання'!AS62</f>
        <v>3</v>
      </c>
      <c r="M91" s="533" t="str">
        <f t="shared" si="11"/>
        <v>Electromagnetic water treatment device, EZV,  Dn80</v>
      </c>
      <c r="N91" s="419">
        <v>1</v>
      </c>
      <c r="O91" s="480">
        <f t="shared" si="10"/>
        <v>1423.125</v>
      </c>
      <c r="P91" s="480">
        <f t="shared" si="12"/>
        <v>1423.125</v>
      </c>
      <c r="Q91" s="218"/>
      <c r="R91" s="275">
        <f>'Ціни контур теплопостачання'!AU62*1.25</f>
        <v>1237.5</v>
      </c>
    </row>
    <row r="92" spans="3:19" ht="15">
      <c r="C92" s="506" t="str">
        <f t="shared" si="9"/>
        <v>Electromagnetic water treatment device EZV</v>
      </c>
      <c r="F92" s="483" t="s">
        <v>747</v>
      </c>
      <c r="G92" s="482" t="s">
        <v>700</v>
      </c>
      <c r="H92" s="1435" t="s">
        <v>716</v>
      </c>
      <c r="I92" s="1435"/>
      <c r="J92" s="418" t="s">
        <v>861</v>
      </c>
      <c r="K92" s="419">
        <v>100</v>
      </c>
      <c r="L92" s="479">
        <f>'Ціни контур теплопостачання'!AS63</f>
        <v>1</v>
      </c>
      <c r="M92" s="533" t="str">
        <f t="shared" si="11"/>
        <v>Electromagnetic water treatment device, EZV,  Dn100</v>
      </c>
      <c r="N92" s="419">
        <v>1</v>
      </c>
      <c r="O92" s="480">
        <f t="shared" si="10"/>
        <v>2192.1875</v>
      </c>
      <c r="P92" s="480">
        <f t="shared" si="12"/>
        <v>2192.1875</v>
      </c>
      <c r="Q92" s="218"/>
      <c r="R92" s="275">
        <f>'Ціни контур теплопостачання'!AU63*1.25</f>
        <v>1906.25</v>
      </c>
    </row>
    <row r="93" spans="3:19" ht="15">
      <c r="C93" s="506" t="str">
        <f t="shared" si="9"/>
        <v>Threaded balancing valve Zetkama</v>
      </c>
      <c r="D93">
        <v>616</v>
      </c>
      <c r="E93" s="113" t="s">
        <v>1117</v>
      </c>
      <c r="F93" s="483" t="s">
        <v>1043</v>
      </c>
      <c r="G93" s="482" t="s">
        <v>851</v>
      </c>
      <c r="H93" s="1435" t="s">
        <v>853</v>
      </c>
      <c r="I93" s="1435"/>
      <c r="J93" s="418" t="s">
        <v>854</v>
      </c>
      <c r="K93" s="419">
        <v>15</v>
      </c>
      <c r="L93" s="479">
        <f>'Ціни контур теплопостачання'!AS68</f>
        <v>6</v>
      </c>
      <c r="M93" s="533" t="str">
        <f t="shared" si="7"/>
        <v>Threaded balancing valve, Zetkama 221H Dn15</v>
      </c>
      <c r="N93" s="419">
        <v>1</v>
      </c>
      <c r="O93" s="480">
        <f t="shared" si="10"/>
        <v>37.420999999999999</v>
      </c>
      <c r="P93" s="480">
        <f t="shared" si="12"/>
        <v>37.420999999999999</v>
      </c>
      <c r="Q93" s="218"/>
      <c r="R93" s="275">
        <f>'Ціни контур теплопостачання'!AU68</f>
        <v>32.54</v>
      </c>
    </row>
    <row r="94" spans="3:19" ht="15">
      <c r="C94" s="506" t="str">
        <f t="shared" si="9"/>
        <v>Threaded balancing valve Zetkama</v>
      </c>
      <c r="F94" s="483" t="s">
        <v>1043</v>
      </c>
      <c r="G94" s="482" t="s">
        <v>851</v>
      </c>
      <c r="H94" s="1435" t="s">
        <v>853</v>
      </c>
      <c r="I94" s="1435"/>
      <c r="J94" s="418" t="s">
        <v>854</v>
      </c>
      <c r="K94" s="419">
        <v>20</v>
      </c>
      <c r="L94" s="479">
        <f>'Ціни контур теплопостачання'!AS69</f>
        <v>14</v>
      </c>
      <c r="M94" s="533" t="str">
        <f t="shared" si="7"/>
        <v>Threaded balancing valve, Zetkama 221H Dn20</v>
      </c>
      <c r="N94" s="419">
        <v>1</v>
      </c>
      <c r="O94" s="480">
        <f t="shared" si="10"/>
        <v>41.238999999999997</v>
      </c>
      <c r="P94" s="480">
        <f t="shared" si="12"/>
        <v>41.238999999999997</v>
      </c>
      <c r="Q94" s="218"/>
      <c r="R94" s="275">
        <f>'Ціни контур теплопостачання'!AU69</f>
        <v>35.86</v>
      </c>
    </row>
    <row r="95" spans="3:19" ht="15">
      <c r="C95" s="506" t="str">
        <f t="shared" si="9"/>
        <v>Threaded balancing valve Zetkama</v>
      </c>
      <c r="F95" s="483" t="s">
        <v>1043</v>
      </c>
      <c r="G95" s="482" t="s">
        <v>851</v>
      </c>
      <c r="H95" s="1435" t="s">
        <v>853</v>
      </c>
      <c r="I95" s="1435"/>
      <c r="J95" s="418" t="s">
        <v>854</v>
      </c>
      <c r="K95" s="419">
        <v>25</v>
      </c>
      <c r="L95" s="479">
        <f>'Ціни контур теплопостачання'!AS70</f>
        <v>70</v>
      </c>
      <c r="M95" s="533" t="str">
        <f t="shared" si="7"/>
        <v>Threaded balancing valve, Zetkama 221H Dn25</v>
      </c>
      <c r="N95" s="419">
        <v>4</v>
      </c>
      <c r="O95" s="480">
        <f t="shared" si="10"/>
        <v>43.527500000000003</v>
      </c>
      <c r="P95" s="480">
        <f t="shared" si="12"/>
        <v>174.11</v>
      </c>
      <c r="Q95" s="218"/>
      <c r="R95" s="275">
        <f>'Ціни контур теплопостачання'!AU70</f>
        <v>37.85</v>
      </c>
    </row>
    <row r="96" spans="3:19" ht="15">
      <c r="C96" s="506" t="str">
        <f t="shared" si="9"/>
        <v>Threaded balancing valve Zetkama</v>
      </c>
      <c r="F96" s="483" t="s">
        <v>1043</v>
      </c>
      <c r="G96" s="482" t="s">
        <v>851</v>
      </c>
      <c r="H96" s="1435" t="s">
        <v>853</v>
      </c>
      <c r="I96" s="1435"/>
      <c r="J96" s="418" t="s">
        <v>854</v>
      </c>
      <c r="K96" s="419">
        <v>32</v>
      </c>
      <c r="L96" s="479">
        <f>'Ціни контур теплопостачання'!AS71</f>
        <v>136</v>
      </c>
      <c r="M96" s="533" t="str">
        <f t="shared" si="7"/>
        <v>Threaded balancing valve, Zetkama 221H Dn32</v>
      </c>
      <c r="N96" s="419">
        <v>7</v>
      </c>
      <c r="O96" s="480">
        <f t="shared" si="10"/>
        <v>61.087999999999994</v>
      </c>
      <c r="P96" s="480">
        <f t="shared" si="12"/>
        <v>427.61599999999999</v>
      </c>
      <c r="Q96" s="218"/>
      <c r="R96" s="275">
        <f>'Ціни контур теплопостачання'!AU71</f>
        <v>53.12</v>
      </c>
    </row>
    <row r="97" spans="3:19" ht="15">
      <c r="C97" s="506" t="str">
        <f t="shared" si="9"/>
        <v>Flanged balancing valve Zetkama</v>
      </c>
      <c r="D97">
        <v>616</v>
      </c>
      <c r="E97" s="113" t="s">
        <v>1117</v>
      </c>
      <c r="F97" s="483" t="s">
        <v>1044</v>
      </c>
      <c r="G97" s="482" t="s">
        <v>852</v>
      </c>
      <c r="H97" s="1435" t="s">
        <v>853</v>
      </c>
      <c r="I97" s="1435"/>
      <c r="J97" s="418" t="s">
        <v>1045</v>
      </c>
      <c r="K97" s="419">
        <v>40</v>
      </c>
      <c r="L97" s="479">
        <f>'Ціни контур теплопостачання'!AS72</f>
        <v>28</v>
      </c>
      <c r="M97" s="533" t="str">
        <f t="shared" si="7"/>
        <v>Flanged balancing valve, Zetkama 447 Dn40</v>
      </c>
      <c r="N97" s="419">
        <v>1</v>
      </c>
      <c r="O97" s="480">
        <f t="shared" si="10"/>
        <v>71.012500000000003</v>
      </c>
      <c r="P97" s="480">
        <f t="shared" si="12"/>
        <v>71.012500000000003</v>
      </c>
      <c r="Q97" s="218"/>
      <c r="R97" s="275">
        <f>'Ціни контур теплопостачання'!AU72</f>
        <v>61.75</v>
      </c>
    </row>
    <row r="98" spans="3:19" ht="15">
      <c r="C98" s="506" t="str">
        <f t="shared" si="9"/>
        <v>Heat meter  AXIS</v>
      </c>
      <c r="D98">
        <v>440</v>
      </c>
      <c r="E98" s="113" t="s">
        <v>1124</v>
      </c>
      <c r="F98" s="420" t="s">
        <v>726</v>
      </c>
      <c r="G98" s="482" t="s">
        <v>698</v>
      </c>
      <c r="H98" s="1435" t="s">
        <v>699</v>
      </c>
      <c r="I98" s="1435"/>
      <c r="J98" s="412" t="s">
        <v>354</v>
      </c>
      <c r="K98" s="419">
        <v>15</v>
      </c>
      <c r="L98" s="479">
        <f>'Ціни контур мережний'!O5</f>
        <v>12</v>
      </c>
      <c r="M98" s="533" t="str">
        <f t="shared" si="7"/>
        <v>Heat meter , AXIS SKS-3-К6-2-0-49-00-00-00-00-4-3-1-02-0 Dn15</v>
      </c>
      <c r="N98" s="419">
        <v>1</v>
      </c>
      <c r="O98" s="480">
        <f t="shared" si="10"/>
        <v>425.01239999999996</v>
      </c>
      <c r="P98" s="480">
        <f t="shared" si="12"/>
        <v>425.01239999999996</v>
      </c>
      <c r="Q98" s="218"/>
      <c r="R98" s="275">
        <f>'Ціни контур мережний'!N5*1.5</f>
        <v>369.57599999999996</v>
      </c>
    </row>
    <row r="99" spans="3:19" ht="15">
      <c r="C99" s="506" t="str">
        <f t="shared" si="9"/>
        <v>Heat meter  AXIS</v>
      </c>
      <c r="F99" s="420" t="s">
        <v>726</v>
      </c>
      <c r="G99" s="482" t="s">
        <v>698</v>
      </c>
      <c r="H99" s="1435" t="s">
        <v>699</v>
      </c>
      <c r="I99" s="1435"/>
      <c r="J99" s="412" t="s">
        <v>356</v>
      </c>
      <c r="K99" s="419">
        <v>20</v>
      </c>
      <c r="L99" s="479">
        <f>'Ціни контур мережний'!O6</f>
        <v>8</v>
      </c>
      <c r="M99" s="533" t="str">
        <f t="shared" si="7"/>
        <v>Heat meter , AXIS SKS-3-К6-2-0-51-00-00-00-00-4-3-1-02-0 Dn20</v>
      </c>
      <c r="N99" s="419">
        <v>1</v>
      </c>
      <c r="O99" s="480">
        <f t="shared" si="10"/>
        <v>478.74959999999999</v>
      </c>
      <c r="P99" s="480">
        <f t="shared" si="12"/>
        <v>478.74959999999999</v>
      </c>
      <c r="Q99" s="218"/>
      <c r="R99" s="275">
        <f>'Ціни контур мережний'!N6*1.5</f>
        <v>416.30399999999997</v>
      </c>
    </row>
    <row r="100" spans="3:19" ht="15">
      <c r="C100" s="506" t="str">
        <f t="shared" si="9"/>
        <v>Heat meter  AXIS</v>
      </c>
      <c r="F100" s="420" t="s">
        <v>726</v>
      </c>
      <c r="G100" s="482" t="s">
        <v>698</v>
      </c>
      <c r="H100" s="1435" t="s">
        <v>699</v>
      </c>
      <c r="I100" s="1435"/>
      <c r="J100" s="412" t="s">
        <v>357</v>
      </c>
      <c r="K100" s="419">
        <v>25</v>
      </c>
      <c r="L100" s="479">
        <f>'Ціни контур мережний'!O7</f>
        <v>17</v>
      </c>
      <c r="M100" s="533" t="str">
        <f t="shared" si="7"/>
        <v>Heat meter , AXIS SKS-3-К6-2-0-17-00-00-00-00-4-3-1-02-0 Dn25</v>
      </c>
      <c r="N100" s="419">
        <v>2</v>
      </c>
      <c r="O100" s="480">
        <f t="shared" si="10"/>
        <v>588.6665999999999</v>
      </c>
      <c r="P100" s="480">
        <f t="shared" si="12"/>
        <v>1177.3331999999998</v>
      </c>
      <c r="Q100" s="218"/>
      <c r="R100" s="275">
        <f>'Ціни контур мережний'!N7*1.5</f>
        <v>511.88399999999996</v>
      </c>
    </row>
    <row r="101" spans="3:19" ht="15">
      <c r="C101" s="506" t="str">
        <f t="shared" si="9"/>
        <v>Heat meter  AXIS</v>
      </c>
      <c r="F101" s="420" t="s">
        <v>726</v>
      </c>
      <c r="G101" s="482" t="s">
        <v>698</v>
      </c>
      <c r="H101" s="1435" t="s">
        <v>699</v>
      </c>
      <c r="I101" s="1435"/>
      <c r="J101" s="412" t="s">
        <v>358</v>
      </c>
      <c r="K101" s="419">
        <v>25</v>
      </c>
      <c r="L101" s="479">
        <f>'Ціни контур мережний'!O8</f>
        <v>36</v>
      </c>
      <c r="M101" s="533" t="str">
        <f t="shared" si="7"/>
        <v>Heat meter , AXIS SKS-3-К6-2-0-18-00-00-00-00-4-3-1-02-0 Dn25</v>
      </c>
      <c r="N101" s="419">
        <v>3</v>
      </c>
      <c r="O101" s="480">
        <f t="shared" si="10"/>
        <v>588.6665999999999</v>
      </c>
      <c r="P101" s="480">
        <f t="shared" si="12"/>
        <v>1765.9997999999996</v>
      </c>
      <c r="Q101" s="218"/>
      <c r="R101" s="275">
        <f>'Ціни контур мережний'!N8*1.5</f>
        <v>511.88399999999996</v>
      </c>
    </row>
    <row r="102" spans="3:19" ht="15">
      <c r="C102" s="506" t="str">
        <f t="shared" si="9"/>
        <v>Heat meter  AXIS</v>
      </c>
      <c r="F102" s="420" t="s">
        <v>726</v>
      </c>
      <c r="G102" s="482" t="s">
        <v>698</v>
      </c>
      <c r="H102" s="1435" t="s">
        <v>699</v>
      </c>
      <c r="I102" s="1435"/>
      <c r="J102" s="412" t="s">
        <v>359</v>
      </c>
      <c r="K102" s="419">
        <v>40</v>
      </c>
      <c r="L102" s="479">
        <f>'Ціни контур мережний'!O9</f>
        <v>39</v>
      </c>
      <c r="M102" s="533" t="str">
        <f t="shared" si="7"/>
        <v>Heat meter , AXIS SKS-3-К6-2-0-19-00-00-00-00-4-3-1-02-0 Dn40</v>
      </c>
      <c r="N102" s="419">
        <v>4</v>
      </c>
      <c r="O102" s="480">
        <f t="shared" si="10"/>
        <v>647.28899999999987</v>
      </c>
      <c r="P102" s="480">
        <f t="shared" si="12"/>
        <v>2589.1559999999995</v>
      </c>
      <c r="Q102" s="218"/>
      <c r="R102" s="275">
        <f>'Ціни контур мережний'!N9*1.5</f>
        <v>562.8599999999999</v>
      </c>
    </row>
    <row r="103" spans="3:19" ht="15">
      <c r="C103" s="506" t="str">
        <f t="shared" si="9"/>
        <v>Heat meter  AXIS</v>
      </c>
      <c r="F103" s="420" t="s">
        <v>726</v>
      </c>
      <c r="G103" s="482" t="s">
        <v>698</v>
      </c>
      <c r="H103" s="1435" t="s">
        <v>699</v>
      </c>
      <c r="I103" s="1435"/>
      <c r="J103" s="412" t="s">
        <v>360</v>
      </c>
      <c r="K103" s="419">
        <v>50</v>
      </c>
      <c r="L103" s="479">
        <f>'Ціни контур мережний'!O10</f>
        <v>13</v>
      </c>
      <c r="M103" s="533" t="str">
        <f t="shared" si="7"/>
        <v>Heat meter , AXIS SKS-3-К6-2-0-20-00-00-00-00-4-3-1-02-0 Dn50</v>
      </c>
      <c r="N103" s="419">
        <v>1</v>
      </c>
      <c r="O103" s="480">
        <f t="shared" si="10"/>
        <v>632.63339999999994</v>
      </c>
      <c r="P103" s="480">
        <f t="shared" si="12"/>
        <v>632.63339999999994</v>
      </c>
      <c r="Q103" s="218"/>
      <c r="R103" s="275">
        <f>'Ціни контур мережний'!N10*1.5</f>
        <v>550.11599999999999</v>
      </c>
    </row>
    <row r="104" spans="3:19" ht="15">
      <c r="C104" s="506" t="str">
        <f t="shared" si="9"/>
        <v>Heat meter  AXIS</v>
      </c>
      <c r="F104" s="420" t="s">
        <v>726</v>
      </c>
      <c r="G104" s="482" t="s">
        <v>698</v>
      </c>
      <c r="H104" s="1435" t="s">
        <v>699</v>
      </c>
      <c r="I104" s="1435"/>
      <c r="J104" s="412" t="s">
        <v>361</v>
      </c>
      <c r="K104" s="419">
        <v>65</v>
      </c>
      <c r="L104" s="479">
        <f>'Ціни контур мережний'!O11</f>
        <v>7</v>
      </c>
      <c r="M104" s="533" t="str">
        <f t="shared" si="7"/>
        <v>Heat meter , AXIS SKS-3-К6-2-0-21-00-00-00-00-4-3-1-02-0 Dn65</v>
      </c>
      <c r="N104" s="419">
        <v>1</v>
      </c>
      <c r="O104" s="480">
        <f t="shared" si="10"/>
        <v>1008.7937999999999</v>
      </c>
      <c r="P104" s="480">
        <f t="shared" si="12"/>
        <v>1008.7937999999999</v>
      </c>
      <c r="Q104" s="218"/>
      <c r="R104" s="275">
        <f>'Ціни контур мережний'!N11*1.5</f>
        <v>877.21199999999999</v>
      </c>
    </row>
    <row r="105" spans="3:19" ht="15">
      <c r="C105" s="506" t="str">
        <f t="shared" si="9"/>
        <v>Heat meter  AXIS</v>
      </c>
      <c r="F105" s="420" t="s">
        <v>726</v>
      </c>
      <c r="G105" s="482" t="s">
        <v>698</v>
      </c>
      <c r="H105" s="1435" t="s">
        <v>699</v>
      </c>
      <c r="I105" s="1435"/>
      <c r="J105" s="412" t="s">
        <v>362</v>
      </c>
      <c r="K105" s="419">
        <v>80</v>
      </c>
      <c r="L105" s="479">
        <f>'Ціни контур мережний'!O12</f>
        <v>1</v>
      </c>
      <c r="M105" s="533" t="str">
        <f t="shared" si="7"/>
        <v>Heat meter , AXIS SKS-3-К6-2-0-23-00-00-00-00-4-3-1-02-0 Dn80</v>
      </c>
      <c r="N105" s="419">
        <v>1</v>
      </c>
      <c r="O105" s="480">
        <f t="shared" si="10"/>
        <v>1096.7274</v>
      </c>
      <c r="P105" s="480">
        <f t="shared" si="12"/>
        <v>1096.7274</v>
      </c>
      <c r="Q105" s="218"/>
      <c r="R105" s="275">
        <f>'Ціни контур мережний'!N12*1.5</f>
        <v>953.67599999999993</v>
      </c>
      <c r="S105" s="184"/>
    </row>
    <row r="106" spans="3:19" ht="15">
      <c r="C106" s="506" t="str">
        <f t="shared" si="9"/>
        <v>Two-way control valve, pressure balanced, Кvs = 0,63 Danfoss</v>
      </c>
      <c r="D106">
        <v>208</v>
      </c>
      <c r="E106" s="113" t="s">
        <v>1123</v>
      </c>
      <c r="F106" s="483" t="s">
        <v>1046</v>
      </c>
      <c r="G106" s="482" t="s">
        <v>1051</v>
      </c>
      <c r="H106" s="1435" t="s">
        <v>647</v>
      </c>
      <c r="I106" s="1435"/>
      <c r="J106" s="418" t="s">
        <v>45</v>
      </c>
      <c r="K106" s="419">
        <v>15</v>
      </c>
      <c r="L106" s="479">
        <f>'Ціни контур мережний'!AD83</f>
        <v>2</v>
      </c>
      <c r="M106" s="533" t="str">
        <f t="shared" si="7"/>
        <v>Two-way control valve, pressure balanced, Кvs = 0,63, Danfoss VB2 Dn15</v>
      </c>
      <c r="N106" s="419">
        <v>1</v>
      </c>
      <c r="O106" s="480">
        <f t="shared" si="10"/>
        <v>300.2785870431282</v>
      </c>
      <c r="P106" s="480">
        <f t="shared" si="12"/>
        <v>300.2785870431282</v>
      </c>
      <c r="Q106" s="218"/>
      <c r="R106" s="275">
        <f t="shared" ref="R106:R115" si="13">S106/$R$14</f>
        <v>261.11181482011148</v>
      </c>
      <c r="S106" s="184">
        <f>'Ціни контур мережний'!AA83*1.2</f>
        <v>7668.3839999999991</v>
      </c>
    </row>
    <row r="107" spans="3:19" ht="15">
      <c r="C107" s="506" t="str">
        <f t="shared" si="9"/>
        <v>Two-way control valve, pressure balanced, Кvs = 1,0 Danfoss</v>
      </c>
      <c r="F107" s="483" t="s">
        <v>1047</v>
      </c>
      <c r="G107" s="482" t="s">
        <v>1052</v>
      </c>
      <c r="H107" s="1435" t="s">
        <v>647</v>
      </c>
      <c r="I107" s="1435"/>
      <c r="J107" s="418" t="s">
        <v>45</v>
      </c>
      <c r="K107" s="419">
        <v>15</v>
      </c>
      <c r="L107" s="479">
        <f>'Ціни контур мережний'!AD84</f>
        <v>2</v>
      </c>
      <c r="M107" s="533" t="str">
        <f t="shared" si="7"/>
        <v>Two-way control valve, pressure balanced, Кvs = 1,0, Danfoss VB2 Dn15</v>
      </c>
      <c r="N107" s="419">
        <v>1</v>
      </c>
      <c r="O107" s="480">
        <f t="shared" si="10"/>
        <v>300.2785870431282</v>
      </c>
      <c r="P107" s="480">
        <f t="shared" si="12"/>
        <v>300.2785870431282</v>
      </c>
      <c r="Q107" s="218"/>
      <c r="R107" s="275">
        <f t="shared" si="13"/>
        <v>261.11181482011148</v>
      </c>
      <c r="S107" s="184">
        <f>'Ціни контур мережний'!AA84*1.2</f>
        <v>7668.3839999999991</v>
      </c>
    </row>
    <row r="108" spans="3:19" ht="15">
      <c r="C108" s="506" t="str">
        <f t="shared" si="9"/>
        <v>Two-way control valve, pressure balanced, Кvs = 1,6 Danfoss</v>
      </c>
      <c r="F108" s="483" t="s">
        <v>1048</v>
      </c>
      <c r="G108" s="482" t="s">
        <v>1053</v>
      </c>
      <c r="H108" s="1435" t="s">
        <v>647</v>
      </c>
      <c r="I108" s="1435"/>
      <c r="J108" s="418" t="s">
        <v>45</v>
      </c>
      <c r="K108" s="419">
        <v>15</v>
      </c>
      <c r="L108" s="479">
        <f>'Ціни контур мережний'!AD85</f>
        <v>10</v>
      </c>
      <c r="M108" s="533" t="str">
        <f t="shared" si="7"/>
        <v>Two-way control valve, pressure balanced, Кvs = 1,6, Danfoss VB2 Dn15</v>
      </c>
      <c r="N108" s="419">
        <v>1</v>
      </c>
      <c r="O108" s="480">
        <f t="shared" si="10"/>
        <v>300.2785870431282</v>
      </c>
      <c r="P108" s="480">
        <f t="shared" si="12"/>
        <v>300.2785870431282</v>
      </c>
      <c r="Q108" s="218"/>
      <c r="R108" s="275">
        <f t="shared" si="13"/>
        <v>261.11181482011148</v>
      </c>
      <c r="S108" s="184">
        <f>'Ціни контур мережний'!AA85*1.2</f>
        <v>7668.3839999999991</v>
      </c>
    </row>
    <row r="109" spans="3:19" ht="15">
      <c r="C109" s="506" t="str">
        <f t="shared" si="9"/>
        <v>Two-way control valve, pressure balanced, Кvs = 2,5 Danfoss</v>
      </c>
      <c r="F109" s="483" t="s">
        <v>1049</v>
      </c>
      <c r="G109" s="482" t="s">
        <v>1054</v>
      </c>
      <c r="H109" s="1435" t="s">
        <v>647</v>
      </c>
      <c r="I109" s="1435"/>
      <c r="J109" s="418" t="s">
        <v>45</v>
      </c>
      <c r="K109" s="419">
        <v>15</v>
      </c>
      <c r="L109" s="479">
        <f>'Ціни контур мережний'!AD86</f>
        <v>4</v>
      </c>
      <c r="M109" s="533" t="str">
        <f t="shared" si="7"/>
        <v>Two-way control valve, pressure balanced, Кvs = 2,5, Danfoss VB2 Dn15</v>
      </c>
      <c r="N109" s="419">
        <v>1</v>
      </c>
      <c r="O109" s="480">
        <f t="shared" si="10"/>
        <v>300.2785870431282</v>
      </c>
      <c r="P109" s="480">
        <f t="shared" si="12"/>
        <v>300.2785870431282</v>
      </c>
      <c r="Q109" s="218"/>
      <c r="R109" s="275">
        <f t="shared" si="13"/>
        <v>261.11181482011148</v>
      </c>
      <c r="S109" s="184">
        <f>'Ціни контур мережний'!AA86*1.2</f>
        <v>7668.3839999999991</v>
      </c>
    </row>
    <row r="110" spans="3:19" ht="15">
      <c r="C110" s="506" t="str">
        <f t="shared" si="9"/>
        <v>Two-way control valve, pressure balanced, Кvs = 4,0 Danfoss</v>
      </c>
      <c r="F110" s="483" t="s">
        <v>1050</v>
      </c>
      <c r="G110" s="482" t="s">
        <v>1055</v>
      </c>
      <c r="H110" s="1435" t="s">
        <v>647</v>
      </c>
      <c r="I110" s="1435"/>
      <c r="J110" s="418" t="s">
        <v>45</v>
      </c>
      <c r="K110" s="419">
        <v>15</v>
      </c>
      <c r="L110" s="479">
        <f>'Ціни контур мережний'!AD87</f>
        <v>14</v>
      </c>
      <c r="M110" s="533" t="str">
        <f t="shared" si="7"/>
        <v>Two-way control valve, pressure balanced, Кvs = 4,0, Danfoss VB2 Dn15</v>
      </c>
      <c r="N110" s="419">
        <v>1</v>
      </c>
      <c r="O110" s="480">
        <f t="shared" si="10"/>
        <v>300.2785870431282</v>
      </c>
      <c r="P110" s="480">
        <f t="shared" si="12"/>
        <v>300.2785870431282</v>
      </c>
      <c r="Q110" s="218"/>
      <c r="R110" s="275">
        <f t="shared" si="13"/>
        <v>261.11181482011148</v>
      </c>
      <c r="S110" s="184">
        <f>'Ціни контур мережний'!AA87*1.2</f>
        <v>7668.3839999999991</v>
      </c>
    </row>
    <row r="111" spans="3:19" ht="15">
      <c r="C111" s="506" t="str">
        <f t="shared" si="9"/>
        <v>Two-way control valve, pressure balanced, Кvs = 6,3 Danfoss</v>
      </c>
      <c r="F111" s="483" t="s">
        <v>1056</v>
      </c>
      <c r="G111" s="482" t="s">
        <v>1057</v>
      </c>
      <c r="H111" s="1435" t="s">
        <v>647</v>
      </c>
      <c r="I111" s="1435"/>
      <c r="J111" s="418" t="s">
        <v>45</v>
      </c>
      <c r="K111" s="419">
        <v>20</v>
      </c>
      <c r="L111" s="479">
        <f>'Ціни контур мережний'!AD88</f>
        <v>29</v>
      </c>
      <c r="M111" s="533" t="str">
        <f t="shared" si="7"/>
        <v>Two-way control valve, pressure balanced, Кvs = 6,3, Danfoss VB2 Dn20</v>
      </c>
      <c r="N111" s="419">
        <v>3</v>
      </c>
      <c r="O111" s="480">
        <f t="shared" si="10"/>
        <v>325.28081394161029</v>
      </c>
      <c r="P111" s="480">
        <f t="shared" si="12"/>
        <v>975.84244182483087</v>
      </c>
      <c r="Q111" s="218"/>
      <c r="R111" s="275">
        <f t="shared" si="13"/>
        <v>282.85288168835677</v>
      </c>
      <c r="S111" s="184">
        <f>'Ціни контур мережний'!AA88*1.2</f>
        <v>8306.8799999999992</v>
      </c>
    </row>
    <row r="112" spans="3:19" ht="15">
      <c r="C112" s="506" t="str">
        <f t="shared" si="9"/>
        <v>Two-way control valve, pressure balanced, Кvs = 10,0 Danfoss</v>
      </c>
      <c r="F112" s="483" t="s">
        <v>1058</v>
      </c>
      <c r="G112" s="482" t="s">
        <v>1059</v>
      </c>
      <c r="H112" s="1435" t="s">
        <v>647</v>
      </c>
      <c r="I112" s="1435"/>
      <c r="J112" s="418" t="s">
        <v>45</v>
      </c>
      <c r="K112" s="419">
        <v>25</v>
      </c>
      <c r="L112" s="479">
        <f>'Ціни контур мережний'!AD89</f>
        <v>62</v>
      </c>
      <c r="M112" s="533" t="str">
        <f t="shared" si="7"/>
        <v>Two-way control valve, pressure balanced, Кvs = 10,0, Danfoss VB2 Dn25</v>
      </c>
      <c r="N112" s="419">
        <v>6</v>
      </c>
      <c r="O112" s="480">
        <f t="shared" si="10"/>
        <v>337.8270374078084</v>
      </c>
      <c r="P112" s="480">
        <f t="shared" si="12"/>
        <v>2026.9622244468505</v>
      </c>
      <c r="Q112" s="218"/>
      <c r="R112" s="275">
        <f t="shared" si="13"/>
        <v>293.76264122418121</v>
      </c>
      <c r="S112" s="184">
        <f>'Ціни контур мережний'!AA89*1.2</f>
        <v>8627.2799999999988</v>
      </c>
    </row>
    <row r="113" spans="3:19" ht="15">
      <c r="C113" s="506" t="str">
        <f t="shared" si="9"/>
        <v>Two-way control valve, pressure balanced, Кvs = 16,0 Danfoss</v>
      </c>
      <c r="F113" s="483" t="s">
        <v>1060</v>
      </c>
      <c r="G113" s="482" t="s">
        <v>1061</v>
      </c>
      <c r="H113" s="1435" t="s">
        <v>647</v>
      </c>
      <c r="I113" s="1435"/>
      <c r="J113" s="418" t="s">
        <v>45</v>
      </c>
      <c r="K113" s="419">
        <v>32</v>
      </c>
      <c r="L113" s="479">
        <f>'Ціни контур мережний'!AD90</f>
        <v>53</v>
      </c>
      <c r="M113" s="533" t="str">
        <f t="shared" si="7"/>
        <v>Two-way control valve, pressure balanced, Кvs = 16,0, Danfoss VB2 Dn32</v>
      </c>
      <c r="N113" s="419">
        <v>5</v>
      </c>
      <c r="O113" s="480">
        <f t="shared" si="10"/>
        <v>375.30030441089332</v>
      </c>
      <c r="P113" s="480">
        <f t="shared" si="12"/>
        <v>1876.5015220544665</v>
      </c>
      <c r="Q113" s="218"/>
      <c r="R113" s="275">
        <f t="shared" si="13"/>
        <v>326.34809079208117</v>
      </c>
      <c r="S113" s="184">
        <f>'Ціни контур мережний'!AA90*1.2</f>
        <v>9584.2559999999994</v>
      </c>
    </row>
    <row r="114" spans="3:19" ht="15">
      <c r="C114" s="506" t="str">
        <f t="shared" si="9"/>
        <v>Two-way control valve, pressure balanced, Кvs = 25,0 Danfoss</v>
      </c>
      <c r="F114" s="483" t="s">
        <v>1062</v>
      </c>
      <c r="G114" s="482" t="s">
        <v>1063</v>
      </c>
      <c r="H114" s="1435" t="s">
        <v>647</v>
      </c>
      <c r="I114" s="1435"/>
      <c r="J114" s="418" t="s">
        <v>45</v>
      </c>
      <c r="K114" s="419">
        <v>40</v>
      </c>
      <c r="L114" s="479">
        <f>'Ціни контур мережний'!AD91</f>
        <v>18</v>
      </c>
      <c r="M114" s="533" t="str">
        <f t="shared" si="7"/>
        <v>Two-way control valve, pressure balanced, Кvs = 25,0, Danfoss VB2 Dn40</v>
      </c>
      <c r="N114" s="419">
        <v>2</v>
      </c>
      <c r="O114" s="480">
        <f t="shared" si="10"/>
        <v>450.3887470120743</v>
      </c>
      <c r="P114" s="480">
        <f t="shared" si="12"/>
        <v>900.77749402414861</v>
      </c>
      <c r="Q114" s="218"/>
      <c r="R114" s="275">
        <f t="shared" si="13"/>
        <v>391.64238870615156</v>
      </c>
      <c r="S114" s="184">
        <f>'Ціни контур мережний'!AA91*1.2</f>
        <v>11501.832</v>
      </c>
    </row>
    <row r="115" spans="3:19" ht="15">
      <c r="C115" s="506" t="str">
        <f t="shared" si="9"/>
        <v>Two-way control valve, pressure balanced, Кvs = 40,0 Danfoss</v>
      </c>
      <c r="F115" s="483" t="s">
        <v>1064</v>
      </c>
      <c r="G115" s="482" t="s">
        <v>1065</v>
      </c>
      <c r="H115" s="1435" t="s">
        <v>647</v>
      </c>
      <c r="I115" s="1435"/>
      <c r="J115" s="418" t="s">
        <v>45</v>
      </c>
      <c r="K115" s="419">
        <v>50</v>
      </c>
      <c r="L115" s="479">
        <f>'Ціни контур мережний'!AD92</f>
        <v>7</v>
      </c>
      <c r="M115" s="533" t="str">
        <f t="shared" si="7"/>
        <v>Two-way control valve, pressure balanced, Кvs = 40,0, Danfoss VB2 Dn50</v>
      </c>
      <c r="N115" s="419">
        <v>1</v>
      </c>
      <c r="O115" s="480">
        <f t="shared" si="10"/>
        <v>550.47518744764739</v>
      </c>
      <c r="P115" s="480">
        <f t="shared" si="12"/>
        <v>550.47518744764739</v>
      </c>
      <c r="Q115" s="218"/>
      <c r="R115" s="275">
        <f t="shared" si="13"/>
        <v>478.67407604143256</v>
      </c>
      <c r="S115" s="184">
        <f>'Ціни контур мережний'!AA92*1.2</f>
        <v>14057.796</v>
      </c>
    </row>
    <row r="116" spans="3:19" ht="15">
      <c r="C116" s="506" t="str">
        <f t="shared" si="9"/>
        <v>Two-way control valve, pressure balanced, Кvs = 63,0 LDM</v>
      </c>
      <c r="D116">
        <v>203</v>
      </c>
      <c r="E116" s="113" t="s">
        <v>1119</v>
      </c>
      <c r="F116" s="483" t="s">
        <v>1067</v>
      </c>
      <c r="G116" s="482" t="s">
        <v>1068</v>
      </c>
      <c r="H116" s="1435" t="s">
        <v>718</v>
      </c>
      <c r="I116" s="1435"/>
      <c r="J116" s="418" t="s">
        <v>1066</v>
      </c>
      <c r="K116" s="419">
        <v>65</v>
      </c>
      <c r="L116" s="479">
        <f>'Ціни контур мережний'!AD93</f>
        <v>1</v>
      </c>
      <c r="M116" s="533" t="str">
        <f t="shared" si="7"/>
        <v>Two-way control valve, pressure balanced, Кvs = 63,0, LDM RV133R Dn65</v>
      </c>
      <c r="N116" s="419">
        <v>1</v>
      </c>
      <c r="O116" s="480">
        <f t="shared" si="10"/>
        <v>782</v>
      </c>
      <c r="P116" s="480">
        <f t="shared" si="12"/>
        <v>782</v>
      </c>
      <c r="Q116" s="218"/>
      <c r="R116" s="308">
        <f>'Ціни контур мережний'!AF93</f>
        <v>680</v>
      </c>
      <c r="S116" s="184"/>
    </row>
    <row r="117" spans="3:19" ht="15">
      <c r="C117" s="506" t="str">
        <f t="shared" si="9"/>
        <v>Electrical drive of the control valve Belimo</v>
      </c>
      <c r="D117">
        <v>756</v>
      </c>
      <c r="E117" s="113" t="s">
        <v>1118</v>
      </c>
      <c r="F117" s="483" t="s">
        <v>727</v>
      </c>
      <c r="G117" s="482" t="s">
        <v>8</v>
      </c>
      <c r="H117" s="1435" t="s">
        <v>824</v>
      </c>
      <c r="I117" s="1435"/>
      <c r="J117" s="419" t="s">
        <v>1409</v>
      </c>
      <c r="K117" s="419"/>
      <c r="L117" s="479">
        <f>'Ціни контур мережний'!O55</f>
        <v>1</v>
      </c>
      <c r="M117" s="533" t="str">
        <f t="shared" ref="M117:M119" si="14">F117&amp;", "&amp;H117&amp;" "&amp;J117</f>
        <v>Electrical drive of the control valve, Belimo NV230A-RE</v>
      </c>
      <c r="N117" s="419">
        <v>1</v>
      </c>
      <c r="O117" s="480">
        <f t="shared" si="10"/>
        <v>540.5</v>
      </c>
      <c r="P117" s="480">
        <f t="shared" si="12"/>
        <v>540.5</v>
      </c>
      <c r="Q117" s="218"/>
      <c r="R117" s="308">
        <v>470</v>
      </c>
      <c r="S117" s="184"/>
    </row>
    <row r="118" spans="3:19" ht="15">
      <c r="C118" s="506" t="str">
        <f t="shared" si="9"/>
        <v>Electrical drive of the control valve Danfoss</v>
      </c>
      <c r="D118">
        <v>208</v>
      </c>
      <c r="E118" s="113" t="s">
        <v>1123</v>
      </c>
      <c r="F118" s="483" t="s">
        <v>727</v>
      </c>
      <c r="G118" s="482" t="s">
        <v>8</v>
      </c>
      <c r="H118" s="1435" t="s">
        <v>647</v>
      </c>
      <c r="I118" s="1435"/>
      <c r="J118" s="419" t="s">
        <v>815</v>
      </c>
      <c r="K118" s="419"/>
      <c r="L118" s="479">
        <f>'Ціни контур мережний'!O56</f>
        <v>103</v>
      </c>
      <c r="M118" s="533" t="str">
        <f t="shared" si="14"/>
        <v>Electrical drive of the control valve, Danfoss AMV20</v>
      </c>
      <c r="N118" s="419">
        <v>10</v>
      </c>
      <c r="O118" s="480">
        <f t="shared" si="10"/>
        <v>507.83400412691282</v>
      </c>
      <c r="P118" s="480">
        <f t="shared" si="12"/>
        <v>5078.3400412691281</v>
      </c>
      <c r="Q118" s="218"/>
      <c r="R118" s="275">
        <f t="shared" ref="R118:R127" si="15">S118/$R$14</f>
        <v>441.5947861973155</v>
      </c>
      <c r="S118" s="184">
        <f>'Ціни контур мережний'!K56*1.2</f>
        <v>12968.844000000001</v>
      </c>
    </row>
    <row r="119" spans="3:19" ht="15">
      <c r="C119" s="506" t="str">
        <f t="shared" si="9"/>
        <v>Electrical drive of the control valve Danfoss</v>
      </c>
      <c r="E119" s="113"/>
      <c r="F119" s="483" t="s">
        <v>727</v>
      </c>
      <c r="G119" s="482" t="s">
        <v>8</v>
      </c>
      <c r="H119" s="1435" t="s">
        <v>647</v>
      </c>
      <c r="I119" s="1435"/>
      <c r="J119" s="419" t="s">
        <v>67</v>
      </c>
      <c r="K119" s="419"/>
      <c r="L119" s="479">
        <f>'Ціни контур мережний'!O57</f>
        <v>98</v>
      </c>
      <c r="M119" s="533" t="str">
        <f t="shared" si="14"/>
        <v>Electrical drive of the control valve, Danfoss AMV33</v>
      </c>
      <c r="N119" s="419">
        <v>10</v>
      </c>
      <c r="O119" s="480">
        <f t="shared" si="10"/>
        <v>725.29294951682425</v>
      </c>
      <c r="P119" s="480">
        <f t="shared" si="12"/>
        <v>7252.9294951682423</v>
      </c>
      <c r="Q119" s="218"/>
      <c r="R119" s="275">
        <f t="shared" si="15"/>
        <v>630.68952131897765</v>
      </c>
      <c r="S119" s="184">
        <f>'Ціни контур мережний'!K57*1.2</f>
        <v>18522.216</v>
      </c>
    </row>
    <row r="120" spans="3:19" ht="15">
      <c r="C120" s="506" t="str">
        <f t="shared" si="9"/>
        <v>Pressure difference regulating valve, Кvs = 4,0 Danfoss</v>
      </c>
      <c r="D120">
        <v>208</v>
      </c>
      <c r="E120" s="113" t="s">
        <v>1123</v>
      </c>
      <c r="F120" s="483" t="s">
        <v>1069</v>
      </c>
      <c r="G120" s="1178" t="s">
        <v>1070</v>
      </c>
      <c r="H120" s="1440" t="s">
        <v>647</v>
      </c>
      <c r="I120" s="1440"/>
      <c r="J120" s="1091" t="s">
        <v>821</v>
      </c>
      <c r="K120" s="1179">
        <v>15</v>
      </c>
      <c r="L120" s="1180">
        <v>32</v>
      </c>
      <c r="M120" s="533" t="str">
        <f t="shared" ref="M120:M127" si="16">F120&amp;", "&amp;H120&amp;" "&amp;J120&amp;" Dn"&amp;K120</f>
        <v>Pressure difference regulating valve, Кvs = 4,0, Danfoss AVP Dn15</v>
      </c>
      <c r="N120" s="419">
        <v>3</v>
      </c>
      <c r="O120" s="480">
        <f t="shared" si="10"/>
        <v>649.94253989008519</v>
      </c>
      <c r="P120" s="480">
        <f t="shared" si="12"/>
        <v>1949.8276196702554</v>
      </c>
      <c r="Q120" s="218"/>
      <c r="R120" s="275">
        <f t="shared" si="15"/>
        <v>565.16742599137842</v>
      </c>
      <c r="S120" s="184">
        <f>'Ціни контур мережний'!AA107</f>
        <v>16597.95</v>
      </c>
    </row>
    <row r="121" spans="3:19" ht="15">
      <c r="C121" s="506" t="str">
        <f t="shared" si="9"/>
        <v>Pressure difference regulating valve, Кvs = 6,3 Danfoss</v>
      </c>
      <c r="F121" s="483" t="s">
        <v>1071</v>
      </c>
      <c r="G121" s="1178" t="s">
        <v>1072</v>
      </c>
      <c r="H121" s="1440" t="s">
        <v>647</v>
      </c>
      <c r="I121" s="1440"/>
      <c r="J121" s="1091" t="s">
        <v>821</v>
      </c>
      <c r="K121" s="1179">
        <v>20</v>
      </c>
      <c r="L121" s="1180">
        <v>29</v>
      </c>
      <c r="M121" s="533" t="str">
        <f t="shared" si="16"/>
        <v>Pressure difference regulating valve, Кvs = 6,3, Danfoss AVP Dn20</v>
      </c>
      <c r="N121" s="419">
        <v>3</v>
      </c>
      <c r="O121" s="480">
        <f t="shared" si="10"/>
        <v>673.74982123521363</v>
      </c>
      <c r="P121" s="480">
        <f t="shared" si="12"/>
        <v>2021.2494637056409</v>
      </c>
      <c r="Q121" s="218"/>
      <c r="R121" s="275">
        <f t="shared" si="15"/>
        <v>585.86940976975097</v>
      </c>
      <c r="S121" s="184">
        <f>'Ціни контур мережний'!AA108</f>
        <v>17205.93</v>
      </c>
    </row>
    <row r="122" spans="3:19" ht="15">
      <c r="C122" s="506" t="str">
        <f t="shared" si="9"/>
        <v>Pressure difference regulating valve, Кvs = 8,0 Danfoss</v>
      </c>
      <c r="F122" s="483" t="s">
        <v>1401</v>
      </c>
      <c r="G122" s="1178" t="s">
        <v>1402</v>
      </c>
      <c r="H122" s="1440" t="s">
        <v>647</v>
      </c>
      <c r="I122" s="1440"/>
      <c r="J122" s="1091" t="s">
        <v>821</v>
      </c>
      <c r="K122" s="1179">
        <v>25</v>
      </c>
      <c r="L122" s="1180">
        <v>28</v>
      </c>
      <c r="M122" s="533" t="str">
        <f t="shared" si="16"/>
        <v>Pressure difference regulating valve, Кvs = 8,0, Danfoss AVP Dn25</v>
      </c>
      <c r="N122" s="419">
        <v>3</v>
      </c>
      <c r="O122" s="480">
        <f t="shared" si="10"/>
        <v>723.7455819559932</v>
      </c>
      <c r="P122" s="480">
        <f t="shared" si="12"/>
        <v>2171.2367458679796</v>
      </c>
      <c r="Q122" s="218"/>
      <c r="R122" s="275">
        <f t="shared" si="15"/>
        <v>629.34398430955935</v>
      </c>
      <c r="S122" s="184">
        <f>'Ціни контур мережний'!AA109</f>
        <v>18482.7</v>
      </c>
    </row>
    <row r="123" spans="3:19" ht="15">
      <c r="C123" s="506" t="str">
        <f t="shared" si="9"/>
        <v>Pressure difference regulating valve, Кvs = 12,5 Danfoss</v>
      </c>
      <c r="F123" s="483" t="s">
        <v>1403</v>
      </c>
      <c r="G123" s="1178" t="s">
        <v>1404</v>
      </c>
      <c r="H123" s="1440" t="s">
        <v>647</v>
      </c>
      <c r="I123" s="1440"/>
      <c r="J123" s="1091" t="s">
        <v>821</v>
      </c>
      <c r="K123" s="1179">
        <v>32</v>
      </c>
      <c r="L123" s="1180">
        <v>66</v>
      </c>
      <c r="M123" s="533" t="str">
        <f t="shared" si="16"/>
        <v>Pressure difference regulating valve, Кvs = 12,5, Danfoss AVP Dn32</v>
      </c>
      <c r="N123" s="419">
        <v>7</v>
      </c>
      <c r="O123" s="480">
        <f t="shared" si="10"/>
        <v>1155.4531431957014</v>
      </c>
      <c r="P123" s="480">
        <f t="shared" si="12"/>
        <v>8088.1720023699099</v>
      </c>
      <c r="Q123" s="218"/>
      <c r="R123" s="275">
        <f t="shared" si="15"/>
        <v>1004.7418636484359</v>
      </c>
      <c r="S123" s="184">
        <f>'Ціни контур мережний'!AA110</f>
        <v>29507.46</v>
      </c>
    </row>
    <row r="124" spans="3:19" ht="15">
      <c r="C124" s="506" t="str">
        <f t="shared" si="9"/>
        <v>Pressure difference regulating valve, Кvs = 16,0 Danfoss</v>
      </c>
      <c r="F124" s="483" t="s">
        <v>1073</v>
      </c>
      <c r="G124" s="1178" t="s">
        <v>1074</v>
      </c>
      <c r="H124" s="1440" t="s">
        <v>647</v>
      </c>
      <c r="I124" s="1440"/>
      <c r="J124" s="1091" t="s">
        <v>821</v>
      </c>
      <c r="K124" s="1179">
        <v>40</v>
      </c>
      <c r="L124" s="1180">
        <v>21</v>
      </c>
      <c r="M124" s="533" t="str">
        <f t="shared" si="16"/>
        <v>Pressure difference regulating valve, Кvs = 16,0, Danfoss AVP Dn40</v>
      </c>
      <c r="N124" s="419">
        <v>2</v>
      </c>
      <c r="O124" s="480">
        <f t="shared" si="10"/>
        <v>1189.5773830197288</v>
      </c>
      <c r="P124" s="480">
        <f t="shared" si="12"/>
        <v>2379.1547660394576</v>
      </c>
      <c r="Q124" s="218"/>
      <c r="R124" s="275">
        <f t="shared" si="15"/>
        <v>1034.4151156693295</v>
      </c>
      <c r="S124" s="184">
        <f>'Ціни контур мережний'!AA111</f>
        <v>30378.91</v>
      </c>
    </row>
    <row r="125" spans="3:19" ht="15">
      <c r="C125" s="506" t="str">
        <f t="shared" si="9"/>
        <v>Pressure difference regulating valve, Кvs = 20,0 Danfoss</v>
      </c>
      <c r="F125" s="483" t="s">
        <v>1405</v>
      </c>
      <c r="G125" s="1178" t="s">
        <v>1406</v>
      </c>
      <c r="H125" s="1440" t="s">
        <v>647</v>
      </c>
      <c r="I125" s="1440"/>
      <c r="J125" s="1091" t="s">
        <v>821</v>
      </c>
      <c r="K125" s="1179">
        <v>50</v>
      </c>
      <c r="L125" s="1180">
        <v>13</v>
      </c>
      <c r="M125" s="533" t="str">
        <f t="shared" si="16"/>
        <v>Pressure difference regulating valve, Кvs = 20,0, Danfoss AVP Dn50</v>
      </c>
      <c r="N125" s="419">
        <v>1</v>
      </c>
      <c r="O125" s="480">
        <f t="shared" si="10"/>
        <v>1252.270125509905</v>
      </c>
      <c r="P125" s="480">
        <f t="shared" si="12"/>
        <v>1252.270125509905</v>
      </c>
      <c r="Q125" s="218"/>
      <c r="R125" s="275">
        <f t="shared" si="15"/>
        <v>1088.9305439216566</v>
      </c>
      <c r="S125" s="184">
        <f>'Ціни контур мережний'!AA112</f>
        <v>31979.93</v>
      </c>
    </row>
    <row r="126" spans="3:19" ht="15">
      <c r="C126" s="506" t="str">
        <f t="shared" si="9"/>
        <v>Pressure difference regulating valve, Кvs = 32,0 Danfoss</v>
      </c>
      <c r="F126" s="483" t="s">
        <v>1407</v>
      </c>
      <c r="G126" s="1178" t="s">
        <v>1408</v>
      </c>
      <c r="H126" s="1440" t="s">
        <v>647</v>
      </c>
      <c r="I126" s="1440"/>
      <c r="J126" s="1091" t="s">
        <v>1021</v>
      </c>
      <c r="K126" s="1179">
        <v>50</v>
      </c>
      <c r="L126" s="1180">
        <v>11</v>
      </c>
      <c r="M126" s="533" t="str">
        <f t="shared" si="16"/>
        <v>Pressure difference regulating valve, Кvs = 32,0, Danfoss AFP-9 VFG 2 Dn50</v>
      </c>
      <c r="N126" s="419">
        <v>1</v>
      </c>
      <c r="O126" s="480">
        <f t="shared" si="10"/>
        <v>2923.7893027151817</v>
      </c>
      <c r="P126" s="480">
        <f t="shared" si="12"/>
        <v>2923.7893027151817</v>
      </c>
      <c r="Q126" s="218"/>
      <c r="R126" s="275">
        <f t="shared" si="15"/>
        <v>2542.4254806218973</v>
      </c>
      <c r="S126" s="184">
        <f>'Ціни контур мережний'!AA113</f>
        <v>74666.460000000006</v>
      </c>
    </row>
    <row r="127" spans="3:19" ht="15">
      <c r="C127" s="506" t="str">
        <f t="shared" si="9"/>
        <v>Pressure difference regulating valve, Кvs = 50,0 Danfoss</v>
      </c>
      <c r="F127" s="483" t="s">
        <v>1075</v>
      </c>
      <c r="G127" s="1178" t="s">
        <v>1076</v>
      </c>
      <c r="H127" s="1440" t="s">
        <v>647</v>
      </c>
      <c r="I127" s="1440"/>
      <c r="J127" s="1091" t="s">
        <v>1021</v>
      </c>
      <c r="K127" s="1179">
        <v>65</v>
      </c>
      <c r="L127" s="1180">
        <v>2</v>
      </c>
      <c r="M127" s="533" t="str">
        <f t="shared" si="16"/>
        <v>Pressure difference regulating valve, Кvs = 50,0, Danfoss AFP-9 VFG 2 Dn65</v>
      </c>
      <c r="N127" s="419">
        <v>1</v>
      </c>
      <c r="O127" s="480">
        <f t="shared" si="10"/>
        <v>2923.7893027151817</v>
      </c>
      <c r="P127" s="480">
        <f t="shared" si="12"/>
        <v>2923.7893027151817</v>
      </c>
      <c r="Q127" s="218"/>
      <c r="R127" s="275">
        <f t="shared" si="15"/>
        <v>2542.4254806218973</v>
      </c>
      <c r="S127" s="184">
        <f>'Ціни контур мережний'!AA114</f>
        <v>74666.460000000006</v>
      </c>
    </row>
    <row r="128" spans="3:19" ht="15">
      <c r="C128" s="506" t="str">
        <f t="shared" si="9"/>
        <v>Pressure relay WIKA</v>
      </c>
      <c r="D128">
        <v>276</v>
      </c>
      <c r="E128" s="113" t="s">
        <v>1120</v>
      </c>
      <c r="F128" s="484" t="s">
        <v>1077</v>
      </c>
      <c r="G128" s="482" t="s">
        <v>1014</v>
      </c>
      <c r="H128" s="1435" t="s">
        <v>1078</v>
      </c>
      <c r="I128" s="1435"/>
      <c r="J128" s="412" t="s">
        <v>1013</v>
      </c>
      <c r="K128" s="421"/>
      <c r="L128" s="479">
        <f>'Ціни контур мережний'!O64</f>
        <v>437</v>
      </c>
      <c r="M128" s="533" t="str">
        <f t="shared" ref="M128:M130" si="17">F128&amp;", "&amp;H128&amp;" "&amp;J128</f>
        <v>Pressure relay, WIKA PSM01</v>
      </c>
      <c r="N128" s="421">
        <v>22</v>
      </c>
      <c r="O128" s="480">
        <f t="shared" si="10"/>
        <v>46.901231999999993</v>
      </c>
      <c r="P128" s="480">
        <f t="shared" si="12"/>
        <v>1031.827104</v>
      </c>
      <c r="Q128" s="218"/>
      <c r="R128" s="308">
        <f>'Ціни контур мережний'!M64*1.4</f>
        <v>40.783679999999997</v>
      </c>
      <c r="S128" s="184"/>
    </row>
    <row r="129" spans="3:19" ht="15">
      <c r="C129" s="506" t="str">
        <f t="shared" si="9"/>
        <v>Indicating pressure gauge Skloprylad</v>
      </c>
      <c r="D129">
        <v>804</v>
      </c>
      <c r="E129" s="526" t="s">
        <v>1115</v>
      </c>
      <c r="F129" s="483" t="s">
        <v>737</v>
      </c>
      <c r="G129" s="482" t="s">
        <v>48</v>
      </c>
      <c r="H129" s="1435" t="s">
        <v>1082</v>
      </c>
      <c r="I129" s="1435"/>
      <c r="J129" s="412" t="s">
        <v>106</v>
      </c>
      <c r="K129" s="421"/>
      <c r="L129" s="479">
        <f>'Ціни контур мережний'!O67</f>
        <v>1367</v>
      </c>
      <c r="M129" s="533" t="str">
        <f t="shared" si="17"/>
        <v>Indicating pressure gauge, Skloprylad 0-1,0</v>
      </c>
      <c r="N129" s="421">
        <v>68</v>
      </c>
      <c r="O129" s="480">
        <f t="shared" si="10"/>
        <v>6.4515000000000002</v>
      </c>
      <c r="P129" s="480">
        <f t="shared" si="12"/>
        <v>438.702</v>
      </c>
      <c r="Q129" s="218"/>
      <c r="R129" s="308">
        <v>5.61</v>
      </c>
      <c r="S129" s="184"/>
    </row>
    <row r="130" spans="3:19" ht="15">
      <c r="C130" s="506" t="str">
        <f t="shared" si="9"/>
        <v>Indicating pressure gauge Skloprylad</v>
      </c>
      <c r="F130" s="483" t="s">
        <v>737</v>
      </c>
      <c r="G130" s="482" t="s">
        <v>48</v>
      </c>
      <c r="H130" s="1435" t="s">
        <v>1082</v>
      </c>
      <c r="I130" s="1435"/>
      <c r="J130" s="412" t="s">
        <v>108</v>
      </c>
      <c r="K130" s="421"/>
      <c r="L130" s="479">
        <f>'Ціни контур мережний'!O68</f>
        <v>405</v>
      </c>
      <c r="M130" s="533" t="str">
        <f t="shared" si="17"/>
        <v>Indicating pressure gauge, Skloprylad 0-1,6</v>
      </c>
      <c r="N130" s="421">
        <v>20</v>
      </c>
      <c r="O130" s="480">
        <f t="shared" si="10"/>
        <v>6.4515000000000002</v>
      </c>
      <c r="P130" s="480">
        <f t="shared" si="12"/>
        <v>129.03</v>
      </c>
      <c r="Q130" s="218"/>
      <c r="R130" s="308">
        <v>5.61</v>
      </c>
    </row>
    <row r="131" spans="3:19" ht="15">
      <c r="C131" s="506" t="str">
        <f t="shared" si="9"/>
        <v>Threaded three-way valve Skloprylad</v>
      </c>
      <c r="F131" s="413" t="s">
        <v>1081</v>
      </c>
      <c r="G131" s="482" t="s">
        <v>1079</v>
      </c>
      <c r="H131" s="1435" t="s">
        <v>1082</v>
      </c>
      <c r="I131" s="1435"/>
      <c r="J131" s="421" t="s">
        <v>1080</v>
      </c>
      <c r="K131" s="421">
        <v>15</v>
      </c>
      <c r="L131" s="479">
        <f>'Ціни контур мережний'!O71</f>
        <v>3836</v>
      </c>
      <c r="M131" s="533" t="str">
        <f t="shared" ref="M131:M132" si="18">F131&amp;", "&amp;H131&amp;" "&amp;J131&amp;" Dn"&amp;K131</f>
        <v>Threaded three-way valve, Skloprylad Art.101112 Dn15</v>
      </c>
      <c r="N131" s="421">
        <v>192</v>
      </c>
      <c r="O131" s="480">
        <f t="shared" si="10"/>
        <v>4.5565628128383757</v>
      </c>
      <c r="P131" s="480">
        <f t="shared" si="12"/>
        <v>874.86006006496814</v>
      </c>
      <c r="Q131" s="218"/>
      <c r="R131" s="275">
        <f>'Ціни контур мережний'!M71*1.17</f>
        <v>3.9622285329029352</v>
      </c>
    </row>
    <row r="132" spans="3:19" ht="15">
      <c r="C132" s="506" t="str">
        <f t="shared" si="9"/>
        <v>Automatic air vent, DN 15, completed with check valve IVR</v>
      </c>
      <c r="D132">
        <v>380</v>
      </c>
      <c r="E132" s="113" t="s">
        <v>1121</v>
      </c>
      <c r="F132" s="483" t="s">
        <v>743</v>
      </c>
      <c r="G132" s="482" t="s">
        <v>378</v>
      </c>
      <c r="H132" s="1435" t="s">
        <v>715</v>
      </c>
      <c r="I132" s="1435"/>
      <c r="J132" s="421">
        <v>832</v>
      </c>
      <c r="K132" s="421">
        <v>15</v>
      </c>
      <c r="L132" s="479">
        <f>'Ціни контур мережний'!O73</f>
        <v>202</v>
      </c>
      <c r="M132" s="533" t="str">
        <f t="shared" si="18"/>
        <v>Automatic air vent, DN 15, completed with check valve, IVR 832 Dn15</v>
      </c>
      <c r="N132" s="421">
        <v>10</v>
      </c>
      <c r="O132" s="480">
        <f t="shared" si="10"/>
        <v>5.5786499999999988</v>
      </c>
      <c r="P132" s="480">
        <f t="shared" si="12"/>
        <v>55.78649999999999</v>
      </c>
      <c r="Q132" s="218"/>
      <c r="R132" s="275">
        <f>'Ціни контур мережний'!M73*1.4</f>
        <v>4.8509999999999991</v>
      </c>
    </row>
    <row r="133" spans="3:19" ht="15">
      <c r="C133" s="506" t="str">
        <f t="shared" si="9"/>
        <v>Bimetallic thermometer, stainless steel Skloprylad</v>
      </c>
      <c r="D133">
        <v>804</v>
      </c>
      <c r="E133" s="526" t="s">
        <v>1115</v>
      </c>
      <c r="F133" s="422" t="s">
        <v>739</v>
      </c>
      <c r="G133" s="482" t="s">
        <v>368</v>
      </c>
      <c r="H133" s="1435" t="s">
        <v>1082</v>
      </c>
      <c r="I133" s="1435"/>
      <c r="J133" s="412" t="s">
        <v>1083</v>
      </c>
      <c r="K133" s="419"/>
      <c r="L133" s="479">
        <f>'Ціни контур мережний'!O79</f>
        <v>99</v>
      </c>
      <c r="M133" s="533" t="str">
        <f t="shared" ref="M133:M137" si="19">F133&amp;", "&amp;H133&amp;" "&amp;J133</f>
        <v>Bimetallic thermometer, stainless steel, Skloprylad 0-150 °C</v>
      </c>
      <c r="N133" s="419">
        <v>5</v>
      </c>
      <c r="O133" s="480">
        <f t="shared" si="10"/>
        <v>20.079000000000001</v>
      </c>
      <c r="P133" s="480">
        <f t="shared" si="12"/>
        <v>100.39500000000001</v>
      </c>
      <c r="Q133" s="218"/>
      <c r="R133" s="308">
        <v>17.46</v>
      </c>
    </row>
    <row r="134" spans="3:19" ht="15">
      <c r="C134" s="506" t="str">
        <f t="shared" si="9"/>
        <v>Bimetallic thermometer, stainless steel Skloprylad</v>
      </c>
      <c r="F134" s="422" t="s">
        <v>739</v>
      </c>
      <c r="G134" s="482" t="s">
        <v>368</v>
      </c>
      <c r="H134" s="1435" t="s">
        <v>1082</v>
      </c>
      <c r="I134" s="1435"/>
      <c r="J134" s="412" t="s">
        <v>1084</v>
      </c>
      <c r="K134" s="419"/>
      <c r="L134" s="479">
        <f>'Ціни контур мережний'!O80</f>
        <v>299</v>
      </c>
      <c r="M134" s="533" t="str">
        <f t="shared" si="19"/>
        <v>Bimetallic thermometer, stainless steel, Skloprylad 0-120 °C</v>
      </c>
      <c r="N134" s="419">
        <v>15</v>
      </c>
      <c r="O134" s="480">
        <f t="shared" si="10"/>
        <v>20.079000000000001</v>
      </c>
      <c r="P134" s="480">
        <f t="shared" si="12"/>
        <v>301.185</v>
      </c>
      <c r="Q134" s="218"/>
      <c r="R134" s="308">
        <v>17.46</v>
      </c>
    </row>
    <row r="135" spans="3:19" ht="15">
      <c r="C135" s="506" t="str">
        <f t="shared" si="9"/>
        <v>Ambient air temperature sensor TERA</v>
      </c>
      <c r="D135">
        <v>804</v>
      </c>
      <c r="E135" s="526" t="s">
        <v>1115</v>
      </c>
      <c r="F135" s="413" t="s">
        <v>745</v>
      </c>
      <c r="G135" s="482" t="s">
        <v>58</v>
      </c>
      <c r="H135" s="1435" t="s">
        <v>1085</v>
      </c>
      <c r="I135" s="1435"/>
      <c r="J135" s="418" t="s">
        <v>383</v>
      </c>
      <c r="K135" s="419"/>
      <c r="L135" s="479">
        <f>'Ціни контур мережний'!O87</f>
        <v>103</v>
      </c>
      <c r="M135" s="533" t="str">
        <f t="shared" si="19"/>
        <v>Ambient air temperature sensor, TERA ТСП 2-10Г</v>
      </c>
      <c r="N135" s="419">
        <v>5</v>
      </c>
      <c r="O135" s="480">
        <f t="shared" si="10"/>
        <v>23.259852493513392</v>
      </c>
      <c r="P135" s="480">
        <f t="shared" si="12"/>
        <v>116.29926246756696</v>
      </c>
      <c r="Q135" s="218"/>
      <c r="R135" s="308">
        <f>'Ціни контур мережний'!M87*1.5</f>
        <v>20.225958690011645</v>
      </c>
    </row>
    <row r="136" spans="3:19" ht="15">
      <c r="C136" s="506" t="str">
        <f t="shared" si="9"/>
        <v>Water temperature sensor, embedded TERA</v>
      </c>
      <c r="D136">
        <v>804</v>
      </c>
      <c r="E136" s="526" t="s">
        <v>1115</v>
      </c>
      <c r="F136" s="413" t="s">
        <v>746</v>
      </c>
      <c r="G136" s="482" t="s">
        <v>59</v>
      </c>
      <c r="H136" s="1435" t="s">
        <v>1085</v>
      </c>
      <c r="I136" s="1435"/>
      <c r="J136" s="418" t="s">
        <v>1016</v>
      </c>
      <c r="K136" s="419"/>
      <c r="L136" s="479">
        <f>'Ціни контур мережний'!O88</f>
        <v>709</v>
      </c>
      <c r="M136" s="533" t="str">
        <f t="shared" si="19"/>
        <v>Water temperature sensor, embedded, TERA ТСП 1-5</v>
      </c>
      <c r="N136" s="419">
        <v>35</v>
      </c>
      <c r="O136" s="480">
        <f t="shared" si="10"/>
        <v>22.789956483543421</v>
      </c>
      <c r="P136" s="480">
        <f t="shared" si="12"/>
        <v>797.64847692401975</v>
      </c>
      <c r="Q136" s="218"/>
      <c r="R136" s="275">
        <f>'Ціни контур мережний'!M88*1.5</f>
        <v>19.817353463950802</v>
      </c>
    </row>
    <row r="137" spans="3:19" ht="15">
      <c r="C137" s="506" t="str">
        <f t="shared" si="9"/>
        <v>Pressure sensor WIKA</v>
      </c>
      <c r="D137">
        <v>276</v>
      </c>
      <c r="E137" s="113" t="s">
        <v>1120</v>
      </c>
      <c r="F137" s="413" t="s">
        <v>983</v>
      </c>
      <c r="G137" s="482" t="s">
        <v>865</v>
      </c>
      <c r="H137" s="1435" t="s">
        <v>1078</v>
      </c>
      <c r="I137" s="1435"/>
      <c r="J137" s="418" t="s">
        <v>1015</v>
      </c>
      <c r="K137" s="419"/>
      <c r="L137" s="479">
        <f>'Ціни контур мережний'!O89</f>
        <v>610</v>
      </c>
      <c r="M137" s="533" t="str">
        <f t="shared" si="19"/>
        <v>Pressure sensor, WIKA A-10</v>
      </c>
      <c r="N137" s="419">
        <v>31</v>
      </c>
      <c r="O137" s="480">
        <f t="shared" si="10"/>
        <v>128.03229617447442</v>
      </c>
      <c r="P137" s="480">
        <f t="shared" si="12"/>
        <v>3969.001181408707</v>
      </c>
      <c r="Q137" s="218"/>
      <c r="R137" s="275">
        <f>'Ціни контур мережний'!M89*1.4</f>
        <v>111.33243145606471</v>
      </c>
    </row>
    <row r="138" spans="3:19" ht="15">
      <c r="C138" s="506" t="str">
        <f t="shared" si="9"/>
        <v>Flanged screen filter Zetkama</v>
      </c>
      <c r="D138">
        <v>616</v>
      </c>
      <c r="E138" s="113" t="s">
        <v>1117</v>
      </c>
      <c r="F138" s="420" t="s">
        <v>725</v>
      </c>
      <c r="G138" s="482" t="s">
        <v>14</v>
      </c>
      <c r="H138" s="1435" t="s">
        <v>853</v>
      </c>
      <c r="I138" s="1435"/>
      <c r="J138" s="418" t="s">
        <v>814</v>
      </c>
      <c r="K138" s="419">
        <v>40</v>
      </c>
      <c r="L138" s="479">
        <f>'Ціни контур мережний'!AD9+'Ціни контур теплопостачання'!O9</f>
        <v>49</v>
      </c>
      <c r="M138" s="533" t="str">
        <f t="shared" ref="M138:M158" si="20">F138&amp;", "&amp;H138&amp;" "&amp;J138&amp;" Dn"&amp;K138</f>
        <v>Flanged screen filter, Zetkama 821A Dn40</v>
      </c>
      <c r="N138" s="419">
        <v>3</v>
      </c>
      <c r="O138" s="480">
        <f t="shared" si="10"/>
        <v>38.156999999999996</v>
      </c>
      <c r="P138" s="480">
        <f t="shared" si="12"/>
        <v>114.47099999999999</v>
      </c>
      <c r="Q138" s="218"/>
      <c r="R138" s="275">
        <f>'Ціни контур мережний'!AF9</f>
        <v>33.18</v>
      </c>
    </row>
    <row r="139" spans="3:19" ht="15">
      <c r="C139" s="506" t="str">
        <f t="shared" si="9"/>
        <v>Flanged screen filter Zetkama</v>
      </c>
      <c r="F139" s="420" t="s">
        <v>725</v>
      </c>
      <c r="G139" s="482" t="s">
        <v>14</v>
      </c>
      <c r="H139" s="1435" t="s">
        <v>853</v>
      </c>
      <c r="I139" s="1435"/>
      <c r="J139" s="418" t="s">
        <v>814</v>
      </c>
      <c r="K139" s="419">
        <v>50</v>
      </c>
      <c r="L139" s="479">
        <f>'Ціни контур мережний'!AD10+'Ціни контур теплопостачання'!O10</f>
        <v>46</v>
      </c>
      <c r="M139" s="533" t="str">
        <f t="shared" si="20"/>
        <v>Flanged screen filter, Zetkama 821A Dn50</v>
      </c>
      <c r="N139" s="419">
        <v>3</v>
      </c>
      <c r="O139" s="480">
        <f t="shared" si="10"/>
        <v>43.182499999999997</v>
      </c>
      <c r="P139" s="480">
        <f t="shared" si="12"/>
        <v>129.54749999999999</v>
      </c>
      <c r="Q139" s="218"/>
      <c r="R139" s="275">
        <f>'Ціни контур мережний'!AF10</f>
        <v>37.549999999999997</v>
      </c>
    </row>
    <row r="140" spans="3:19" ht="15">
      <c r="C140" s="506" t="str">
        <f t="shared" si="9"/>
        <v>Flanged screen filter Zetkama</v>
      </c>
      <c r="F140" s="420" t="s">
        <v>725</v>
      </c>
      <c r="G140" s="482" t="s">
        <v>14</v>
      </c>
      <c r="H140" s="1435" t="s">
        <v>853</v>
      </c>
      <c r="I140" s="1435"/>
      <c r="J140" s="418" t="s">
        <v>814</v>
      </c>
      <c r="K140" s="419">
        <v>65</v>
      </c>
      <c r="L140" s="479">
        <f>'Ціни контур мережний'!AD11+'Ціни контур теплопостачання'!O11</f>
        <v>41</v>
      </c>
      <c r="M140" s="533" t="str">
        <f t="shared" si="20"/>
        <v>Flanged screen filter, Zetkama 821A Dn65</v>
      </c>
      <c r="N140" s="419">
        <v>2</v>
      </c>
      <c r="O140" s="480">
        <f t="shared" si="10"/>
        <v>65.274000000000001</v>
      </c>
      <c r="P140" s="480">
        <f t="shared" si="12"/>
        <v>130.548</v>
      </c>
      <c r="Q140" s="218"/>
      <c r="R140" s="275">
        <f>'Ціни контур мережний'!AF11</f>
        <v>56.76</v>
      </c>
    </row>
    <row r="141" spans="3:19" ht="15">
      <c r="C141" s="506" t="str">
        <f t="shared" si="9"/>
        <v>Flanged screen filter Zetkama</v>
      </c>
      <c r="F141" s="420" t="s">
        <v>725</v>
      </c>
      <c r="G141" s="482" t="s">
        <v>14</v>
      </c>
      <c r="H141" s="1435" t="s">
        <v>853</v>
      </c>
      <c r="I141" s="1435"/>
      <c r="J141" s="418" t="s">
        <v>814</v>
      </c>
      <c r="K141" s="419">
        <v>80</v>
      </c>
      <c r="L141" s="479">
        <f>'Ціни контур мережний'!AD12+'Ціни контур теплопостачання'!O12</f>
        <v>44</v>
      </c>
      <c r="M141" s="533" t="str">
        <f t="shared" si="20"/>
        <v>Flanged screen filter, Zetkama 821A Dn80</v>
      </c>
      <c r="N141" s="419">
        <v>2</v>
      </c>
      <c r="O141" s="480">
        <f t="shared" si="10"/>
        <v>82.339999999999989</v>
      </c>
      <c r="P141" s="480">
        <f t="shared" si="12"/>
        <v>164.67999999999998</v>
      </c>
      <c r="Q141" s="218"/>
      <c r="R141" s="275">
        <f>'Ціни контур мережний'!AF12</f>
        <v>71.599999999999994</v>
      </c>
    </row>
    <row r="142" spans="3:19" ht="15">
      <c r="C142" s="506" t="str">
        <f t="shared" si="9"/>
        <v>Flanged screen filter Zetkama</v>
      </c>
      <c r="F142" s="420" t="s">
        <v>725</v>
      </c>
      <c r="G142" s="482" t="s">
        <v>14</v>
      </c>
      <c r="H142" s="1435" t="s">
        <v>853</v>
      </c>
      <c r="I142" s="1435"/>
      <c r="J142" s="418" t="s">
        <v>814</v>
      </c>
      <c r="K142" s="419">
        <v>100</v>
      </c>
      <c r="L142" s="479">
        <f>'Ціни контур мережний'!AD13+'Ціни контур теплопостачання'!O13</f>
        <v>13</v>
      </c>
      <c r="M142" s="533" t="str">
        <f t="shared" si="20"/>
        <v>Flanged screen filter, Zetkama 821A Dn100</v>
      </c>
      <c r="N142" s="419">
        <v>1</v>
      </c>
      <c r="O142" s="480">
        <f t="shared" si="10"/>
        <v>116.48350000000001</v>
      </c>
      <c r="P142" s="480">
        <f t="shared" si="12"/>
        <v>116.48350000000001</v>
      </c>
      <c r="Q142" s="218"/>
      <c r="R142" s="275">
        <f>'Ціни контур мережний'!AF13</f>
        <v>101.29</v>
      </c>
    </row>
    <row r="143" spans="3:19" ht="15">
      <c r="C143" s="506" t="str">
        <f t="shared" si="9"/>
        <v>Flanged screen filter Zetkama</v>
      </c>
      <c r="F143" s="420" t="s">
        <v>725</v>
      </c>
      <c r="G143" s="482" t="s">
        <v>14</v>
      </c>
      <c r="H143" s="1435" t="s">
        <v>853</v>
      </c>
      <c r="I143" s="1435"/>
      <c r="J143" s="418" t="s">
        <v>814</v>
      </c>
      <c r="K143" s="419">
        <v>125</v>
      </c>
      <c r="L143" s="479">
        <f>'Ціни контур мережний'!AD14+'Ціни контур теплопостачання'!O14</f>
        <v>4</v>
      </c>
      <c r="M143" s="533" t="str">
        <f t="shared" si="20"/>
        <v>Flanged screen filter, Zetkama 821A Dn125</v>
      </c>
      <c r="N143" s="419">
        <v>1</v>
      </c>
      <c r="O143" s="480">
        <f t="shared" si="10"/>
        <v>174.71950000000001</v>
      </c>
      <c r="P143" s="480">
        <f t="shared" si="12"/>
        <v>174.71950000000001</v>
      </c>
      <c r="Q143" s="218"/>
      <c r="R143" s="275">
        <f>'Ціни контур мережний'!AF14</f>
        <v>151.93</v>
      </c>
    </row>
    <row r="144" spans="3:19" ht="15">
      <c r="C144" s="506" t="str">
        <f t="shared" ref="C144:C158" si="21">F144&amp;" "&amp;H144</f>
        <v>Flanged mud trap ENERGO-INVEST</v>
      </c>
      <c r="D144">
        <v>804</v>
      </c>
      <c r="E144" s="526" t="s">
        <v>1115</v>
      </c>
      <c r="F144" s="420" t="s">
        <v>1086</v>
      </c>
      <c r="G144" s="482" t="s">
        <v>813</v>
      </c>
      <c r="H144" s="1431" t="s">
        <v>1087</v>
      </c>
      <c r="I144" s="1432"/>
      <c r="J144" s="418" t="s">
        <v>1125</v>
      </c>
      <c r="K144" s="419">
        <v>40</v>
      </c>
      <c r="L144" s="479">
        <f>'Ціни контур мережний'!AD64</f>
        <v>30</v>
      </c>
      <c r="M144" s="533" t="str">
        <f t="shared" si="20"/>
        <v>Flanged mud trap, ENERGO-INVEST EI-FG Dn40</v>
      </c>
      <c r="N144" s="419">
        <v>1</v>
      </c>
      <c r="O144" s="480">
        <f t="shared" ref="O144:O158" si="22">R144+R144*$R$13</f>
        <v>104.35607221416362</v>
      </c>
      <c r="P144" s="480">
        <f t="shared" si="12"/>
        <v>104.35607221416362</v>
      </c>
      <c r="Q144" s="218"/>
      <c r="R144" s="275">
        <f>S144/$R$14</f>
        <v>90.744410621011838</v>
      </c>
      <c r="S144">
        <f>'Ціни контур мережний'!AF64</f>
        <v>2665</v>
      </c>
    </row>
    <row r="145" spans="3:19" ht="15">
      <c r="C145" s="506" t="str">
        <f t="shared" si="21"/>
        <v>Flanged mud trap ENERGO-INVEST</v>
      </c>
      <c r="F145" s="420" t="s">
        <v>1086</v>
      </c>
      <c r="G145" s="482" t="s">
        <v>813</v>
      </c>
      <c r="H145" s="1431" t="s">
        <v>1087</v>
      </c>
      <c r="I145" s="1432"/>
      <c r="J145" s="505" t="s">
        <v>1125</v>
      </c>
      <c r="K145" s="419">
        <v>50</v>
      </c>
      <c r="L145" s="479">
        <f>'Ціни контур мережний'!AD65</f>
        <v>48</v>
      </c>
      <c r="M145" s="533" t="str">
        <f t="shared" si="20"/>
        <v>Flanged mud trap, ENERGO-INVEST EI-FG Dn50</v>
      </c>
      <c r="N145" s="419">
        <v>2</v>
      </c>
      <c r="O145" s="480">
        <f t="shared" si="22"/>
        <v>115.04620644098037</v>
      </c>
      <c r="P145" s="480">
        <f t="shared" si="12"/>
        <v>230.09241288196074</v>
      </c>
      <c r="Q145" s="218"/>
      <c r="R145" s="275">
        <f t="shared" ref="R145:R158" si="23">S145/$R$14</f>
        <v>100.04017951389598</v>
      </c>
      <c r="S145">
        <f>'Ціни контур мережний'!AF65</f>
        <v>2938</v>
      </c>
    </row>
    <row r="146" spans="3:19" ht="15">
      <c r="C146" s="506" t="str">
        <f t="shared" si="21"/>
        <v>Flanged mud trap ENERGO-INVEST</v>
      </c>
      <c r="F146" s="420" t="s">
        <v>1086</v>
      </c>
      <c r="G146" s="482" t="s">
        <v>813</v>
      </c>
      <c r="H146" s="1431" t="s">
        <v>1087</v>
      </c>
      <c r="I146" s="1432"/>
      <c r="J146" s="505" t="s">
        <v>1125</v>
      </c>
      <c r="K146" s="419">
        <v>65</v>
      </c>
      <c r="L146" s="479">
        <f>'Ціни контур мережний'!AD66</f>
        <v>78</v>
      </c>
      <c r="M146" s="533" t="str">
        <f t="shared" si="20"/>
        <v>Flanged mud trap, ENERGO-INVEST EI-FG Dn65</v>
      </c>
      <c r="N146" s="419">
        <v>4</v>
      </c>
      <c r="O146" s="480">
        <f t="shared" si="22"/>
        <v>152.20714922943864</v>
      </c>
      <c r="P146" s="480">
        <f t="shared" si="12"/>
        <v>608.82859691775457</v>
      </c>
      <c r="Q146" s="218"/>
      <c r="R146" s="275">
        <f t="shared" si="23"/>
        <v>132.35404280820751</v>
      </c>
      <c r="S146">
        <f>'Ціни контур мережний'!AF66</f>
        <v>3887</v>
      </c>
    </row>
    <row r="147" spans="3:19" ht="15">
      <c r="C147" s="506" t="str">
        <f t="shared" si="21"/>
        <v>Flanged mud trap ENERGO-INVEST</v>
      </c>
      <c r="F147" s="420" t="s">
        <v>1086</v>
      </c>
      <c r="G147" s="482" t="s">
        <v>813</v>
      </c>
      <c r="H147" s="1431" t="s">
        <v>1087</v>
      </c>
      <c r="I147" s="1432"/>
      <c r="J147" s="505" t="s">
        <v>1125</v>
      </c>
      <c r="K147" s="419">
        <v>80</v>
      </c>
      <c r="L147" s="479">
        <f>'Ціни контур мережний'!AD67</f>
        <v>32</v>
      </c>
      <c r="M147" s="533" t="str">
        <f t="shared" si="20"/>
        <v>Flanged mud trap, ENERGO-INVEST EI-FG Dn80</v>
      </c>
      <c r="N147" s="419">
        <v>1</v>
      </c>
      <c r="O147" s="480">
        <f t="shared" si="22"/>
        <v>159.56885338563481</v>
      </c>
      <c r="P147" s="480">
        <f t="shared" ref="P147:P158" si="24">N147*O147</f>
        <v>159.56885338563481</v>
      </c>
      <c r="Q147" s="218"/>
      <c r="R147" s="275">
        <f t="shared" si="23"/>
        <v>138.7555246831607</v>
      </c>
      <c r="S147">
        <f>'Ціни контур мережний'!AF67</f>
        <v>4075</v>
      </c>
    </row>
    <row r="148" spans="3:19" ht="15">
      <c r="C148" s="506" t="str">
        <f t="shared" si="21"/>
        <v>Flanged mud trap ENERGO-INVEST</v>
      </c>
      <c r="F148" s="420" t="s">
        <v>1086</v>
      </c>
      <c r="G148" s="482" t="s">
        <v>813</v>
      </c>
      <c r="H148" s="1431" t="s">
        <v>1087</v>
      </c>
      <c r="I148" s="1432"/>
      <c r="J148" s="505" t="s">
        <v>1125</v>
      </c>
      <c r="K148" s="419">
        <v>100</v>
      </c>
      <c r="L148" s="479">
        <f>'Ціни контур мережний'!AD68</f>
        <v>16</v>
      </c>
      <c r="M148" s="533" t="str">
        <f t="shared" si="20"/>
        <v>Flanged mud trap, ENERGO-INVEST EI-FG Dn100</v>
      </c>
      <c r="N148" s="419">
        <v>1</v>
      </c>
      <c r="O148" s="480">
        <f t="shared" si="22"/>
        <v>216.62206059615502</v>
      </c>
      <c r="P148" s="480">
        <f t="shared" si="24"/>
        <v>216.62206059615502</v>
      </c>
      <c r="Q148" s="218"/>
      <c r="R148" s="275">
        <f t="shared" si="23"/>
        <v>188.36700921404784</v>
      </c>
      <c r="S148">
        <f>'Ціни контур мережний'!AF68</f>
        <v>5532</v>
      </c>
    </row>
    <row r="149" spans="3:19" ht="15">
      <c r="C149" s="506" t="str">
        <f t="shared" si="21"/>
        <v>Flanged mud trap ENERGO-INVEST</v>
      </c>
      <c r="F149" s="420" t="s">
        <v>1086</v>
      </c>
      <c r="G149" s="482" t="s">
        <v>813</v>
      </c>
      <c r="H149" s="1431" t="s">
        <v>1087</v>
      </c>
      <c r="I149" s="1432"/>
      <c r="J149" s="505" t="s">
        <v>1125</v>
      </c>
      <c r="K149" s="419">
        <v>125</v>
      </c>
      <c r="L149" s="479">
        <f>'Ціни контур мережний'!AD69</f>
        <v>2</v>
      </c>
      <c r="M149" s="533" t="str">
        <f t="shared" si="20"/>
        <v>Flanged mud trap, ENERGO-INVEST EI-FG Dn125</v>
      </c>
      <c r="N149" s="419">
        <v>1</v>
      </c>
      <c r="O149" s="480">
        <f t="shared" si="22"/>
        <v>232.63768293596473</v>
      </c>
      <c r="P149" s="480">
        <f t="shared" si="24"/>
        <v>232.63768293596473</v>
      </c>
      <c r="Q149" s="218"/>
      <c r="R149" s="275">
        <f t="shared" si="23"/>
        <v>202.2936373356215</v>
      </c>
      <c r="S149">
        <f>'Ціни контур мережний'!AF69</f>
        <v>5941</v>
      </c>
    </row>
    <row r="150" spans="3:19" ht="15">
      <c r="C150" s="506" t="str">
        <f t="shared" si="21"/>
        <v>Flanged full bore ball valve BREEZE</v>
      </c>
      <c r="D150">
        <v>804</v>
      </c>
      <c r="E150" s="526" t="s">
        <v>1115</v>
      </c>
      <c r="F150" s="420" t="s">
        <v>724</v>
      </c>
      <c r="G150" s="482" t="s">
        <v>27</v>
      </c>
      <c r="H150" s="1435" t="s">
        <v>648</v>
      </c>
      <c r="I150" s="1435"/>
      <c r="J150" s="418" t="s">
        <v>809</v>
      </c>
      <c r="K150" s="419">
        <v>20</v>
      </c>
      <c r="L150" s="479">
        <f>'Ціни контур мережний'!AD25+'Ціни контур мережний'!AD44</f>
        <v>48</v>
      </c>
      <c r="M150" s="533" t="str">
        <f t="shared" si="20"/>
        <v>Flanged full bore ball valve, BREEZE 11с36п Dn20</v>
      </c>
      <c r="N150" s="419">
        <v>3</v>
      </c>
      <c r="O150" s="480">
        <f t="shared" si="22"/>
        <v>18.607881994810711</v>
      </c>
      <c r="P150" s="480">
        <f t="shared" si="24"/>
        <v>55.823645984432133</v>
      </c>
      <c r="Q150" s="218"/>
      <c r="R150" s="275">
        <f t="shared" si="23"/>
        <v>16.180766952009314</v>
      </c>
      <c r="S150">
        <f>396*1.2</f>
        <v>475.2</v>
      </c>
    </row>
    <row r="151" spans="3:19" ht="15">
      <c r="C151" s="506" t="str">
        <f t="shared" si="21"/>
        <v>Flanged full bore ball valve BREEZE</v>
      </c>
      <c r="F151" s="420" t="s">
        <v>724</v>
      </c>
      <c r="G151" s="482" t="s">
        <v>27</v>
      </c>
      <c r="H151" s="1435" t="s">
        <v>648</v>
      </c>
      <c r="I151" s="1435"/>
      <c r="J151" s="418" t="s">
        <v>809</v>
      </c>
      <c r="K151" s="419">
        <v>25</v>
      </c>
      <c r="L151" s="479">
        <f>'Ціни контур мережний'!AD26+'Ціни контур мережний'!AD45</f>
        <v>44</v>
      </c>
      <c r="M151" s="533" t="str">
        <f t="shared" si="20"/>
        <v>Flanged full bore ball valve, BREEZE 11с36п Dn25</v>
      </c>
      <c r="N151" s="419">
        <v>2</v>
      </c>
      <c r="O151" s="480">
        <f t="shared" si="22"/>
        <v>18.983798802786684</v>
      </c>
      <c r="P151" s="480">
        <f t="shared" si="24"/>
        <v>37.967597605573367</v>
      </c>
      <c r="Q151" s="218"/>
      <c r="R151" s="275">
        <f t="shared" si="23"/>
        <v>16.507651132857987</v>
      </c>
      <c r="S151">
        <f>404*1.2</f>
        <v>484.79999999999995</v>
      </c>
    </row>
    <row r="152" spans="3:19" ht="15">
      <c r="C152" s="506" t="str">
        <f t="shared" si="21"/>
        <v>Flanged full bore ball valve BREEZE</v>
      </c>
      <c r="F152" s="420" t="s">
        <v>724</v>
      </c>
      <c r="G152" s="482" t="s">
        <v>27</v>
      </c>
      <c r="H152" s="1435" t="s">
        <v>648</v>
      </c>
      <c r="I152" s="1435"/>
      <c r="J152" s="418" t="s">
        <v>809</v>
      </c>
      <c r="K152" s="419">
        <v>32</v>
      </c>
      <c r="L152" s="479">
        <f>'Ціни контур мережний'!AD27+'Ціни контур мережний'!AD46</f>
        <v>74</v>
      </c>
      <c r="M152" s="533" t="str">
        <f t="shared" si="20"/>
        <v>Flanged full bore ball valve, BREEZE 11с36п Dn32</v>
      </c>
      <c r="N152" s="419">
        <v>4</v>
      </c>
      <c r="O152" s="480">
        <f t="shared" si="22"/>
        <v>20.58144523668458</v>
      </c>
      <c r="P152" s="480">
        <f t="shared" si="24"/>
        <v>82.32578094673832</v>
      </c>
      <c r="Q152" s="218"/>
      <c r="R152" s="275">
        <f t="shared" si="23"/>
        <v>17.896908901464851</v>
      </c>
      <c r="S152">
        <f>438*1.2</f>
        <v>525.6</v>
      </c>
    </row>
    <row r="153" spans="3:19" ht="15">
      <c r="C153" s="506" t="str">
        <f t="shared" si="21"/>
        <v>Flanged full bore ball valve BREEZE</v>
      </c>
      <c r="F153" s="420" t="s">
        <v>724</v>
      </c>
      <c r="G153" s="482" t="s">
        <v>27</v>
      </c>
      <c r="H153" s="1435" t="s">
        <v>648</v>
      </c>
      <c r="I153" s="1435"/>
      <c r="J153" s="418" t="s">
        <v>809</v>
      </c>
      <c r="K153" s="419">
        <v>40</v>
      </c>
      <c r="L153" s="479">
        <f>'Ціни контур мережний'!AD28+'Ціни контур мережний'!AD47+'Ціни контур теплопостачання'!AC9</f>
        <v>400</v>
      </c>
      <c r="M153" s="533" t="str">
        <f t="shared" si="20"/>
        <v>Flanged full bore ball valve, BREEZE 11с36п Dn40</v>
      </c>
      <c r="N153" s="419">
        <v>20</v>
      </c>
      <c r="O153" s="480">
        <f t="shared" si="22"/>
        <v>23.541790099495369</v>
      </c>
      <c r="P153" s="480">
        <f t="shared" si="24"/>
        <v>470.8358019899074</v>
      </c>
      <c r="Q153" s="218"/>
      <c r="R153" s="275">
        <f t="shared" si="23"/>
        <v>20.471121825648147</v>
      </c>
      <c r="S153">
        <f>501*1.2</f>
        <v>601.19999999999993</v>
      </c>
    </row>
    <row r="154" spans="3:19" ht="15">
      <c r="C154" s="506" t="str">
        <f t="shared" si="21"/>
        <v>Flanged full bore ball valve BREEZE</v>
      </c>
      <c r="F154" s="420" t="s">
        <v>724</v>
      </c>
      <c r="G154" s="482" t="s">
        <v>27</v>
      </c>
      <c r="H154" s="1435" t="s">
        <v>648</v>
      </c>
      <c r="I154" s="1435"/>
      <c r="J154" s="418" t="s">
        <v>809</v>
      </c>
      <c r="K154" s="419">
        <v>50</v>
      </c>
      <c r="L154" s="479">
        <f>'Ціни контур мережний'!AD29+'Ціни контур мережний'!AD48+'Ціни контур теплопостачання'!AC10</f>
        <v>459</v>
      </c>
      <c r="M154" s="533" t="str">
        <f t="shared" si="20"/>
        <v>Flanged full bore ball valve, BREEZE 11с36п Dn50</v>
      </c>
      <c r="N154" s="419">
        <v>23</v>
      </c>
      <c r="O154" s="480">
        <f t="shared" si="22"/>
        <v>29.744417431098942</v>
      </c>
      <c r="P154" s="480">
        <f t="shared" si="24"/>
        <v>684.12160091527562</v>
      </c>
      <c r="Q154" s="218"/>
      <c r="R154" s="275">
        <f t="shared" si="23"/>
        <v>25.864710809651253</v>
      </c>
      <c r="S154">
        <f>633*1.2</f>
        <v>759.6</v>
      </c>
    </row>
    <row r="155" spans="3:19" ht="15">
      <c r="C155" s="506" t="str">
        <f t="shared" si="21"/>
        <v>Flanged full bore ball valve BREEZE</v>
      </c>
      <c r="F155" s="420" t="s">
        <v>724</v>
      </c>
      <c r="G155" s="482" t="s">
        <v>27</v>
      </c>
      <c r="H155" s="1435" t="s">
        <v>648</v>
      </c>
      <c r="I155" s="1435"/>
      <c r="J155" s="418" t="s">
        <v>809</v>
      </c>
      <c r="K155" s="419">
        <v>65</v>
      </c>
      <c r="L155" s="479">
        <f>'Ціни контур мережний'!AD30+'Ціни контур мережний'!AD49+'Ціни контур теплопостачання'!AC11</f>
        <v>320</v>
      </c>
      <c r="M155" s="533" t="str">
        <f t="shared" si="20"/>
        <v>Flanged full bore ball valve, BREEZE 11с36п Dn65</v>
      </c>
      <c r="N155" s="419">
        <v>16</v>
      </c>
      <c r="O155" s="480">
        <f t="shared" si="22"/>
        <v>38.578462418534329</v>
      </c>
      <c r="P155" s="480">
        <f t="shared" si="24"/>
        <v>617.25539869654926</v>
      </c>
      <c r="Q155" s="218"/>
      <c r="R155" s="275">
        <f t="shared" si="23"/>
        <v>33.546489059595068</v>
      </c>
      <c r="S155">
        <f>821*1.2</f>
        <v>985.19999999999993</v>
      </c>
    </row>
    <row r="156" spans="3:19" ht="15">
      <c r="C156" s="506" t="str">
        <f t="shared" si="21"/>
        <v>Flanged full bore ball valve BREEZE</v>
      </c>
      <c r="F156" s="420" t="s">
        <v>724</v>
      </c>
      <c r="G156" s="482" t="s">
        <v>27</v>
      </c>
      <c r="H156" s="1435" t="s">
        <v>648</v>
      </c>
      <c r="I156" s="1435"/>
      <c r="J156" s="418" t="s">
        <v>809</v>
      </c>
      <c r="K156" s="419">
        <v>80</v>
      </c>
      <c r="L156" s="479">
        <f>'Ціни контур мережний'!AD31+'Ціни контур мережний'!AD50+'Ціни контур теплопостачання'!AC12</f>
        <v>184</v>
      </c>
      <c r="M156" s="533" t="str">
        <f t="shared" si="20"/>
        <v>Flanged full bore ball valve, BREEZE 11с36п Dn80</v>
      </c>
      <c r="N156" s="419">
        <v>9</v>
      </c>
      <c r="O156" s="480">
        <f t="shared" si="22"/>
        <v>48.164341021921665</v>
      </c>
      <c r="P156" s="480">
        <f t="shared" si="24"/>
        <v>433.47906919729496</v>
      </c>
      <c r="Q156" s="218"/>
      <c r="R156" s="275">
        <f t="shared" si="23"/>
        <v>41.882035671236231</v>
      </c>
      <c r="S156">
        <f>1025*1.2</f>
        <v>1230</v>
      </c>
    </row>
    <row r="157" spans="3:19" ht="15">
      <c r="C157" s="506" t="str">
        <f t="shared" si="21"/>
        <v>Flanged full bore ball valve BREEZE</v>
      </c>
      <c r="F157" s="420" t="s">
        <v>724</v>
      </c>
      <c r="G157" s="482" t="s">
        <v>27</v>
      </c>
      <c r="H157" s="1435" t="s">
        <v>648</v>
      </c>
      <c r="I157" s="1435"/>
      <c r="J157" s="418" t="s">
        <v>809</v>
      </c>
      <c r="K157" s="419">
        <v>100</v>
      </c>
      <c r="L157" s="479">
        <f>'Ціни контур мережний'!AD32+'Ціни контур мережний'!AD51+'Ціни контур теплопостачання'!AC13</f>
        <v>48</v>
      </c>
      <c r="M157" s="533" t="str">
        <f t="shared" si="20"/>
        <v>Flanged full bore ball valve, BREEZE 11с36п Dn100</v>
      </c>
      <c r="N157" s="419">
        <v>3</v>
      </c>
      <c r="O157" s="480">
        <f t="shared" si="22"/>
        <v>78.002737655014613</v>
      </c>
      <c r="P157" s="480">
        <f t="shared" si="24"/>
        <v>234.00821296504384</v>
      </c>
      <c r="Q157" s="218"/>
      <c r="R157" s="275">
        <f t="shared" si="23"/>
        <v>67.828467526099658</v>
      </c>
      <c r="S157">
        <f>1660*1.2</f>
        <v>1992</v>
      </c>
    </row>
    <row r="158" spans="3:19" ht="15">
      <c r="C158" s="506" t="str">
        <f t="shared" si="21"/>
        <v>Flanged full bore ball valve BREEZE</v>
      </c>
      <c r="F158" s="420" t="s">
        <v>724</v>
      </c>
      <c r="G158" s="482" t="s">
        <v>27</v>
      </c>
      <c r="H158" s="1435" t="s">
        <v>648</v>
      </c>
      <c r="I158" s="1435"/>
      <c r="J158" s="418" t="s">
        <v>809</v>
      </c>
      <c r="K158" s="419">
        <v>125</v>
      </c>
      <c r="L158" s="479">
        <f>'Ціни контур мережний'!AD33+'Ціни контур мережний'!AD52+'Ціни контур теплопостачання'!AC14</f>
        <v>14</v>
      </c>
      <c r="M158" s="533" t="str">
        <f t="shared" si="20"/>
        <v>Flanged full bore ball valve, BREEZE 11с36п Dn125</v>
      </c>
      <c r="N158" s="419">
        <v>1</v>
      </c>
      <c r="O158" s="480">
        <f t="shared" si="22"/>
        <v>114.37268882669008</v>
      </c>
      <c r="P158" s="480">
        <f t="shared" si="24"/>
        <v>114.37268882669008</v>
      </c>
      <c r="Q158" s="218"/>
      <c r="R158" s="275">
        <f t="shared" si="23"/>
        <v>99.454512023208764</v>
      </c>
      <c r="S158">
        <f>2434*1.2</f>
        <v>2920.7999999999997</v>
      </c>
    </row>
    <row r="159" spans="3:19" ht="15">
      <c r="C159" s="527" t="s">
        <v>958</v>
      </c>
      <c r="D159">
        <v>804</v>
      </c>
      <c r="E159" s="526" t="s">
        <v>1115</v>
      </c>
      <c r="F159" s="485"/>
      <c r="G159" s="414"/>
      <c r="H159" s="489"/>
      <c r="I159" s="489"/>
      <c r="J159" s="489"/>
      <c r="K159" s="489"/>
      <c r="L159" s="219"/>
      <c r="M159" s="534"/>
      <c r="N159" s="219"/>
      <c r="O159" s="219"/>
      <c r="P159" s="219"/>
      <c r="Q159" s="218"/>
    </row>
    <row r="160" spans="3:19" ht="15">
      <c r="C160" s="529" t="s">
        <v>958</v>
      </c>
      <c r="D160">
        <v>203</v>
      </c>
      <c r="E160" s="113" t="s">
        <v>1119</v>
      </c>
      <c r="G160" s="218"/>
      <c r="H160" s="490"/>
      <c r="I160" s="490"/>
      <c r="J160" s="490"/>
      <c r="K160" s="490"/>
      <c r="L160" s="218"/>
      <c r="M160" s="535"/>
      <c r="N160" s="218"/>
      <c r="O160" s="218"/>
      <c r="P160" s="218"/>
      <c r="Q160" s="218"/>
    </row>
  </sheetData>
  <autoFilter ref="B17:S160">
    <filterColumn colId="6" showButton="0"/>
  </autoFilter>
  <mergeCells count="150">
    <mergeCell ref="H113:I113"/>
    <mergeCell ref="H114:I114"/>
    <mergeCell ref="H115:I115"/>
    <mergeCell ref="H116:I116"/>
    <mergeCell ref="H157:I157"/>
    <mergeCell ref="H131:I131"/>
    <mergeCell ref="H132:I132"/>
    <mergeCell ref="H133:I133"/>
    <mergeCell ref="H135:I135"/>
    <mergeCell ref="H117:I117"/>
    <mergeCell ref="H118:I118"/>
    <mergeCell ref="H119:I119"/>
    <mergeCell ref="H128:I128"/>
    <mergeCell ref="H129:I129"/>
    <mergeCell ref="H130:I130"/>
    <mergeCell ref="H120:I120"/>
    <mergeCell ref="H121:I121"/>
    <mergeCell ref="H122:I122"/>
    <mergeCell ref="H123:I123"/>
    <mergeCell ref="H124:I124"/>
    <mergeCell ref="H125:I125"/>
    <mergeCell ref="H126:I126"/>
    <mergeCell ref="H158:I158"/>
    <mergeCell ref="J16:J17"/>
    <mergeCell ref="K16:K17"/>
    <mergeCell ref="L16:L17"/>
    <mergeCell ref="N16:N17"/>
    <mergeCell ref="H28:I28"/>
    <mergeCell ref="H29:I29"/>
    <mergeCell ref="H68:I68"/>
    <mergeCell ref="H78:I78"/>
    <mergeCell ref="H151:I151"/>
    <mergeCell ref="H152:I152"/>
    <mergeCell ref="H153:I153"/>
    <mergeCell ref="H154:I154"/>
    <mergeCell ref="H155:I155"/>
    <mergeCell ref="H156:I156"/>
    <mergeCell ref="H139:I139"/>
    <mergeCell ref="H140:I140"/>
    <mergeCell ref="H141:I141"/>
    <mergeCell ref="H142:I142"/>
    <mergeCell ref="H143:I143"/>
    <mergeCell ref="H150:I150"/>
    <mergeCell ref="H136:I136"/>
    <mergeCell ref="H108:I108"/>
    <mergeCell ref="H138:I138"/>
    <mergeCell ref="H127:I127"/>
    <mergeCell ref="H107:I107"/>
    <mergeCell ref="H89:I89"/>
    <mergeCell ref="H90:I90"/>
    <mergeCell ref="H98:I98"/>
    <mergeCell ref="H99:I99"/>
    <mergeCell ref="H100:I100"/>
    <mergeCell ref="H101:I101"/>
    <mergeCell ref="H91:I91"/>
    <mergeCell ref="H92:I92"/>
    <mergeCell ref="H93:I93"/>
    <mergeCell ref="H94:I94"/>
    <mergeCell ref="H95:I95"/>
    <mergeCell ref="H96:I96"/>
    <mergeCell ref="H97:I97"/>
    <mergeCell ref="H102:I102"/>
    <mergeCell ref="H103:I103"/>
    <mergeCell ref="H104:I104"/>
    <mergeCell ref="H105:I105"/>
    <mergeCell ref="H106:I106"/>
    <mergeCell ref="H109:I109"/>
    <mergeCell ref="H110:I110"/>
    <mergeCell ref="H111:I111"/>
    <mergeCell ref="H112:I112"/>
    <mergeCell ref="H81:I81"/>
    <mergeCell ref="H85:I85"/>
    <mergeCell ref="H86:I86"/>
    <mergeCell ref="H87:I87"/>
    <mergeCell ref="H88:I88"/>
    <mergeCell ref="H82:I82"/>
    <mergeCell ref="H83:I83"/>
    <mergeCell ref="H84:I84"/>
    <mergeCell ref="H74:I74"/>
    <mergeCell ref="H75:I75"/>
    <mergeCell ref="H76:I76"/>
    <mergeCell ref="H77:I77"/>
    <mergeCell ref="H80:I80"/>
    <mergeCell ref="H79:I79"/>
    <mergeCell ref="H69:I69"/>
    <mergeCell ref="H70:I70"/>
    <mergeCell ref="H71:I71"/>
    <mergeCell ref="H72:I72"/>
    <mergeCell ref="H73:I73"/>
    <mergeCell ref="H64:I64"/>
    <mergeCell ref="H65:I65"/>
    <mergeCell ref="H66:I66"/>
    <mergeCell ref="H67:I67"/>
    <mergeCell ref="H41:I41"/>
    <mergeCell ref="H42:I42"/>
    <mergeCell ref="H43:I43"/>
    <mergeCell ref="H58:I58"/>
    <mergeCell ref="H59:I59"/>
    <mergeCell ref="H60:I60"/>
    <mergeCell ref="H61:I61"/>
    <mergeCell ref="H62:I62"/>
    <mergeCell ref="H63:I63"/>
    <mergeCell ref="H50:I50"/>
    <mergeCell ref="H51:I51"/>
    <mergeCell ref="H52:I52"/>
    <mergeCell ref="H53:I53"/>
    <mergeCell ref="H54:I54"/>
    <mergeCell ref="H57:I57"/>
    <mergeCell ref="H55:I55"/>
    <mergeCell ref="H56:I56"/>
    <mergeCell ref="F16:F17"/>
    <mergeCell ref="G16:G17"/>
    <mergeCell ref="H16:I17"/>
    <mergeCell ref="H18:I18"/>
    <mergeCell ref="H33:I33"/>
    <mergeCell ref="H34:I34"/>
    <mergeCell ref="H35:I35"/>
    <mergeCell ref="H36:I36"/>
    <mergeCell ref="H37:I37"/>
    <mergeCell ref="H30:I30"/>
    <mergeCell ref="H31:I31"/>
    <mergeCell ref="H32:I32"/>
    <mergeCell ref="H24:I24"/>
    <mergeCell ref="H25:I25"/>
    <mergeCell ref="H26:I26"/>
    <mergeCell ref="H27:I27"/>
    <mergeCell ref="H149:I149"/>
    <mergeCell ref="O16:O17"/>
    <mergeCell ref="P16:P17"/>
    <mergeCell ref="H134:I134"/>
    <mergeCell ref="H137:I137"/>
    <mergeCell ref="H144:I144"/>
    <mergeCell ref="H145:I145"/>
    <mergeCell ref="H146:I146"/>
    <mergeCell ref="H147:I147"/>
    <mergeCell ref="H148:I148"/>
    <mergeCell ref="H19:I19"/>
    <mergeCell ref="H20:I20"/>
    <mergeCell ref="H21:I21"/>
    <mergeCell ref="H22:I22"/>
    <mergeCell ref="H23:I23"/>
    <mergeCell ref="H44:I44"/>
    <mergeCell ref="H45:I45"/>
    <mergeCell ref="H46:I46"/>
    <mergeCell ref="H47:I47"/>
    <mergeCell ref="H48:I48"/>
    <mergeCell ref="H49:I49"/>
    <mergeCell ref="H38:I38"/>
    <mergeCell ref="H39:I39"/>
    <mergeCell ref="H40:I40"/>
  </mergeCells>
  <pageMargins left="0.70866141732283472" right="0.31496062992125984" top="0.15748031496062992" bottom="0.15748031496062992" header="0.31496062992125984" footer="0.31496062992125984"/>
  <pageSetup paperSize="8" scale="5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B2:AF149"/>
  <sheetViews>
    <sheetView topLeftCell="L1" zoomScale="85" zoomScaleNormal="85" workbookViewId="0">
      <selection activeCell="C10" sqref="C10"/>
    </sheetView>
  </sheetViews>
  <sheetFormatPr defaultRowHeight="12.75"/>
  <cols>
    <col min="1" max="1" width="3.28515625" customWidth="1"/>
    <col min="2" max="2" width="9.140625" style="266"/>
    <col min="3" max="3" width="61" bestFit="1" customWidth="1"/>
    <col min="4" max="4" width="9.140625" style="266"/>
    <col min="5" max="5" width="22.140625" customWidth="1"/>
    <col min="6" max="6" width="16.42578125" style="184" customWidth="1"/>
    <col min="7" max="7" width="12.7109375" style="184" bestFit="1" customWidth="1"/>
    <col min="9" max="9" width="9.140625" style="266"/>
    <col min="10" max="10" width="72.7109375" bestFit="1" customWidth="1"/>
    <col min="11" max="11" width="9.140625" style="266"/>
    <col min="12" max="12" width="15.85546875" style="266" customWidth="1"/>
    <col min="13" max="13" width="20.7109375" style="184" customWidth="1"/>
    <col min="14" max="14" width="15.140625" style="184" customWidth="1"/>
    <col min="17" max="17" width="9.140625" style="276"/>
    <col min="18" max="18" width="58.7109375" bestFit="1" customWidth="1"/>
    <col min="19" max="19" width="54.85546875" customWidth="1"/>
    <col min="22" max="22" width="36.140625" bestFit="1" customWidth="1"/>
    <col min="24" max="24" width="14.140625" customWidth="1"/>
    <col min="26" max="26" width="2.28515625" customWidth="1"/>
    <col min="28" max="28" width="13.28515625" customWidth="1"/>
    <col min="29" max="29" width="13.7109375" style="275" customWidth="1"/>
  </cols>
  <sheetData>
    <row r="2" spans="2:32">
      <c r="R2" s="113" t="s">
        <v>670</v>
      </c>
      <c r="S2" s="215" t="s">
        <v>682</v>
      </c>
    </row>
    <row r="3" spans="2:32">
      <c r="R3" s="113" t="s">
        <v>671</v>
      </c>
      <c r="S3" s="113" t="s">
        <v>675</v>
      </c>
    </row>
    <row r="4" spans="2:32">
      <c r="R4" s="113" t="s">
        <v>672</v>
      </c>
      <c r="S4" s="113" t="s">
        <v>675</v>
      </c>
    </row>
    <row r="5" spans="2:32">
      <c r="R5" s="113" t="s">
        <v>673</v>
      </c>
      <c r="S5" s="113" t="s">
        <v>675</v>
      </c>
    </row>
    <row r="6" spans="2:32">
      <c r="R6" s="113" t="s">
        <v>674</v>
      </c>
      <c r="S6" s="113" t="s">
        <v>675</v>
      </c>
    </row>
    <row r="7" spans="2:32">
      <c r="R7" s="113" t="s">
        <v>676</v>
      </c>
      <c r="S7" s="113" t="s">
        <v>680</v>
      </c>
    </row>
    <row r="8" spans="2:32">
      <c r="R8" s="113" t="s">
        <v>677</v>
      </c>
      <c r="S8" s="113" t="s">
        <v>680</v>
      </c>
    </row>
    <row r="9" spans="2:32">
      <c r="R9" s="113" t="s">
        <v>678</v>
      </c>
      <c r="S9" s="113" t="s">
        <v>680</v>
      </c>
    </row>
    <row r="10" spans="2:32">
      <c r="R10" s="113" t="s">
        <v>679</v>
      </c>
      <c r="S10" s="113" t="s">
        <v>680</v>
      </c>
    </row>
    <row r="12" spans="2:32">
      <c r="R12" s="113" t="s">
        <v>681</v>
      </c>
      <c r="S12" s="113" t="s">
        <v>683</v>
      </c>
    </row>
    <row r="15" spans="2:32" ht="13.5" thickBot="1">
      <c r="B15" s="1468" t="s">
        <v>689</v>
      </c>
      <c r="C15" s="1468" t="s">
        <v>711</v>
      </c>
      <c r="D15" s="1468" t="s">
        <v>9</v>
      </c>
      <c r="E15" s="1466" t="s">
        <v>754</v>
      </c>
      <c r="F15" s="1467"/>
      <c r="G15" s="291" t="s">
        <v>755</v>
      </c>
      <c r="I15" s="1470" t="s">
        <v>687</v>
      </c>
      <c r="J15" s="1470" t="s">
        <v>688</v>
      </c>
      <c r="K15" s="1470" t="s">
        <v>607</v>
      </c>
      <c r="L15" s="1471" t="s">
        <v>722</v>
      </c>
      <c r="M15" s="1471"/>
      <c r="N15" s="291" t="s">
        <v>685</v>
      </c>
      <c r="S15" s="219"/>
      <c r="T15" s="219"/>
      <c r="U15" s="219"/>
      <c r="V15" s="219"/>
      <c r="W15" s="235"/>
      <c r="X15" s="229"/>
      <c r="Y15" s="219"/>
      <c r="Z15" s="219"/>
      <c r="AA15" s="259"/>
      <c r="AC15" s="275" t="e">
        <f>#REF!</f>
        <v>#REF!</v>
      </c>
    </row>
    <row r="16" spans="2:32" ht="51.75">
      <c r="B16" s="1469"/>
      <c r="C16" s="1469"/>
      <c r="D16" s="1469"/>
      <c r="E16" s="288" t="s">
        <v>709</v>
      </c>
      <c r="F16" s="292" t="s">
        <v>712</v>
      </c>
      <c r="G16" s="291" t="s">
        <v>713</v>
      </c>
      <c r="I16" s="1470"/>
      <c r="J16" s="1470"/>
      <c r="K16" s="1470"/>
      <c r="L16" s="190" t="s">
        <v>720</v>
      </c>
      <c r="M16" s="293" t="s">
        <v>719</v>
      </c>
      <c r="N16" s="293" t="s">
        <v>721</v>
      </c>
      <c r="O16" s="202"/>
      <c r="Q16" s="217" t="s">
        <v>684</v>
      </c>
      <c r="R16" s="1470" t="s">
        <v>688</v>
      </c>
      <c r="S16" s="1465" t="s">
        <v>710</v>
      </c>
      <c r="T16" s="1463" t="s">
        <v>20</v>
      </c>
      <c r="U16" s="1463"/>
      <c r="V16" s="286" t="s">
        <v>3</v>
      </c>
      <c r="W16" s="224" t="s">
        <v>22</v>
      </c>
      <c r="X16" s="240" t="s">
        <v>7</v>
      </c>
      <c r="Y16" s="221" t="s">
        <v>9</v>
      </c>
      <c r="Z16" s="218"/>
      <c r="AA16" s="277" t="s">
        <v>694</v>
      </c>
      <c r="AB16" s="277" t="s">
        <v>759</v>
      </c>
      <c r="AC16" s="289" t="s">
        <v>696</v>
      </c>
      <c r="AD16" s="277" t="s">
        <v>695</v>
      </c>
      <c r="AF16" s="277" t="s">
        <v>697</v>
      </c>
    </row>
    <row r="17" spans="2:32" ht="15">
      <c r="B17" s="287">
        <v>1</v>
      </c>
      <c r="C17" s="287">
        <v>2</v>
      </c>
      <c r="D17" s="287">
        <v>3</v>
      </c>
      <c r="E17" s="287">
        <v>4</v>
      </c>
      <c r="F17" s="287">
        <v>5</v>
      </c>
      <c r="G17" s="287">
        <v>6</v>
      </c>
      <c r="I17" s="287">
        <v>1</v>
      </c>
      <c r="J17" s="287">
        <v>2</v>
      </c>
      <c r="K17" s="287">
        <v>3</v>
      </c>
      <c r="L17" s="287">
        <v>4</v>
      </c>
      <c r="M17" s="287">
        <v>5</v>
      </c>
      <c r="N17" s="287">
        <v>6</v>
      </c>
      <c r="R17" s="1470"/>
      <c r="S17" s="1464"/>
      <c r="T17" s="1464"/>
      <c r="U17" s="1464"/>
      <c r="V17" s="220" t="s">
        <v>24</v>
      </c>
      <c r="W17" s="225" t="s">
        <v>2</v>
      </c>
      <c r="X17" s="280" t="s">
        <v>651</v>
      </c>
      <c r="Y17" s="222" t="s">
        <v>93</v>
      </c>
      <c r="Z17" s="218"/>
      <c r="AA17" s="218"/>
    </row>
    <row r="18" spans="2:32" ht="15">
      <c r="B18" s="161">
        <v>1</v>
      </c>
      <c r="C18" s="162" t="str">
        <f t="shared" ref="C18:C46" si="0">S18&amp;" "&amp;T18&amp;" "&amp;V18&amp;" "&amp;"Dn"&amp;" "&amp;W18</f>
        <v>Фільтр муфтовий  IVR 924 Dn 20</v>
      </c>
      <c r="D18" s="161">
        <f>Q18</f>
        <v>1</v>
      </c>
      <c r="E18" s="51" t="s">
        <v>115</v>
      </c>
      <c r="F18" s="189" t="e">
        <f>AC18</f>
        <v>#REF!</v>
      </c>
      <c r="G18" s="189" t="e">
        <f>F18*D18</f>
        <v>#REF!</v>
      </c>
      <c r="I18" s="161">
        <f>B18</f>
        <v>1</v>
      </c>
      <c r="J18" s="162" t="str">
        <f t="shared" ref="J18:J46" si="1">R18&amp;" "&amp;T18&amp;" "&amp;V18&amp;" "&amp;"Dn"&amp;W18</f>
        <v>Threaded screen filter IVR 924 Dn20</v>
      </c>
      <c r="K18" s="161">
        <f>D18</f>
        <v>1</v>
      </c>
      <c r="L18" s="161" t="str">
        <f>E18</f>
        <v>-</v>
      </c>
      <c r="M18" s="189" t="e">
        <f t="shared" ref="M18:N33" si="2">F18</f>
        <v>#REF!</v>
      </c>
      <c r="N18" s="189" t="e">
        <f t="shared" si="2"/>
        <v>#REF!</v>
      </c>
      <c r="Q18" s="307">
        <f t="shared" ref="Q18:Q22" si="3">ROUNDUP(Y18*0.02,0)</f>
        <v>1</v>
      </c>
      <c r="R18" s="162" t="s">
        <v>750</v>
      </c>
      <c r="S18" s="268" t="s">
        <v>12</v>
      </c>
      <c r="T18" s="1450" t="s">
        <v>715</v>
      </c>
      <c r="U18" s="1450"/>
      <c r="V18" s="226" t="s">
        <v>11</v>
      </c>
      <c r="W18" s="227">
        <v>20</v>
      </c>
      <c r="X18" s="281">
        <v>3.3600000000000003</v>
      </c>
      <c r="Y18" s="223">
        <v>3</v>
      </c>
      <c r="Z18" s="218"/>
      <c r="AA18" s="262">
        <f t="shared" ref="AA18:AA49" si="4">AB18*X18</f>
        <v>3.3600000000000003</v>
      </c>
      <c r="AB18" s="218">
        <v>1</v>
      </c>
      <c r="AC18" s="275" t="e">
        <f>AD18/$AC$15</f>
        <v>#REF!</v>
      </c>
      <c r="AD18" s="62">
        <v>97.12</v>
      </c>
      <c r="AF18">
        <v>2</v>
      </c>
    </row>
    <row r="19" spans="2:32" ht="15">
      <c r="B19" s="161">
        <f>B18+1</f>
        <v>2</v>
      </c>
      <c r="C19" s="162" t="str">
        <f t="shared" si="0"/>
        <v>Фільтр муфтовий  IVR 924 Dn 25</v>
      </c>
      <c r="D19" s="161">
        <f t="shared" ref="D19:D82" si="5">Q19</f>
        <v>6</v>
      </c>
      <c r="E19" s="51" t="s">
        <v>115</v>
      </c>
      <c r="F19" s="189" t="e">
        <f t="shared" ref="F19:F82" si="6">AC19</f>
        <v>#REF!</v>
      </c>
      <c r="G19" s="189" t="e">
        <f t="shared" ref="G19:G82" si="7">F19*D19</f>
        <v>#REF!</v>
      </c>
      <c r="I19" s="161">
        <f t="shared" ref="I19:I82" si="8">B19</f>
        <v>2</v>
      </c>
      <c r="J19" s="162" t="str">
        <f t="shared" si="1"/>
        <v>Threaded screen filter IVR 924 Dn25</v>
      </c>
      <c r="K19" s="161">
        <f t="shared" ref="K19:K82" si="9">D19</f>
        <v>6</v>
      </c>
      <c r="L19" s="161" t="str">
        <f t="shared" ref="L19:L82" si="10">E19</f>
        <v>-</v>
      </c>
      <c r="M19" s="189" t="e">
        <f t="shared" si="2"/>
        <v>#REF!</v>
      </c>
      <c r="N19" s="189" t="e">
        <f t="shared" si="2"/>
        <v>#REF!</v>
      </c>
      <c r="Q19" s="307">
        <f t="shared" si="3"/>
        <v>6</v>
      </c>
      <c r="R19" s="162" t="s">
        <v>750</v>
      </c>
      <c r="S19" s="268" t="s">
        <v>12</v>
      </c>
      <c r="T19" s="1450" t="s">
        <v>715</v>
      </c>
      <c r="U19" s="1450"/>
      <c r="V19" s="226" t="s">
        <v>11</v>
      </c>
      <c r="W19" s="227">
        <v>25</v>
      </c>
      <c r="X19" s="281">
        <v>4.6080000000000005</v>
      </c>
      <c r="Y19" s="223">
        <v>275</v>
      </c>
      <c r="Z19" s="218"/>
      <c r="AA19" s="262">
        <f t="shared" si="4"/>
        <v>4.6080000000000005</v>
      </c>
      <c r="AB19" s="218">
        <v>1</v>
      </c>
      <c r="AC19" s="275" t="e">
        <f t="shared" ref="AC19:AC21" si="11">AD19/$AC$15</f>
        <v>#REF!</v>
      </c>
      <c r="AD19" s="62">
        <v>135.88</v>
      </c>
      <c r="AF19" s="201">
        <v>27.7</v>
      </c>
    </row>
    <row r="20" spans="2:32" ht="15">
      <c r="B20" s="161">
        <f t="shared" ref="B20:B83" si="12">B19+1</f>
        <v>3</v>
      </c>
      <c r="C20" s="162" t="str">
        <f t="shared" si="0"/>
        <v>Фільтр муфтовий  IVR 924 Dn 32</v>
      </c>
      <c r="D20" s="161">
        <f t="shared" si="5"/>
        <v>3</v>
      </c>
      <c r="E20" s="51" t="s">
        <v>115</v>
      </c>
      <c r="F20" s="189" t="e">
        <f t="shared" si="6"/>
        <v>#REF!</v>
      </c>
      <c r="G20" s="189" t="e">
        <f t="shared" si="7"/>
        <v>#REF!</v>
      </c>
      <c r="I20" s="161">
        <f t="shared" si="8"/>
        <v>3</v>
      </c>
      <c r="J20" s="162" t="str">
        <f t="shared" si="1"/>
        <v>Threaded screen filter IVR 924 Dn32</v>
      </c>
      <c r="K20" s="161">
        <f t="shared" si="9"/>
        <v>3</v>
      </c>
      <c r="L20" s="161" t="str">
        <f t="shared" si="10"/>
        <v>-</v>
      </c>
      <c r="M20" s="189" t="e">
        <f t="shared" si="2"/>
        <v>#REF!</v>
      </c>
      <c r="N20" s="189" t="e">
        <f t="shared" si="2"/>
        <v>#REF!</v>
      </c>
      <c r="Q20" s="307">
        <f t="shared" si="3"/>
        <v>3</v>
      </c>
      <c r="R20" s="162" t="s">
        <v>750</v>
      </c>
      <c r="S20" s="268" t="s">
        <v>12</v>
      </c>
      <c r="T20" s="1450" t="s">
        <v>715</v>
      </c>
      <c r="U20" s="1450"/>
      <c r="V20" s="226" t="s">
        <v>11</v>
      </c>
      <c r="W20" s="227">
        <v>32</v>
      </c>
      <c r="X20" s="281">
        <v>9.1298360655737714</v>
      </c>
      <c r="Y20" s="223">
        <v>118</v>
      </c>
      <c r="Z20" s="218"/>
      <c r="AA20" s="262">
        <f t="shared" si="4"/>
        <v>9.1298360655737714</v>
      </c>
      <c r="AB20" s="218">
        <v>1</v>
      </c>
      <c r="AC20" s="275" t="e">
        <f t="shared" si="11"/>
        <v>#REF!</v>
      </c>
      <c r="AD20" s="62">
        <v>267.75</v>
      </c>
      <c r="AF20" s="201">
        <v>13</v>
      </c>
    </row>
    <row r="21" spans="2:32" ht="15">
      <c r="B21" s="161">
        <f t="shared" si="12"/>
        <v>4</v>
      </c>
      <c r="C21" s="162" t="str">
        <f t="shared" si="0"/>
        <v>Фільтр муфтовий  IVR 924 Dn 40</v>
      </c>
      <c r="D21" s="161">
        <f t="shared" si="5"/>
        <v>3</v>
      </c>
      <c r="E21" s="51" t="s">
        <v>115</v>
      </c>
      <c r="F21" s="189" t="e">
        <f t="shared" si="6"/>
        <v>#REF!</v>
      </c>
      <c r="G21" s="189" t="e">
        <f t="shared" si="7"/>
        <v>#REF!</v>
      </c>
      <c r="I21" s="161">
        <f t="shared" si="8"/>
        <v>4</v>
      </c>
      <c r="J21" s="162" t="str">
        <f t="shared" si="1"/>
        <v>Threaded screen filter IVR 924 Dn40</v>
      </c>
      <c r="K21" s="161">
        <f t="shared" si="9"/>
        <v>3</v>
      </c>
      <c r="L21" s="161" t="str">
        <f t="shared" si="10"/>
        <v>-</v>
      </c>
      <c r="M21" s="189" t="e">
        <f t="shared" si="2"/>
        <v>#REF!</v>
      </c>
      <c r="N21" s="189" t="e">
        <f t="shared" si="2"/>
        <v>#REF!</v>
      </c>
      <c r="Q21" s="307">
        <f t="shared" si="3"/>
        <v>3</v>
      </c>
      <c r="R21" s="162" t="s">
        <v>750</v>
      </c>
      <c r="S21" s="268" t="s">
        <v>12</v>
      </c>
      <c r="T21" s="1450" t="s">
        <v>715</v>
      </c>
      <c r="U21" s="1450"/>
      <c r="V21" s="226" t="s">
        <v>11</v>
      </c>
      <c r="W21" s="227">
        <v>40</v>
      </c>
      <c r="X21" s="281">
        <v>11.616</v>
      </c>
      <c r="Y21" s="223">
        <v>131</v>
      </c>
      <c r="Z21" s="218"/>
      <c r="AA21" s="262">
        <f t="shared" si="4"/>
        <v>11.616</v>
      </c>
      <c r="AB21" s="218">
        <v>1</v>
      </c>
      <c r="AC21" s="275" t="e">
        <f t="shared" si="11"/>
        <v>#REF!</v>
      </c>
      <c r="AD21" s="146">
        <v>341.7</v>
      </c>
      <c r="AF21" s="201">
        <v>13.9</v>
      </c>
    </row>
    <row r="22" spans="2:32" ht="15">
      <c r="B22" s="161">
        <f t="shared" si="12"/>
        <v>5</v>
      </c>
      <c r="C22" s="162" t="str">
        <f t="shared" si="0"/>
        <v>Клапан зворотній муфтовий IVR 999/H Dn 20</v>
      </c>
      <c r="D22" s="161">
        <f t="shared" si="5"/>
        <v>1</v>
      </c>
      <c r="E22" s="51" t="s">
        <v>115</v>
      </c>
      <c r="F22" s="189">
        <f t="shared" si="6"/>
        <v>5.4</v>
      </c>
      <c r="G22" s="189">
        <f t="shared" si="7"/>
        <v>5.4</v>
      </c>
      <c r="I22" s="161">
        <f t="shared" si="8"/>
        <v>5</v>
      </c>
      <c r="J22" s="162" t="str">
        <f t="shared" si="1"/>
        <v>Threaded check valve IVR 999/H Dn20</v>
      </c>
      <c r="K22" s="161">
        <f t="shared" si="9"/>
        <v>1</v>
      </c>
      <c r="L22" s="161" t="str">
        <f t="shared" si="10"/>
        <v>-</v>
      </c>
      <c r="M22" s="189">
        <f t="shared" si="2"/>
        <v>5.4</v>
      </c>
      <c r="N22" s="189">
        <f t="shared" si="2"/>
        <v>5.4</v>
      </c>
      <c r="Q22" s="307">
        <f t="shared" si="3"/>
        <v>1</v>
      </c>
      <c r="R22" s="297" t="s">
        <v>734</v>
      </c>
      <c r="S22" s="268" t="s">
        <v>29</v>
      </c>
      <c r="T22" s="1450" t="s">
        <v>715</v>
      </c>
      <c r="U22" s="1450"/>
      <c r="V22" s="226" t="s">
        <v>30</v>
      </c>
      <c r="W22" s="227">
        <v>20</v>
      </c>
      <c r="X22" s="281">
        <v>4.4927213114754094</v>
      </c>
      <c r="Y22" s="232">
        <v>2</v>
      </c>
      <c r="Z22" s="218"/>
      <c r="AA22" s="262">
        <f t="shared" si="4"/>
        <v>4.4927213114754094</v>
      </c>
      <c r="AB22" s="218">
        <v>1</v>
      </c>
      <c r="AC22" s="275">
        <v>5.4</v>
      </c>
      <c r="AF22">
        <v>11.5</v>
      </c>
    </row>
    <row r="23" spans="2:32" ht="15">
      <c r="B23" s="161">
        <f t="shared" si="12"/>
        <v>6</v>
      </c>
      <c r="C23" s="162" t="str">
        <f t="shared" si="0"/>
        <v>Клапан зворотній муфтовий IVR 999/H Dn 25</v>
      </c>
      <c r="D23" s="161">
        <f t="shared" si="5"/>
        <v>28</v>
      </c>
      <c r="E23" s="51" t="s">
        <v>115</v>
      </c>
      <c r="F23" s="189">
        <f t="shared" si="6"/>
        <v>8.27</v>
      </c>
      <c r="G23" s="189">
        <f t="shared" si="7"/>
        <v>231.56</v>
      </c>
      <c r="I23" s="161">
        <f t="shared" si="8"/>
        <v>6</v>
      </c>
      <c r="J23" s="162" t="str">
        <f t="shared" si="1"/>
        <v>Threaded check valve IVR 999/H Dn25</v>
      </c>
      <c r="K23" s="161">
        <f t="shared" si="9"/>
        <v>28</v>
      </c>
      <c r="L23" s="161" t="str">
        <f t="shared" si="10"/>
        <v>-</v>
      </c>
      <c r="M23" s="189">
        <f t="shared" si="2"/>
        <v>8.27</v>
      </c>
      <c r="N23" s="189">
        <f t="shared" si="2"/>
        <v>231.56</v>
      </c>
      <c r="Q23" s="276">
        <f t="shared" ref="Q23:Q82" si="13">AB23</f>
        <v>28</v>
      </c>
      <c r="R23" s="297" t="s">
        <v>734</v>
      </c>
      <c r="S23" s="268" t="s">
        <v>29</v>
      </c>
      <c r="T23" s="1450" t="s">
        <v>715</v>
      </c>
      <c r="U23" s="1450"/>
      <c r="V23" s="226" t="s">
        <v>30</v>
      </c>
      <c r="W23" s="227">
        <v>25</v>
      </c>
      <c r="X23" s="281">
        <v>6.9119999999999999</v>
      </c>
      <c r="Y23" s="232">
        <v>275</v>
      </c>
      <c r="Z23" s="218"/>
      <c r="AA23" s="262">
        <f t="shared" si="4"/>
        <v>193.536</v>
      </c>
      <c r="AB23" s="218">
        <v>28</v>
      </c>
      <c r="AC23" s="275">
        <v>8.27</v>
      </c>
      <c r="AF23">
        <v>29</v>
      </c>
    </row>
    <row r="24" spans="2:32" ht="15">
      <c r="B24" s="161">
        <f t="shared" si="12"/>
        <v>7</v>
      </c>
      <c r="C24" s="162" t="str">
        <f t="shared" si="0"/>
        <v>Клапан зворотній муфтовий IVR 999/H Dn 32</v>
      </c>
      <c r="D24" s="161">
        <f t="shared" si="5"/>
        <v>42</v>
      </c>
      <c r="E24" s="51" t="s">
        <v>115</v>
      </c>
      <c r="F24" s="189">
        <f t="shared" si="6"/>
        <v>12.74</v>
      </c>
      <c r="G24" s="189">
        <f t="shared" si="7"/>
        <v>535.08000000000004</v>
      </c>
      <c r="I24" s="161">
        <f t="shared" si="8"/>
        <v>7</v>
      </c>
      <c r="J24" s="162" t="str">
        <f t="shared" si="1"/>
        <v>Threaded check valve IVR 999/H Dn32</v>
      </c>
      <c r="K24" s="161">
        <f t="shared" si="9"/>
        <v>42</v>
      </c>
      <c r="L24" s="161" t="str">
        <f t="shared" si="10"/>
        <v>-</v>
      </c>
      <c r="M24" s="189">
        <f t="shared" si="2"/>
        <v>12.74</v>
      </c>
      <c r="N24" s="189">
        <f t="shared" si="2"/>
        <v>535.08000000000004</v>
      </c>
      <c r="Q24" s="276">
        <f t="shared" si="13"/>
        <v>42</v>
      </c>
      <c r="R24" s="297" t="s">
        <v>734</v>
      </c>
      <c r="S24" s="268" t="s">
        <v>29</v>
      </c>
      <c r="T24" s="1450" t="s">
        <v>715</v>
      </c>
      <c r="U24" s="1450"/>
      <c r="V24" s="226" t="s">
        <v>30</v>
      </c>
      <c r="W24" s="227">
        <v>32</v>
      </c>
      <c r="X24" s="281">
        <v>10.655999999999999</v>
      </c>
      <c r="Y24" s="239">
        <v>415</v>
      </c>
      <c r="Z24" s="218"/>
      <c r="AA24" s="262">
        <f t="shared" si="4"/>
        <v>447.55199999999996</v>
      </c>
      <c r="AB24" s="218">
        <v>42</v>
      </c>
      <c r="AC24" s="275">
        <v>12.74</v>
      </c>
      <c r="AF24">
        <v>14</v>
      </c>
    </row>
    <row r="25" spans="2:32" ht="15">
      <c r="B25" s="161">
        <f t="shared" si="12"/>
        <v>8</v>
      </c>
      <c r="C25" s="162" t="str">
        <f t="shared" si="0"/>
        <v>Клапан зворотній муфтовий IVR 999/H Dn 40</v>
      </c>
      <c r="D25" s="161">
        <f t="shared" si="5"/>
        <v>14</v>
      </c>
      <c r="E25" s="51" t="s">
        <v>115</v>
      </c>
      <c r="F25" s="189">
        <f t="shared" si="6"/>
        <v>17.57</v>
      </c>
      <c r="G25" s="189">
        <f t="shared" si="7"/>
        <v>245.98000000000002</v>
      </c>
      <c r="I25" s="161">
        <f t="shared" si="8"/>
        <v>8</v>
      </c>
      <c r="J25" s="162" t="str">
        <f t="shared" si="1"/>
        <v>Threaded check valve IVR 999/H Dn40</v>
      </c>
      <c r="K25" s="161">
        <f t="shared" si="9"/>
        <v>14</v>
      </c>
      <c r="L25" s="161" t="str">
        <f t="shared" si="10"/>
        <v>-</v>
      </c>
      <c r="M25" s="189">
        <f t="shared" si="2"/>
        <v>17.57</v>
      </c>
      <c r="N25" s="189">
        <f t="shared" si="2"/>
        <v>245.98000000000002</v>
      </c>
      <c r="Q25" s="276">
        <f t="shared" si="13"/>
        <v>14</v>
      </c>
      <c r="R25" s="297" t="s">
        <v>734</v>
      </c>
      <c r="S25" s="268" t="s">
        <v>29</v>
      </c>
      <c r="T25" s="1450" t="s">
        <v>715</v>
      </c>
      <c r="U25" s="1450"/>
      <c r="V25" s="226" t="s">
        <v>30</v>
      </c>
      <c r="W25" s="227">
        <v>40</v>
      </c>
      <c r="X25" s="281">
        <v>14.630557377049179</v>
      </c>
      <c r="Y25" s="232">
        <v>137</v>
      </c>
      <c r="Z25" s="218"/>
      <c r="AA25" s="262">
        <f t="shared" si="4"/>
        <v>204.82780327868852</v>
      </c>
      <c r="AB25" s="218">
        <v>14</v>
      </c>
      <c r="AC25" s="275">
        <v>17.57</v>
      </c>
      <c r="AF25">
        <v>17.899999999999999</v>
      </c>
    </row>
    <row r="26" spans="2:32" ht="15">
      <c r="B26" s="161">
        <f t="shared" si="12"/>
        <v>9</v>
      </c>
      <c r="C26" s="162" t="str">
        <f t="shared" si="0"/>
        <v>Клапан зворотній міжфланцевий IVR 656 Dn 50</v>
      </c>
      <c r="D26" s="161">
        <f t="shared" si="5"/>
        <v>16</v>
      </c>
      <c r="E26" s="51" t="s">
        <v>115</v>
      </c>
      <c r="F26" s="189">
        <f t="shared" si="6"/>
        <v>33.799999999999997</v>
      </c>
      <c r="G26" s="189">
        <f t="shared" si="7"/>
        <v>540.79999999999995</v>
      </c>
      <c r="I26" s="161">
        <f t="shared" si="8"/>
        <v>9</v>
      </c>
      <c r="J26" s="162" t="str">
        <f t="shared" si="1"/>
        <v>Flanged check valve IVR 656 Dn50</v>
      </c>
      <c r="K26" s="161">
        <f t="shared" si="9"/>
        <v>16</v>
      </c>
      <c r="L26" s="161" t="str">
        <f t="shared" si="10"/>
        <v>-</v>
      </c>
      <c r="M26" s="189">
        <f t="shared" si="2"/>
        <v>33.799999999999997</v>
      </c>
      <c r="N26" s="189">
        <f t="shared" si="2"/>
        <v>540.79999999999995</v>
      </c>
      <c r="Q26" s="276">
        <f t="shared" si="13"/>
        <v>16</v>
      </c>
      <c r="R26" s="297" t="s">
        <v>751</v>
      </c>
      <c r="S26" s="268" t="s">
        <v>31</v>
      </c>
      <c r="T26" s="1450" t="s">
        <v>715</v>
      </c>
      <c r="U26" s="1450"/>
      <c r="V26" s="227">
        <v>656</v>
      </c>
      <c r="W26" s="227">
        <v>50</v>
      </c>
      <c r="X26" s="281">
        <v>28.157114754098359</v>
      </c>
      <c r="Y26" s="232">
        <v>163</v>
      </c>
      <c r="Z26" s="218"/>
      <c r="AA26" s="262">
        <f t="shared" si="4"/>
        <v>450.51383606557374</v>
      </c>
      <c r="AB26" s="218">
        <v>16</v>
      </c>
      <c r="AC26" s="275">
        <v>33.799999999999997</v>
      </c>
      <c r="AD26" s="62">
        <v>801.9</v>
      </c>
      <c r="AF26" s="201">
        <v>15.5</v>
      </c>
    </row>
    <row r="27" spans="2:32" ht="15">
      <c r="B27" s="161">
        <f t="shared" si="12"/>
        <v>10</v>
      </c>
      <c r="C27" s="162" t="str">
        <f t="shared" si="0"/>
        <v>Клапан зворотній міжфланцевий IVR 656 Dn 65</v>
      </c>
      <c r="D27" s="161">
        <f t="shared" si="5"/>
        <v>7</v>
      </c>
      <c r="E27" s="51" t="s">
        <v>115</v>
      </c>
      <c r="F27" s="189">
        <f t="shared" si="6"/>
        <v>49.8</v>
      </c>
      <c r="G27" s="189">
        <f t="shared" si="7"/>
        <v>348.59999999999997</v>
      </c>
      <c r="I27" s="161">
        <f t="shared" si="8"/>
        <v>10</v>
      </c>
      <c r="J27" s="162" t="str">
        <f t="shared" si="1"/>
        <v>Flanged check valve IVR 656 Dn65</v>
      </c>
      <c r="K27" s="161">
        <f t="shared" si="9"/>
        <v>7</v>
      </c>
      <c r="L27" s="161" t="str">
        <f t="shared" si="10"/>
        <v>-</v>
      </c>
      <c r="M27" s="189">
        <f t="shared" si="2"/>
        <v>49.8</v>
      </c>
      <c r="N27" s="189">
        <f t="shared" si="2"/>
        <v>348.59999999999997</v>
      </c>
      <c r="Q27" s="276">
        <f t="shared" si="13"/>
        <v>7</v>
      </c>
      <c r="R27" s="297" t="s">
        <v>751</v>
      </c>
      <c r="S27" s="268" t="s">
        <v>31</v>
      </c>
      <c r="T27" s="1450" t="s">
        <v>715</v>
      </c>
      <c r="U27" s="1450"/>
      <c r="V27" s="227">
        <v>656</v>
      </c>
      <c r="W27" s="227">
        <v>65</v>
      </c>
      <c r="X27" s="281">
        <v>41.452721311475408</v>
      </c>
      <c r="Y27" s="232">
        <v>65</v>
      </c>
      <c r="Z27" s="218"/>
      <c r="AA27" s="262">
        <f t="shared" si="4"/>
        <v>290.16904918032787</v>
      </c>
      <c r="AB27" s="218">
        <v>7</v>
      </c>
      <c r="AC27" s="275">
        <v>49.8</v>
      </c>
      <c r="AD27" s="62">
        <v>1183.25</v>
      </c>
      <c r="AF27" s="201">
        <v>3.8</v>
      </c>
    </row>
    <row r="28" spans="2:32" ht="15">
      <c r="B28" s="161">
        <f t="shared" si="12"/>
        <v>11</v>
      </c>
      <c r="C28" s="162" t="str">
        <f t="shared" si="0"/>
        <v>Клапан зворотній міжфланцевий IVR 656 Dn 80</v>
      </c>
      <c r="D28" s="161">
        <f t="shared" si="5"/>
        <v>2</v>
      </c>
      <c r="E28" s="51" t="s">
        <v>115</v>
      </c>
      <c r="F28" s="189">
        <f t="shared" si="6"/>
        <v>71.099999999999994</v>
      </c>
      <c r="G28" s="189">
        <f t="shared" si="7"/>
        <v>142.19999999999999</v>
      </c>
      <c r="I28" s="161">
        <f t="shared" si="8"/>
        <v>11</v>
      </c>
      <c r="J28" s="162" t="str">
        <f t="shared" si="1"/>
        <v>Flanged check valve IVR 656 Dn80</v>
      </c>
      <c r="K28" s="161">
        <f t="shared" si="9"/>
        <v>2</v>
      </c>
      <c r="L28" s="161" t="str">
        <f t="shared" si="10"/>
        <v>-</v>
      </c>
      <c r="M28" s="189">
        <f t="shared" si="2"/>
        <v>71.099999999999994</v>
      </c>
      <c r="N28" s="189">
        <f t="shared" si="2"/>
        <v>142.19999999999999</v>
      </c>
      <c r="Q28" s="276">
        <f t="shared" si="13"/>
        <v>2</v>
      </c>
      <c r="R28" s="297" t="s">
        <v>751</v>
      </c>
      <c r="S28" s="268" t="s">
        <v>31</v>
      </c>
      <c r="T28" s="1450" t="s">
        <v>715</v>
      </c>
      <c r="U28" s="1450"/>
      <c r="V28" s="227">
        <v>656</v>
      </c>
      <c r="W28" s="227">
        <v>80</v>
      </c>
      <c r="X28" s="281">
        <v>59.231999999999999</v>
      </c>
      <c r="Y28" s="232">
        <v>19</v>
      </c>
      <c r="Z28" s="218"/>
      <c r="AA28" s="262">
        <f t="shared" si="4"/>
        <v>118.464</v>
      </c>
      <c r="AB28" s="218">
        <v>2</v>
      </c>
      <c r="AC28" s="275">
        <v>71.099999999999994</v>
      </c>
      <c r="AD28" s="62">
        <v>1687.55</v>
      </c>
      <c r="AF28" s="201">
        <v>3</v>
      </c>
    </row>
    <row r="29" spans="2:32" ht="15">
      <c r="B29" s="161">
        <f t="shared" si="12"/>
        <v>12</v>
      </c>
      <c r="C29" s="162" t="str">
        <f t="shared" si="0"/>
        <v>Клапан зворотній міжфланцевий IVR 656 Dn 100</v>
      </c>
      <c r="D29" s="161">
        <f t="shared" si="5"/>
        <v>1</v>
      </c>
      <c r="E29" s="51" t="s">
        <v>115</v>
      </c>
      <c r="F29" s="189">
        <f t="shared" si="6"/>
        <v>103.9</v>
      </c>
      <c r="G29" s="189">
        <f t="shared" si="7"/>
        <v>103.9</v>
      </c>
      <c r="I29" s="161">
        <f t="shared" si="8"/>
        <v>12</v>
      </c>
      <c r="J29" s="162" t="str">
        <f t="shared" si="1"/>
        <v>Flanged check valve IVR 656 Dn100</v>
      </c>
      <c r="K29" s="161">
        <f t="shared" si="9"/>
        <v>1</v>
      </c>
      <c r="L29" s="161" t="str">
        <f t="shared" si="10"/>
        <v>-</v>
      </c>
      <c r="M29" s="189">
        <f t="shared" si="2"/>
        <v>103.9</v>
      </c>
      <c r="N29" s="189">
        <f t="shared" si="2"/>
        <v>103.9</v>
      </c>
      <c r="Q29" s="276">
        <f t="shared" si="13"/>
        <v>1</v>
      </c>
      <c r="R29" s="297" t="s">
        <v>751</v>
      </c>
      <c r="S29" s="268" t="s">
        <v>31</v>
      </c>
      <c r="T29" s="1450" t="s">
        <v>715</v>
      </c>
      <c r="U29" s="1450"/>
      <c r="V29" s="227">
        <v>656</v>
      </c>
      <c r="W29" s="227">
        <v>100</v>
      </c>
      <c r="X29" s="281">
        <v>86.64</v>
      </c>
      <c r="Y29" s="232">
        <v>3</v>
      </c>
      <c r="Z29" s="218"/>
      <c r="AA29" s="262">
        <f t="shared" si="4"/>
        <v>86.64</v>
      </c>
      <c r="AB29" s="218">
        <v>1</v>
      </c>
      <c r="AC29" s="275">
        <v>103.9</v>
      </c>
    </row>
    <row r="30" spans="2:32" ht="15">
      <c r="B30" s="161">
        <f t="shared" si="12"/>
        <v>13</v>
      </c>
      <c r="C30" s="162" t="str">
        <f t="shared" si="0"/>
        <v>Розширювальний бак ROZ-NAVI  80 л Dn 25</v>
      </c>
      <c r="D30" s="161">
        <f t="shared" si="5"/>
        <v>1</v>
      </c>
      <c r="E30" s="51" t="s">
        <v>115</v>
      </c>
      <c r="F30" s="189">
        <f t="shared" si="6"/>
        <v>161.32</v>
      </c>
      <c r="G30" s="189">
        <f t="shared" si="7"/>
        <v>161.32</v>
      </c>
      <c r="I30" s="161">
        <f t="shared" si="8"/>
        <v>13</v>
      </c>
      <c r="J30" s="162" t="str">
        <f t="shared" si="1"/>
        <v>Expansion tank with replaceable membrane ROZ-NAVI  80 л Dn25</v>
      </c>
      <c r="K30" s="161">
        <f t="shared" si="9"/>
        <v>1</v>
      </c>
      <c r="L30" s="161" t="str">
        <f t="shared" si="10"/>
        <v>-</v>
      </c>
      <c r="M30" s="189">
        <f t="shared" si="2"/>
        <v>161.32</v>
      </c>
      <c r="N30" s="189">
        <f t="shared" si="2"/>
        <v>161.32</v>
      </c>
      <c r="Q30" s="276">
        <f t="shared" si="13"/>
        <v>1</v>
      </c>
      <c r="R30" s="297" t="s">
        <v>729</v>
      </c>
      <c r="S30" s="268" t="s">
        <v>33</v>
      </c>
      <c r="T30" s="1450" t="s">
        <v>35</v>
      </c>
      <c r="U30" s="1450"/>
      <c r="V30" s="279" t="s">
        <v>701</v>
      </c>
      <c r="W30" s="227">
        <v>25</v>
      </c>
      <c r="X30" s="281">
        <v>69.430000000000007</v>
      </c>
      <c r="Y30" s="232">
        <v>3</v>
      </c>
      <c r="Z30" s="218"/>
      <c r="AA30" s="262">
        <f t="shared" si="4"/>
        <v>69.430000000000007</v>
      </c>
      <c r="AB30" s="218">
        <v>1</v>
      </c>
      <c r="AC30" s="275">
        <v>161.32</v>
      </c>
      <c r="AF30" s="201">
        <v>1</v>
      </c>
    </row>
    <row r="31" spans="2:32" ht="15">
      <c r="B31" s="161">
        <f t="shared" si="12"/>
        <v>14</v>
      </c>
      <c r="C31" s="162" t="str">
        <f t="shared" si="0"/>
        <v>Розширювальний бак ROZ-NAVI  100 л Dn 25</v>
      </c>
      <c r="D31" s="161">
        <f t="shared" si="5"/>
        <v>1</v>
      </c>
      <c r="E31" s="51" t="s">
        <v>115</v>
      </c>
      <c r="F31" s="189">
        <f t="shared" si="6"/>
        <v>178.65</v>
      </c>
      <c r="G31" s="189">
        <f t="shared" si="7"/>
        <v>178.65</v>
      </c>
      <c r="I31" s="161">
        <f t="shared" si="8"/>
        <v>14</v>
      </c>
      <c r="J31" s="162" t="str">
        <f t="shared" si="1"/>
        <v>Expansion tank with replaceable membrane ROZ-NAVI  100 л Dn25</v>
      </c>
      <c r="K31" s="161">
        <f t="shared" si="9"/>
        <v>1</v>
      </c>
      <c r="L31" s="161" t="str">
        <f t="shared" si="10"/>
        <v>-</v>
      </c>
      <c r="M31" s="189">
        <f t="shared" si="2"/>
        <v>178.65</v>
      </c>
      <c r="N31" s="189">
        <f t="shared" si="2"/>
        <v>178.65</v>
      </c>
      <c r="Q31" s="276">
        <f t="shared" si="13"/>
        <v>1</v>
      </c>
      <c r="R31" s="297" t="s">
        <v>729</v>
      </c>
      <c r="S31" s="268" t="s">
        <v>33</v>
      </c>
      <c r="T31" s="1450" t="s">
        <v>35</v>
      </c>
      <c r="U31" s="1450"/>
      <c r="V31" s="279" t="s">
        <v>702</v>
      </c>
      <c r="W31" s="227">
        <v>25</v>
      </c>
      <c r="X31" s="281">
        <v>71.930000000000007</v>
      </c>
      <c r="Y31" s="232">
        <v>7</v>
      </c>
      <c r="Z31" s="218"/>
      <c r="AA31" s="262">
        <f t="shared" si="4"/>
        <v>71.930000000000007</v>
      </c>
      <c r="AB31" s="218">
        <v>1</v>
      </c>
      <c r="AC31" s="275">
        <v>178.65</v>
      </c>
      <c r="AF31" s="201">
        <v>1.35</v>
      </c>
    </row>
    <row r="32" spans="2:32" ht="15">
      <c r="B32" s="161">
        <f t="shared" si="12"/>
        <v>15</v>
      </c>
      <c r="C32" s="162" t="str">
        <f t="shared" si="0"/>
        <v>Розширювальний бак ROZ-NAVI  150 л Dn 25</v>
      </c>
      <c r="D32" s="161">
        <f t="shared" si="5"/>
        <v>1</v>
      </c>
      <c r="E32" s="51" t="s">
        <v>115</v>
      </c>
      <c r="F32" s="189">
        <f t="shared" si="6"/>
        <v>259.86</v>
      </c>
      <c r="G32" s="189">
        <f t="shared" si="7"/>
        <v>259.86</v>
      </c>
      <c r="I32" s="161">
        <f t="shared" si="8"/>
        <v>15</v>
      </c>
      <c r="J32" s="162" t="str">
        <f t="shared" si="1"/>
        <v>Expansion tank with replaceable membrane ROZ-NAVI  150 л Dn25</v>
      </c>
      <c r="K32" s="161">
        <f t="shared" si="9"/>
        <v>1</v>
      </c>
      <c r="L32" s="161" t="str">
        <f t="shared" si="10"/>
        <v>-</v>
      </c>
      <c r="M32" s="189">
        <f t="shared" si="2"/>
        <v>259.86</v>
      </c>
      <c r="N32" s="189">
        <f t="shared" si="2"/>
        <v>259.86</v>
      </c>
      <c r="Q32" s="276">
        <f t="shared" si="13"/>
        <v>1</v>
      </c>
      <c r="R32" s="297" t="s">
        <v>729</v>
      </c>
      <c r="S32" s="268" t="s">
        <v>33</v>
      </c>
      <c r="T32" s="1450" t="s">
        <v>35</v>
      </c>
      <c r="U32" s="1450"/>
      <c r="V32" s="279" t="s">
        <v>703</v>
      </c>
      <c r="W32" s="227">
        <v>25</v>
      </c>
      <c r="X32" s="281">
        <v>111.82</v>
      </c>
      <c r="Y32" s="232">
        <v>27</v>
      </c>
      <c r="Z32" s="218"/>
      <c r="AA32" s="262">
        <f t="shared" si="4"/>
        <v>111.82</v>
      </c>
      <c r="AB32" s="218">
        <v>1</v>
      </c>
      <c r="AC32" s="275">
        <v>259.86</v>
      </c>
      <c r="AF32" s="201">
        <v>1.3</v>
      </c>
    </row>
    <row r="33" spans="2:32" ht="15">
      <c r="B33" s="161">
        <f t="shared" si="12"/>
        <v>16</v>
      </c>
      <c r="C33" s="162" t="str">
        <f t="shared" si="0"/>
        <v>Розширювальний бак ROZ-NAVI  200 л Dn 25</v>
      </c>
      <c r="D33" s="161">
        <f t="shared" si="5"/>
        <v>1</v>
      </c>
      <c r="E33" s="51" t="s">
        <v>115</v>
      </c>
      <c r="F33" s="189">
        <f t="shared" si="6"/>
        <v>331.8</v>
      </c>
      <c r="G33" s="189">
        <f t="shared" si="7"/>
        <v>331.8</v>
      </c>
      <c r="I33" s="161">
        <f t="shared" si="8"/>
        <v>16</v>
      </c>
      <c r="J33" s="162" t="str">
        <f t="shared" si="1"/>
        <v>Expansion tank with replaceable membrane ROZ-NAVI  200 л Dn25</v>
      </c>
      <c r="K33" s="161">
        <f t="shared" si="9"/>
        <v>1</v>
      </c>
      <c r="L33" s="161" t="str">
        <f t="shared" si="10"/>
        <v>-</v>
      </c>
      <c r="M33" s="189">
        <f t="shared" si="2"/>
        <v>331.8</v>
      </c>
      <c r="N33" s="189">
        <f t="shared" si="2"/>
        <v>331.8</v>
      </c>
      <c r="Q33" s="276">
        <f t="shared" si="13"/>
        <v>1</v>
      </c>
      <c r="R33" s="297" t="s">
        <v>729</v>
      </c>
      <c r="S33" s="268" t="s">
        <v>33</v>
      </c>
      <c r="T33" s="1450" t="s">
        <v>35</v>
      </c>
      <c r="U33" s="1450"/>
      <c r="V33" s="279" t="s">
        <v>704</v>
      </c>
      <c r="W33" s="227">
        <v>25</v>
      </c>
      <c r="X33" s="281">
        <v>141.1</v>
      </c>
      <c r="Y33" s="232">
        <v>26</v>
      </c>
      <c r="Z33" s="218"/>
      <c r="AA33" s="262">
        <f t="shared" si="4"/>
        <v>141.1</v>
      </c>
      <c r="AB33" s="218">
        <v>1</v>
      </c>
      <c r="AC33" s="275">
        <v>331.8</v>
      </c>
      <c r="AF33" s="201">
        <v>2.85</v>
      </c>
    </row>
    <row r="34" spans="2:32" ht="15">
      <c r="B34" s="161">
        <f t="shared" si="12"/>
        <v>17</v>
      </c>
      <c r="C34" s="162" t="str">
        <f t="shared" si="0"/>
        <v>Розширювальний бак ROZ-NAVI  300 л Dn 32</v>
      </c>
      <c r="D34" s="161">
        <f t="shared" si="5"/>
        <v>3</v>
      </c>
      <c r="E34" s="51" t="s">
        <v>115</v>
      </c>
      <c r="F34" s="189">
        <f t="shared" si="6"/>
        <v>358.04</v>
      </c>
      <c r="G34" s="189">
        <f t="shared" si="7"/>
        <v>1074.1200000000001</v>
      </c>
      <c r="I34" s="161">
        <f t="shared" si="8"/>
        <v>17</v>
      </c>
      <c r="J34" s="162" t="str">
        <f t="shared" si="1"/>
        <v>Expansion tank with replaceable membrane ROZ-NAVI  300 л Dn32</v>
      </c>
      <c r="K34" s="161">
        <f t="shared" si="9"/>
        <v>3</v>
      </c>
      <c r="L34" s="161" t="str">
        <f t="shared" si="10"/>
        <v>-</v>
      </c>
      <c r="M34" s="189">
        <f t="shared" ref="M34:M97" si="14">F34</f>
        <v>358.04</v>
      </c>
      <c r="N34" s="189">
        <f t="shared" ref="N34:N97" si="15">G34</f>
        <v>1074.1200000000001</v>
      </c>
      <c r="Q34" s="276">
        <f t="shared" si="13"/>
        <v>3</v>
      </c>
      <c r="R34" s="297" t="s">
        <v>729</v>
      </c>
      <c r="S34" s="268" t="s">
        <v>33</v>
      </c>
      <c r="T34" s="1450" t="s">
        <v>35</v>
      </c>
      <c r="U34" s="1450"/>
      <c r="V34" s="279" t="s">
        <v>705</v>
      </c>
      <c r="W34" s="227">
        <v>32</v>
      </c>
      <c r="X34" s="281">
        <v>152.54</v>
      </c>
      <c r="Y34" s="232">
        <v>56</v>
      </c>
      <c r="Z34" s="218"/>
      <c r="AA34" s="262">
        <f t="shared" si="4"/>
        <v>457.62</v>
      </c>
      <c r="AB34" s="218">
        <v>3</v>
      </c>
      <c r="AC34" s="275">
        <v>358.04</v>
      </c>
      <c r="AF34" s="201">
        <v>3.45</v>
      </c>
    </row>
    <row r="35" spans="2:32" ht="15">
      <c r="B35" s="161">
        <f t="shared" si="12"/>
        <v>18</v>
      </c>
      <c r="C35" s="162" t="str">
        <f t="shared" si="0"/>
        <v>Розширювальний бак ROZ-NAVI  500 л Dn 32</v>
      </c>
      <c r="D35" s="161">
        <f t="shared" si="5"/>
        <v>6</v>
      </c>
      <c r="E35" s="51" t="s">
        <v>115</v>
      </c>
      <c r="F35" s="189">
        <f t="shared" si="6"/>
        <v>644.21</v>
      </c>
      <c r="G35" s="189">
        <f t="shared" si="7"/>
        <v>3865.26</v>
      </c>
      <c r="I35" s="161">
        <f t="shared" si="8"/>
        <v>18</v>
      </c>
      <c r="J35" s="162" t="str">
        <f t="shared" si="1"/>
        <v>Expansion tank with replaceable membrane ROZ-NAVI  500 л Dn32</v>
      </c>
      <c r="K35" s="161">
        <f t="shared" si="9"/>
        <v>6</v>
      </c>
      <c r="L35" s="161" t="str">
        <f t="shared" si="10"/>
        <v>-</v>
      </c>
      <c r="M35" s="189">
        <f t="shared" si="14"/>
        <v>644.21</v>
      </c>
      <c r="N35" s="189">
        <f t="shared" si="15"/>
        <v>3865.26</v>
      </c>
      <c r="Q35" s="276">
        <f t="shared" si="13"/>
        <v>6</v>
      </c>
      <c r="R35" s="297" t="s">
        <v>729</v>
      </c>
      <c r="S35" s="268" t="s">
        <v>33</v>
      </c>
      <c r="T35" s="1450" t="s">
        <v>35</v>
      </c>
      <c r="U35" s="1450"/>
      <c r="V35" s="279" t="s">
        <v>706</v>
      </c>
      <c r="W35" s="227">
        <v>32</v>
      </c>
      <c r="X35" s="281">
        <v>249.72</v>
      </c>
      <c r="Y35" s="232">
        <v>115</v>
      </c>
      <c r="Z35" s="218"/>
      <c r="AA35" s="262">
        <f t="shared" si="4"/>
        <v>1498.32</v>
      </c>
      <c r="AB35" s="218">
        <v>6</v>
      </c>
      <c r="AC35" s="275">
        <v>644.21</v>
      </c>
      <c r="AF35" s="201">
        <v>2.35</v>
      </c>
    </row>
    <row r="36" spans="2:32" ht="15">
      <c r="B36" s="161">
        <f t="shared" si="12"/>
        <v>19</v>
      </c>
      <c r="C36" s="162" t="str">
        <f t="shared" si="0"/>
        <v>Розширювальний бак ROZ-NAVI  750 л Dn 32</v>
      </c>
      <c r="D36" s="161">
        <f t="shared" si="5"/>
        <v>2</v>
      </c>
      <c r="E36" s="51" t="s">
        <v>115</v>
      </c>
      <c r="F36" s="189">
        <f t="shared" si="6"/>
        <v>940.78</v>
      </c>
      <c r="G36" s="189">
        <f t="shared" si="7"/>
        <v>1881.56</v>
      </c>
      <c r="I36" s="161">
        <f t="shared" si="8"/>
        <v>19</v>
      </c>
      <c r="J36" s="162" t="str">
        <f t="shared" si="1"/>
        <v>Expansion tank with replaceable membrane ROZ-NAVI  750 л Dn32</v>
      </c>
      <c r="K36" s="161">
        <f t="shared" si="9"/>
        <v>2</v>
      </c>
      <c r="L36" s="161" t="str">
        <f t="shared" si="10"/>
        <v>-</v>
      </c>
      <c r="M36" s="189">
        <f t="shared" si="14"/>
        <v>940.78</v>
      </c>
      <c r="N36" s="189">
        <f t="shared" si="15"/>
        <v>1881.56</v>
      </c>
      <c r="Q36" s="276">
        <f t="shared" si="13"/>
        <v>2</v>
      </c>
      <c r="R36" s="297" t="s">
        <v>729</v>
      </c>
      <c r="S36" s="268" t="s">
        <v>33</v>
      </c>
      <c r="T36" s="1450" t="s">
        <v>35</v>
      </c>
      <c r="U36" s="1450"/>
      <c r="V36" s="279" t="s">
        <v>707</v>
      </c>
      <c r="W36" s="227">
        <v>32</v>
      </c>
      <c r="X36" s="281">
        <v>376.94</v>
      </c>
      <c r="Y36" s="232">
        <v>46</v>
      </c>
      <c r="Z36" s="218"/>
      <c r="AA36" s="262">
        <f t="shared" si="4"/>
        <v>753.88</v>
      </c>
      <c r="AB36" s="218">
        <v>2</v>
      </c>
      <c r="AC36" s="275">
        <v>940.78</v>
      </c>
      <c r="AF36" s="201">
        <v>1</v>
      </c>
    </row>
    <row r="37" spans="2:32" ht="15">
      <c r="B37" s="161">
        <f t="shared" si="12"/>
        <v>20</v>
      </c>
      <c r="C37" s="162" t="str">
        <f t="shared" si="0"/>
        <v>Розширювальний бак ROZ-NAVI  1000 л Dn 50</v>
      </c>
      <c r="D37" s="161">
        <f t="shared" si="5"/>
        <v>1</v>
      </c>
      <c r="E37" s="51" t="s">
        <v>115</v>
      </c>
      <c r="F37" s="189">
        <f t="shared" si="6"/>
        <v>1449.62</v>
      </c>
      <c r="G37" s="189">
        <f t="shared" si="7"/>
        <v>1449.62</v>
      </c>
      <c r="I37" s="161">
        <f t="shared" si="8"/>
        <v>20</v>
      </c>
      <c r="J37" s="162" t="str">
        <f t="shared" si="1"/>
        <v>Expansion tank with replaceable membrane ROZ-NAVI  1000 л Dn50</v>
      </c>
      <c r="K37" s="161">
        <f t="shared" si="9"/>
        <v>1</v>
      </c>
      <c r="L37" s="161" t="str">
        <f t="shared" si="10"/>
        <v>-</v>
      </c>
      <c r="M37" s="189">
        <f t="shared" si="14"/>
        <v>1449.62</v>
      </c>
      <c r="N37" s="189">
        <f t="shared" si="15"/>
        <v>1449.62</v>
      </c>
      <c r="Q37" s="276">
        <f t="shared" si="13"/>
        <v>1</v>
      </c>
      <c r="R37" s="297" t="s">
        <v>729</v>
      </c>
      <c r="S37" s="268" t="s">
        <v>33</v>
      </c>
      <c r="T37" s="1450" t="s">
        <v>35</v>
      </c>
      <c r="U37" s="1450"/>
      <c r="V37" s="279" t="s">
        <v>708</v>
      </c>
      <c r="W37" s="227">
        <v>50</v>
      </c>
      <c r="X37" s="281">
        <v>603.23</v>
      </c>
      <c r="Y37" s="232">
        <v>3</v>
      </c>
      <c r="Z37" s="218"/>
      <c r="AA37" s="262">
        <f t="shared" si="4"/>
        <v>603.23</v>
      </c>
      <c r="AB37" s="218">
        <v>1</v>
      </c>
      <c r="AC37" s="275">
        <v>1449.62</v>
      </c>
      <c r="AF37" s="201">
        <v>1</v>
      </c>
    </row>
    <row r="38" spans="2:32" ht="15">
      <c r="B38" s="161">
        <f t="shared" si="12"/>
        <v>21</v>
      </c>
      <c r="C38" s="162" t="str">
        <f t="shared" si="0"/>
        <v>Регулятор тиску після себе Danfoss AVD Dn 15</v>
      </c>
      <c r="D38" s="161">
        <f t="shared" si="5"/>
        <v>16</v>
      </c>
      <c r="E38" s="51" t="s">
        <v>115</v>
      </c>
      <c r="F38" s="189" t="e">
        <f t="shared" si="6"/>
        <v>#REF!</v>
      </c>
      <c r="G38" s="189" t="e">
        <f t="shared" si="7"/>
        <v>#REF!</v>
      </c>
      <c r="I38" s="161">
        <f t="shared" si="8"/>
        <v>21</v>
      </c>
      <c r="J38" s="162" t="str">
        <f t="shared" si="1"/>
        <v>Self-acting pressure reduction controller Danfoss AVD Dn15</v>
      </c>
      <c r="K38" s="161">
        <f t="shared" si="9"/>
        <v>16</v>
      </c>
      <c r="L38" s="161" t="str">
        <f t="shared" si="10"/>
        <v>-</v>
      </c>
      <c r="M38" s="189" t="e">
        <f t="shared" si="14"/>
        <v>#REF!</v>
      </c>
      <c r="N38" s="189" t="e">
        <f t="shared" si="15"/>
        <v>#REF!</v>
      </c>
      <c r="Q38" s="276">
        <f t="shared" si="13"/>
        <v>16</v>
      </c>
      <c r="R38" s="304" t="s">
        <v>749</v>
      </c>
      <c r="S38" s="268" t="s">
        <v>363</v>
      </c>
      <c r="T38" s="1452" t="s">
        <v>647</v>
      </c>
      <c r="U38" s="1452"/>
      <c r="V38" s="231" t="s">
        <v>643</v>
      </c>
      <c r="W38" s="227">
        <v>15</v>
      </c>
      <c r="X38" s="233">
        <v>213.04744588150535</v>
      </c>
      <c r="Y38" s="223">
        <v>162</v>
      </c>
      <c r="Z38" s="218"/>
      <c r="AA38" s="262">
        <f t="shared" si="4"/>
        <v>3408.7591341040857</v>
      </c>
      <c r="AB38" s="218">
        <v>16</v>
      </c>
      <c r="AC38" s="275" t="e">
        <f>AD38/$AC$15</f>
        <v>#REF!</v>
      </c>
      <c r="AD38">
        <f>14137.67</f>
        <v>14137.67</v>
      </c>
    </row>
    <row r="39" spans="2:32" ht="15">
      <c r="B39" s="161">
        <f t="shared" si="12"/>
        <v>22</v>
      </c>
      <c r="C39" s="162" t="str">
        <f t="shared" si="0"/>
        <v>Регулятор тиску після себе Danfoss AVD Dn 20</v>
      </c>
      <c r="D39" s="161">
        <f t="shared" si="5"/>
        <v>12</v>
      </c>
      <c r="E39" s="51" t="s">
        <v>115</v>
      </c>
      <c r="F39" s="189" t="e">
        <f t="shared" si="6"/>
        <v>#REF!</v>
      </c>
      <c r="G39" s="189" t="e">
        <f t="shared" si="7"/>
        <v>#REF!</v>
      </c>
      <c r="I39" s="161">
        <f t="shared" si="8"/>
        <v>22</v>
      </c>
      <c r="J39" s="162" t="str">
        <f t="shared" si="1"/>
        <v>Self-acting pressure reduction controller Danfoss AVD Dn20</v>
      </c>
      <c r="K39" s="161">
        <f t="shared" si="9"/>
        <v>12</v>
      </c>
      <c r="L39" s="161" t="str">
        <f t="shared" si="10"/>
        <v>-</v>
      </c>
      <c r="M39" s="189" t="e">
        <f t="shared" si="14"/>
        <v>#REF!</v>
      </c>
      <c r="N39" s="189" t="e">
        <f t="shared" si="15"/>
        <v>#REF!</v>
      </c>
      <c r="Q39" s="276">
        <f t="shared" si="13"/>
        <v>12</v>
      </c>
      <c r="R39" s="304" t="s">
        <v>749</v>
      </c>
      <c r="S39" s="268" t="s">
        <v>363</v>
      </c>
      <c r="T39" s="1452" t="s">
        <v>647</v>
      </c>
      <c r="U39" s="1452"/>
      <c r="V39" s="231" t="s">
        <v>643</v>
      </c>
      <c r="W39" s="227">
        <v>20</v>
      </c>
      <c r="X39" s="233">
        <v>219.15015952519809</v>
      </c>
      <c r="Y39" s="223">
        <v>118</v>
      </c>
      <c r="Z39" s="218"/>
      <c r="AA39" s="262">
        <f t="shared" si="4"/>
        <v>2629.8019143023771</v>
      </c>
      <c r="AB39" s="218">
        <v>12</v>
      </c>
      <c r="AC39" s="275" t="e">
        <f t="shared" ref="AC39:AC40" si="16">AD39/$AC$15</f>
        <v>#REF!</v>
      </c>
      <c r="AD39">
        <f>14665.88</f>
        <v>14665.88</v>
      </c>
    </row>
    <row r="40" spans="2:32" ht="15">
      <c r="B40" s="161">
        <f t="shared" si="12"/>
        <v>23</v>
      </c>
      <c r="C40" s="162" t="str">
        <f t="shared" si="0"/>
        <v>Регулятор тиску після себе Danfoss AVD Dn 25</v>
      </c>
      <c r="D40" s="161">
        <f t="shared" si="5"/>
        <v>1</v>
      </c>
      <c r="E40" s="51" t="s">
        <v>115</v>
      </c>
      <c r="F40" s="189" t="e">
        <f t="shared" si="6"/>
        <v>#REF!</v>
      </c>
      <c r="G40" s="189" t="e">
        <f t="shared" si="7"/>
        <v>#REF!</v>
      </c>
      <c r="I40" s="161">
        <f t="shared" si="8"/>
        <v>23</v>
      </c>
      <c r="J40" s="162" t="str">
        <f t="shared" si="1"/>
        <v>Self-acting pressure reduction controller Danfoss AVD Dn25</v>
      </c>
      <c r="K40" s="161">
        <f t="shared" si="9"/>
        <v>1</v>
      </c>
      <c r="L40" s="161" t="str">
        <f t="shared" si="10"/>
        <v>-</v>
      </c>
      <c r="M40" s="189" t="e">
        <f t="shared" si="14"/>
        <v>#REF!</v>
      </c>
      <c r="N40" s="189" t="e">
        <f t="shared" si="15"/>
        <v>#REF!</v>
      </c>
      <c r="Q40" s="276">
        <f t="shared" si="13"/>
        <v>1</v>
      </c>
      <c r="R40" s="304" t="s">
        <v>749</v>
      </c>
      <c r="S40" s="268" t="s">
        <v>363</v>
      </c>
      <c r="T40" s="1452" t="s">
        <v>647</v>
      </c>
      <c r="U40" s="1452"/>
      <c r="V40" s="231" t="s">
        <v>643</v>
      </c>
      <c r="W40" s="227">
        <v>25</v>
      </c>
      <c r="X40" s="233">
        <v>241.20456962502999</v>
      </c>
      <c r="Y40" s="223">
        <v>6</v>
      </c>
      <c r="Z40" s="218"/>
      <c r="AA40" s="262">
        <f t="shared" si="4"/>
        <v>241.20456962502999</v>
      </c>
      <c r="AB40" s="261">
        <v>1</v>
      </c>
      <c r="AC40" s="275" t="e">
        <f t="shared" si="16"/>
        <v>#REF!</v>
      </c>
      <c r="AD40">
        <v>15754.45</v>
      </c>
    </row>
    <row r="41" spans="2:32" ht="15">
      <c r="B41" s="161">
        <f t="shared" si="12"/>
        <v>24</v>
      </c>
      <c r="C41" s="162" t="str">
        <f t="shared" si="0"/>
        <v>Клапан запобіжний 1-12бар VALTEC 1831 Dn 15</v>
      </c>
      <c r="D41" s="161">
        <f t="shared" si="5"/>
        <v>7</v>
      </c>
      <c r="E41" s="51" t="s">
        <v>115</v>
      </c>
      <c r="F41" s="189">
        <f t="shared" si="6"/>
        <v>11.016</v>
      </c>
      <c r="G41" s="189">
        <f t="shared" si="7"/>
        <v>77.111999999999995</v>
      </c>
      <c r="I41" s="161">
        <f t="shared" si="8"/>
        <v>24</v>
      </c>
      <c r="J41" s="162" t="str">
        <f t="shared" si="1"/>
        <v>Safety valve,  adjustment range 0,1-1,2 Мpa VALTEC 1831 Dn15</v>
      </c>
      <c r="K41" s="161">
        <f t="shared" si="9"/>
        <v>7</v>
      </c>
      <c r="L41" s="161" t="str">
        <f t="shared" si="10"/>
        <v>-</v>
      </c>
      <c r="M41" s="189">
        <f t="shared" si="14"/>
        <v>11.016</v>
      </c>
      <c r="N41" s="189">
        <f t="shared" si="15"/>
        <v>77.111999999999995</v>
      </c>
      <c r="Q41" s="276">
        <f t="shared" si="13"/>
        <v>7</v>
      </c>
      <c r="R41" s="297" t="s">
        <v>731</v>
      </c>
      <c r="S41" s="268" t="s">
        <v>61</v>
      </c>
      <c r="T41" s="1461" t="s">
        <v>646</v>
      </c>
      <c r="U41" s="1450"/>
      <c r="V41" s="226" t="s">
        <v>62</v>
      </c>
      <c r="W41" s="227">
        <v>15</v>
      </c>
      <c r="X41" s="281">
        <v>6.4190755555555556</v>
      </c>
      <c r="Y41" s="236">
        <v>66</v>
      </c>
      <c r="Z41" s="230"/>
      <c r="AA41" s="262">
        <f t="shared" si="4"/>
        <v>44.933528888888887</v>
      </c>
      <c r="AB41" s="218">
        <v>7</v>
      </c>
      <c r="AC41" s="275">
        <f>12.24*0.9</f>
        <v>11.016</v>
      </c>
    </row>
    <row r="42" spans="2:32" ht="15">
      <c r="B42" s="161">
        <f t="shared" si="12"/>
        <v>25</v>
      </c>
      <c r="C42" s="162" t="str">
        <f t="shared" si="0"/>
        <v>Клапан запобіжний 1-12бар VALTEC 1831 Dn 20</v>
      </c>
      <c r="D42" s="161">
        <f t="shared" si="5"/>
        <v>15</v>
      </c>
      <c r="E42" s="51" t="s">
        <v>115</v>
      </c>
      <c r="F42" s="189">
        <f t="shared" si="6"/>
        <v>18.234000000000002</v>
      </c>
      <c r="G42" s="189">
        <f t="shared" si="7"/>
        <v>273.51000000000005</v>
      </c>
      <c r="I42" s="161">
        <f t="shared" si="8"/>
        <v>25</v>
      </c>
      <c r="J42" s="162" t="str">
        <f t="shared" si="1"/>
        <v>Safety valve,  adjustment range 0,1-1,2 Мpa VALTEC 1831 Dn20</v>
      </c>
      <c r="K42" s="161">
        <f t="shared" si="9"/>
        <v>15</v>
      </c>
      <c r="L42" s="161" t="str">
        <f t="shared" si="10"/>
        <v>-</v>
      </c>
      <c r="M42" s="189">
        <f t="shared" si="14"/>
        <v>18.234000000000002</v>
      </c>
      <c r="N42" s="189">
        <f t="shared" si="15"/>
        <v>273.51000000000005</v>
      </c>
      <c r="Q42" s="276">
        <f t="shared" si="13"/>
        <v>15</v>
      </c>
      <c r="R42" s="297" t="s">
        <v>731</v>
      </c>
      <c r="S42" s="268" t="s">
        <v>61</v>
      </c>
      <c r="T42" s="1450" t="s">
        <v>646</v>
      </c>
      <c r="U42" s="1450"/>
      <c r="V42" s="226" t="s">
        <v>62</v>
      </c>
      <c r="W42" s="227">
        <v>20</v>
      </c>
      <c r="X42" s="281">
        <v>10.625413333333334</v>
      </c>
      <c r="Y42" s="236">
        <v>154</v>
      </c>
      <c r="Z42" s="230"/>
      <c r="AA42" s="262">
        <f t="shared" si="4"/>
        <v>159.38120000000001</v>
      </c>
      <c r="AB42" s="218">
        <v>15</v>
      </c>
      <c r="AC42" s="275">
        <f>20.26*0.9</f>
        <v>18.234000000000002</v>
      </c>
    </row>
    <row r="43" spans="2:32" ht="15">
      <c r="B43" s="161">
        <f t="shared" si="12"/>
        <v>26</v>
      </c>
      <c r="C43" s="162" t="str">
        <f t="shared" si="0"/>
        <v>Клапан запобіжний 1-12бар VALTEC 1831 Dn 25</v>
      </c>
      <c r="D43" s="161">
        <f t="shared" si="5"/>
        <v>20</v>
      </c>
      <c r="E43" s="51" t="s">
        <v>115</v>
      </c>
      <c r="F43" s="189">
        <f t="shared" si="6"/>
        <v>27.783000000000001</v>
      </c>
      <c r="G43" s="189">
        <f t="shared" si="7"/>
        <v>555.66000000000008</v>
      </c>
      <c r="I43" s="161">
        <f t="shared" si="8"/>
        <v>26</v>
      </c>
      <c r="J43" s="162" t="str">
        <f t="shared" si="1"/>
        <v>Safety valve,  adjustment range 0,1-1,2 Мpa VALTEC 1831 Dn25</v>
      </c>
      <c r="K43" s="161">
        <f t="shared" si="9"/>
        <v>20</v>
      </c>
      <c r="L43" s="161" t="str">
        <f t="shared" si="10"/>
        <v>-</v>
      </c>
      <c r="M43" s="189">
        <f t="shared" si="14"/>
        <v>27.783000000000001</v>
      </c>
      <c r="N43" s="189">
        <f t="shared" si="15"/>
        <v>555.66000000000008</v>
      </c>
      <c r="Q43" s="276">
        <f t="shared" si="13"/>
        <v>20</v>
      </c>
      <c r="R43" s="297" t="s">
        <v>731</v>
      </c>
      <c r="S43" s="268" t="s">
        <v>61</v>
      </c>
      <c r="T43" s="1450" t="s">
        <v>646</v>
      </c>
      <c r="U43" s="1450"/>
      <c r="V43" s="226" t="s">
        <v>62</v>
      </c>
      <c r="W43" s="227">
        <v>25</v>
      </c>
      <c r="X43" s="281">
        <v>16.198</v>
      </c>
      <c r="Y43" s="236">
        <v>200</v>
      </c>
      <c r="Z43" s="230"/>
      <c r="AA43" s="262">
        <f t="shared" si="4"/>
        <v>323.96000000000004</v>
      </c>
      <c r="AB43" s="218">
        <v>20</v>
      </c>
      <c r="AC43" s="275">
        <f>30.87*0.9</f>
        <v>27.783000000000001</v>
      </c>
    </row>
    <row r="44" spans="2:32" ht="15">
      <c r="B44" s="161">
        <f t="shared" si="12"/>
        <v>27</v>
      </c>
      <c r="C44" s="162" t="str">
        <f t="shared" si="0"/>
        <v>Клапан запобіжний 1-12бар VALTEC 1831 Dn 32</v>
      </c>
      <c r="D44" s="161">
        <f t="shared" si="5"/>
        <v>12</v>
      </c>
      <c r="E44" s="51" t="s">
        <v>115</v>
      </c>
      <c r="F44" s="189">
        <f t="shared" si="6"/>
        <v>52.893000000000001</v>
      </c>
      <c r="G44" s="189">
        <f t="shared" si="7"/>
        <v>634.71600000000001</v>
      </c>
      <c r="I44" s="161">
        <f t="shared" si="8"/>
        <v>27</v>
      </c>
      <c r="J44" s="162" t="str">
        <f t="shared" si="1"/>
        <v>Safety valve,  adjustment range 0,1-1,2 Мpa VALTEC 1831 Dn32</v>
      </c>
      <c r="K44" s="161">
        <f t="shared" si="9"/>
        <v>12</v>
      </c>
      <c r="L44" s="161" t="str">
        <f t="shared" si="10"/>
        <v>-</v>
      </c>
      <c r="M44" s="189">
        <f t="shared" si="14"/>
        <v>52.893000000000001</v>
      </c>
      <c r="N44" s="189">
        <f t="shared" si="15"/>
        <v>634.71600000000001</v>
      </c>
      <c r="Q44" s="276">
        <f t="shared" si="13"/>
        <v>12</v>
      </c>
      <c r="R44" s="297" t="s">
        <v>731</v>
      </c>
      <c r="S44" s="268" t="s">
        <v>61</v>
      </c>
      <c r="T44" s="1450" t="s">
        <v>646</v>
      </c>
      <c r="U44" s="1450"/>
      <c r="V44" s="226" t="s">
        <v>62</v>
      </c>
      <c r="W44" s="227">
        <v>32</v>
      </c>
      <c r="X44" s="281">
        <v>30.835137777777774</v>
      </c>
      <c r="Y44" s="236">
        <v>124</v>
      </c>
      <c r="Z44" s="243"/>
      <c r="AA44" s="262">
        <f t="shared" si="4"/>
        <v>370.02165333333329</v>
      </c>
      <c r="AB44" s="218">
        <v>12</v>
      </c>
      <c r="AC44" s="275">
        <f>58.77*0.9</f>
        <v>52.893000000000001</v>
      </c>
    </row>
    <row r="45" spans="2:32" ht="15">
      <c r="B45" s="161">
        <f t="shared" si="12"/>
        <v>28</v>
      </c>
      <c r="C45" s="162" t="str">
        <f t="shared" si="0"/>
        <v>Клапан запобіжний 1-12бар VALTEC 1831 Dn 40</v>
      </c>
      <c r="D45" s="161">
        <f>Q45</f>
        <v>3</v>
      </c>
      <c r="E45" s="51" t="s">
        <v>115</v>
      </c>
      <c r="F45" s="189">
        <f t="shared" si="6"/>
        <v>83.277000000000001</v>
      </c>
      <c r="G45" s="189">
        <f t="shared" si="7"/>
        <v>249.83100000000002</v>
      </c>
      <c r="I45" s="161">
        <f t="shared" si="8"/>
        <v>28</v>
      </c>
      <c r="J45" s="162" t="str">
        <f t="shared" si="1"/>
        <v>Safety valve,  adjustment range 0,1-1,2 Мpa VALTEC 1831 Dn40</v>
      </c>
      <c r="K45" s="161">
        <f t="shared" si="9"/>
        <v>3</v>
      </c>
      <c r="L45" s="161" t="str">
        <f t="shared" si="10"/>
        <v>-</v>
      </c>
      <c r="M45" s="189">
        <f t="shared" si="14"/>
        <v>83.277000000000001</v>
      </c>
      <c r="N45" s="189">
        <f t="shared" si="15"/>
        <v>249.83100000000002</v>
      </c>
      <c r="Q45" s="276">
        <f t="shared" si="13"/>
        <v>3</v>
      </c>
      <c r="R45" s="297" t="s">
        <v>731</v>
      </c>
      <c r="S45" s="268" t="s">
        <v>61</v>
      </c>
      <c r="T45" s="1450" t="s">
        <v>646</v>
      </c>
      <c r="U45" s="1450"/>
      <c r="V45" s="226" t="s">
        <v>62</v>
      </c>
      <c r="W45" s="227">
        <v>40</v>
      </c>
      <c r="X45" s="281">
        <v>48.54969777777778</v>
      </c>
      <c r="Y45" s="236">
        <v>26</v>
      </c>
      <c r="Z45" s="243"/>
      <c r="AA45" s="262">
        <f t="shared" si="4"/>
        <v>145.64909333333333</v>
      </c>
      <c r="AB45" s="218">
        <v>3</v>
      </c>
      <c r="AC45" s="275">
        <f>92.53*0.9</f>
        <v>83.277000000000001</v>
      </c>
    </row>
    <row r="46" spans="2:32" ht="15.75" thickBot="1">
      <c r="B46" s="161">
        <f t="shared" si="12"/>
        <v>29</v>
      </c>
      <c r="C46" s="162" t="str">
        <f t="shared" si="0"/>
        <v>Клапан запобіжний 1-12бар VALTEC 1831 Dn 50</v>
      </c>
      <c r="D46" s="161">
        <f t="shared" si="5"/>
        <v>1</v>
      </c>
      <c r="E46" s="51" t="s">
        <v>115</v>
      </c>
      <c r="F46" s="189">
        <f t="shared" si="6"/>
        <v>125.72999999999999</v>
      </c>
      <c r="G46" s="189">
        <f t="shared" si="7"/>
        <v>125.72999999999999</v>
      </c>
      <c r="I46" s="161">
        <f t="shared" si="8"/>
        <v>29</v>
      </c>
      <c r="J46" s="162" t="str">
        <f t="shared" si="1"/>
        <v>Safety valve,  adjustment range 0,1-1,2 Мpa VALTEC 1831 Dn50</v>
      </c>
      <c r="K46" s="161">
        <f t="shared" si="9"/>
        <v>1</v>
      </c>
      <c r="L46" s="161" t="str">
        <f t="shared" si="10"/>
        <v>-</v>
      </c>
      <c r="M46" s="189">
        <f t="shared" si="14"/>
        <v>125.72999999999999</v>
      </c>
      <c r="N46" s="189">
        <f t="shared" si="15"/>
        <v>125.72999999999999</v>
      </c>
      <c r="Q46" s="276">
        <f t="shared" si="13"/>
        <v>1</v>
      </c>
      <c r="R46" s="297" t="s">
        <v>731</v>
      </c>
      <c r="S46" s="268" t="s">
        <v>61</v>
      </c>
      <c r="T46" s="1450" t="s">
        <v>646</v>
      </c>
      <c r="U46" s="1450"/>
      <c r="V46" s="226" t="s">
        <v>62</v>
      </c>
      <c r="W46" s="227">
        <v>50</v>
      </c>
      <c r="X46" s="281">
        <v>73.291697777777784</v>
      </c>
      <c r="Y46" s="236">
        <v>2</v>
      </c>
      <c r="Z46" s="243"/>
      <c r="AA46" s="262">
        <f t="shared" si="4"/>
        <v>73.291697777777784</v>
      </c>
      <c r="AB46" s="218">
        <v>1</v>
      </c>
      <c r="AC46" s="290">
        <f>139.7*0.9</f>
        <v>125.72999999999999</v>
      </c>
    </row>
    <row r="47" spans="2:32" ht="15.75" thickBot="1">
      <c r="B47" s="161">
        <f t="shared" si="12"/>
        <v>30</v>
      </c>
      <c r="C47" s="162" t="str">
        <f>S47&amp;" "&amp;T47&amp;" "&amp;V47</f>
        <v>Насос WILO  Yonos MAXO 25/0,5-10 PN 10</v>
      </c>
      <c r="D47" s="161">
        <f t="shared" si="5"/>
        <v>1</v>
      </c>
      <c r="E47" s="51" t="s">
        <v>115</v>
      </c>
      <c r="F47" s="189">
        <f t="shared" si="6"/>
        <v>334.96799999999996</v>
      </c>
      <c r="G47" s="189">
        <f t="shared" si="7"/>
        <v>334.96799999999996</v>
      </c>
      <c r="I47" s="161">
        <f t="shared" si="8"/>
        <v>30</v>
      </c>
      <c r="J47" s="162" t="str">
        <f t="shared" ref="J47:J61" si="17">R47&amp;" "&amp;T47&amp;" "&amp;V47</f>
        <v>Pump WILO  Yonos MAXO 25/0,5-10 PN 10</v>
      </c>
      <c r="K47" s="161">
        <f t="shared" si="9"/>
        <v>1</v>
      </c>
      <c r="L47" s="161" t="str">
        <f t="shared" si="10"/>
        <v>-</v>
      </c>
      <c r="M47" s="189">
        <f t="shared" si="14"/>
        <v>334.96799999999996</v>
      </c>
      <c r="N47" s="189">
        <f t="shared" si="15"/>
        <v>334.96799999999996</v>
      </c>
      <c r="Q47" s="276">
        <f t="shared" si="13"/>
        <v>1</v>
      </c>
      <c r="R47" s="162" t="s">
        <v>732</v>
      </c>
      <c r="S47" s="299" t="s">
        <v>610</v>
      </c>
      <c r="T47" s="1450" t="s">
        <v>606</v>
      </c>
      <c r="U47" s="1450"/>
      <c r="V47" s="267" t="s">
        <v>120</v>
      </c>
      <c r="W47" s="227"/>
      <c r="X47" s="282">
        <v>198.83999999999997</v>
      </c>
      <c r="Y47" s="223">
        <v>12</v>
      </c>
      <c r="Z47" s="230"/>
      <c r="AA47" s="262">
        <f t="shared" si="4"/>
        <v>198.83999999999997</v>
      </c>
      <c r="AB47" s="218">
        <v>1</v>
      </c>
      <c r="AC47" s="290">
        <f>279.14*1.2</f>
        <v>334.96799999999996</v>
      </c>
      <c r="AE47" s="201">
        <v>0.9</v>
      </c>
    </row>
    <row r="48" spans="2:32" ht="15">
      <c r="B48" s="161">
        <f t="shared" si="12"/>
        <v>31</v>
      </c>
      <c r="C48" s="162" t="str">
        <f t="shared" ref="C48:C61" si="18">S48&amp;" "&amp;T48&amp;" "&amp;V48</f>
        <v>Насос WILO  Yonos MAXO 25/0,5-12 PN10</v>
      </c>
      <c r="D48" s="161">
        <f t="shared" si="5"/>
        <v>1</v>
      </c>
      <c r="E48" s="51" t="s">
        <v>115</v>
      </c>
      <c r="F48" s="189">
        <f t="shared" si="6"/>
        <v>432.43200000000002</v>
      </c>
      <c r="G48" s="189">
        <f t="shared" si="7"/>
        <v>432.43200000000002</v>
      </c>
      <c r="I48" s="161">
        <f t="shared" si="8"/>
        <v>31</v>
      </c>
      <c r="J48" s="162" t="str">
        <f t="shared" si="17"/>
        <v>Pump WILO  Yonos MAXO 25/0,5-12 PN10</v>
      </c>
      <c r="K48" s="161">
        <f t="shared" si="9"/>
        <v>1</v>
      </c>
      <c r="L48" s="161" t="str">
        <f t="shared" si="10"/>
        <v>-</v>
      </c>
      <c r="M48" s="189">
        <f t="shared" si="14"/>
        <v>432.43200000000002</v>
      </c>
      <c r="N48" s="189">
        <f t="shared" si="15"/>
        <v>432.43200000000002</v>
      </c>
      <c r="Q48" s="276">
        <f t="shared" si="13"/>
        <v>1</v>
      </c>
      <c r="R48" s="162" t="s">
        <v>732</v>
      </c>
      <c r="S48" s="299" t="s">
        <v>610</v>
      </c>
      <c r="T48" s="1450" t="s">
        <v>606</v>
      </c>
      <c r="U48" s="1450"/>
      <c r="V48" s="267" t="s">
        <v>121</v>
      </c>
      <c r="W48" s="227"/>
      <c r="X48" s="282">
        <v>198.83999999999997</v>
      </c>
      <c r="Y48" s="223">
        <v>11</v>
      </c>
      <c r="Z48" s="230"/>
      <c r="AA48" s="262">
        <f t="shared" si="4"/>
        <v>198.83999999999997</v>
      </c>
      <c r="AB48" s="218">
        <v>1</v>
      </c>
      <c r="AC48" s="290">
        <f>360.36*1.2</f>
        <v>432.43200000000002</v>
      </c>
      <c r="AE48" s="201">
        <v>1.1000000000000001</v>
      </c>
    </row>
    <row r="49" spans="2:31" ht="15">
      <c r="B49" s="161">
        <f t="shared" si="12"/>
        <v>32</v>
      </c>
      <c r="C49" s="162" t="str">
        <f t="shared" si="18"/>
        <v>Насос WILO  Yonos MAXO 30/0,5-10 PN 10</v>
      </c>
      <c r="D49" s="161">
        <f t="shared" si="5"/>
        <v>1</v>
      </c>
      <c r="E49" s="51" t="s">
        <v>115</v>
      </c>
      <c r="F49" s="189">
        <f t="shared" si="6"/>
        <v>313.27</v>
      </c>
      <c r="G49" s="189">
        <f t="shared" si="7"/>
        <v>313.27</v>
      </c>
      <c r="I49" s="161">
        <f t="shared" si="8"/>
        <v>32</v>
      </c>
      <c r="J49" s="162" t="str">
        <f t="shared" si="17"/>
        <v>Pump WILO  Yonos MAXO 30/0,5-10 PN 10</v>
      </c>
      <c r="K49" s="161">
        <f t="shared" si="9"/>
        <v>1</v>
      </c>
      <c r="L49" s="161" t="str">
        <f t="shared" si="10"/>
        <v>-</v>
      </c>
      <c r="M49" s="189">
        <f t="shared" si="14"/>
        <v>313.27</v>
      </c>
      <c r="N49" s="189">
        <f t="shared" si="15"/>
        <v>313.27</v>
      </c>
      <c r="Q49" s="276">
        <f t="shared" si="13"/>
        <v>1</v>
      </c>
      <c r="R49" s="162" t="s">
        <v>732</v>
      </c>
      <c r="S49" s="299" t="s">
        <v>610</v>
      </c>
      <c r="T49" s="1450" t="s">
        <v>606</v>
      </c>
      <c r="U49" s="1450"/>
      <c r="V49" s="267" t="s">
        <v>127</v>
      </c>
      <c r="W49" s="227"/>
      <c r="X49" s="281">
        <v>200.4</v>
      </c>
      <c r="Y49" s="223">
        <v>9</v>
      </c>
      <c r="Z49" s="219"/>
      <c r="AA49" s="262">
        <f t="shared" si="4"/>
        <v>200.4</v>
      </c>
      <c r="AB49" s="218">
        <v>1</v>
      </c>
      <c r="AC49" s="290">
        <f>313.27</f>
        <v>313.27</v>
      </c>
      <c r="AE49" s="201">
        <v>0.8</v>
      </c>
    </row>
    <row r="50" spans="2:31" ht="15">
      <c r="B50" s="161">
        <f t="shared" si="12"/>
        <v>33</v>
      </c>
      <c r="C50" s="162" t="str">
        <f t="shared" si="18"/>
        <v>Насос WILO  Yonos MAXO 30/0,5-12 PN 10</v>
      </c>
      <c r="D50" s="161">
        <f t="shared" si="5"/>
        <v>3</v>
      </c>
      <c r="E50" s="51" t="s">
        <v>115</v>
      </c>
      <c r="F50" s="189">
        <f t="shared" si="6"/>
        <v>493.04399999999998</v>
      </c>
      <c r="G50" s="189">
        <f t="shared" si="7"/>
        <v>1479.1320000000001</v>
      </c>
      <c r="I50" s="161">
        <f t="shared" si="8"/>
        <v>33</v>
      </c>
      <c r="J50" s="162" t="str">
        <f t="shared" si="17"/>
        <v>Pump WILO  Yonos MAXO 30/0,5-12 PN 10</v>
      </c>
      <c r="K50" s="161">
        <f t="shared" si="9"/>
        <v>3</v>
      </c>
      <c r="L50" s="161" t="str">
        <f t="shared" si="10"/>
        <v>-</v>
      </c>
      <c r="M50" s="189">
        <f t="shared" si="14"/>
        <v>493.04399999999998</v>
      </c>
      <c r="N50" s="189">
        <f t="shared" si="15"/>
        <v>1479.1320000000001</v>
      </c>
      <c r="Q50" s="276">
        <f t="shared" si="13"/>
        <v>3</v>
      </c>
      <c r="R50" s="162" t="s">
        <v>732</v>
      </c>
      <c r="S50" s="299" t="s">
        <v>610</v>
      </c>
      <c r="T50" s="1450" t="s">
        <v>606</v>
      </c>
      <c r="U50" s="1450"/>
      <c r="V50" s="267" t="s">
        <v>122</v>
      </c>
      <c r="W50" s="227"/>
      <c r="X50" s="281">
        <v>260.71199999999999</v>
      </c>
      <c r="Y50" s="223">
        <v>33</v>
      </c>
      <c r="Z50" s="219"/>
      <c r="AA50" s="262">
        <f t="shared" ref="AA50:AA81" si="19">AB50*X50</f>
        <v>782.13599999999997</v>
      </c>
      <c r="AB50" s="218">
        <v>3</v>
      </c>
      <c r="AC50" s="290">
        <f>410.87*1.2</f>
        <v>493.04399999999998</v>
      </c>
      <c r="AE50" s="201">
        <v>2.9</v>
      </c>
    </row>
    <row r="51" spans="2:31" ht="15">
      <c r="B51" s="161">
        <f t="shared" si="12"/>
        <v>34</v>
      </c>
      <c r="C51" s="162" t="str">
        <f t="shared" si="18"/>
        <v>Насос WILO  Yonos MAXO 40/0,5-12 PN 6/10</v>
      </c>
      <c r="D51" s="161">
        <f t="shared" si="5"/>
        <v>10</v>
      </c>
      <c r="E51" s="51" t="s">
        <v>115</v>
      </c>
      <c r="F51" s="189">
        <f t="shared" si="6"/>
        <v>1878.6959999999999</v>
      </c>
      <c r="G51" s="189">
        <f t="shared" si="7"/>
        <v>18786.96</v>
      </c>
      <c r="I51" s="161">
        <f t="shared" si="8"/>
        <v>34</v>
      </c>
      <c r="J51" s="162" t="str">
        <f t="shared" si="17"/>
        <v>Pump WILO  Yonos MAXO 40/0,5-12 PN 6/10</v>
      </c>
      <c r="K51" s="161">
        <f t="shared" si="9"/>
        <v>10</v>
      </c>
      <c r="L51" s="161" t="str">
        <f t="shared" si="10"/>
        <v>-</v>
      </c>
      <c r="M51" s="189">
        <f t="shared" si="14"/>
        <v>1878.6959999999999</v>
      </c>
      <c r="N51" s="189">
        <f t="shared" si="15"/>
        <v>18786.96</v>
      </c>
      <c r="Q51" s="276">
        <f t="shared" si="13"/>
        <v>10</v>
      </c>
      <c r="R51" s="162" t="s">
        <v>732</v>
      </c>
      <c r="S51" s="299" t="s">
        <v>610</v>
      </c>
      <c r="T51" s="1450" t="s">
        <v>606</v>
      </c>
      <c r="U51" s="1450"/>
      <c r="V51" s="267" t="s">
        <v>123</v>
      </c>
      <c r="W51" s="227"/>
      <c r="X51" s="281">
        <v>387.45599999999996</v>
      </c>
      <c r="Y51" s="223">
        <v>103</v>
      </c>
      <c r="Z51" s="219"/>
      <c r="AA51" s="262">
        <f t="shared" si="19"/>
        <v>3874.5599999999995</v>
      </c>
      <c r="AB51" s="218">
        <v>10</v>
      </c>
      <c r="AC51" s="290">
        <f>1565.58*1.2</f>
        <v>1878.6959999999999</v>
      </c>
      <c r="AE51" s="201">
        <v>9.4</v>
      </c>
    </row>
    <row r="52" spans="2:31" ht="15">
      <c r="B52" s="161">
        <f t="shared" si="12"/>
        <v>35</v>
      </c>
      <c r="C52" s="162" t="str">
        <f t="shared" si="18"/>
        <v>Насос WILO  Yonos MAXO 50/0,5-12 PN 6/10</v>
      </c>
      <c r="D52" s="161">
        <f t="shared" si="5"/>
        <v>6</v>
      </c>
      <c r="E52" s="51" t="s">
        <v>115</v>
      </c>
      <c r="F52" s="189">
        <f t="shared" si="6"/>
        <v>2425.7759999999998</v>
      </c>
      <c r="G52" s="189">
        <f t="shared" si="7"/>
        <v>14554.655999999999</v>
      </c>
      <c r="I52" s="161">
        <f t="shared" si="8"/>
        <v>35</v>
      </c>
      <c r="J52" s="162" t="str">
        <f t="shared" si="17"/>
        <v>Pump WILO  Yonos MAXO 50/0,5-12 PN 6/10</v>
      </c>
      <c r="K52" s="161">
        <f t="shared" si="9"/>
        <v>6</v>
      </c>
      <c r="L52" s="161" t="str">
        <f t="shared" si="10"/>
        <v>-</v>
      </c>
      <c r="M52" s="189">
        <f t="shared" si="14"/>
        <v>2425.7759999999998</v>
      </c>
      <c r="N52" s="189">
        <f t="shared" si="15"/>
        <v>14554.655999999999</v>
      </c>
      <c r="Q52" s="276">
        <f t="shared" si="13"/>
        <v>6</v>
      </c>
      <c r="R52" s="162" t="s">
        <v>732</v>
      </c>
      <c r="S52" s="299" t="s">
        <v>610</v>
      </c>
      <c r="T52" s="1450" t="s">
        <v>606</v>
      </c>
      <c r="U52" s="1450"/>
      <c r="V52" s="267" t="s">
        <v>119</v>
      </c>
      <c r="W52" s="227"/>
      <c r="X52" s="281">
        <v>391.06799999999998</v>
      </c>
      <c r="Y52" s="223">
        <v>64</v>
      </c>
      <c r="Z52" s="219"/>
      <c r="AA52" s="262">
        <f t="shared" si="19"/>
        <v>2346.4079999999999</v>
      </c>
      <c r="AB52" s="218">
        <v>6</v>
      </c>
      <c r="AC52" s="290">
        <f>2021.48*1.2</f>
        <v>2425.7759999999998</v>
      </c>
      <c r="AE52" s="201">
        <v>5.9</v>
      </c>
    </row>
    <row r="53" spans="2:31" ht="15">
      <c r="B53" s="161">
        <f t="shared" si="12"/>
        <v>36</v>
      </c>
      <c r="C53" s="162" t="str">
        <f t="shared" si="18"/>
        <v>Насос WILO  Yonos MAXO 50/0,5-16 PN 6/10</v>
      </c>
      <c r="D53" s="161">
        <f t="shared" si="5"/>
        <v>1</v>
      </c>
      <c r="E53" s="51" t="s">
        <v>115</v>
      </c>
      <c r="F53" s="189">
        <f t="shared" si="6"/>
        <v>3387.24</v>
      </c>
      <c r="G53" s="189">
        <f t="shared" si="7"/>
        <v>3387.24</v>
      </c>
      <c r="I53" s="161">
        <f t="shared" si="8"/>
        <v>36</v>
      </c>
      <c r="J53" s="162" t="str">
        <f t="shared" si="17"/>
        <v>Pump WILO  Yonos MAXO 50/0,5-16 PN 6/10</v>
      </c>
      <c r="K53" s="161">
        <f t="shared" si="9"/>
        <v>1</v>
      </c>
      <c r="L53" s="161" t="str">
        <f t="shared" si="10"/>
        <v>-</v>
      </c>
      <c r="M53" s="189">
        <f t="shared" si="14"/>
        <v>3387.24</v>
      </c>
      <c r="N53" s="189">
        <f t="shared" si="15"/>
        <v>3387.24</v>
      </c>
      <c r="Q53" s="276">
        <f t="shared" si="13"/>
        <v>1</v>
      </c>
      <c r="R53" s="162" t="s">
        <v>732</v>
      </c>
      <c r="S53" s="299" t="s">
        <v>610</v>
      </c>
      <c r="T53" s="1450" t="s">
        <v>606</v>
      </c>
      <c r="U53" s="1450"/>
      <c r="V53" s="267" t="s">
        <v>124</v>
      </c>
      <c r="W53" s="227"/>
      <c r="X53" s="281">
        <v>678</v>
      </c>
      <c r="Y53" s="223">
        <v>11</v>
      </c>
      <c r="Z53" s="219"/>
      <c r="AA53" s="262">
        <f t="shared" si="19"/>
        <v>678</v>
      </c>
      <c r="AB53" s="218">
        <v>1</v>
      </c>
      <c r="AC53" s="290">
        <f>2822.7*1.2</f>
        <v>3387.24</v>
      </c>
      <c r="AE53" s="201">
        <v>1.1000000000000001</v>
      </c>
    </row>
    <row r="54" spans="2:31" ht="15">
      <c r="B54" s="161">
        <f t="shared" si="12"/>
        <v>37</v>
      </c>
      <c r="C54" s="162" t="str">
        <f t="shared" si="18"/>
        <v>Насос WILO  Yonos MAXO 65/0,5-12 PN 6/10</v>
      </c>
      <c r="D54" s="161">
        <f t="shared" si="5"/>
        <v>2</v>
      </c>
      <c r="E54" s="51" t="s">
        <v>115</v>
      </c>
      <c r="F54" s="189">
        <f t="shared" si="6"/>
        <v>3404.7</v>
      </c>
      <c r="G54" s="189">
        <f t="shared" si="7"/>
        <v>6809.4</v>
      </c>
      <c r="I54" s="161">
        <f t="shared" si="8"/>
        <v>37</v>
      </c>
      <c r="J54" s="162" t="str">
        <f t="shared" si="17"/>
        <v>Pump WILO  Yonos MAXO 65/0,5-12 PN 6/10</v>
      </c>
      <c r="K54" s="161">
        <f t="shared" si="9"/>
        <v>2</v>
      </c>
      <c r="L54" s="161" t="str">
        <f t="shared" si="10"/>
        <v>-</v>
      </c>
      <c r="M54" s="189">
        <f t="shared" si="14"/>
        <v>3404.7</v>
      </c>
      <c r="N54" s="189">
        <f t="shared" si="15"/>
        <v>6809.4</v>
      </c>
      <c r="Q54" s="276">
        <f t="shared" si="13"/>
        <v>2</v>
      </c>
      <c r="R54" s="162" t="s">
        <v>732</v>
      </c>
      <c r="S54" s="299" t="s">
        <v>610</v>
      </c>
      <c r="T54" s="1450" t="s">
        <v>606</v>
      </c>
      <c r="U54" s="1450"/>
      <c r="V54" s="267" t="s">
        <v>125</v>
      </c>
      <c r="W54" s="227"/>
      <c r="X54" s="281">
        <v>662.4</v>
      </c>
      <c r="Y54" s="223">
        <v>16</v>
      </c>
      <c r="Z54" s="219"/>
      <c r="AA54" s="262">
        <f t="shared" si="19"/>
        <v>1324.8</v>
      </c>
      <c r="AB54" s="218">
        <v>2</v>
      </c>
      <c r="AC54" s="290">
        <f>2837.25*1.2</f>
        <v>3404.7</v>
      </c>
      <c r="AE54" s="201">
        <v>1.5</v>
      </c>
    </row>
    <row r="55" spans="2:31" ht="15">
      <c r="B55" s="161">
        <f t="shared" si="12"/>
        <v>38</v>
      </c>
      <c r="C55" s="162" t="str">
        <f t="shared" si="18"/>
        <v>Насос WILO  Yonos MAXO 65/0,5-16 PN 6/10</v>
      </c>
      <c r="D55" s="161">
        <f t="shared" si="5"/>
        <v>2</v>
      </c>
      <c r="E55" s="51" t="s">
        <v>115</v>
      </c>
      <c r="F55" s="189">
        <f t="shared" si="6"/>
        <v>4190.424</v>
      </c>
      <c r="G55" s="189">
        <f t="shared" si="7"/>
        <v>8380.848</v>
      </c>
      <c r="I55" s="161">
        <f t="shared" si="8"/>
        <v>38</v>
      </c>
      <c r="J55" s="162" t="str">
        <f t="shared" si="17"/>
        <v>Pump WILO  Yonos MAXO 65/0,5-16 PN 6/10</v>
      </c>
      <c r="K55" s="161">
        <f t="shared" si="9"/>
        <v>2</v>
      </c>
      <c r="L55" s="161" t="str">
        <f t="shared" si="10"/>
        <v>-</v>
      </c>
      <c r="M55" s="189">
        <f t="shared" si="14"/>
        <v>4190.424</v>
      </c>
      <c r="N55" s="189">
        <f t="shared" si="15"/>
        <v>8380.848</v>
      </c>
      <c r="Q55" s="276">
        <f t="shared" si="13"/>
        <v>2</v>
      </c>
      <c r="R55" s="162" t="s">
        <v>732</v>
      </c>
      <c r="S55" s="299" t="s">
        <v>610</v>
      </c>
      <c r="T55" s="1450" t="s">
        <v>606</v>
      </c>
      <c r="U55" s="1450"/>
      <c r="V55" s="267" t="s">
        <v>126</v>
      </c>
      <c r="W55" s="227"/>
      <c r="X55" s="281">
        <v>682.99199999999996</v>
      </c>
      <c r="Y55" s="223">
        <v>15</v>
      </c>
      <c r="Z55" s="218"/>
      <c r="AA55" s="262">
        <f t="shared" si="19"/>
        <v>1365.9839999999999</v>
      </c>
      <c r="AB55" s="218">
        <v>2</v>
      </c>
      <c r="AC55" s="290">
        <f>3492.02*1.2</f>
        <v>4190.424</v>
      </c>
      <c r="AE55" s="201">
        <v>1.6</v>
      </c>
    </row>
    <row r="56" spans="2:31" ht="15">
      <c r="B56" s="161">
        <f t="shared" si="12"/>
        <v>39</v>
      </c>
      <c r="C56" s="162" t="str">
        <f t="shared" si="18"/>
        <v>Насос WILO  Yonos MAXO 80/0,5-12 PN 10</v>
      </c>
      <c r="D56" s="161">
        <f t="shared" si="5"/>
        <v>1</v>
      </c>
      <c r="E56" s="51" t="s">
        <v>115</v>
      </c>
      <c r="F56" s="189">
        <f t="shared" si="6"/>
        <v>4034.424</v>
      </c>
      <c r="G56" s="189">
        <f t="shared" si="7"/>
        <v>4034.424</v>
      </c>
      <c r="I56" s="161">
        <f t="shared" si="8"/>
        <v>39</v>
      </c>
      <c r="J56" s="162" t="str">
        <f t="shared" si="17"/>
        <v>Pump WILO  Yonos MAXO 80/0,5-12 PN 10</v>
      </c>
      <c r="K56" s="161">
        <f t="shared" si="9"/>
        <v>1</v>
      </c>
      <c r="L56" s="161" t="str">
        <f t="shared" si="10"/>
        <v>-</v>
      </c>
      <c r="M56" s="189">
        <f t="shared" si="14"/>
        <v>4034.424</v>
      </c>
      <c r="N56" s="189">
        <f t="shared" si="15"/>
        <v>4034.424</v>
      </c>
      <c r="Q56" s="276">
        <f t="shared" si="13"/>
        <v>1</v>
      </c>
      <c r="R56" s="162" t="s">
        <v>732</v>
      </c>
      <c r="S56" s="299" t="s">
        <v>610</v>
      </c>
      <c r="T56" s="1450" t="s">
        <v>606</v>
      </c>
      <c r="U56" s="1450"/>
      <c r="V56" s="267" t="s">
        <v>118</v>
      </c>
      <c r="W56" s="227"/>
      <c r="X56" s="281">
        <v>708</v>
      </c>
      <c r="Y56" s="223">
        <v>13</v>
      </c>
      <c r="Z56" s="218"/>
      <c r="AA56" s="262">
        <f t="shared" si="19"/>
        <v>708</v>
      </c>
      <c r="AB56" s="218">
        <v>1</v>
      </c>
      <c r="AC56" s="290">
        <f>3362.02*1.2</f>
        <v>4034.424</v>
      </c>
      <c r="AE56" s="201">
        <v>1.2</v>
      </c>
    </row>
    <row r="57" spans="2:31" ht="15">
      <c r="B57" s="161">
        <f t="shared" si="12"/>
        <v>40</v>
      </c>
      <c r="C57" s="162" t="str">
        <f t="shared" si="18"/>
        <v>Насос WILO  TOP-S 25/10  PN 6/10</v>
      </c>
      <c r="D57" s="161">
        <f t="shared" si="5"/>
        <v>1</v>
      </c>
      <c r="E57" s="51" t="s">
        <v>115</v>
      </c>
      <c r="F57" s="189">
        <f t="shared" si="6"/>
        <v>375.97199999999998</v>
      </c>
      <c r="G57" s="189">
        <f t="shared" si="7"/>
        <v>375.97199999999998</v>
      </c>
      <c r="I57" s="161">
        <f t="shared" si="8"/>
        <v>40</v>
      </c>
      <c r="J57" s="162" t="str">
        <f t="shared" si="17"/>
        <v>Pump WILO  TOP-S 25/10  PN 6/10</v>
      </c>
      <c r="K57" s="161">
        <f t="shared" si="9"/>
        <v>1</v>
      </c>
      <c r="L57" s="161" t="str">
        <f t="shared" si="10"/>
        <v>-</v>
      </c>
      <c r="M57" s="189">
        <f t="shared" si="14"/>
        <v>375.97199999999998</v>
      </c>
      <c r="N57" s="189">
        <f t="shared" si="15"/>
        <v>375.97199999999998</v>
      </c>
      <c r="Q57" s="276">
        <f t="shared" si="13"/>
        <v>1</v>
      </c>
      <c r="R57" s="162" t="s">
        <v>732</v>
      </c>
      <c r="S57" s="299" t="s">
        <v>610</v>
      </c>
      <c r="T57" s="1450" t="s">
        <v>606</v>
      </c>
      <c r="U57" s="1450"/>
      <c r="V57" s="267" t="s">
        <v>129</v>
      </c>
      <c r="W57" s="227"/>
      <c r="X57" s="281">
        <v>168.94799999999998</v>
      </c>
      <c r="Y57" s="223">
        <v>1</v>
      </c>
      <c r="Z57" s="218"/>
      <c r="AA57" s="262">
        <f t="shared" si="19"/>
        <v>168.94799999999998</v>
      </c>
      <c r="AB57" s="218">
        <v>1</v>
      </c>
      <c r="AC57" s="290">
        <f>313.31*1.2</f>
        <v>375.97199999999998</v>
      </c>
      <c r="AE57" s="201">
        <v>1</v>
      </c>
    </row>
    <row r="58" spans="2:31" ht="15">
      <c r="B58" s="161">
        <f t="shared" si="12"/>
        <v>41</v>
      </c>
      <c r="C58" s="162" t="str">
        <f t="shared" si="18"/>
        <v>Насос WILO  TOP-S 25/7  PN 10</v>
      </c>
      <c r="D58" s="161">
        <f t="shared" si="5"/>
        <v>1</v>
      </c>
      <c r="E58" s="51" t="s">
        <v>115</v>
      </c>
      <c r="F58" s="189">
        <f t="shared" si="6"/>
        <v>285.18</v>
      </c>
      <c r="G58" s="189">
        <f t="shared" si="7"/>
        <v>285.18</v>
      </c>
      <c r="I58" s="161">
        <f t="shared" si="8"/>
        <v>41</v>
      </c>
      <c r="J58" s="162" t="str">
        <f t="shared" si="17"/>
        <v>Pump WILO  TOP-S 25/7  PN 10</v>
      </c>
      <c r="K58" s="161">
        <f t="shared" si="9"/>
        <v>1</v>
      </c>
      <c r="L58" s="161" t="str">
        <f t="shared" si="10"/>
        <v>-</v>
      </c>
      <c r="M58" s="189">
        <f t="shared" si="14"/>
        <v>285.18</v>
      </c>
      <c r="N58" s="189">
        <f t="shared" si="15"/>
        <v>285.18</v>
      </c>
      <c r="Q58" s="276">
        <f t="shared" si="13"/>
        <v>1</v>
      </c>
      <c r="R58" s="162" t="s">
        <v>732</v>
      </c>
      <c r="S58" s="299" t="s">
        <v>610</v>
      </c>
      <c r="T58" s="1450" t="s">
        <v>606</v>
      </c>
      <c r="U58" s="1450"/>
      <c r="V58" s="267" t="s">
        <v>128</v>
      </c>
      <c r="W58" s="227"/>
      <c r="X58" s="281">
        <v>122.32799999999999</v>
      </c>
      <c r="Y58" s="223">
        <v>1</v>
      </c>
      <c r="Z58" s="218"/>
      <c r="AA58" s="262">
        <f t="shared" si="19"/>
        <v>122.32799999999999</v>
      </c>
      <c r="AB58" s="218">
        <v>1</v>
      </c>
      <c r="AC58" s="290">
        <f>237.65*1.2</f>
        <v>285.18</v>
      </c>
      <c r="AE58" s="201">
        <v>1</v>
      </c>
    </row>
    <row r="59" spans="2:31" ht="15">
      <c r="B59" s="161">
        <f t="shared" si="12"/>
        <v>42</v>
      </c>
      <c r="C59" s="162" t="str">
        <f t="shared" si="18"/>
        <v>Насос WILO  Stratos-Z 30/1-12 PN 10</v>
      </c>
      <c r="D59" s="161">
        <f t="shared" si="5"/>
        <v>19</v>
      </c>
      <c r="E59" s="51" t="s">
        <v>115</v>
      </c>
      <c r="F59" s="189">
        <f t="shared" si="6"/>
        <v>1392.1439999999998</v>
      </c>
      <c r="G59" s="189">
        <f t="shared" si="7"/>
        <v>26450.735999999997</v>
      </c>
      <c r="I59" s="161">
        <f t="shared" si="8"/>
        <v>42</v>
      </c>
      <c r="J59" s="162" t="str">
        <f t="shared" si="17"/>
        <v>Pump WILO  Stratos-Z 30/1-12 PN 10</v>
      </c>
      <c r="K59" s="161">
        <f t="shared" si="9"/>
        <v>19</v>
      </c>
      <c r="L59" s="161" t="str">
        <f t="shared" si="10"/>
        <v>-</v>
      </c>
      <c r="M59" s="189">
        <f t="shared" si="14"/>
        <v>1392.1439999999998</v>
      </c>
      <c r="N59" s="189">
        <f t="shared" si="15"/>
        <v>26450.735999999997</v>
      </c>
      <c r="Q59" s="276">
        <f t="shared" si="13"/>
        <v>19</v>
      </c>
      <c r="R59" s="162" t="s">
        <v>732</v>
      </c>
      <c r="S59" s="299" t="s">
        <v>610</v>
      </c>
      <c r="T59" s="1450" t="s">
        <v>606</v>
      </c>
      <c r="U59" s="1450"/>
      <c r="V59" s="267" t="s">
        <v>131</v>
      </c>
      <c r="W59" s="227"/>
      <c r="X59" s="281">
        <v>361.16400000000004</v>
      </c>
      <c r="Y59" s="223">
        <v>192</v>
      </c>
      <c r="Z59" s="218"/>
      <c r="AA59" s="262">
        <f t="shared" si="19"/>
        <v>6862.1160000000009</v>
      </c>
      <c r="AB59" s="218">
        <v>19</v>
      </c>
      <c r="AC59" s="290">
        <f>1160.12*1.2</f>
        <v>1392.1439999999998</v>
      </c>
      <c r="AE59" s="201">
        <v>7</v>
      </c>
    </row>
    <row r="60" spans="2:31" ht="15">
      <c r="B60" s="161">
        <f t="shared" si="12"/>
        <v>43</v>
      </c>
      <c r="C60" s="162" t="str">
        <f t="shared" si="18"/>
        <v>Насос WILO  Stratos-Z 25/1-8 PN 10</v>
      </c>
      <c r="D60" s="161">
        <f t="shared" si="5"/>
        <v>7</v>
      </c>
      <c r="E60" s="51" t="s">
        <v>115</v>
      </c>
      <c r="F60" s="189">
        <f t="shared" si="6"/>
        <v>812.47199999999987</v>
      </c>
      <c r="G60" s="189">
        <f t="shared" si="7"/>
        <v>5687.3039999999992</v>
      </c>
      <c r="I60" s="161">
        <f t="shared" si="8"/>
        <v>43</v>
      </c>
      <c r="J60" s="162" t="str">
        <f t="shared" si="17"/>
        <v>Pump WILO  Stratos-Z 25/1-8 PN 10</v>
      </c>
      <c r="K60" s="161">
        <f t="shared" si="9"/>
        <v>7</v>
      </c>
      <c r="L60" s="161" t="str">
        <f t="shared" si="10"/>
        <v>-</v>
      </c>
      <c r="M60" s="189">
        <f t="shared" si="14"/>
        <v>812.47199999999987</v>
      </c>
      <c r="N60" s="189">
        <f t="shared" si="15"/>
        <v>5687.3039999999992</v>
      </c>
      <c r="Q60" s="276">
        <f t="shared" si="13"/>
        <v>7</v>
      </c>
      <c r="R60" s="162" t="s">
        <v>732</v>
      </c>
      <c r="S60" s="299" t="s">
        <v>610</v>
      </c>
      <c r="T60" s="1450" t="s">
        <v>606</v>
      </c>
      <c r="U60" s="1450"/>
      <c r="V60" s="267" t="s">
        <v>132</v>
      </c>
      <c r="W60" s="227"/>
      <c r="X60" s="281">
        <v>289.64400000000001</v>
      </c>
      <c r="Y60" s="223">
        <v>72</v>
      </c>
      <c r="Z60" s="218"/>
      <c r="AA60" s="262">
        <f t="shared" si="19"/>
        <v>2027.508</v>
      </c>
      <c r="AB60" s="218">
        <v>7</v>
      </c>
      <c r="AC60" s="290">
        <f>677.06*1.2</f>
        <v>812.47199999999987</v>
      </c>
      <c r="AE60" s="201">
        <v>19</v>
      </c>
    </row>
    <row r="61" spans="2:31" ht="15.75" thickBot="1">
      <c r="B61" s="161">
        <f t="shared" si="12"/>
        <v>44</v>
      </c>
      <c r="C61" s="162" t="str">
        <f t="shared" si="18"/>
        <v>Насос дренажний WILO  TМW32/8</v>
      </c>
      <c r="D61" s="161">
        <f t="shared" si="5"/>
        <v>29</v>
      </c>
      <c r="E61" s="51" t="s">
        <v>115</v>
      </c>
      <c r="F61" s="189">
        <f t="shared" si="6"/>
        <v>176.4</v>
      </c>
      <c r="G61" s="189">
        <f t="shared" si="7"/>
        <v>5115.6000000000004</v>
      </c>
      <c r="I61" s="161">
        <f t="shared" si="8"/>
        <v>44</v>
      </c>
      <c r="J61" s="162" t="str">
        <f t="shared" si="17"/>
        <v>Flood pump  WILO  TМW32/8</v>
      </c>
      <c r="K61" s="161">
        <f t="shared" si="9"/>
        <v>29</v>
      </c>
      <c r="L61" s="161" t="str">
        <f t="shared" si="10"/>
        <v>-</v>
      </c>
      <c r="M61" s="189">
        <f t="shared" si="14"/>
        <v>176.4</v>
      </c>
      <c r="N61" s="189">
        <f t="shared" si="15"/>
        <v>5115.6000000000004</v>
      </c>
      <c r="Q61" s="276">
        <f t="shared" si="13"/>
        <v>29</v>
      </c>
      <c r="R61" s="297" t="s">
        <v>740</v>
      </c>
      <c r="S61" s="299" t="s">
        <v>741</v>
      </c>
      <c r="T61" s="1450" t="s">
        <v>606</v>
      </c>
      <c r="U61" s="1450"/>
      <c r="V61" s="269" t="s">
        <v>657</v>
      </c>
      <c r="W61" s="227">
        <v>9.5039999999999996</v>
      </c>
      <c r="X61" s="283">
        <v>66.611999999999995</v>
      </c>
      <c r="Y61" s="223">
        <v>287</v>
      </c>
      <c r="Z61" s="218"/>
      <c r="AA61" s="262">
        <f t="shared" si="19"/>
        <v>1931.7479999999998</v>
      </c>
      <c r="AB61" s="218">
        <v>29</v>
      </c>
      <c r="AC61" s="290">
        <f>147*1.2</f>
        <v>176.4</v>
      </c>
      <c r="AE61" s="201">
        <v>28.7</v>
      </c>
    </row>
    <row r="62" spans="2:31" ht="15">
      <c r="B62" s="161">
        <f t="shared" si="12"/>
        <v>45</v>
      </c>
      <c r="C62" s="162" t="str">
        <f t="shared" ref="C62:C108" si="20">S62&amp;" "&amp;T62&amp;" "&amp;V62&amp;" "&amp;"Dn"&amp;" "&amp;W62</f>
        <v>Лічильник гарячої води з імп. виходом Apator js90-1.5NK Dn 15</v>
      </c>
      <c r="D62" s="161">
        <f t="shared" si="5"/>
        <v>28</v>
      </c>
      <c r="E62" s="51" t="s">
        <v>115</v>
      </c>
      <c r="F62" s="189">
        <f t="shared" si="6"/>
        <v>29</v>
      </c>
      <c r="G62" s="189">
        <f t="shared" si="7"/>
        <v>812</v>
      </c>
      <c r="I62" s="161">
        <f t="shared" si="8"/>
        <v>45</v>
      </c>
      <c r="J62" s="162" t="str">
        <f t="shared" ref="J62:J108" si="21">R62&amp;" "&amp;T62&amp;" "&amp;V62&amp;" "&amp;"Dn"&amp;W62</f>
        <v>Hot water flow meter, threaded with pulsed output  Apator js90-1.5NK Dn15</v>
      </c>
      <c r="K62" s="161">
        <f t="shared" si="9"/>
        <v>28</v>
      </c>
      <c r="L62" s="161" t="str">
        <f t="shared" si="10"/>
        <v>-</v>
      </c>
      <c r="M62" s="189">
        <f t="shared" si="14"/>
        <v>29</v>
      </c>
      <c r="N62" s="189">
        <f t="shared" si="15"/>
        <v>812</v>
      </c>
      <c r="Q62" s="276">
        <f t="shared" si="13"/>
        <v>28</v>
      </c>
      <c r="R62" s="300" t="s">
        <v>733</v>
      </c>
      <c r="S62" s="268" t="s">
        <v>37</v>
      </c>
      <c r="T62" s="1459" t="s">
        <v>714</v>
      </c>
      <c r="U62" s="1450"/>
      <c r="V62" s="226" t="s">
        <v>63</v>
      </c>
      <c r="W62" s="227">
        <v>15</v>
      </c>
      <c r="X62" s="281">
        <v>19.5</v>
      </c>
      <c r="Y62" s="232">
        <v>279</v>
      </c>
      <c r="Z62" s="218"/>
      <c r="AA62" s="262">
        <f t="shared" si="19"/>
        <v>546</v>
      </c>
      <c r="AB62" s="218">
        <v>28</v>
      </c>
      <c r="AC62" s="290">
        <v>29</v>
      </c>
    </row>
    <row r="63" spans="2:31" ht="15">
      <c r="B63" s="161">
        <f t="shared" si="12"/>
        <v>46</v>
      </c>
      <c r="C63" s="162" t="str">
        <f t="shared" si="20"/>
        <v>Лічильник гарячої води з імп. виходом Apator js90-2.5NK Dn 20</v>
      </c>
      <c r="D63" s="161">
        <f t="shared" si="5"/>
        <v>1</v>
      </c>
      <c r="E63" s="51" t="s">
        <v>115</v>
      </c>
      <c r="F63" s="189">
        <f t="shared" si="6"/>
        <v>32.200000000000003</v>
      </c>
      <c r="G63" s="189">
        <f t="shared" si="7"/>
        <v>32.200000000000003</v>
      </c>
      <c r="I63" s="161">
        <f t="shared" si="8"/>
        <v>46</v>
      </c>
      <c r="J63" s="162" t="str">
        <f t="shared" si="21"/>
        <v>Hot water flow meter, threaded with pulsed output  Apator js90-2.5NK Dn20</v>
      </c>
      <c r="K63" s="161">
        <f t="shared" si="9"/>
        <v>1</v>
      </c>
      <c r="L63" s="161" t="str">
        <f t="shared" si="10"/>
        <v>-</v>
      </c>
      <c r="M63" s="189">
        <f t="shared" si="14"/>
        <v>32.200000000000003</v>
      </c>
      <c r="N63" s="189">
        <f t="shared" si="15"/>
        <v>32.200000000000003</v>
      </c>
      <c r="Q63" s="276">
        <f t="shared" si="13"/>
        <v>1</v>
      </c>
      <c r="R63" s="300" t="s">
        <v>733</v>
      </c>
      <c r="S63" s="268" t="s">
        <v>37</v>
      </c>
      <c r="T63" s="1450" t="s">
        <v>714</v>
      </c>
      <c r="U63" s="1450"/>
      <c r="V63" s="226" t="s">
        <v>64</v>
      </c>
      <c r="W63" s="227">
        <v>20</v>
      </c>
      <c r="X63" s="281">
        <v>23.75</v>
      </c>
      <c r="Y63" s="232">
        <v>7</v>
      </c>
      <c r="Z63" s="218"/>
      <c r="AA63" s="262">
        <f t="shared" si="19"/>
        <v>23.75</v>
      </c>
      <c r="AB63" s="218">
        <v>1</v>
      </c>
      <c r="AC63" s="290">
        <v>32.200000000000003</v>
      </c>
    </row>
    <row r="64" spans="2:31" ht="15">
      <c r="B64" s="161">
        <f t="shared" si="12"/>
        <v>47</v>
      </c>
      <c r="C64" s="162" t="str">
        <f t="shared" si="20"/>
        <v>Антивібраційна вставка муфтова  АB-G Dn 20</v>
      </c>
      <c r="D64" s="161">
        <f t="shared" si="5"/>
        <v>1</v>
      </c>
      <c r="E64" s="51" t="s">
        <v>115</v>
      </c>
      <c r="F64" s="189">
        <f t="shared" si="6"/>
        <v>12.5</v>
      </c>
      <c r="G64" s="189">
        <f t="shared" si="7"/>
        <v>12.5</v>
      </c>
      <c r="I64" s="161">
        <f t="shared" si="8"/>
        <v>47</v>
      </c>
      <c r="J64" s="162" t="str">
        <f t="shared" si="21"/>
        <v>Flanged or threaded vibration damper  АB-G Dn20</v>
      </c>
      <c r="K64" s="161">
        <f t="shared" si="9"/>
        <v>1</v>
      </c>
      <c r="L64" s="161" t="str">
        <f t="shared" si="10"/>
        <v>-</v>
      </c>
      <c r="M64" s="189">
        <f t="shared" si="14"/>
        <v>12.5</v>
      </c>
      <c r="N64" s="189">
        <f t="shared" si="15"/>
        <v>12.5</v>
      </c>
      <c r="Q64" s="307">
        <f t="shared" ref="Q64:Q72" si="22">ROUNDUP(Y64*0.02,0)</f>
        <v>1</v>
      </c>
      <c r="R64" s="301" t="s">
        <v>736</v>
      </c>
      <c r="S64" s="268" t="s">
        <v>53</v>
      </c>
      <c r="T64" s="1460"/>
      <c r="U64" s="1460"/>
      <c r="V64" s="241" t="s">
        <v>54</v>
      </c>
      <c r="W64" s="227">
        <v>20</v>
      </c>
      <c r="X64" s="281">
        <v>7.3760655737704921</v>
      </c>
      <c r="Y64" s="232">
        <v>2</v>
      </c>
      <c r="Z64" s="218"/>
      <c r="AA64" s="262">
        <f t="shared" si="19"/>
        <v>7.3760655737704921</v>
      </c>
      <c r="AB64" s="218">
        <v>1</v>
      </c>
      <c r="AC64" s="290">
        <v>12.5</v>
      </c>
    </row>
    <row r="65" spans="2:31" ht="15">
      <c r="B65" s="161">
        <f t="shared" si="12"/>
        <v>48</v>
      </c>
      <c r="C65" s="162" t="str">
        <f t="shared" si="20"/>
        <v>Антивібраційна вставка муфтова  АB-G Dn 25</v>
      </c>
      <c r="D65" s="161">
        <f t="shared" si="5"/>
        <v>1</v>
      </c>
      <c r="E65" s="51" t="s">
        <v>115</v>
      </c>
      <c r="F65" s="189">
        <f t="shared" si="6"/>
        <v>14.1</v>
      </c>
      <c r="G65" s="189">
        <f t="shared" si="7"/>
        <v>14.1</v>
      </c>
      <c r="I65" s="161">
        <f t="shared" si="8"/>
        <v>48</v>
      </c>
      <c r="J65" s="162" t="str">
        <f t="shared" si="21"/>
        <v>Flanged or threaded vibration damper  АB-G Dn25</v>
      </c>
      <c r="K65" s="161">
        <f t="shared" si="9"/>
        <v>1</v>
      </c>
      <c r="L65" s="161" t="str">
        <f t="shared" si="10"/>
        <v>-</v>
      </c>
      <c r="M65" s="189">
        <f t="shared" si="14"/>
        <v>14.1</v>
      </c>
      <c r="N65" s="189">
        <f t="shared" si="15"/>
        <v>14.1</v>
      </c>
      <c r="Q65" s="307">
        <f t="shared" si="22"/>
        <v>1</v>
      </c>
      <c r="R65" s="301" t="s">
        <v>736</v>
      </c>
      <c r="S65" s="268" t="s">
        <v>53</v>
      </c>
      <c r="T65" s="1460"/>
      <c r="U65" s="1460"/>
      <c r="V65" s="241" t="s">
        <v>54</v>
      </c>
      <c r="W65" s="227">
        <v>25</v>
      </c>
      <c r="X65" s="281">
        <v>8.9599999999999991</v>
      </c>
      <c r="Y65" s="232">
        <v>2</v>
      </c>
      <c r="Z65" s="218"/>
      <c r="AA65" s="262">
        <f t="shared" si="19"/>
        <v>8.9599999999999991</v>
      </c>
      <c r="AB65" s="218">
        <v>1</v>
      </c>
      <c r="AC65" s="275">
        <v>14.1</v>
      </c>
    </row>
    <row r="66" spans="2:31" ht="15">
      <c r="B66" s="161">
        <f t="shared" si="12"/>
        <v>49</v>
      </c>
      <c r="C66" s="162" t="str">
        <f t="shared" si="20"/>
        <v>Антивібраційна вставка муфтова  АB-G Dn 32</v>
      </c>
      <c r="D66" s="161">
        <f t="shared" si="5"/>
        <v>1</v>
      </c>
      <c r="E66" s="51" t="s">
        <v>115</v>
      </c>
      <c r="F66" s="189">
        <f t="shared" si="6"/>
        <v>16.2</v>
      </c>
      <c r="G66" s="189">
        <f t="shared" si="7"/>
        <v>16.2</v>
      </c>
      <c r="I66" s="161">
        <f t="shared" si="8"/>
        <v>49</v>
      </c>
      <c r="J66" s="162" t="str">
        <f t="shared" si="21"/>
        <v>Flanged or threaded vibration damper  АB-G Dn32</v>
      </c>
      <c r="K66" s="161">
        <f t="shared" si="9"/>
        <v>1</v>
      </c>
      <c r="L66" s="161" t="str">
        <f t="shared" si="10"/>
        <v>-</v>
      </c>
      <c r="M66" s="189">
        <f t="shared" si="14"/>
        <v>16.2</v>
      </c>
      <c r="N66" s="189">
        <f t="shared" si="15"/>
        <v>16.2</v>
      </c>
      <c r="Q66" s="307">
        <f t="shared" si="22"/>
        <v>1</v>
      </c>
      <c r="R66" s="301" t="s">
        <v>736</v>
      </c>
      <c r="S66" s="268" t="s">
        <v>53</v>
      </c>
      <c r="T66" s="1460"/>
      <c r="U66" s="1460"/>
      <c r="V66" s="241" t="s">
        <v>54</v>
      </c>
      <c r="W66" s="227">
        <v>32</v>
      </c>
      <c r="X66" s="281">
        <v>10.32</v>
      </c>
      <c r="Y66" s="232">
        <v>38</v>
      </c>
      <c r="Z66" s="218"/>
      <c r="AA66" s="262">
        <f t="shared" si="19"/>
        <v>10.32</v>
      </c>
      <c r="AB66" s="218">
        <v>1</v>
      </c>
      <c r="AC66" s="275">
        <v>16.2</v>
      </c>
    </row>
    <row r="67" spans="2:31" ht="15">
      <c r="B67" s="161">
        <f t="shared" si="12"/>
        <v>50</v>
      </c>
      <c r="C67" s="162" t="str">
        <f t="shared" si="20"/>
        <v>Антивібраційна вставка муфтова  АB-G Dn 40</v>
      </c>
      <c r="D67" s="161">
        <f t="shared" si="5"/>
        <v>2</v>
      </c>
      <c r="E67" s="51" t="s">
        <v>115</v>
      </c>
      <c r="F67" s="189">
        <f t="shared" si="6"/>
        <v>20.8</v>
      </c>
      <c r="G67" s="189">
        <f t="shared" si="7"/>
        <v>41.6</v>
      </c>
      <c r="I67" s="161">
        <f t="shared" si="8"/>
        <v>50</v>
      </c>
      <c r="J67" s="162" t="str">
        <f t="shared" si="21"/>
        <v>Flanged or threaded vibration damper  АB-G Dn40</v>
      </c>
      <c r="K67" s="161">
        <f t="shared" si="9"/>
        <v>2</v>
      </c>
      <c r="L67" s="161" t="str">
        <f t="shared" si="10"/>
        <v>-</v>
      </c>
      <c r="M67" s="189">
        <f t="shared" si="14"/>
        <v>20.8</v>
      </c>
      <c r="N67" s="189">
        <f t="shared" si="15"/>
        <v>41.6</v>
      </c>
      <c r="Q67" s="307">
        <f t="shared" si="22"/>
        <v>2</v>
      </c>
      <c r="R67" s="301" t="s">
        <v>736</v>
      </c>
      <c r="S67" s="268" t="s">
        <v>53</v>
      </c>
      <c r="T67" s="1460"/>
      <c r="U67" s="1460"/>
      <c r="V67" s="241" t="s">
        <v>54</v>
      </c>
      <c r="W67" s="227">
        <v>40</v>
      </c>
      <c r="X67" s="281">
        <v>13.216065573770491</v>
      </c>
      <c r="Y67" s="232">
        <v>70</v>
      </c>
      <c r="Z67" s="218"/>
      <c r="AA67" s="262">
        <f t="shared" si="19"/>
        <v>13.216065573770491</v>
      </c>
      <c r="AB67" s="218">
        <v>1</v>
      </c>
      <c r="AC67" s="275">
        <v>20.8</v>
      </c>
    </row>
    <row r="68" spans="2:31" ht="15">
      <c r="B68" s="161">
        <f t="shared" si="12"/>
        <v>51</v>
      </c>
      <c r="C68" s="162" t="str">
        <f t="shared" si="20"/>
        <v>Антивібраційна вставка муфтова  АB-G Dn 50</v>
      </c>
      <c r="D68" s="161">
        <f t="shared" si="5"/>
        <v>4</v>
      </c>
      <c r="E68" s="51" t="s">
        <v>115</v>
      </c>
      <c r="F68" s="189">
        <f t="shared" si="6"/>
        <v>26.6</v>
      </c>
      <c r="G68" s="189">
        <f t="shared" si="7"/>
        <v>106.4</v>
      </c>
      <c r="I68" s="161">
        <f t="shared" si="8"/>
        <v>51</v>
      </c>
      <c r="J68" s="162" t="str">
        <f t="shared" si="21"/>
        <v>Flanged or threaded vibration damper  АB-G Dn50</v>
      </c>
      <c r="K68" s="161">
        <f t="shared" si="9"/>
        <v>4</v>
      </c>
      <c r="L68" s="161" t="str">
        <f t="shared" si="10"/>
        <v>-</v>
      </c>
      <c r="M68" s="189">
        <f t="shared" si="14"/>
        <v>26.6</v>
      </c>
      <c r="N68" s="189">
        <f t="shared" si="15"/>
        <v>106.4</v>
      </c>
      <c r="Q68" s="307">
        <f t="shared" si="22"/>
        <v>4</v>
      </c>
      <c r="R68" s="301" t="s">
        <v>736</v>
      </c>
      <c r="S68" s="268" t="s">
        <v>53</v>
      </c>
      <c r="T68" s="1460"/>
      <c r="U68" s="1460"/>
      <c r="V68" s="241" t="s">
        <v>54</v>
      </c>
      <c r="W68" s="227">
        <v>50</v>
      </c>
      <c r="X68" s="281">
        <v>16.896065573770493</v>
      </c>
      <c r="Y68" s="232">
        <v>194</v>
      </c>
      <c r="Z68" s="218"/>
      <c r="AA68" s="262">
        <f t="shared" si="19"/>
        <v>16.896065573770493</v>
      </c>
      <c r="AB68" s="218">
        <v>1</v>
      </c>
      <c r="AC68" s="275">
        <v>26.6</v>
      </c>
    </row>
    <row r="69" spans="2:31" ht="15">
      <c r="B69" s="161">
        <f t="shared" si="12"/>
        <v>52</v>
      </c>
      <c r="C69" s="162" t="str">
        <f t="shared" si="20"/>
        <v>Антивібраційна вставка фланцева  АB-E Dn 65</v>
      </c>
      <c r="D69" s="161">
        <f t="shared" si="5"/>
        <v>4</v>
      </c>
      <c r="E69" s="51" t="s">
        <v>115</v>
      </c>
      <c r="F69" s="189">
        <f t="shared" si="6"/>
        <v>32.4</v>
      </c>
      <c r="G69" s="189">
        <f t="shared" si="7"/>
        <v>129.6</v>
      </c>
      <c r="I69" s="161">
        <f t="shared" si="8"/>
        <v>52</v>
      </c>
      <c r="J69" s="162" t="str">
        <f t="shared" si="21"/>
        <v>Flanged or threaded vibration damper  АB-E Dn65</v>
      </c>
      <c r="K69" s="161">
        <f t="shared" si="9"/>
        <v>4</v>
      </c>
      <c r="L69" s="161" t="str">
        <f t="shared" si="10"/>
        <v>-</v>
      </c>
      <c r="M69" s="189">
        <f t="shared" si="14"/>
        <v>32.4</v>
      </c>
      <c r="N69" s="189">
        <f t="shared" si="15"/>
        <v>129.6</v>
      </c>
      <c r="Q69" s="307">
        <f t="shared" si="22"/>
        <v>4</v>
      </c>
      <c r="R69" s="301" t="s">
        <v>736</v>
      </c>
      <c r="S69" s="268" t="s">
        <v>55</v>
      </c>
      <c r="T69" s="1460"/>
      <c r="U69" s="1460"/>
      <c r="V69" s="241" t="s">
        <v>52</v>
      </c>
      <c r="W69" s="227">
        <v>65</v>
      </c>
      <c r="X69" s="281">
        <v>20.599999999999998</v>
      </c>
      <c r="Y69" s="232">
        <v>186</v>
      </c>
      <c r="Z69" s="218"/>
      <c r="AA69" s="262">
        <f t="shared" si="19"/>
        <v>20.599999999999998</v>
      </c>
      <c r="AB69" s="218">
        <v>1</v>
      </c>
      <c r="AC69" s="275">
        <v>32.4</v>
      </c>
    </row>
    <row r="70" spans="2:31" ht="15">
      <c r="B70" s="161">
        <f t="shared" si="12"/>
        <v>53</v>
      </c>
      <c r="C70" s="162" t="str">
        <f t="shared" si="20"/>
        <v>Антивібраційна вставка фланцева  АB-E Dn 80</v>
      </c>
      <c r="D70" s="161">
        <f t="shared" si="5"/>
        <v>2</v>
      </c>
      <c r="E70" s="51" t="s">
        <v>115</v>
      </c>
      <c r="F70" s="189">
        <f t="shared" si="6"/>
        <v>38.700000000000003</v>
      </c>
      <c r="G70" s="189">
        <f t="shared" si="7"/>
        <v>77.400000000000006</v>
      </c>
      <c r="I70" s="161">
        <f t="shared" si="8"/>
        <v>53</v>
      </c>
      <c r="J70" s="162" t="str">
        <f t="shared" si="21"/>
        <v>Flanged or threaded vibration damper  АB-E Dn80</v>
      </c>
      <c r="K70" s="161">
        <f t="shared" si="9"/>
        <v>2</v>
      </c>
      <c r="L70" s="161" t="str">
        <f t="shared" si="10"/>
        <v>-</v>
      </c>
      <c r="M70" s="189">
        <f t="shared" si="14"/>
        <v>38.700000000000003</v>
      </c>
      <c r="N70" s="189">
        <f t="shared" si="15"/>
        <v>77.400000000000006</v>
      </c>
      <c r="Q70" s="307">
        <f t="shared" si="22"/>
        <v>2</v>
      </c>
      <c r="R70" s="301" t="s">
        <v>736</v>
      </c>
      <c r="S70" s="268" t="s">
        <v>55</v>
      </c>
      <c r="T70" s="1460"/>
      <c r="U70" s="1460"/>
      <c r="V70" s="241" t="s">
        <v>52</v>
      </c>
      <c r="W70" s="227">
        <v>80</v>
      </c>
      <c r="X70" s="281">
        <v>24.599999999999998</v>
      </c>
      <c r="Y70" s="232">
        <v>60</v>
      </c>
      <c r="Z70" s="218"/>
      <c r="AA70" s="262">
        <f t="shared" si="19"/>
        <v>24.599999999999998</v>
      </c>
      <c r="AB70" s="218">
        <v>1</v>
      </c>
      <c r="AC70" s="275">
        <v>38.700000000000003</v>
      </c>
    </row>
    <row r="71" spans="2:31" ht="15">
      <c r="B71" s="161">
        <f t="shared" si="12"/>
        <v>54</v>
      </c>
      <c r="C71" s="162" t="str">
        <f t="shared" si="20"/>
        <v>Антивібраційна вставка фланцева  АB-E Dn 100</v>
      </c>
      <c r="D71" s="161">
        <f t="shared" si="5"/>
        <v>1</v>
      </c>
      <c r="E71" s="51" t="s">
        <v>115</v>
      </c>
      <c r="F71" s="189">
        <f t="shared" si="6"/>
        <v>50</v>
      </c>
      <c r="G71" s="189">
        <f t="shared" si="7"/>
        <v>50</v>
      </c>
      <c r="I71" s="161">
        <f t="shared" si="8"/>
        <v>54</v>
      </c>
      <c r="J71" s="162" t="str">
        <f t="shared" si="21"/>
        <v>Flanged or threaded vibration damper  АB-E Dn100</v>
      </c>
      <c r="K71" s="161">
        <f t="shared" si="9"/>
        <v>1</v>
      </c>
      <c r="L71" s="161" t="str">
        <f t="shared" si="10"/>
        <v>-</v>
      </c>
      <c r="M71" s="189">
        <f t="shared" si="14"/>
        <v>50</v>
      </c>
      <c r="N71" s="189">
        <f t="shared" si="15"/>
        <v>50</v>
      </c>
      <c r="Q71" s="307">
        <f t="shared" si="22"/>
        <v>1</v>
      </c>
      <c r="R71" s="301" t="s">
        <v>736</v>
      </c>
      <c r="S71" s="268" t="s">
        <v>55</v>
      </c>
      <c r="T71" s="1460"/>
      <c r="U71" s="1460"/>
      <c r="V71" s="241" t="s">
        <v>52</v>
      </c>
      <c r="W71" s="227">
        <v>100</v>
      </c>
      <c r="X71" s="281">
        <v>31.759999999999998</v>
      </c>
      <c r="Y71" s="232">
        <v>6</v>
      </c>
      <c r="Z71" s="218"/>
      <c r="AA71" s="262">
        <f t="shared" si="19"/>
        <v>31.759999999999998</v>
      </c>
      <c r="AB71" s="218">
        <v>1</v>
      </c>
      <c r="AC71" s="275">
        <v>50</v>
      </c>
    </row>
    <row r="72" spans="2:31" ht="15">
      <c r="B72" s="161">
        <f t="shared" si="12"/>
        <v>55</v>
      </c>
      <c r="C72" s="162" t="str">
        <f t="shared" si="20"/>
        <v>Антивібраційна вставка фланцева  АB-E Dn 125</v>
      </c>
      <c r="D72" s="161">
        <f t="shared" si="5"/>
        <v>1</v>
      </c>
      <c r="E72" s="51" t="s">
        <v>115</v>
      </c>
      <c r="F72" s="189">
        <f t="shared" si="6"/>
        <v>69.5</v>
      </c>
      <c r="G72" s="189">
        <f t="shared" si="7"/>
        <v>69.5</v>
      </c>
      <c r="I72" s="161">
        <f t="shared" si="8"/>
        <v>55</v>
      </c>
      <c r="J72" s="162" t="str">
        <f t="shared" si="21"/>
        <v>Flanged or threaded vibration damper  АB-E Dn125</v>
      </c>
      <c r="K72" s="161">
        <f t="shared" si="9"/>
        <v>1</v>
      </c>
      <c r="L72" s="161" t="str">
        <f t="shared" si="10"/>
        <v>-</v>
      </c>
      <c r="M72" s="189">
        <f t="shared" si="14"/>
        <v>69.5</v>
      </c>
      <c r="N72" s="189">
        <f t="shared" si="15"/>
        <v>69.5</v>
      </c>
      <c r="Q72" s="307">
        <f t="shared" si="22"/>
        <v>1</v>
      </c>
      <c r="R72" s="301" t="s">
        <v>736</v>
      </c>
      <c r="S72" s="268" t="s">
        <v>55</v>
      </c>
      <c r="T72" s="1460"/>
      <c r="U72" s="1460"/>
      <c r="V72" s="241" t="s">
        <v>52</v>
      </c>
      <c r="W72" s="227">
        <v>125</v>
      </c>
      <c r="X72" s="281">
        <v>44.131147540983605</v>
      </c>
      <c r="Y72" s="232">
        <v>2</v>
      </c>
      <c r="Z72" s="218"/>
      <c r="AA72" s="262">
        <f t="shared" si="19"/>
        <v>44.131147540983605</v>
      </c>
      <c r="AB72" s="218">
        <v>1</v>
      </c>
      <c r="AC72" s="275">
        <v>69.5</v>
      </c>
    </row>
    <row r="73" spans="2:31" ht="15">
      <c r="B73" s="161">
        <f t="shared" si="12"/>
        <v>56</v>
      </c>
      <c r="C73" s="162" t="str">
        <f t="shared" si="20"/>
        <v>Кран кульовий муфтовий IVR 954,956 Dn 15</v>
      </c>
      <c r="D73" s="161">
        <f t="shared" si="5"/>
        <v>1</v>
      </c>
      <c r="E73" s="51" t="s">
        <v>115</v>
      </c>
      <c r="F73" s="189">
        <f t="shared" si="6"/>
        <v>3.29</v>
      </c>
      <c r="G73" s="189">
        <f t="shared" si="7"/>
        <v>3.29</v>
      </c>
      <c r="I73" s="161">
        <f t="shared" si="8"/>
        <v>56</v>
      </c>
      <c r="J73" s="162" t="str">
        <f t="shared" si="21"/>
        <v>Threaded ball valve IVR 954,956 Dn15</v>
      </c>
      <c r="K73" s="161">
        <f t="shared" si="9"/>
        <v>1</v>
      </c>
      <c r="L73" s="161" t="str">
        <f t="shared" si="10"/>
        <v>-</v>
      </c>
      <c r="M73" s="189">
        <f t="shared" si="14"/>
        <v>3.29</v>
      </c>
      <c r="N73" s="189">
        <f t="shared" si="15"/>
        <v>3.29</v>
      </c>
      <c r="Q73" s="276">
        <f t="shared" si="13"/>
        <v>1</v>
      </c>
      <c r="R73" s="297" t="s">
        <v>730</v>
      </c>
      <c r="S73" s="267" t="s">
        <v>26</v>
      </c>
      <c r="T73" s="1458" t="s">
        <v>715</v>
      </c>
      <c r="U73" s="1457"/>
      <c r="V73" s="226" t="s">
        <v>373</v>
      </c>
      <c r="W73" s="227">
        <v>15</v>
      </c>
      <c r="X73" s="281">
        <v>2.8607213114754098</v>
      </c>
      <c r="Y73" s="232">
        <v>480</v>
      </c>
      <c r="Z73" s="218"/>
      <c r="AA73" s="262">
        <f t="shared" si="19"/>
        <v>2.8607213114754098</v>
      </c>
      <c r="AB73" s="218">
        <v>1</v>
      </c>
      <c r="AC73" s="275">
        <v>3.29</v>
      </c>
      <c r="AE73">
        <v>48</v>
      </c>
    </row>
    <row r="74" spans="2:31" ht="15">
      <c r="B74" s="161">
        <f t="shared" si="12"/>
        <v>57</v>
      </c>
      <c r="C74" s="162" t="str">
        <f t="shared" si="20"/>
        <v>Кран кульовий муфтовий IVR 954,956 Dn 20</v>
      </c>
      <c r="D74" s="161">
        <f t="shared" si="5"/>
        <v>1</v>
      </c>
      <c r="E74" s="51" t="s">
        <v>115</v>
      </c>
      <c r="F74" s="189">
        <f t="shared" si="6"/>
        <v>4.41</v>
      </c>
      <c r="G74" s="189">
        <f t="shared" si="7"/>
        <v>4.41</v>
      </c>
      <c r="I74" s="161">
        <f t="shared" si="8"/>
        <v>57</v>
      </c>
      <c r="J74" s="162" t="str">
        <f t="shared" si="21"/>
        <v>Threaded ball valve IVR 954,956 Dn20</v>
      </c>
      <c r="K74" s="161">
        <f t="shared" si="9"/>
        <v>1</v>
      </c>
      <c r="L74" s="161" t="str">
        <f t="shared" si="10"/>
        <v>-</v>
      </c>
      <c r="M74" s="189">
        <f t="shared" si="14"/>
        <v>4.41</v>
      </c>
      <c r="N74" s="189">
        <f t="shared" si="15"/>
        <v>4.41</v>
      </c>
      <c r="Q74" s="276">
        <f t="shared" si="13"/>
        <v>1</v>
      </c>
      <c r="R74" s="297" t="s">
        <v>730</v>
      </c>
      <c r="S74" s="267" t="s">
        <v>26</v>
      </c>
      <c r="T74" s="1456" t="s">
        <v>715</v>
      </c>
      <c r="U74" s="1457"/>
      <c r="V74" s="226" t="s">
        <v>373</v>
      </c>
      <c r="W74" s="227">
        <v>20</v>
      </c>
      <c r="X74" s="281">
        <v>3.7247213114754096</v>
      </c>
      <c r="Y74" s="232">
        <v>301</v>
      </c>
      <c r="Z74" s="218"/>
      <c r="AA74" s="262">
        <f t="shared" si="19"/>
        <v>3.7247213114754096</v>
      </c>
      <c r="AB74" s="218">
        <v>1</v>
      </c>
      <c r="AC74" s="275">
        <v>4.41</v>
      </c>
      <c r="AE74">
        <v>30.1</v>
      </c>
    </row>
    <row r="75" spans="2:31" ht="15">
      <c r="B75" s="161">
        <f t="shared" si="12"/>
        <v>58</v>
      </c>
      <c r="C75" s="162" t="str">
        <f t="shared" si="20"/>
        <v>Кран кульовий муфтовий IVR 954,956 Dn 25</v>
      </c>
      <c r="D75" s="161">
        <f t="shared" si="5"/>
        <v>1</v>
      </c>
      <c r="E75" s="51" t="s">
        <v>115</v>
      </c>
      <c r="F75" s="189">
        <f t="shared" si="6"/>
        <v>7.29</v>
      </c>
      <c r="G75" s="189">
        <f t="shared" si="7"/>
        <v>7.29</v>
      </c>
      <c r="I75" s="161">
        <f t="shared" si="8"/>
        <v>58</v>
      </c>
      <c r="J75" s="162" t="str">
        <f t="shared" si="21"/>
        <v>Threaded ball valve IVR 954,956 Dn25</v>
      </c>
      <c r="K75" s="161">
        <f t="shared" si="9"/>
        <v>1</v>
      </c>
      <c r="L75" s="161" t="str">
        <f t="shared" si="10"/>
        <v>-</v>
      </c>
      <c r="M75" s="189">
        <f t="shared" si="14"/>
        <v>7.29</v>
      </c>
      <c r="N75" s="189">
        <f t="shared" si="15"/>
        <v>7.29</v>
      </c>
      <c r="Q75" s="276">
        <f t="shared" si="13"/>
        <v>1</v>
      </c>
      <c r="R75" s="297" t="s">
        <v>730</v>
      </c>
      <c r="S75" s="267" t="s">
        <v>26</v>
      </c>
      <c r="T75" s="1456" t="s">
        <v>715</v>
      </c>
      <c r="U75" s="1457"/>
      <c r="V75" s="226" t="s">
        <v>373</v>
      </c>
      <c r="W75" s="227">
        <v>25</v>
      </c>
      <c r="X75" s="281">
        <v>6.1632786885245903</v>
      </c>
      <c r="Y75" s="232">
        <v>2171</v>
      </c>
      <c r="Z75" s="218"/>
      <c r="AA75" s="262">
        <f t="shared" si="19"/>
        <v>6.1632786885245903</v>
      </c>
      <c r="AB75" s="218">
        <v>1</v>
      </c>
      <c r="AC75" s="275">
        <v>7.29</v>
      </c>
      <c r="AE75">
        <v>315.7</v>
      </c>
    </row>
    <row r="76" spans="2:31" ht="15">
      <c r="B76" s="161">
        <f t="shared" si="12"/>
        <v>59</v>
      </c>
      <c r="C76" s="162" t="str">
        <f t="shared" si="20"/>
        <v>Кран кульовий муфтовий IVR 954,956 Dn 32</v>
      </c>
      <c r="D76" s="161">
        <f t="shared" si="5"/>
        <v>1</v>
      </c>
      <c r="E76" s="51" t="s">
        <v>115</v>
      </c>
      <c r="F76" s="189">
        <f t="shared" si="6"/>
        <v>11.27</v>
      </c>
      <c r="G76" s="189">
        <f t="shared" si="7"/>
        <v>11.27</v>
      </c>
      <c r="I76" s="161">
        <f t="shared" si="8"/>
        <v>59</v>
      </c>
      <c r="J76" s="162" t="str">
        <f t="shared" si="21"/>
        <v>Threaded ball valve IVR 954,956 Dn32</v>
      </c>
      <c r="K76" s="161">
        <f t="shared" si="9"/>
        <v>1</v>
      </c>
      <c r="L76" s="161" t="str">
        <f t="shared" si="10"/>
        <v>-</v>
      </c>
      <c r="M76" s="189">
        <f t="shared" si="14"/>
        <v>11.27</v>
      </c>
      <c r="N76" s="189">
        <f t="shared" si="15"/>
        <v>11.27</v>
      </c>
      <c r="Q76" s="276">
        <f t="shared" si="13"/>
        <v>1</v>
      </c>
      <c r="R76" s="297" t="s">
        <v>730</v>
      </c>
      <c r="S76" s="267" t="s">
        <v>26</v>
      </c>
      <c r="T76" s="1456" t="s">
        <v>715</v>
      </c>
      <c r="U76" s="1457"/>
      <c r="V76" s="226" t="s">
        <v>373</v>
      </c>
      <c r="W76" s="227">
        <v>32</v>
      </c>
      <c r="X76" s="281">
        <v>9.5039999999999996</v>
      </c>
      <c r="Y76" s="239">
        <v>617</v>
      </c>
      <c r="Z76" s="218"/>
      <c r="AA76" s="262">
        <f t="shared" si="19"/>
        <v>9.5039999999999996</v>
      </c>
      <c r="AB76" s="218">
        <v>1</v>
      </c>
      <c r="AC76" s="275">
        <v>11.27</v>
      </c>
      <c r="AE76">
        <v>57.2</v>
      </c>
    </row>
    <row r="77" spans="2:31" ht="15">
      <c r="B77" s="161">
        <f t="shared" si="12"/>
        <v>60</v>
      </c>
      <c r="C77" s="162" t="str">
        <f t="shared" si="20"/>
        <v>Кран кульовий муфтовий IVR 954,956 Dn 40</v>
      </c>
      <c r="D77" s="161">
        <f t="shared" si="5"/>
        <v>1</v>
      </c>
      <c r="E77" s="51" t="s">
        <v>115</v>
      </c>
      <c r="F77" s="189">
        <f t="shared" si="6"/>
        <v>15.5</v>
      </c>
      <c r="G77" s="189">
        <f t="shared" si="7"/>
        <v>15.5</v>
      </c>
      <c r="I77" s="161">
        <f t="shared" si="8"/>
        <v>60</v>
      </c>
      <c r="J77" s="162" t="str">
        <f t="shared" si="21"/>
        <v>Threaded ball valve IVR 954,956 Dn40</v>
      </c>
      <c r="K77" s="161">
        <f t="shared" si="9"/>
        <v>1</v>
      </c>
      <c r="L77" s="161" t="str">
        <f t="shared" si="10"/>
        <v>-</v>
      </c>
      <c r="M77" s="189">
        <f t="shared" si="14"/>
        <v>15.5</v>
      </c>
      <c r="N77" s="189">
        <f t="shared" si="15"/>
        <v>15.5</v>
      </c>
      <c r="Q77" s="276">
        <f t="shared" si="13"/>
        <v>1</v>
      </c>
      <c r="R77" s="297" t="s">
        <v>730</v>
      </c>
      <c r="S77" s="267" t="s">
        <v>26</v>
      </c>
      <c r="T77" s="1456" t="s">
        <v>715</v>
      </c>
      <c r="U77" s="1457"/>
      <c r="V77" s="226" t="s">
        <v>373</v>
      </c>
      <c r="W77" s="227">
        <v>40</v>
      </c>
      <c r="X77" s="281">
        <v>13.017442622950821</v>
      </c>
      <c r="Y77" s="232">
        <v>426</v>
      </c>
      <c r="Z77" s="218"/>
      <c r="AA77" s="262">
        <f t="shared" si="19"/>
        <v>13.017442622950821</v>
      </c>
      <c r="AB77" s="218">
        <v>1</v>
      </c>
      <c r="AC77" s="275">
        <v>15.5</v>
      </c>
      <c r="AE77">
        <v>39.9</v>
      </c>
    </row>
    <row r="78" spans="2:31" ht="15">
      <c r="B78" s="161">
        <f t="shared" si="12"/>
        <v>61</v>
      </c>
      <c r="C78" s="162" t="str">
        <f t="shared" si="20"/>
        <v>Лічильник холодної води з імп. виходом Apator js-1.5NK Dn 15</v>
      </c>
      <c r="D78" s="161">
        <f t="shared" si="5"/>
        <v>1</v>
      </c>
      <c r="E78" s="51" t="s">
        <v>115</v>
      </c>
      <c r="F78" s="189">
        <f t="shared" si="6"/>
        <v>29</v>
      </c>
      <c r="G78" s="189">
        <f t="shared" si="7"/>
        <v>29</v>
      </c>
      <c r="I78" s="161">
        <f t="shared" si="8"/>
        <v>61</v>
      </c>
      <c r="J78" s="162" t="str">
        <f t="shared" si="21"/>
        <v>Cold water flow meter, threaded with pulsed output  Apator js-1.5NK Dn15</v>
      </c>
      <c r="K78" s="161">
        <f t="shared" si="9"/>
        <v>1</v>
      </c>
      <c r="L78" s="161" t="str">
        <f t="shared" si="10"/>
        <v>-</v>
      </c>
      <c r="M78" s="189">
        <f t="shared" si="14"/>
        <v>29</v>
      </c>
      <c r="N78" s="189">
        <f t="shared" si="15"/>
        <v>29</v>
      </c>
      <c r="Q78" s="276">
        <f t="shared" si="13"/>
        <v>1</v>
      </c>
      <c r="R78" s="300" t="s">
        <v>742</v>
      </c>
      <c r="S78" s="268" t="s">
        <v>611</v>
      </c>
      <c r="T78" s="1449" t="s">
        <v>714</v>
      </c>
      <c r="U78" s="1449"/>
      <c r="V78" s="241" t="s">
        <v>86</v>
      </c>
      <c r="W78" s="227">
        <v>15</v>
      </c>
      <c r="X78" s="281">
        <v>19.5</v>
      </c>
      <c r="Y78" s="223">
        <v>5</v>
      </c>
      <c r="Z78" s="218"/>
      <c r="AA78" s="262">
        <f t="shared" si="19"/>
        <v>19.5</v>
      </c>
      <c r="AB78" s="218">
        <v>1</v>
      </c>
      <c r="AC78" s="275">
        <v>29</v>
      </c>
    </row>
    <row r="79" spans="2:31" ht="15">
      <c r="B79" s="161">
        <f t="shared" si="12"/>
        <v>62</v>
      </c>
      <c r="C79" s="162" t="str">
        <f t="shared" si="20"/>
        <v>Лічильник холодної води з імп. виходом Apator js-2.5NK Dn 20</v>
      </c>
      <c r="D79" s="161">
        <f t="shared" si="5"/>
        <v>4</v>
      </c>
      <c r="E79" s="51" t="s">
        <v>115</v>
      </c>
      <c r="F79" s="189">
        <f t="shared" si="6"/>
        <v>32.200000000000003</v>
      </c>
      <c r="G79" s="189">
        <f t="shared" si="7"/>
        <v>128.80000000000001</v>
      </c>
      <c r="I79" s="161">
        <f t="shared" si="8"/>
        <v>62</v>
      </c>
      <c r="J79" s="162" t="str">
        <f t="shared" si="21"/>
        <v>Cold water flow meter, threaded with pulsed output  Apator js-2.5NK Dn20</v>
      </c>
      <c r="K79" s="161">
        <f t="shared" si="9"/>
        <v>4</v>
      </c>
      <c r="L79" s="161" t="str">
        <f t="shared" si="10"/>
        <v>-</v>
      </c>
      <c r="M79" s="189">
        <f t="shared" si="14"/>
        <v>32.200000000000003</v>
      </c>
      <c r="N79" s="189">
        <f t="shared" si="15"/>
        <v>128.80000000000001</v>
      </c>
      <c r="Q79" s="276">
        <f t="shared" si="13"/>
        <v>4</v>
      </c>
      <c r="R79" s="300" t="s">
        <v>742</v>
      </c>
      <c r="S79" s="268" t="s">
        <v>611</v>
      </c>
      <c r="T79" s="1449" t="s">
        <v>714</v>
      </c>
      <c r="U79" s="1449"/>
      <c r="V79" s="241" t="s">
        <v>87</v>
      </c>
      <c r="W79" s="227">
        <v>20</v>
      </c>
      <c r="X79" s="281">
        <v>23.75</v>
      </c>
      <c r="Y79" s="223">
        <v>40</v>
      </c>
      <c r="Z79" s="218"/>
      <c r="AA79" s="262">
        <f t="shared" si="19"/>
        <v>95</v>
      </c>
      <c r="AB79" s="218">
        <v>4</v>
      </c>
      <c r="AC79" s="275">
        <v>32.200000000000003</v>
      </c>
    </row>
    <row r="80" spans="2:31" ht="15">
      <c r="B80" s="161">
        <f t="shared" si="12"/>
        <v>63</v>
      </c>
      <c r="C80" s="162" t="str">
        <f t="shared" si="20"/>
        <v>Лічильник холодної води з імп. виходом Apator js-3.5NK Dn 25</v>
      </c>
      <c r="D80" s="161">
        <f t="shared" si="5"/>
        <v>5</v>
      </c>
      <c r="E80" s="51" t="s">
        <v>115</v>
      </c>
      <c r="F80" s="189">
        <f t="shared" si="6"/>
        <v>106.1</v>
      </c>
      <c r="G80" s="189">
        <f t="shared" si="7"/>
        <v>530.5</v>
      </c>
      <c r="I80" s="161">
        <f t="shared" si="8"/>
        <v>63</v>
      </c>
      <c r="J80" s="162" t="str">
        <f t="shared" si="21"/>
        <v>Cold water flow meter, threaded with pulsed output  Apator js-3.5NK Dn25</v>
      </c>
      <c r="K80" s="161">
        <f t="shared" si="9"/>
        <v>5</v>
      </c>
      <c r="L80" s="161" t="str">
        <f t="shared" si="10"/>
        <v>-</v>
      </c>
      <c r="M80" s="189">
        <f t="shared" si="14"/>
        <v>106.1</v>
      </c>
      <c r="N80" s="189">
        <f t="shared" si="15"/>
        <v>530.5</v>
      </c>
      <c r="Q80" s="276">
        <f t="shared" si="13"/>
        <v>5</v>
      </c>
      <c r="R80" s="300" t="s">
        <v>742</v>
      </c>
      <c r="S80" s="268" t="s">
        <v>611</v>
      </c>
      <c r="T80" s="1449" t="s">
        <v>714</v>
      </c>
      <c r="U80" s="1449"/>
      <c r="V80" s="241" t="s">
        <v>88</v>
      </c>
      <c r="W80" s="227">
        <v>25</v>
      </c>
      <c r="X80" s="281">
        <v>76.34</v>
      </c>
      <c r="Y80" s="223">
        <v>53</v>
      </c>
      <c r="Z80" s="218"/>
      <c r="AA80" s="262">
        <f t="shared" si="19"/>
        <v>381.70000000000005</v>
      </c>
      <c r="AB80" s="218">
        <v>5</v>
      </c>
      <c r="AC80" s="275">
        <v>106.1</v>
      </c>
    </row>
    <row r="81" spans="2:31" ht="15">
      <c r="B81" s="161">
        <f t="shared" si="12"/>
        <v>64</v>
      </c>
      <c r="C81" s="162" t="str">
        <f t="shared" si="20"/>
        <v>Лічильник холодної води з імп. виходом Apator js-6NK Dn 32</v>
      </c>
      <c r="D81" s="161">
        <f t="shared" si="5"/>
        <v>12</v>
      </c>
      <c r="E81" s="51" t="s">
        <v>115</v>
      </c>
      <c r="F81" s="189">
        <f t="shared" si="6"/>
        <v>107.7</v>
      </c>
      <c r="G81" s="189">
        <f t="shared" si="7"/>
        <v>1292.4000000000001</v>
      </c>
      <c r="I81" s="161">
        <f t="shared" si="8"/>
        <v>64</v>
      </c>
      <c r="J81" s="162" t="str">
        <f t="shared" si="21"/>
        <v>Cold water flow meter, threaded with pulsed output  Apator js-6NK Dn32</v>
      </c>
      <c r="K81" s="161">
        <f t="shared" si="9"/>
        <v>12</v>
      </c>
      <c r="L81" s="161" t="str">
        <f t="shared" si="10"/>
        <v>-</v>
      </c>
      <c r="M81" s="189">
        <f t="shared" si="14"/>
        <v>107.7</v>
      </c>
      <c r="N81" s="189">
        <f t="shared" si="15"/>
        <v>1292.4000000000001</v>
      </c>
      <c r="Q81" s="276">
        <f t="shared" si="13"/>
        <v>12</v>
      </c>
      <c r="R81" s="300" t="s">
        <v>742</v>
      </c>
      <c r="S81" s="268" t="s">
        <v>611</v>
      </c>
      <c r="T81" s="1449" t="s">
        <v>714</v>
      </c>
      <c r="U81" s="1449"/>
      <c r="V81" s="241" t="s">
        <v>89</v>
      </c>
      <c r="W81" s="227">
        <v>32</v>
      </c>
      <c r="X81" s="281">
        <v>85.67</v>
      </c>
      <c r="Y81" s="223">
        <v>117</v>
      </c>
      <c r="Z81" s="218"/>
      <c r="AA81" s="262">
        <f t="shared" si="19"/>
        <v>1028.04</v>
      </c>
      <c r="AB81" s="218">
        <v>12</v>
      </c>
      <c r="AC81" s="275">
        <v>107.7</v>
      </c>
    </row>
    <row r="82" spans="2:31" ht="15">
      <c r="B82" s="161">
        <f t="shared" si="12"/>
        <v>65</v>
      </c>
      <c r="C82" s="162" t="str">
        <f t="shared" si="20"/>
        <v>Лічильник холодної води з імп. виходом Apator js-10NK Dn 40</v>
      </c>
      <c r="D82" s="161">
        <f t="shared" si="5"/>
        <v>5</v>
      </c>
      <c r="E82" s="51" t="s">
        <v>115</v>
      </c>
      <c r="F82" s="189">
        <f t="shared" si="6"/>
        <v>108.9</v>
      </c>
      <c r="G82" s="189">
        <f t="shared" si="7"/>
        <v>544.5</v>
      </c>
      <c r="I82" s="161">
        <f t="shared" si="8"/>
        <v>65</v>
      </c>
      <c r="J82" s="162" t="str">
        <f t="shared" si="21"/>
        <v>Cold water flow meter, threaded with pulsed output  Apator js-10NK Dn40</v>
      </c>
      <c r="K82" s="161">
        <f t="shared" si="9"/>
        <v>5</v>
      </c>
      <c r="L82" s="161" t="str">
        <f t="shared" si="10"/>
        <v>-</v>
      </c>
      <c r="M82" s="189">
        <f t="shared" si="14"/>
        <v>108.9</v>
      </c>
      <c r="N82" s="189">
        <f t="shared" si="15"/>
        <v>544.5</v>
      </c>
      <c r="Q82" s="276">
        <f t="shared" si="13"/>
        <v>5</v>
      </c>
      <c r="R82" s="300" t="s">
        <v>742</v>
      </c>
      <c r="S82" s="268" t="s">
        <v>611</v>
      </c>
      <c r="T82" s="1449" t="s">
        <v>714</v>
      </c>
      <c r="U82" s="1449"/>
      <c r="V82" s="241" t="s">
        <v>90</v>
      </c>
      <c r="W82" s="227">
        <v>40</v>
      </c>
      <c r="X82" s="281">
        <v>97.55</v>
      </c>
      <c r="Y82" s="223">
        <v>46</v>
      </c>
      <c r="Z82" s="218"/>
      <c r="AA82" s="262">
        <f t="shared" ref="AA82:AA113" si="23">AB82*X82</f>
        <v>487.75</v>
      </c>
      <c r="AB82" s="218">
        <v>5</v>
      </c>
      <c r="AC82" s="275">
        <v>108.9</v>
      </c>
    </row>
    <row r="83" spans="2:31" ht="15">
      <c r="B83" s="161">
        <f t="shared" si="12"/>
        <v>66</v>
      </c>
      <c r="C83" s="162" t="str">
        <f t="shared" si="20"/>
        <v>Лічильник холодної води з імп. виходом Apator MWN-50NK Dn 50</v>
      </c>
      <c r="D83" s="161">
        <f t="shared" ref="D83:D140" si="24">Q83</f>
        <v>1</v>
      </c>
      <c r="E83" s="51" t="s">
        <v>115</v>
      </c>
      <c r="F83" s="189">
        <f t="shared" ref="F83:F140" si="25">AC83</f>
        <v>200</v>
      </c>
      <c r="G83" s="189">
        <f t="shared" ref="G83:G140" si="26">F83*D83</f>
        <v>200</v>
      </c>
      <c r="I83" s="161">
        <f t="shared" ref="I83:I140" si="27">B83</f>
        <v>66</v>
      </c>
      <c r="J83" s="162" t="str">
        <f t="shared" si="21"/>
        <v>Cold water flow meter, threaded with pulsed output  Apator MWN-50NK Dn50</v>
      </c>
      <c r="K83" s="161">
        <f t="shared" ref="K83:K140" si="28">D83</f>
        <v>1</v>
      </c>
      <c r="L83" s="161" t="str">
        <f t="shared" ref="L83:L140" si="29">E83</f>
        <v>-</v>
      </c>
      <c r="M83" s="189">
        <f t="shared" si="14"/>
        <v>200</v>
      </c>
      <c r="N83" s="189">
        <f t="shared" si="15"/>
        <v>200</v>
      </c>
      <c r="Q83" s="276">
        <f t="shared" ref="Q83:Q111" si="30">AB83</f>
        <v>1</v>
      </c>
      <c r="R83" s="300" t="s">
        <v>742</v>
      </c>
      <c r="S83" s="268" t="s">
        <v>611</v>
      </c>
      <c r="T83" s="1449" t="s">
        <v>714</v>
      </c>
      <c r="U83" s="1449"/>
      <c r="V83" s="306" t="s">
        <v>91</v>
      </c>
      <c r="W83" s="227">
        <v>50</v>
      </c>
      <c r="X83" s="281">
        <v>145.05000000000001</v>
      </c>
      <c r="Y83" s="223">
        <v>2</v>
      </c>
      <c r="Z83" s="218"/>
      <c r="AA83" s="262">
        <f t="shared" si="23"/>
        <v>145.05000000000001</v>
      </c>
      <c r="AB83" s="218">
        <v>1</v>
      </c>
      <c r="AC83" s="275">
        <v>200</v>
      </c>
    </row>
    <row r="84" spans="2:31" ht="15">
      <c r="B84" s="161">
        <f t="shared" ref="B84:B140" si="31">B83+1</f>
        <v>67</v>
      </c>
      <c r="C84" s="162" t="str">
        <f t="shared" si="20"/>
        <v>Кран кульовий фланцевий чугунний IVR 77 Dn 50</v>
      </c>
      <c r="D84" s="161">
        <f t="shared" si="24"/>
        <v>3</v>
      </c>
      <c r="E84" s="51" t="s">
        <v>115</v>
      </c>
      <c r="F84" s="189">
        <f t="shared" si="25"/>
        <v>69.62</v>
      </c>
      <c r="G84" s="189">
        <f t="shared" si="26"/>
        <v>208.86</v>
      </c>
      <c r="I84" s="161">
        <f t="shared" si="27"/>
        <v>67</v>
      </c>
      <c r="J84" s="162" t="str">
        <f t="shared" si="21"/>
        <v>Flanged  ball valve, cast iron IVR 77 Dn50</v>
      </c>
      <c r="K84" s="161">
        <f t="shared" si="28"/>
        <v>3</v>
      </c>
      <c r="L84" s="161" t="str">
        <f t="shared" si="29"/>
        <v>-</v>
      </c>
      <c r="M84" s="189">
        <f t="shared" si="14"/>
        <v>69.62</v>
      </c>
      <c r="N84" s="189">
        <f t="shared" si="15"/>
        <v>208.86</v>
      </c>
      <c r="Q84" s="307">
        <f t="shared" ref="Q84:Q92" si="32">ROUNDUP(Y84*0.02,0)</f>
        <v>3</v>
      </c>
      <c r="R84" s="301" t="s">
        <v>752</v>
      </c>
      <c r="S84" s="268" t="s">
        <v>70</v>
      </c>
      <c r="T84" s="1450" t="s">
        <v>715</v>
      </c>
      <c r="U84" s="1450"/>
      <c r="V84" s="237" t="s">
        <v>71</v>
      </c>
      <c r="W84" s="227">
        <v>50</v>
      </c>
      <c r="X84" s="281">
        <v>60.319081967213108</v>
      </c>
      <c r="Y84" s="234">
        <v>106</v>
      </c>
      <c r="Z84" s="218"/>
      <c r="AA84" s="262">
        <f t="shared" si="23"/>
        <v>60.319081967213108</v>
      </c>
      <c r="AB84" s="218">
        <v>1</v>
      </c>
      <c r="AC84" s="275">
        <v>69.62</v>
      </c>
      <c r="AE84">
        <v>10.6</v>
      </c>
    </row>
    <row r="85" spans="2:31" ht="15">
      <c r="B85" s="161">
        <f t="shared" si="31"/>
        <v>68</v>
      </c>
      <c r="C85" s="162" t="str">
        <f t="shared" si="20"/>
        <v>Кран кульовий фланцевий чугунний IVR 77 Dn 65</v>
      </c>
      <c r="D85" s="161">
        <f t="shared" si="24"/>
        <v>1</v>
      </c>
      <c r="E85" s="51" t="s">
        <v>115</v>
      </c>
      <c r="F85" s="189">
        <f t="shared" si="25"/>
        <v>102.41</v>
      </c>
      <c r="G85" s="189">
        <f t="shared" si="26"/>
        <v>102.41</v>
      </c>
      <c r="I85" s="161">
        <f t="shared" si="27"/>
        <v>68</v>
      </c>
      <c r="J85" s="162" t="str">
        <f t="shared" si="21"/>
        <v>Flanged ball valve, cast iron IVR 77 Dn65</v>
      </c>
      <c r="K85" s="161">
        <f t="shared" si="28"/>
        <v>1</v>
      </c>
      <c r="L85" s="161" t="str">
        <f t="shared" si="29"/>
        <v>-</v>
      </c>
      <c r="M85" s="189">
        <f t="shared" si="14"/>
        <v>102.41</v>
      </c>
      <c r="N85" s="189">
        <f t="shared" si="15"/>
        <v>102.41</v>
      </c>
      <c r="Q85" s="307">
        <f t="shared" si="32"/>
        <v>1</v>
      </c>
      <c r="R85" s="301" t="s">
        <v>753</v>
      </c>
      <c r="S85" s="268" t="s">
        <v>70</v>
      </c>
      <c r="T85" s="1450" t="s">
        <v>715</v>
      </c>
      <c r="U85" s="1450"/>
      <c r="V85" s="237" t="s">
        <v>71</v>
      </c>
      <c r="W85" s="227">
        <v>65</v>
      </c>
      <c r="X85" s="281">
        <v>88.953442622950817</v>
      </c>
      <c r="Y85" s="234">
        <v>4</v>
      </c>
      <c r="Z85" s="218"/>
      <c r="AA85" s="262">
        <f t="shared" si="23"/>
        <v>88.953442622950817</v>
      </c>
      <c r="AB85" s="218">
        <v>1</v>
      </c>
      <c r="AC85" s="275">
        <v>102.41</v>
      </c>
      <c r="AE85">
        <v>3</v>
      </c>
    </row>
    <row r="86" spans="2:31" ht="15">
      <c r="B86" s="161">
        <f t="shared" si="31"/>
        <v>69</v>
      </c>
      <c r="C86" s="162" t="str">
        <f t="shared" si="20"/>
        <v>Прилад магнітної обробки води EZV EZV 15D Dn 15</v>
      </c>
      <c r="D86" s="161">
        <f t="shared" si="24"/>
        <v>1</v>
      </c>
      <c r="E86" s="51" t="s">
        <v>115</v>
      </c>
      <c r="F86" s="189">
        <f t="shared" si="25"/>
        <v>108</v>
      </c>
      <c r="G86" s="189">
        <f t="shared" si="26"/>
        <v>108</v>
      </c>
      <c r="I86" s="161">
        <f t="shared" si="27"/>
        <v>69</v>
      </c>
      <c r="J86" s="162" t="str">
        <f t="shared" si="21"/>
        <v>Electromagnetic water treatment device EZV EZV 15D Dn15</v>
      </c>
      <c r="K86" s="161">
        <f t="shared" si="28"/>
        <v>1</v>
      </c>
      <c r="L86" s="161" t="str">
        <f t="shared" si="29"/>
        <v>-</v>
      </c>
      <c r="M86" s="189">
        <f t="shared" si="14"/>
        <v>108</v>
      </c>
      <c r="N86" s="189">
        <f t="shared" si="15"/>
        <v>108</v>
      </c>
      <c r="Q86" s="307">
        <f t="shared" si="32"/>
        <v>1</v>
      </c>
      <c r="R86" s="304" t="s">
        <v>747</v>
      </c>
      <c r="S86" s="278" t="s">
        <v>700</v>
      </c>
      <c r="T86" s="1462" t="s">
        <v>716</v>
      </c>
      <c r="U86" s="1449"/>
      <c r="V86" s="242" t="s">
        <v>75</v>
      </c>
      <c r="W86" s="227">
        <v>15</v>
      </c>
      <c r="X86" s="281">
        <v>85.320000000000007</v>
      </c>
      <c r="Y86" s="232">
        <v>1</v>
      </c>
      <c r="Z86" s="218"/>
      <c r="AA86" s="262">
        <f t="shared" si="23"/>
        <v>85.320000000000007</v>
      </c>
      <c r="AB86" s="218">
        <v>1</v>
      </c>
      <c r="AC86" s="275">
        <v>108</v>
      </c>
    </row>
    <row r="87" spans="2:31" ht="15">
      <c r="B87" s="161">
        <f t="shared" si="31"/>
        <v>70</v>
      </c>
      <c r="C87" s="162" t="str">
        <f t="shared" si="20"/>
        <v>Прилад магнітної обробки води EZV EZV 20D Dn 20</v>
      </c>
      <c r="D87" s="161">
        <f t="shared" si="24"/>
        <v>1</v>
      </c>
      <c r="E87" s="51" t="s">
        <v>115</v>
      </c>
      <c r="F87" s="189">
        <f t="shared" si="25"/>
        <v>125</v>
      </c>
      <c r="G87" s="189">
        <f t="shared" si="26"/>
        <v>125</v>
      </c>
      <c r="I87" s="161">
        <f t="shared" si="27"/>
        <v>70</v>
      </c>
      <c r="J87" s="162" t="str">
        <f t="shared" si="21"/>
        <v>Electromagnetic water treatment device EZV EZV 20D Dn20</v>
      </c>
      <c r="K87" s="161">
        <f t="shared" si="28"/>
        <v>1</v>
      </c>
      <c r="L87" s="161" t="str">
        <f t="shared" si="29"/>
        <v>-</v>
      </c>
      <c r="M87" s="189">
        <f t="shared" si="14"/>
        <v>125</v>
      </c>
      <c r="N87" s="189">
        <f t="shared" si="15"/>
        <v>125</v>
      </c>
      <c r="Q87" s="307">
        <f t="shared" si="32"/>
        <v>1</v>
      </c>
      <c r="R87" s="304" t="s">
        <v>747</v>
      </c>
      <c r="S87" s="278" t="s">
        <v>700</v>
      </c>
      <c r="T87" s="1449" t="s">
        <v>716</v>
      </c>
      <c r="U87" s="1449"/>
      <c r="V87" s="242" t="s">
        <v>76</v>
      </c>
      <c r="W87" s="227">
        <v>20</v>
      </c>
      <c r="X87" s="281">
        <v>98.75</v>
      </c>
      <c r="Y87" s="232">
        <v>26</v>
      </c>
      <c r="Z87" s="218"/>
      <c r="AA87" s="262">
        <f t="shared" si="23"/>
        <v>98.75</v>
      </c>
      <c r="AB87" s="218">
        <v>1</v>
      </c>
      <c r="AC87" s="275">
        <v>125</v>
      </c>
    </row>
    <row r="88" spans="2:31" ht="15">
      <c r="B88" s="161">
        <f t="shared" si="31"/>
        <v>71</v>
      </c>
      <c r="C88" s="162" t="str">
        <f t="shared" si="20"/>
        <v>Прилад магнітної обробки води EZV EZV 25D Dn 25</v>
      </c>
      <c r="D88" s="161">
        <f t="shared" si="24"/>
        <v>2</v>
      </c>
      <c r="E88" s="51" t="s">
        <v>115</v>
      </c>
      <c r="F88" s="189">
        <f t="shared" si="25"/>
        <v>155</v>
      </c>
      <c r="G88" s="189">
        <f t="shared" si="26"/>
        <v>310</v>
      </c>
      <c r="I88" s="161">
        <f t="shared" si="27"/>
        <v>71</v>
      </c>
      <c r="J88" s="162" t="str">
        <f t="shared" si="21"/>
        <v>Electromagnetic water treatment device EZV EZV 25D Dn25</v>
      </c>
      <c r="K88" s="161">
        <f t="shared" si="28"/>
        <v>2</v>
      </c>
      <c r="L88" s="161" t="str">
        <f t="shared" si="29"/>
        <v>-</v>
      </c>
      <c r="M88" s="189">
        <f t="shared" si="14"/>
        <v>155</v>
      </c>
      <c r="N88" s="189">
        <f t="shared" si="15"/>
        <v>310</v>
      </c>
      <c r="Q88" s="307">
        <f t="shared" si="32"/>
        <v>2</v>
      </c>
      <c r="R88" s="304" t="s">
        <v>747</v>
      </c>
      <c r="S88" s="278" t="s">
        <v>700</v>
      </c>
      <c r="T88" s="1449" t="s">
        <v>716</v>
      </c>
      <c r="U88" s="1449"/>
      <c r="V88" s="242" t="s">
        <v>77</v>
      </c>
      <c r="W88" s="227">
        <v>25</v>
      </c>
      <c r="X88" s="281">
        <v>122.45</v>
      </c>
      <c r="Y88" s="232">
        <v>85</v>
      </c>
      <c r="Z88" s="218"/>
      <c r="AA88" s="262">
        <f t="shared" si="23"/>
        <v>122.45</v>
      </c>
      <c r="AB88" s="218">
        <v>1</v>
      </c>
      <c r="AC88" s="275">
        <v>155</v>
      </c>
    </row>
    <row r="89" spans="2:31" ht="15">
      <c r="B89" s="161">
        <f t="shared" si="31"/>
        <v>72</v>
      </c>
      <c r="C89" s="162" t="str">
        <f t="shared" si="20"/>
        <v>Прилад магнітної обробки води EZV EZV 32D Dn 32</v>
      </c>
      <c r="D89" s="161">
        <f t="shared" si="24"/>
        <v>2</v>
      </c>
      <c r="E89" s="51" t="s">
        <v>115</v>
      </c>
      <c r="F89" s="189">
        <f t="shared" si="25"/>
        <v>190</v>
      </c>
      <c r="G89" s="189">
        <f t="shared" si="26"/>
        <v>380</v>
      </c>
      <c r="I89" s="161">
        <f t="shared" si="27"/>
        <v>72</v>
      </c>
      <c r="J89" s="162" t="str">
        <f t="shared" si="21"/>
        <v>Electromagnetic water treatment device EZV EZV 32D Dn32</v>
      </c>
      <c r="K89" s="161">
        <f t="shared" si="28"/>
        <v>2</v>
      </c>
      <c r="L89" s="161" t="str">
        <f t="shared" si="29"/>
        <v>-</v>
      </c>
      <c r="M89" s="189">
        <f t="shared" si="14"/>
        <v>190</v>
      </c>
      <c r="N89" s="189">
        <f t="shared" si="15"/>
        <v>380</v>
      </c>
      <c r="Q89" s="307">
        <f t="shared" si="32"/>
        <v>2</v>
      </c>
      <c r="R89" s="304" t="s">
        <v>747</v>
      </c>
      <c r="S89" s="278" t="s">
        <v>700</v>
      </c>
      <c r="T89" s="1449" t="s">
        <v>716</v>
      </c>
      <c r="U89" s="1449"/>
      <c r="V89" s="242" t="s">
        <v>78</v>
      </c>
      <c r="W89" s="227">
        <v>32</v>
      </c>
      <c r="X89" s="281">
        <v>150.1</v>
      </c>
      <c r="Y89" s="232">
        <v>96</v>
      </c>
      <c r="Z89" s="218"/>
      <c r="AA89" s="262">
        <f t="shared" si="23"/>
        <v>150.1</v>
      </c>
      <c r="AB89" s="218">
        <v>1</v>
      </c>
      <c r="AC89" s="275">
        <v>190</v>
      </c>
    </row>
    <row r="90" spans="2:31" ht="15">
      <c r="B90" s="161">
        <f t="shared" si="31"/>
        <v>73</v>
      </c>
      <c r="C90" s="162" t="str">
        <f t="shared" si="20"/>
        <v>Прилад магнітної обробки води EZV EZV 40D Dn 40</v>
      </c>
      <c r="D90" s="161">
        <f t="shared" si="24"/>
        <v>2</v>
      </c>
      <c r="E90" s="51" t="s">
        <v>115</v>
      </c>
      <c r="F90" s="189">
        <f t="shared" si="25"/>
        <v>245</v>
      </c>
      <c r="G90" s="189">
        <f t="shared" si="26"/>
        <v>490</v>
      </c>
      <c r="I90" s="161">
        <f t="shared" si="27"/>
        <v>73</v>
      </c>
      <c r="J90" s="162" t="str">
        <f t="shared" si="21"/>
        <v>Electromagnetic water treatment device EZV EZV 40D Dn40</v>
      </c>
      <c r="K90" s="161">
        <f t="shared" si="28"/>
        <v>2</v>
      </c>
      <c r="L90" s="161" t="str">
        <f t="shared" si="29"/>
        <v>-</v>
      </c>
      <c r="M90" s="189">
        <f t="shared" si="14"/>
        <v>245</v>
      </c>
      <c r="N90" s="189">
        <f t="shared" si="15"/>
        <v>490</v>
      </c>
      <c r="Q90" s="307">
        <f t="shared" si="32"/>
        <v>2</v>
      </c>
      <c r="R90" s="304" t="s">
        <v>747</v>
      </c>
      <c r="S90" s="278" t="s">
        <v>700</v>
      </c>
      <c r="T90" s="1449" t="s">
        <v>716</v>
      </c>
      <c r="U90" s="1449"/>
      <c r="V90" s="242" t="s">
        <v>79</v>
      </c>
      <c r="W90" s="227">
        <v>40</v>
      </c>
      <c r="X90" s="281">
        <v>193.55</v>
      </c>
      <c r="Y90" s="232">
        <v>53</v>
      </c>
      <c r="Z90" s="218"/>
      <c r="AA90" s="262">
        <f t="shared" si="23"/>
        <v>193.55</v>
      </c>
      <c r="AB90" s="218">
        <v>1</v>
      </c>
      <c r="AC90" s="275">
        <v>245</v>
      </c>
    </row>
    <row r="91" spans="2:31" ht="15">
      <c r="B91" s="161">
        <f t="shared" si="31"/>
        <v>74</v>
      </c>
      <c r="C91" s="162" t="str">
        <f t="shared" si="20"/>
        <v>Прилад магнітної обробки води EZV EZV 50D Dn 50</v>
      </c>
      <c r="D91" s="161">
        <f t="shared" si="24"/>
        <v>1</v>
      </c>
      <c r="E91" s="51" t="s">
        <v>115</v>
      </c>
      <c r="F91" s="189">
        <f t="shared" si="25"/>
        <v>450</v>
      </c>
      <c r="G91" s="189">
        <f t="shared" si="26"/>
        <v>450</v>
      </c>
      <c r="I91" s="161">
        <f t="shared" si="27"/>
        <v>74</v>
      </c>
      <c r="J91" s="162" t="str">
        <f t="shared" si="21"/>
        <v>Electromagnetic water treatment device EZV EZV 50D Dn50</v>
      </c>
      <c r="K91" s="161">
        <f t="shared" si="28"/>
        <v>1</v>
      </c>
      <c r="L91" s="161" t="str">
        <f t="shared" si="29"/>
        <v>-</v>
      </c>
      <c r="M91" s="189">
        <f t="shared" si="14"/>
        <v>450</v>
      </c>
      <c r="N91" s="189">
        <f t="shared" si="15"/>
        <v>450</v>
      </c>
      <c r="Q91" s="307">
        <f t="shared" si="32"/>
        <v>1</v>
      </c>
      <c r="R91" s="304" t="s">
        <v>747</v>
      </c>
      <c r="S91" s="278" t="s">
        <v>700</v>
      </c>
      <c r="T91" s="1449" t="s">
        <v>716</v>
      </c>
      <c r="U91" s="1449"/>
      <c r="V91" s="242" t="s">
        <v>80</v>
      </c>
      <c r="W91" s="227">
        <v>50</v>
      </c>
      <c r="X91" s="281">
        <v>355.5</v>
      </c>
      <c r="Y91" s="232">
        <v>2</v>
      </c>
      <c r="Z91" s="218"/>
      <c r="AA91" s="262">
        <f t="shared" si="23"/>
        <v>355.5</v>
      </c>
      <c r="AB91" s="218">
        <v>1</v>
      </c>
      <c r="AC91" s="275">
        <v>450</v>
      </c>
    </row>
    <row r="92" spans="2:31" ht="15">
      <c r="B92" s="161">
        <f t="shared" si="31"/>
        <v>75</v>
      </c>
      <c r="C92" s="162" t="str">
        <f t="shared" si="20"/>
        <v>Прилад магнітної обробки води EZV EZV 65D Dn 65</v>
      </c>
      <c r="D92" s="161">
        <f t="shared" si="24"/>
        <v>1</v>
      </c>
      <c r="E92" s="51" t="s">
        <v>115</v>
      </c>
      <c r="F92" s="189">
        <f t="shared" si="25"/>
        <v>542</v>
      </c>
      <c r="G92" s="189">
        <f t="shared" si="26"/>
        <v>542</v>
      </c>
      <c r="I92" s="161">
        <f t="shared" si="27"/>
        <v>75</v>
      </c>
      <c r="J92" s="162" t="str">
        <f t="shared" si="21"/>
        <v>Electromagnetic water treatment device EZV EZV 65D Dn65</v>
      </c>
      <c r="K92" s="161">
        <f t="shared" si="28"/>
        <v>1</v>
      </c>
      <c r="L92" s="161" t="str">
        <f t="shared" si="29"/>
        <v>-</v>
      </c>
      <c r="M92" s="189">
        <f t="shared" si="14"/>
        <v>542</v>
      </c>
      <c r="N92" s="189">
        <f t="shared" si="15"/>
        <v>542</v>
      </c>
      <c r="Q92" s="307">
        <f t="shared" si="32"/>
        <v>1</v>
      </c>
      <c r="R92" s="304" t="s">
        <v>747</v>
      </c>
      <c r="S92" s="278" t="s">
        <v>700</v>
      </c>
      <c r="T92" s="1449" t="s">
        <v>716</v>
      </c>
      <c r="U92" s="1449"/>
      <c r="V92" s="237" t="s">
        <v>609</v>
      </c>
      <c r="W92" s="227">
        <v>65</v>
      </c>
      <c r="X92" s="281">
        <v>428.18</v>
      </c>
      <c r="Y92" s="238">
        <v>2</v>
      </c>
      <c r="Z92" s="218"/>
      <c r="AA92" s="262">
        <f t="shared" si="23"/>
        <v>428.18</v>
      </c>
      <c r="AB92" s="218">
        <v>1</v>
      </c>
      <c r="AC92" s="275">
        <v>542</v>
      </c>
    </row>
    <row r="93" spans="2:31" ht="15">
      <c r="B93" s="161">
        <f t="shared" si="31"/>
        <v>76</v>
      </c>
      <c r="C93" s="162" t="str">
        <f t="shared" si="20"/>
        <v>Теплолічильник AXIS SKS-3-К6-2-0-49-00-00-00-00-4-3-1-02-0 Dn 15</v>
      </c>
      <c r="D93" s="161">
        <f t="shared" si="24"/>
        <v>1</v>
      </c>
      <c r="E93" s="51" t="s">
        <v>115</v>
      </c>
      <c r="F93" s="189">
        <f t="shared" si="25"/>
        <v>332.61840000000001</v>
      </c>
      <c r="G93" s="189">
        <f t="shared" si="26"/>
        <v>332.61840000000001</v>
      </c>
      <c r="I93" s="161">
        <f t="shared" si="27"/>
        <v>76</v>
      </c>
      <c r="J93" s="162" t="str">
        <f t="shared" si="21"/>
        <v>Heat meter  AXIS SKS-3-К6-2-0-49-00-00-00-00-4-3-1-02-0 Dn15</v>
      </c>
      <c r="K93" s="161">
        <f t="shared" si="28"/>
        <v>1</v>
      </c>
      <c r="L93" s="161" t="str">
        <f t="shared" si="29"/>
        <v>-</v>
      </c>
      <c r="M93" s="189">
        <f t="shared" si="14"/>
        <v>332.61840000000001</v>
      </c>
      <c r="N93" s="189">
        <f t="shared" si="15"/>
        <v>332.61840000000001</v>
      </c>
      <c r="Q93" s="276">
        <f t="shared" si="30"/>
        <v>1</v>
      </c>
      <c r="R93" s="296" t="s">
        <v>726</v>
      </c>
      <c r="S93" s="278" t="s">
        <v>698</v>
      </c>
      <c r="T93" s="1459" t="s">
        <v>699</v>
      </c>
      <c r="U93" s="1450"/>
      <c r="V93" s="268" t="s">
        <v>354</v>
      </c>
      <c r="W93" s="227">
        <v>15</v>
      </c>
      <c r="X93" s="281">
        <v>246.38399999999999</v>
      </c>
      <c r="Y93" s="255">
        <v>1</v>
      </c>
      <c r="Z93" s="218"/>
      <c r="AA93" s="262">
        <f t="shared" si="23"/>
        <v>246.38399999999999</v>
      </c>
      <c r="AB93" s="218">
        <v>1</v>
      </c>
      <c r="AC93" s="275">
        <f>X93*1.35</f>
        <v>332.61840000000001</v>
      </c>
    </row>
    <row r="94" spans="2:31" ht="15">
      <c r="B94" s="161">
        <f t="shared" si="31"/>
        <v>77</v>
      </c>
      <c r="C94" s="162" t="str">
        <f t="shared" si="20"/>
        <v>Теплолічильник AXIS SKS-3-К6-2-0-51-00-00-00-00-4-3-1-02-0 Dn 20</v>
      </c>
      <c r="D94" s="161">
        <f t="shared" si="24"/>
        <v>1</v>
      </c>
      <c r="E94" s="51" t="s">
        <v>115</v>
      </c>
      <c r="F94" s="189">
        <f t="shared" si="25"/>
        <v>374.67360000000002</v>
      </c>
      <c r="G94" s="189">
        <f t="shared" si="26"/>
        <v>374.67360000000002</v>
      </c>
      <c r="I94" s="161">
        <f t="shared" si="27"/>
        <v>77</v>
      </c>
      <c r="J94" s="162" t="str">
        <f t="shared" si="21"/>
        <v>Heat meter  AXIS SKS-3-К6-2-0-51-00-00-00-00-4-3-1-02-0 Dn20</v>
      </c>
      <c r="K94" s="161">
        <f t="shared" si="28"/>
        <v>1</v>
      </c>
      <c r="L94" s="161" t="str">
        <f t="shared" si="29"/>
        <v>-</v>
      </c>
      <c r="M94" s="189">
        <f t="shared" si="14"/>
        <v>374.67360000000002</v>
      </c>
      <c r="N94" s="189">
        <f t="shared" si="15"/>
        <v>374.67360000000002</v>
      </c>
      <c r="Q94" s="276">
        <f t="shared" si="30"/>
        <v>1</v>
      </c>
      <c r="R94" s="296" t="s">
        <v>726</v>
      </c>
      <c r="S94" s="278" t="s">
        <v>698</v>
      </c>
      <c r="T94" s="1459" t="s">
        <v>699</v>
      </c>
      <c r="U94" s="1450"/>
      <c r="V94" s="268" t="s">
        <v>356</v>
      </c>
      <c r="W94" s="227">
        <v>20</v>
      </c>
      <c r="X94" s="281">
        <v>277.536</v>
      </c>
      <c r="Y94" s="255">
        <v>8</v>
      </c>
      <c r="Z94" s="218"/>
      <c r="AA94" s="262">
        <f t="shared" si="23"/>
        <v>277.536</v>
      </c>
      <c r="AB94" s="218">
        <v>1</v>
      </c>
      <c r="AC94" s="275">
        <f t="shared" ref="AC94:AC100" si="33">X94*1.35</f>
        <v>374.67360000000002</v>
      </c>
    </row>
    <row r="95" spans="2:31" ht="15">
      <c r="B95" s="161">
        <f t="shared" si="31"/>
        <v>78</v>
      </c>
      <c r="C95" s="162" t="str">
        <f t="shared" si="20"/>
        <v>Теплолічильник AXIS SKS-3-К6-2-0-17-00-00-00-00-4-3-1-02-0 Dn 25</v>
      </c>
      <c r="D95" s="161">
        <f t="shared" si="24"/>
        <v>2</v>
      </c>
      <c r="E95" s="51" t="s">
        <v>115</v>
      </c>
      <c r="F95" s="189">
        <f t="shared" si="25"/>
        <v>460.69560000000001</v>
      </c>
      <c r="G95" s="189">
        <f t="shared" si="26"/>
        <v>921.39120000000003</v>
      </c>
      <c r="I95" s="161">
        <f t="shared" si="27"/>
        <v>78</v>
      </c>
      <c r="J95" s="162" t="str">
        <f t="shared" si="21"/>
        <v>Heat meter  AXIS SKS-3-К6-2-0-17-00-00-00-00-4-3-1-02-0 Dn25</v>
      </c>
      <c r="K95" s="161">
        <f t="shared" si="28"/>
        <v>2</v>
      </c>
      <c r="L95" s="161" t="str">
        <f t="shared" si="29"/>
        <v>-</v>
      </c>
      <c r="M95" s="189">
        <f t="shared" si="14"/>
        <v>460.69560000000001</v>
      </c>
      <c r="N95" s="189">
        <f t="shared" si="15"/>
        <v>921.39120000000003</v>
      </c>
      <c r="Q95" s="276">
        <f t="shared" si="30"/>
        <v>2</v>
      </c>
      <c r="R95" s="296" t="s">
        <v>726</v>
      </c>
      <c r="S95" s="278" t="s">
        <v>698</v>
      </c>
      <c r="T95" s="1459" t="s">
        <v>699</v>
      </c>
      <c r="U95" s="1450"/>
      <c r="V95" s="268" t="s">
        <v>357</v>
      </c>
      <c r="W95" s="227">
        <v>25</v>
      </c>
      <c r="X95" s="281">
        <v>341.25599999999997</v>
      </c>
      <c r="Y95" s="255">
        <v>34</v>
      </c>
      <c r="Z95" s="218"/>
      <c r="AA95" s="262">
        <f t="shared" si="23"/>
        <v>682.51199999999994</v>
      </c>
      <c r="AB95" s="218">
        <v>2</v>
      </c>
      <c r="AC95" s="275">
        <f t="shared" si="33"/>
        <v>460.69560000000001</v>
      </c>
    </row>
    <row r="96" spans="2:31" ht="15">
      <c r="B96" s="161">
        <f t="shared" si="31"/>
        <v>79</v>
      </c>
      <c r="C96" s="162" t="str">
        <f t="shared" si="20"/>
        <v>Теплолічильник AXIS SKS-3-К6-2-0-18-00-00-00-00-4-3-1-02-0 Dn 25</v>
      </c>
      <c r="D96" s="161">
        <f t="shared" si="24"/>
        <v>5</v>
      </c>
      <c r="E96" s="51" t="s">
        <v>115</v>
      </c>
      <c r="F96" s="189">
        <f t="shared" si="25"/>
        <v>460.69560000000001</v>
      </c>
      <c r="G96" s="189">
        <f t="shared" si="26"/>
        <v>2303.4780000000001</v>
      </c>
      <c r="I96" s="161">
        <f t="shared" si="27"/>
        <v>79</v>
      </c>
      <c r="J96" s="162" t="str">
        <f t="shared" si="21"/>
        <v>Heat meter  AXIS SKS-3-К6-2-0-18-00-00-00-00-4-3-1-02-0 Dn25</v>
      </c>
      <c r="K96" s="161">
        <f t="shared" si="28"/>
        <v>5</v>
      </c>
      <c r="L96" s="161" t="str">
        <f t="shared" si="29"/>
        <v>-</v>
      </c>
      <c r="M96" s="189">
        <f t="shared" si="14"/>
        <v>460.69560000000001</v>
      </c>
      <c r="N96" s="189">
        <f t="shared" si="15"/>
        <v>2303.4780000000001</v>
      </c>
      <c r="Q96" s="276">
        <f t="shared" si="30"/>
        <v>5</v>
      </c>
      <c r="R96" s="296" t="s">
        <v>726</v>
      </c>
      <c r="S96" s="278" t="s">
        <v>698</v>
      </c>
      <c r="T96" s="1459" t="s">
        <v>699</v>
      </c>
      <c r="U96" s="1450"/>
      <c r="V96" s="268" t="s">
        <v>358</v>
      </c>
      <c r="W96" s="227">
        <v>25</v>
      </c>
      <c r="X96" s="281">
        <v>341.25599999999997</v>
      </c>
      <c r="Y96" s="255">
        <v>95</v>
      </c>
      <c r="Z96" s="218"/>
      <c r="AA96" s="262">
        <f t="shared" si="23"/>
        <v>1706.2799999999997</v>
      </c>
      <c r="AB96" s="218">
        <v>5</v>
      </c>
      <c r="AC96" s="275">
        <f t="shared" si="33"/>
        <v>460.69560000000001</v>
      </c>
    </row>
    <row r="97" spans="2:32" ht="15">
      <c r="B97" s="161">
        <f t="shared" si="31"/>
        <v>80</v>
      </c>
      <c r="C97" s="162" t="str">
        <f t="shared" si="20"/>
        <v>Теплолічильник AXIS SKS-3-К6-2-0-19-00-00-00-00-4-3-1-02-0 Dn 40</v>
      </c>
      <c r="D97" s="161">
        <f t="shared" si="24"/>
        <v>13</v>
      </c>
      <c r="E97" s="51" t="s">
        <v>115</v>
      </c>
      <c r="F97" s="189">
        <f t="shared" si="25"/>
        <v>506.57399999999996</v>
      </c>
      <c r="G97" s="189">
        <f t="shared" si="26"/>
        <v>6585.4619999999995</v>
      </c>
      <c r="I97" s="161">
        <f t="shared" si="27"/>
        <v>80</v>
      </c>
      <c r="J97" s="162" t="str">
        <f t="shared" si="21"/>
        <v>Heat meter  AXIS SKS-3-К6-2-0-19-00-00-00-00-4-3-1-02-0 Dn40</v>
      </c>
      <c r="K97" s="161">
        <f t="shared" si="28"/>
        <v>13</v>
      </c>
      <c r="L97" s="161" t="str">
        <f t="shared" si="29"/>
        <v>-</v>
      </c>
      <c r="M97" s="189">
        <f t="shared" si="14"/>
        <v>506.57399999999996</v>
      </c>
      <c r="N97" s="189">
        <f t="shared" si="15"/>
        <v>6585.4619999999995</v>
      </c>
      <c r="Q97" s="276">
        <f t="shared" si="30"/>
        <v>13</v>
      </c>
      <c r="R97" s="296" t="s">
        <v>726</v>
      </c>
      <c r="S97" s="278" t="s">
        <v>698</v>
      </c>
      <c r="T97" s="1459" t="s">
        <v>699</v>
      </c>
      <c r="U97" s="1450"/>
      <c r="V97" s="268" t="s">
        <v>359</v>
      </c>
      <c r="W97" s="227">
        <v>40</v>
      </c>
      <c r="X97" s="281">
        <v>375.23999999999995</v>
      </c>
      <c r="Y97" s="255">
        <v>250</v>
      </c>
      <c r="Z97" s="218"/>
      <c r="AA97" s="262">
        <f t="shared" si="23"/>
        <v>4878.119999999999</v>
      </c>
      <c r="AB97" s="218">
        <v>13</v>
      </c>
      <c r="AC97" s="275">
        <f t="shared" si="33"/>
        <v>506.57399999999996</v>
      </c>
    </row>
    <row r="98" spans="2:32" ht="15">
      <c r="B98" s="161">
        <f t="shared" si="31"/>
        <v>81</v>
      </c>
      <c r="C98" s="162" t="str">
        <f t="shared" si="20"/>
        <v>Теплолічильник AXIS SKS-3-К6-2-0-20-00-00-00-00-4-3-1-02-0 Dn 50</v>
      </c>
      <c r="D98" s="161">
        <f t="shared" si="24"/>
        <v>6</v>
      </c>
      <c r="E98" s="51" t="s">
        <v>115</v>
      </c>
      <c r="F98" s="189">
        <f t="shared" si="25"/>
        <v>495.1044</v>
      </c>
      <c r="G98" s="189">
        <f t="shared" si="26"/>
        <v>2970.6264000000001</v>
      </c>
      <c r="I98" s="161">
        <f t="shared" si="27"/>
        <v>81</v>
      </c>
      <c r="J98" s="162" t="str">
        <f t="shared" si="21"/>
        <v>Heat meter  AXIS SKS-3-К6-2-0-20-00-00-00-00-4-3-1-02-0 Dn50</v>
      </c>
      <c r="K98" s="161">
        <f t="shared" si="28"/>
        <v>6</v>
      </c>
      <c r="L98" s="161" t="str">
        <f t="shared" si="29"/>
        <v>-</v>
      </c>
      <c r="M98" s="189">
        <f t="shared" ref="M98:M140" si="34">F98</f>
        <v>495.1044</v>
      </c>
      <c r="N98" s="189">
        <f t="shared" ref="N98:N140" si="35">G98</f>
        <v>2970.6264000000001</v>
      </c>
      <c r="Q98" s="276">
        <f t="shared" si="30"/>
        <v>6</v>
      </c>
      <c r="R98" s="296" t="s">
        <v>726</v>
      </c>
      <c r="S98" s="278" t="s">
        <v>698</v>
      </c>
      <c r="T98" s="1459" t="s">
        <v>699</v>
      </c>
      <c r="U98" s="1450"/>
      <c r="V98" s="268" t="s">
        <v>360</v>
      </c>
      <c r="W98" s="248">
        <v>50</v>
      </c>
      <c r="X98" s="281">
        <v>366.74399999999997</v>
      </c>
      <c r="Y98" s="255">
        <v>118</v>
      </c>
      <c r="Z98" s="218"/>
      <c r="AA98" s="262">
        <f t="shared" si="23"/>
        <v>2200.4639999999999</v>
      </c>
      <c r="AB98" s="218">
        <v>6</v>
      </c>
      <c r="AC98" s="275">
        <f t="shared" si="33"/>
        <v>495.1044</v>
      </c>
    </row>
    <row r="99" spans="2:32" ht="15">
      <c r="B99" s="161">
        <f t="shared" si="31"/>
        <v>82</v>
      </c>
      <c r="C99" s="162" t="str">
        <f t="shared" si="20"/>
        <v>Теплолічильник AXIS SKS-3-К6-2-0-21-00-00-00-00-4-3-1-02-0 Dn 65</v>
      </c>
      <c r="D99" s="161">
        <f t="shared" si="24"/>
        <v>2</v>
      </c>
      <c r="E99" s="51" t="s">
        <v>115</v>
      </c>
      <c r="F99" s="189">
        <f t="shared" si="25"/>
        <v>789.49080000000004</v>
      </c>
      <c r="G99" s="189">
        <f t="shared" si="26"/>
        <v>1578.9816000000001</v>
      </c>
      <c r="I99" s="161">
        <f t="shared" si="27"/>
        <v>82</v>
      </c>
      <c r="J99" s="162" t="str">
        <f t="shared" si="21"/>
        <v>Heat meter  AXIS SKS-3-К6-2-0-21-00-00-00-00-4-3-1-02-0 Dn65</v>
      </c>
      <c r="K99" s="161">
        <f t="shared" si="28"/>
        <v>2</v>
      </c>
      <c r="L99" s="161" t="str">
        <f t="shared" si="29"/>
        <v>-</v>
      </c>
      <c r="M99" s="189">
        <f t="shared" si="34"/>
        <v>789.49080000000004</v>
      </c>
      <c r="N99" s="189">
        <f t="shared" si="35"/>
        <v>1578.9816000000001</v>
      </c>
      <c r="Q99" s="276">
        <f t="shared" si="30"/>
        <v>2</v>
      </c>
      <c r="R99" s="296" t="s">
        <v>726</v>
      </c>
      <c r="S99" s="278" t="s">
        <v>698</v>
      </c>
      <c r="T99" s="1459" t="s">
        <v>699</v>
      </c>
      <c r="U99" s="1450"/>
      <c r="V99" s="268" t="s">
        <v>361</v>
      </c>
      <c r="W99" s="227">
        <v>65</v>
      </c>
      <c r="X99" s="281">
        <v>584.80799999999999</v>
      </c>
      <c r="Y99" s="255">
        <v>42</v>
      </c>
      <c r="Z99" s="218"/>
      <c r="AA99" s="262">
        <f t="shared" si="23"/>
        <v>1169.616</v>
      </c>
      <c r="AB99" s="218">
        <v>2</v>
      </c>
      <c r="AC99" s="275">
        <f t="shared" si="33"/>
        <v>789.49080000000004</v>
      </c>
    </row>
    <row r="100" spans="2:32" ht="15">
      <c r="B100" s="161">
        <f t="shared" si="31"/>
        <v>83</v>
      </c>
      <c r="C100" s="162" t="str">
        <f t="shared" si="20"/>
        <v>Теплолічильник AXIS SKS-3-К6-2-0-23-00-00-00-00-4-3-1-02-0 Dn 80</v>
      </c>
      <c r="D100" s="161">
        <f t="shared" si="24"/>
        <v>1</v>
      </c>
      <c r="E100" s="51" t="s">
        <v>115</v>
      </c>
      <c r="F100" s="189">
        <f t="shared" si="25"/>
        <v>858.30840000000001</v>
      </c>
      <c r="G100" s="189">
        <f t="shared" si="26"/>
        <v>858.30840000000001</v>
      </c>
      <c r="I100" s="161">
        <f t="shared" si="27"/>
        <v>83</v>
      </c>
      <c r="J100" s="162" t="str">
        <f t="shared" si="21"/>
        <v>Heat meter  AXIS SKS-3-К6-2-0-23-00-00-00-00-4-3-1-02-0 Dn80</v>
      </c>
      <c r="K100" s="161">
        <f t="shared" si="28"/>
        <v>1</v>
      </c>
      <c r="L100" s="161" t="str">
        <f t="shared" si="29"/>
        <v>-</v>
      </c>
      <c r="M100" s="189">
        <f t="shared" si="34"/>
        <v>858.30840000000001</v>
      </c>
      <c r="N100" s="189">
        <f t="shared" si="35"/>
        <v>858.30840000000001</v>
      </c>
      <c r="Q100" s="276">
        <f t="shared" si="30"/>
        <v>1</v>
      </c>
      <c r="R100" s="296" t="s">
        <v>726</v>
      </c>
      <c r="S100" s="278" t="s">
        <v>698</v>
      </c>
      <c r="T100" s="1459" t="s">
        <v>699</v>
      </c>
      <c r="U100" s="1450"/>
      <c r="V100" s="268" t="s">
        <v>362</v>
      </c>
      <c r="W100" s="227">
        <v>80</v>
      </c>
      <c r="X100" s="281">
        <v>635.78399999999999</v>
      </c>
      <c r="Y100" s="255">
        <v>1</v>
      </c>
      <c r="Z100" s="218"/>
      <c r="AA100" s="262">
        <f t="shared" si="23"/>
        <v>635.78399999999999</v>
      </c>
      <c r="AB100" s="218">
        <v>1</v>
      </c>
      <c r="AC100" s="275">
        <f t="shared" si="33"/>
        <v>858.30840000000001</v>
      </c>
      <c r="AD100" s="184"/>
      <c r="AE100" s="184"/>
    </row>
    <row r="101" spans="2:32" ht="15">
      <c r="B101" s="161">
        <f t="shared" si="31"/>
        <v>84</v>
      </c>
      <c r="C101" s="162" t="str">
        <f t="shared" si="20"/>
        <v>Регулятор температури фланцевий Danfoss VB2 Dn 15</v>
      </c>
      <c r="D101" s="161">
        <f t="shared" si="24"/>
        <v>1</v>
      </c>
      <c r="E101" s="51" t="s">
        <v>115</v>
      </c>
      <c r="F101" s="189" t="e">
        <f t="shared" si="25"/>
        <v>#REF!</v>
      </c>
      <c r="G101" s="189" t="e">
        <f t="shared" si="26"/>
        <v>#REF!</v>
      </c>
      <c r="I101" s="161">
        <f t="shared" si="27"/>
        <v>84</v>
      </c>
      <c r="J101" s="162" t="str">
        <f t="shared" si="21"/>
        <v>Two-way control valve, pressure balanced Danfoss VB2 Dn15</v>
      </c>
      <c r="K101" s="161">
        <f t="shared" si="28"/>
        <v>1</v>
      </c>
      <c r="L101" s="161" t="str">
        <f t="shared" si="29"/>
        <v>-</v>
      </c>
      <c r="M101" s="189" t="e">
        <f t="shared" si="34"/>
        <v>#REF!</v>
      </c>
      <c r="N101" s="189" t="e">
        <f t="shared" si="35"/>
        <v>#REF!</v>
      </c>
      <c r="Q101" s="276">
        <f t="shared" si="30"/>
        <v>1</v>
      </c>
      <c r="R101" s="298" t="s">
        <v>728</v>
      </c>
      <c r="S101" s="268" t="s">
        <v>44</v>
      </c>
      <c r="T101" s="1450" t="s">
        <v>647</v>
      </c>
      <c r="U101" s="1450"/>
      <c r="V101" s="226" t="s">
        <v>45</v>
      </c>
      <c r="W101" s="227">
        <v>15</v>
      </c>
      <c r="X101" s="281">
        <v>102.1747572815534</v>
      </c>
      <c r="Y101" s="260">
        <v>1</v>
      </c>
      <c r="Z101" s="218"/>
      <c r="AA101" s="262">
        <f t="shared" si="23"/>
        <v>102.1747572815534</v>
      </c>
      <c r="AB101" s="218">
        <v>1</v>
      </c>
      <c r="AC101" s="275" t="e">
        <f t="shared" ref="AC101:AC107" si="36">AD101/$AC$15</f>
        <v>#REF!</v>
      </c>
      <c r="AD101" s="184">
        <f>6204.78*1.2</f>
        <v>7445.735999999999</v>
      </c>
      <c r="AE101" s="184"/>
      <c r="AF101" s="201">
        <v>1</v>
      </c>
    </row>
    <row r="102" spans="2:32" ht="15">
      <c r="B102" s="161">
        <f t="shared" si="31"/>
        <v>85</v>
      </c>
      <c r="C102" s="162" t="str">
        <f t="shared" si="20"/>
        <v>Регулятор температури фланцевий  Danfoss VB2 Dn 15</v>
      </c>
      <c r="D102" s="161">
        <f t="shared" si="24"/>
        <v>1</v>
      </c>
      <c r="E102" s="51" t="s">
        <v>115</v>
      </c>
      <c r="F102" s="189" t="e">
        <f t="shared" si="25"/>
        <v>#REF!</v>
      </c>
      <c r="G102" s="189" t="e">
        <f t="shared" si="26"/>
        <v>#REF!</v>
      </c>
      <c r="I102" s="161">
        <f t="shared" si="27"/>
        <v>85</v>
      </c>
      <c r="J102" s="162" t="str">
        <f t="shared" si="21"/>
        <v>Two-way control valve, pressure balanced Danfoss VB2 Dn15</v>
      </c>
      <c r="K102" s="161">
        <f t="shared" si="28"/>
        <v>1</v>
      </c>
      <c r="L102" s="161" t="str">
        <f t="shared" si="29"/>
        <v>-</v>
      </c>
      <c r="M102" s="189" t="e">
        <f t="shared" si="34"/>
        <v>#REF!</v>
      </c>
      <c r="N102" s="189" t="e">
        <f t="shared" si="35"/>
        <v>#REF!</v>
      </c>
      <c r="Q102" s="276">
        <f t="shared" si="30"/>
        <v>1</v>
      </c>
      <c r="R102" s="298" t="s">
        <v>728</v>
      </c>
      <c r="S102" s="268" t="s">
        <v>43</v>
      </c>
      <c r="T102" s="1450" t="s">
        <v>647</v>
      </c>
      <c r="U102" s="1450"/>
      <c r="V102" s="226" t="s">
        <v>45</v>
      </c>
      <c r="W102" s="227">
        <v>15</v>
      </c>
      <c r="X102" s="281">
        <v>102.1747572815534</v>
      </c>
      <c r="Y102" s="260">
        <v>1</v>
      </c>
      <c r="Z102" s="218"/>
      <c r="AA102" s="262">
        <f t="shared" si="23"/>
        <v>102.1747572815534</v>
      </c>
      <c r="AB102" s="218">
        <v>1</v>
      </c>
      <c r="AC102" s="275" t="e">
        <f t="shared" si="36"/>
        <v>#REF!</v>
      </c>
      <c r="AD102" s="184">
        <f>6204.78*1.2</f>
        <v>7445.735999999999</v>
      </c>
      <c r="AE102" s="184"/>
      <c r="AF102" s="201">
        <v>2</v>
      </c>
    </row>
    <row r="103" spans="2:32" ht="15">
      <c r="B103" s="161">
        <f t="shared" si="31"/>
        <v>86</v>
      </c>
      <c r="C103" s="162" t="str">
        <f t="shared" si="20"/>
        <v>Регулятор температури фланцевий  Danfoss VB2 Dn 20</v>
      </c>
      <c r="D103" s="161">
        <f t="shared" si="24"/>
        <v>5</v>
      </c>
      <c r="E103" s="51" t="s">
        <v>115</v>
      </c>
      <c r="F103" s="189" t="e">
        <f t="shared" si="25"/>
        <v>#REF!</v>
      </c>
      <c r="G103" s="189" t="e">
        <f t="shared" si="26"/>
        <v>#REF!</v>
      </c>
      <c r="I103" s="161">
        <f t="shared" si="27"/>
        <v>86</v>
      </c>
      <c r="J103" s="162" t="str">
        <f t="shared" si="21"/>
        <v>Two-way control valve, pressure balanced Danfoss VB2 Dn20</v>
      </c>
      <c r="K103" s="161">
        <f t="shared" si="28"/>
        <v>5</v>
      </c>
      <c r="L103" s="161" t="str">
        <f t="shared" si="29"/>
        <v>-</v>
      </c>
      <c r="M103" s="189" t="e">
        <f t="shared" si="34"/>
        <v>#REF!</v>
      </c>
      <c r="N103" s="189" t="e">
        <f t="shared" si="35"/>
        <v>#REF!</v>
      </c>
      <c r="Q103" s="276">
        <f t="shared" si="30"/>
        <v>5</v>
      </c>
      <c r="R103" s="298" t="s">
        <v>728</v>
      </c>
      <c r="S103" s="268" t="s">
        <v>43</v>
      </c>
      <c r="T103" s="1450" t="s">
        <v>647</v>
      </c>
      <c r="U103" s="1450"/>
      <c r="V103" s="226" t="s">
        <v>45</v>
      </c>
      <c r="W103" s="227">
        <v>20</v>
      </c>
      <c r="X103" s="281">
        <v>110.67178976980341</v>
      </c>
      <c r="Y103" s="260">
        <v>52</v>
      </c>
      <c r="Z103" s="218"/>
      <c r="AA103" s="262">
        <f t="shared" si="23"/>
        <v>553.358948849017</v>
      </c>
      <c r="AB103" s="218">
        <v>5</v>
      </c>
      <c r="AC103" s="275" t="e">
        <f t="shared" si="36"/>
        <v>#REF!</v>
      </c>
      <c r="AD103" s="184">
        <f>6720.78*1.2</f>
        <v>8064.9359999999997</v>
      </c>
      <c r="AE103" s="184"/>
      <c r="AF103" s="201">
        <v>5.2</v>
      </c>
    </row>
    <row r="104" spans="2:32" ht="15">
      <c r="B104" s="161">
        <f t="shared" si="31"/>
        <v>87</v>
      </c>
      <c r="C104" s="162" t="str">
        <f t="shared" si="20"/>
        <v>Регулятор температури фланцевий  Danfoss VB2 Dn 25</v>
      </c>
      <c r="D104" s="161">
        <f t="shared" si="24"/>
        <v>12</v>
      </c>
      <c r="E104" s="51" t="s">
        <v>115</v>
      </c>
      <c r="F104" s="189" t="e">
        <f t="shared" si="25"/>
        <v>#REF!</v>
      </c>
      <c r="G104" s="189" t="e">
        <f t="shared" si="26"/>
        <v>#REF!</v>
      </c>
      <c r="I104" s="161">
        <f t="shared" si="27"/>
        <v>87</v>
      </c>
      <c r="J104" s="162" t="str">
        <f t="shared" si="21"/>
        <v>Two-way control valve, pressure balanced Danfoss VB2 Dn25</v>
      </c>
      <c r="K104" s="161">
        <f t="shared" si="28"/>
        <v>12</v>
      </c>
      <c r="L104" s="161" t="str">
        <f t="shared" si="29"/>
        <v>-</v>
      </c>
      <c r="M104" s="189" t="e">
        <f t="shared" si="34"/>
        <v>#REF!</v>
      </c>
      <c r="N104" s="189" t="e">
        <f t="shared" si="35"/>
        <v>#REF!</v>
      </c>
      <c r="Q104" s="276">
        <f t="shared" si="30"/>
        <v>12</v>
      </c>
      <c r="R104" s="298" t="s">
        <v>728</v>
      </c>
      <c r="S104" s="268" t="s">
        <v>43</v>
      </c>
      <c r="T104" s="1450" t="s">
        <v>647</v>
      </c>
      <c r="U104" s="1450"/>
      <c r="V104" s="226" t="s">
        <v>45</v>
      </c>
      <c r="W104" s="227">
        <v>25</v>
      </c>
      <c r="X104" s="281">
        <v>114.94047823252941</v>
      </c>
      <c r="Y104" s="260">
        <v>124</v>
      </c>
      <c r="Z104" s="218"/>
      <c r="AA104" s="262">
        <f t="shared" si="23"/>
        <v>1379.285738790353</v>
      </c>
      <c r="AB104" s="218">
        <v>12</v>
      </c>
      <c r="AC104" s="275" t="e">
        <f t="shared" si="36"/>
        <v>#REF!</v>
      </c>
      <c r="AD104" s="184">
        <f>6980*1.2</f>
        <v>8376</v>
      </c>
      <c r="AE104" s="184"/>
      <c r="AF104" s="201">
        <v>12.4</v>
      </c>
    </row>
    <row r="105" spans="2:32" ht="15">
      <c r="B105" s="161">
        <f t="shared" si="31"/>
        <v>88</v>
      </c>
      <c r="C105" s="162" t="str">
        <f t="shared" si="20"/>
        <v>Регулятор температури фланцевий  Danfoss VB2 Dn 32</v>
      </c>
      <c r="D105" s="161">
        <f t="shared" si="24"/>
        <v>22</v>
      </c>
      <c r="E105" s="51" t="s">
        <v>115</v>
      </c>
      <c r="F105" s="189" t="e">
        <f t="shared" si="25"/>
        <v>#REF!</v>
      </c>
      <c r="G105" s="189" t="e">
        <f t="shared" si="26"/>
        <v>#REF!</v>
      </c>
      <c r="I105" s="161">
        <f t="shared" si="27"/>
        <v>88</v>
      </c>
      <c r="J105" s="162" t="str">
        <f t="shared" si="21"/>
        <v>Two-way control valve, pressure balanced Danfoss VB2 Dn32</v>
      </c>
      <c r="K105" s="161">
        <f t="shared" si="28"/>
        <v>22</v>
      </c>
      <c r="L105" s="161" t="str">
        <f t="shared" si="29"/>
        <v>-</v>
      </c>
      <c r="M105" s="189" t="e">
        <f t="shared" si="34"/>
        <v>#REF!</v>
      </c>
      <c r="N105" s="189" t="e">
        <f t="shared" si="35"/>
        <v>#REF!</v>
      </c>
      <c r="Q105" s="276">
        <f t="shared" si="30"/>
        <v>22</v>
      </c>
      <c r="R105" s="298" t="s">
        <v>728</v>
      </c>
      <c r="S105" s="268" t="s">
        <v>43</v>
      </c>
      <c r="T105" s="1450" t="s">
        <v>647</v>
      </c>
      <c r="U105" s="1450"/>
      <c r="V105" s="226" t="s">
        <v>45</v>
      </c>
      <c r="W105" s="227">
        <v>32</v>
      </c>
      <c r="X105" s="281">
        <v>127.69014374421076</v>
      </c>
      <c r="Y105" s="260">
        <v>219</v>
      </c>
      <c r="Z105" s="218"/>
      <c r="AA105" s="262">
        <f t="shared" si="23"/>
        <v>2809.1831623726366</v>
      </c>
      <c r="AB105" s="218">
        <v>22</v>
      </c>
      <c r="AC105" s="275" t="e">
        <f t="shared" si="36"/>
        <v>#REF!</v>
      </c>
      <c r="AD105" s="184">
        <f>7754.25*1.2</f>
        <v>9305.1</v>
      </c>
      <c r="AE105" s="184"/>
      <c r="AF105" s="201">
        <v>21.9</v>
      </c>
    </row>
    <row r="106" spans="2:32" ht="15">
      <c r="B106" s="161">
        <f t="shared" si="31"/>
        <v>89</v>
      </c>
      <c r="C106" s="162" t="str">
        <f t="shared" si="20"/>
        <v>Регулятор температури фланцевий  Danfoss VB2 Dn 40</v>
      </c>
      <c r="D106" s="161">
        <f t="shared" si="24"/>
        <v>13</v>
      </c>
      <c r="E106" s="51" t="s">
        <v>115</v>
      </c>
      <c r="F106" s="189" t="e">
        <f t="shared" si="25"/>
        <v>#REF!</v>
      </c>
      <c r="G106" s="189" t="e">
        <f t="shared" si="26"/>
        <v>#REF!</v>
      </c>
      <c r="I106" s="161">
        <f t="shared" si="27"/>
        <v>89</v>
      </c>
      <c r="J106" s="162" t="str">
        <f t="shared" si="21"/>
        <v>Two-way control valve, pressure balanced Danfoss VB2 Dn40</v>
      </c>
      <c r="K106" s="161">
        <f t="shared" si="28"/>
        <v>13</v>
      </c>
      <c r="L106" s="161" t="str">
        <f t="shared" si="29"/>
        <v>-</v>
      </c>
      <c r="M106" s="189" t="e">
        <f t="shared" si="34"/>
        <v>#REF!</v>
      </c>
      <c r="N106" s="189" t="e">
        <f t="shared" si="35"/>
        <v>#REF!</v>
      </c>
      <c r="Q106" s="276">
        <f t="shared" si="30"/>
        <v>13</v>
      </c>
      <c r="R106" s="298" t="s">
        <v>728</v>
      </c>
      <c r="S106" s="268" t="s">
        <v>43</v>
      </c>
      <c r="T106" s="1450" t="s">
        <v>647</v>
      </c>
      <c r="U106" s="1450"/>
      <c r="V106" s="226" t="s">
        <v>45</v>
      </c>
      <c r="W106" s="227">
        <v>40</v>
      </c>
      <c r="X106" s="281">
        <v>153.23805276338811</v>
      </c>
      <c r="Y106" s="260">
        <v>128</v>
      </c>
      <c r="Z106" s="218"/>
      <c r="AA106" s="262">
        <f t="shared" si="23"/>
        <v>1992.0946859240455</v>
      </c>
      <c r="AB106" s="218">
        <v>13</v>
      </c>
      <c r="AC106" s="275" t="e">
        <f t="shared" si="36"/>
        <v>#REF!</v>
      </c>
      <c r="AD106" s="184">
        <f>9305.69*1.2</f>
        <v>11166.828</v>
      </c>
      <c r="AE106" s="184"/>
      <c r="AF106" s="201">
        <v>12.8</v>
      </c>
    </row>
    <row r="107" spans="2:32" ht="15">
      <c r="B107" s="161">
        <f t="shared" si="31"/>
        <v>90</v>
      </c>
      <c r="C107" s="162" t="str">
        <f t="shared" si="20"/>
        <v>Регулятор температури фланцевий  Danfoss VB2 Dn 50</v>
      </c>
      <c r="D107" s="161">
        <f t="shared" si="24"/>
        <v>3</v>
      </c>
      <c r="E107" s="51" t="s">
        <v>115</v>
      </c>
      <c r="F107" s="189" t="e">
        <f t="shared" si="25"/>
        <v>#REF!</v>
      </c>
      <c r="G107" s="189" t="e">
        <f t="shared" si="26"/>
        <v>#REF!</v>
      </c>
      <c r="I107" s="161">
        <f t="shared" si="27"/>
        <v>90</v>
      </c>
      <c r="J107" s="162" t="str">
        <f t="shared" si="21"/>
        <v>Two-way control valve, pressure balanced Danfoss VB2 Dn50</v>
      </c>
      <c r="K107" s="161">
        <f t="shared" si="28"/>
        <v>3</v>
      </c>
      <c r="L107" s="161" t="str">
        <f t="shared" si="29"/>
        <v>-</v>
      </c>
      <c r="M107" s="189" t="e">
        <f t="shared" si="34"/>
        <v>#REF!</v>
      </c>
      <c r="N107" s="189" t="e">
        <f t="shared" si="35"/>
        <v>#REF!</v>
      </c>
      <c r="Q107" s="276">
        <f t="shared" si="30"/>
        <v>3</v>
      </c>
      <c r="R107" s="298" t="s">
        <v>728</v>
      </c>
      <c r="S107" s="268" t="s">
        <v>43</v>
      </c>
      <c r="T107" s="1450" t="s">
        <v>647</v>
      </c>
      <c r="U107" s="1450"/>
      <c r="V107" s="226" t="s">
        <v>45</v>
      </c>
      <c r="W107" s="227">
        <v>50</v>
      </c>
      <c r="X107" s="281">
        <v>187.29081615149744</v>
      </c>
      <c r="Y107" s="260">
        <v>25</v>
      </c>
      <c r="Z107" s="218"/>
      <c r="AA107" s="262">
        <f t="shared" si="23"/>
        <v>561.87244845449231</v>
      </c>
      <c r="AB107" s="218">
        <v>3</v>
      </c>
      <c r="AC107" s="275" t="e">
        <f t="shared" si="36"/>
        <v>#REF!</v>
      </c>
      <c r="AD107" s="184">
        <f>11373.62*1.2</f>
        <v>13648.344000000001</v>
      </c>
      <c r="AE107" s="184"/>
      <c r="AF107" s="201">
        <v>2.5</v>
      </c>
    </row>
    <row r="108" spans="2:32" ht="15">
      <c r="B108" s="161">
        <f t="shared" si="31"/>
        <v>91</v>
      </c>
      <c r="C108" s="162" t="str">
        <f t="shared" si="20"/>
        <v>Регулятор температури фланцевий  Danfoss VFM2 Dn 65</v>
      </c>
      <c r="D108" s="161">
        <f t="shared" si="24"/>
        <v>1</v>
      </c>
      <c r="E108" s="51" t="s">
        <v>115</v>
      </c>
      <c r="F108" s="189">
        <f t="shared" si="25"/>
        <v>516.612919825723</v>
      </c>
      <c r="G108" s="189">
        <f t="shared" si="26"/>
        <v>516.612919825723</v>
      </c>
      <c r="I108" s="161">
        <f t="shared" si="27"/>
        <v>91</v>
      </c>
      <c r="J108" s="162" t="str">
        <f t="shared" si="21"/>
        <v>Two-way control valve, pressure balanced Danfoss VFM2 Dn65</v>
      </c>
      <c r="K108" s="161">
        <f t="shared" si="28"/>
        <v>1</v>
      </c>
      <c r="L108" s="161" t="str">
        <f t="shared" si="29"/>
        <v>-</v>
      </c>
      <c r="M108" s="189">
        <f t="shared" si="34"/>
        <v>516.612919825723</v>
      </c>
      <c r="N108" s="189">
        <f t="shared" si="35"/>
        <v>516.612919825723</v>
      </c>
      <c r="Q108" s="276">
        <f t="shared" si="30"/>
        <v>1</v>
      </c>
      <c r="R108" s="298" t="s">
        <v>728</v>
      </c>
      <c r="S108" s="270" t="s">
        <v>43</v>
      </c>
      <c r="T108" s="1450" t="s">
        <v>647</v>
      </c>
      <c r="U108" s="1450"/>
      <c r="V108" s="237" t="s">
        <v>658</v>
      </c>
      <c r="W108" s="256">
        <v>65</v>
      </c>
      <c r="X108" s="284">
        <v>295.20738275755599</v>
      </c>
      <c r="Y108" s="260">
        <v>1</v>
      </c>
      <c r="Z108" s="218"/>
      <c r="AA108" s="262">
        <f t="shared" si="23"/>
        <v>295.20738275755599</v>
      </c>
      <c r="AB108" s="218">
        <v>1</v>
      </c>
      <c r="AC108" s="308">
        <f>X108*1.75</f>
        <v>516.612919825723</v>
      </c>
      <c r="AD108" s="184"/>
      <c r="AE108" s="184"/>
    </row>
    <row r="109" spans="2:32" ht="15">
      <c r="B109" s="161">
        <f t="shared" si="31"/>
        <v>92</v>
      </c>
      <c r="C109" s="162" t="str">
        <f>S109&amp;" "&amp;T109&amp;" "&amp;V109</f>
        <v>Електропривід Danfoss AMV655</v>
      </c>
      <c r="D109" s="161">
        <f t="shared" si="24"/>
        <v>1</v>
      </c>
      <c r="E109" s="51" t="s">
        <v>115</v>
      </c>
      <c r="F109" s="189">
        <f t="shared" si="25"/>
        <v>785.03550722151704</v>
      </c>
      <c r="G109" s="189">
        <f t="shared" si="26"/>
        <v>785.03550722151704</v>
      </c>
      <c r="I109" s="161">
        <f t="shared" si="27"/>
        <v>92</v>
      </c>
      <c r="J109" s="162" t="str">
        <f t="shared" ref="J109:J115" si="37">R109&amp;" "&amp;T109&amp;" "&amp;V109</f>
        <v>Electrical drive of the control valve Danfoss AMV655</v>
      </c>
      <c r="K109" s="161">
        <f t="shared" si="28"/>
        <v>1</v>
      </c>
      <c r="L109" s="161" t="str">
        <f t="shared" si="29"/>
        <v>-</v>
      </c>
      <c r="M109" s="189">
        <f t="shared" si="34"/>
        <v>785.03550722151704</v>
      </c>
      <c r="N109" s="189">
        <f t="shared" si="35"/>
        <v>785.03550722151704</v>
      </c>
      <c r="Q109" s="276">
        <f t="shared" si="30"/>
        <v>1</v>
      </c>
      <c r="R109" s="297" t="s">
        <v>727</v>
      </c>
      <c r="S109" s="270" t="s">
        <v>8</v>
      </c>
      <c r="T109" s="1450" t="s">
        <v>647</v>
      </c>
      <c r="U109" s="1450"/>
      <c r="V109" s="257" t="s">
        <v>659</v>
      </c>
      <c r="W109" s="256"/>
      <c r="X109" s="284">
        <v>448.59171841229545</v>
      </c>
      <c r="Y109" s="258">
        <v>1</v>
      </c>
      <c r="Z109" s="218"/>
      <c r="AA109" s="262">
        <f t="shared" si="23"/>
        <v>448.59171841229545</v>
      </c>
      <c r="AB109" s="218">
        <v>1</v>
      </c>
      <c r="AC109" s="308">
        <f>X109*1.75</f>
        <v>785.03550722151704</v>
      </c>
      <c r="AD109" s="184"/>
      <c r="AE109" s="184"/>
    </row>
    <row r="110" spans="2:32" ht="15">
      <c r="B110" s="161">
        <f t="shared" si="31"/>
        <v>93</v>
      </c>
      <c r="C110" s="162" t="str">
        <f t="shared" ref="C110:C115" si="38">S110&amp;" "&amp;T110&amp;" "&amp;V110</f>
        <v>Електропривід Danfoss AMV30</v>
      </c>
      <c r="D110" s="161">
        <f t="shared" si="24"/>
        <v>29</v>
      </c>
      <c r="E110" s="51" t="s">
        <v>115</v>
      </c>
      <c r="F110" s="189" t="e">
        <f t="shared" si="25"/>
        <v>#REF!</v>
      </c>
      <c r="G110" s="189" t="e">
        <f t="shared" si="26"/>
        <v>#REF!</v>
      </c>
      <c r="I110" s="161">
        <f t="shared" si="27"/>
        <v>93</v>
      </c>
      <c r="J110" s="162" t="str">
        <f t="shared" si="37"/>
        <v>Electrical drive of the control valve Danfoss AMV30</v>
      </c>
      <c r="K110" s="161">
        <f t="shared" si="28"/>
        <v>29</v>
      </c>
      <c r="L110" s="161" t="str">
        <f t="shared" si="29"/>
        <v>-</v>
      </c>
      <c r="M110" s="189" t="e">
        <f t="shared" si="34"/>
        <v>#REF!</v>
      </c>
      <c r="N110" s="189" t="e">
        <f t="shared" si="35"/>
        <v>#REF!</v>
      </c>
      <c r="Q110" s="276">
        <f t="shared" si="30"/>
        <v>29</v>
      </c>
      <c r="R110" s="297" t="s">
        <v>727</v>
      </c>
      <c r="S110" s="268" t="s">
        <v>8</v>
      </c>
      <c r="T110" s="1450" t="s">
        <v>647</v>
      </c>
      <c r="U110" s="1450"/>
      <c r="V110" s="227" t="s">
        <v>95</v>
      </c>
      <c r="W110" s="227"/>
      <c r="X110" s="233">
        <v>143.95430374969979</v>
      </c>
      <c r="Y110" s="234">
        <v>286</v>
      </c>
      <c r="Z110" s="218"/>
      <c r="AA110" s="262">
        <f t="shared" si="23"/>
        <v>4174.6748087412943</v>
      </c>
      <c r="AB110" s="218">
        <v>29</v>
      </c>
      <c r="AC110" s="275" t="e">
        <f t="shared" ref="AC110:AC111" si="39">AD110/$AC$15</f>
        <v>#REF!</v>
      </c>
      <c r="AD110" s="184">
        <f>13978.06*1.2</f>
        <v>16773.671999999999</v>
      </c>
      <c r="AE110" s="184"/>
    </row>
    <row r="111" spans="2:32" ht="15.75" thickBot="1">
      <c r="B111" s="161">
        <f t="shared" si="31"/>
        <v>94</v>
      </c>
      <c r="C111" s="162" t="str">
        <f t="shared" si="38"/>
        <v>Електропривід Danfoss AMV33</v>
      </c>
      <c r="D111" s="161">
        <f t="shared" si="24"/>
        <v>26</v>
      </c>
      <c r="E111" s="51" t="s">
        <v>115</v>
      </c>
      <c r="F111" s="189" t="e">
        <f t="shared" si="25"/>
        <v>#REF!</v>
      </c>
      <c r="G111" s="189" t="e">
        <f t="shared" si="26"/>
        <v>#REF!</v>
      </c>
      <c r="I111" s="161">
        <f t="shared" si="27"/>
        <v>94</v>
      </c>
      <c r="J111" s="162" t="str">
        <f t="shared" si="37"/>
        <v>Electrical drive of the control valve Danfoss AMV33</v>
      </c>
      <c r="K111" s="161">
        <f t="shared" si="28"/>
        <v>26</v>
      </c>
      <c r="L111" s="161" t="str">
        <f t="shared" si="29"/>
        <v>-</v>
      </c>
      <c r="M111" s="189" t="e">
        <f t="shared" si="34"/>
        <v>#REF!</v>
      </c>
      <c r="N111" s="189" t="e">
        <f t="shared" si="35"/>
        <v>#REF!</v>
      </c>
      <c r="Q111" s="276">
        <f t="shared" si="30"/>
        <v>26</v>
      </c>
      <c r="R111" s="297" t="s">
        <v>727</v>
      </c>
      <c r="S111" s="271" t="s">
        <v>8</v>
      </c>
      <c r="T111" s="1453" t="s">
        <v>647</v>
      </c>
      <c r="U111" s="1453"/>
      <c r="V111" s="246" t="s">
        <v>67</v>
      </c>
      <c r="W111" s="246"/>
      <c r="X111" s="252">
        <v>154.04988164259493</v>
      </c>
      <c r="Y111" s="251">
        <v>263</v>
      </c>
      <c r="Z111" s="218"/>
      <c r="AA111" s="262">
        <f t="shared" si="23"/>
        <v>4005.2969227074682</v>
      </c>
      <c r="AB111" s="218">
        <v>26</v>
      </c>
      <c r="AC111" s="275" t="e">
        <f t="shared" si="39"/>
        <v>#REF!</v>
      </c>
      <c r="AD111" s="184">
        <f>14986*1.2</f>
        <v>17983.2</v>
      </c>
      <c r="AE111" s="184"/>
    </row>
    <row r="112" spans="2:32" ht="15">
      <c r="B112" s="161">
        <f t="shared" si="31"/>
        <v>95</v>
      </c>
      <c r="C112" s="162" t="str">
        <f t="shared" si="38"/>
        <v>Манометр електроконтактний Склоприбор 0-1,6 E</v>
      </c>
      <c r="D112" s="161">
        <f t="shared" si="24"/>
        <v>7</v>
      </c>
      <c r="E112" s="51" t="s">
        <v>115</v>
      </c>
      <c r="F112" s="189">
        <f t="shared" si="25"/>
        <v>25.138598236646192</v>
      </c>
      <c r="G112" s="189">
        <f t="shared" si="26"/>
        <v>175.97018765652334</v>
      </c>
      <c r="I112" s="161">
        <f t="shared" si="27"/>
        <v>95</v>
      </c>
      <c r="J112" s="162" t="str">
        <f t="shared" si="37"/>
        <v xml:space="preserve"> Electric-contact manometer 0-1,6 МPa, accuracy class 1,5 Склоприбор 0-1,6 E</v>
      </c>
      <c r="K112" s="161">
        <f t="shared" si="28"/>
        <v>7</v>
      </c>
      <c r="L112" s="161" t="str">
        <f t="shared" si="29"/>
        <v>-</v>
      </c>
      <c r="M112" s="189">
        <f t="shared" si="34"/>
        <v>25.138598236646192</v>
      </c>
      <c r="N112" s="189">
        <f t="shared" si="35"/>
        <v>175.97018765652334</v>
      </c>
      <c r="Q112" s="307">
        <f>ROUNDUP(Y112*0.02,0)</f>
        <v>7</v>
      </c>
      <c r="R112" s="300" t="s">
        <v>735</v>
      </c>
      <c r="S112" s="268" t="s">
        <v>371</v>
      </c>
      <c r="T112" s="1451" t="s">
        <v>717</v>
      </c>
      <c r="U112" s="1451"/>
      <c r="V112" s="250" t="s">
        <v>381</v>
      </c>
      <c r="W112" s="228"/>
      <c r="X112" s="281">
        <v>20.110878589316954</v>
      </c>
      <c r="Y112" s="253">
        <v>333</v>
      </c>
      <c r="Z112" s="218"/>
      <c r="AA112" s="262">
        <f t="shared" si="23"/>
        <v>20.110878589316954</v>
      </c>
      <c r="AB112" s="218">
        <v>1</v>
      </c>
      <c r="AC112" s="308">
        <f>X112*1.25</f>
        <v>25.138598236646192</v>
      </c>
      <c r="AD112" s="184"/>
      <c r="AE112" s="184"/>
    </row>
    <row r="113" spans="2:32" ht="15">
      <c r="B113" s="161">
        <f t="shared" si="31"/>
        <v>96</v>
      </c>
      <c r="C113" s="162" t="str">
        <f t="shared" si="38"/>
        <v>Манометр показуючий Склоприбор 0-1,0</v>
      </c>
      <c r="D113" s="161">
        <f t="shared" si="24"/>
        <v>39</v>
      </c>
      <c r="E113" s="51" t="s">
        <v>115</v>
      </c>
      <c r="F113" s="189">
        <f t="shared" si="25"/>
        <v>35.403272839548528</v>
      </c>
      <c r="G113" s="189">
        <f t="shared" si="26"/>
        <v>1380.7276407423926</v>
      </c>
      <c r="I113" s="161">
        <f t="shared" si="27"/>
        <v>96</v>
      </c>
      <c r="J113" s="162" t="str">
        <f t="shared" si="37"/>
        <v>Indicating pressure gauge Склоприбор 0-1,0</v>
      </c>
      <c r="K113" s="161">
        <f t="shared" si="28"/>
        <v>39</v>
      </c>
      <c r="L113" s="161" t="str">
        <f t="shared" si="29"/>
        <v>-</v>
      </c>
      <c r="M113" s="189">
        <f t="shared" si="34"/>
        <v>35.403272839548528</v>
      </c>
      <c r="N113" s="189">
        <f t="shared" si="35"/>
        <v>1380.7276407423926</v>
      </c>
      <c r="Q113" s="307">
        <f t="shared" ref="Q113:Q140" si="40">ROUNDUP(Y113*0.02,0)</f>
        <v>39</v>
      </c>
      <c r="R113" s="297" t="s">
        <v>737</v>
      </c>
      <c r="S113" s="272" t="s">
        <v>48</v>
      </c>
      <c r="T113" s="1452" t="s">
        <v>717</v>
      </c>
      <c r="U113" s="1452"/>
      <c r="V113" s="245" t="s">
        <v>106</v>
      </c>
      <c r="W113" s="228"/>
      <c r="X113" s="281">
        <v>28.32261827163882</v>
      </c>
      <c r="Y113" s="253">
        <v>1917</v>
      </c>
      <c r="Z113" s="218"/>
      <c r="AA113" s="262">
        <f t="shared" si="23"/>
        <v>28.32261827163882</v>
      </c>
      <c r="AB113" s="218">
        <v>1</v>
      </c>
      <c r="AC113" s="308">
        <f t="shared" ref="AC113:AC116" si="41">X113*1.25</f>
        <v>35.403272839548528</v>
      </c>
      <c r="AD113" s="184"/>
      <c r="AE113" s="184"/>
    </row>
    <row r="114" spans="2:32" ht="15">
      <c r="B114" s="161">
        <f t="shared" si="31"/>
        <v>97</v>
      </c>
      <c r="C114" s="162" t="str">
        <f t="shared" si="38"/>
        <v>Манометр показуючий Склоприбор 0-1,6</v>
      </c>
      <c r="D114" s="161">
        <f t="shared" si="24"/>
        <v>45</v>
      </c>
      <c r="E114" s="51" t="s">
        <v>115</v>
      </c>
      <c r="F114" s="189">
        <f t="shared" si="25"/>
        <v>35.403272839548528</v>
      </c>
      <c r="G114" s="189">
        <f t="shared" si="26"/>
        <v>1593.1472777796837</v>
      </c>
      <c r="I114" s="161">
        <f t="shared" si="27"/>
        <v>97</v>
      </c>
      <c r="J114" s="162" t="str">
        <f t="shared" si="37"/>
        <v>Indicating pressure gauge Склоприбор 0-1,6</v>
      </c>
      <c r="K114" s="161">
        <f t="shared" si="28"/>
        <v>45</v>
      </c>
      <c r="L114" s="161" t="str">
        <f t="shared" si="29"/>
        <v>-</v>
      </c>
      <c r="M114" s="189">
        <f t="shared" si="34"/>
        <v>35.403272839548528</v>
      </c>
      <c r="N114" s="189">
        <f t="shared" si="35"/>
        <v>1593.1472777796837</v>
      </c>
      <c r="Q114" s="307">
        <f t="shared" si="40"/>
        <v>45</v>
      </c>
      <c r="R114" s="297" t="s">
        <v>737</v>
      </c>
      <c r="S114" s="272" t="s">
        <v>48</v>
      </c>
      <c r="T114" s="1452" t="s">
        <v>717</v>
      </c>
      <c r="U114" s="1452"/>
      <c r="V114" s="245" t="s">
        <v>108</v>
      </c>
      <c r="W114" s="228"/>
      <c r="X114" s="281">
        <v>28.32261827163882</v>
      </c>
      <c r="Y114" s="253">
        <v>2204</v>
      </c>
      <c r="Z114" s="218"/>
      <c r="AA114" s="262">
        <f t="shared" ref="AA114:AA140" si="42">AB114*X114</f>
        <v>28.32261827163882</v>
      </c>
      <c r="AB114" s="218">
        <v>1</v>
      </c>
      <c r="AC114" s="308">
        <f t="shared" si="41"/>
        <v>35.403272839548528</v>
      </c>
    </row>
    <row r="115" spans="2:32" ht="15">
      <c r="B115" s="161">
        <f t="shared" si="31"/>
        <v>98</v>
      </c>
      <c r="C115" s="162" t="str">
        <f t="shared" si="38"/>
        <v>Манометр показуючий Склоприбор 0-2,5</v>
      </c>
      <c r="D115" s="161">
        <f t="shared" si="24"/>
        <v>12</v>
      </c>
      <c r="E115" s="51" t="s">
        <v>115</v>
      </c>
      <c r="F115" s="189">
        <f t="shared" si="25"/>
        <v>35.403272839548528</v>
      </c>
      <c r="G115" s="189">
        <f t="shared" si="26"/>
        <v>424.83927407458236</v>
      </c>
      <c r="I115" s="161">
        <f t="shared" si="27"/>
        <v>98</v>
      </c>
      <c r="J115" s="162" t="str">
        <f t="shared" si="37"/>
        <v>Indicating pressure gauge Склоприбор 0-2,5</v>
      </c>
      <c r="K115" s="161">
        <f t="shared" si="28"/>
        <v>12</v>
      </c>
      <c r="L115" s="161" t="str">
        <f t="shared" si="29"/>
        <v>-</v>
      </c>
      <c r="M115" s="189">
        <f t="shared" si="34"/>
        <v>35.403272839548528</v>
      </c>
      <c r="N115" s="189">
        <f t="shared" si="35"/>
        <v>424.83927407458236</v>
      </c>
      <c r="Q115" s="307">
        <f t="shared" si="40"/>
        <v>12</v>
      </c>
      <c r="R115" s="297" t="s">
        <v>737</v>
      </c>
      <c r="S115" s="272" t="s">
        <v>48</v>
      </c>
      <c r="T115" s="1452" t="s">
        <v>717</v>
      </c>
      <c r="U115" s="1452"/>
      <c r="V115" s="250" t="s">
        <v>107</v>
      </c>
      <c r="W115" s="228"/>
      <c r="X115" s="281">
        <v>28.32261827163882</v>
      </c>
      <c r="Y115" s="253">
        <v>574</v>
      </c>
      <c r="Z115" s="218"/>
      <c r="AA115" s="262">
        <f t="shared" si="42"/>
        <v>28.32261827163882</v>
      </c>
      <c r="AB115" s="218">
        <v>1</v>
      </c>
      <c r="AC115" s="308">
        <f t="shared" si="41"/>
        <v>35.403272839548528</v>
      </c>
    </row>
    <row r="116" spans="2:32" ht="15">
      <c r="B116" s="161">
        <f t="shared" si="31"/>
        <v>99</v>
      </c>
      <c r="C116" s="162" t="str">
        <f>S116&amp;" "&amp;T116&amp;" "&amp;V116&amp;" "&amp;"Dn"&amp;" "&amp;W116</f>
        <v>Комплект з вим. трубки  та 1 трьохх. кран. IVR  Dn 15</v>
      </c>
      <c r="D116" s="161">
        <f t="shared" si="24"/>
        <v>45</v>
      </c>
      <c r="E116" s="51" t="s">
        <v>115</v>
      </c>
      <c r="F116" s="189">
        <f t="shared" si="25"/>
        <v>14.335654739442173</v>
      </c>
      <c r="G116" s="189">
        <f t="shared" si="26"/>
        <v>645.10446327489774</v>
      </c>
      <c r="I116" s="161">
        <f t="shared" si="27"/>
        <v>99</v>
      </c>
      <c r="J116" s="162" t="str">
        <f>R116&amp;" "&amp;T116&amp;" "&amp;V116&amp;" "&amp;"Dn"&amp;W116</f>
        <v>Set of measuring tube and 1 Three-way valve IVR  Dn15</v>
      </c>
      <c r="K116" s="161">
        <f t="shared" si="28"/>
        <v>45</v>
      </c>
      <c r="L116" s="161" t="str">
        <f t="shared" si="29"/>
        <v>-</v>
      </c>
      <c r="M116" s="189">
        <f t="shared" si="34"/>
        <v>14.335654739442173</v>
      </c>
      <c r="N116" s="189">
        <f t="shared" si="35"/>
        <v>645.10446327489774</v>
      </c>
      <c r="Q116" s="307">
        <f t="shared" si="40"/>
        <v>45</v>
      </c>
      <c r="R116" s="162" t="s">
        <v>748</v>
      </c>
      <c r="S116" s="273" t="s">
        <v>369</v>
      </c>
      <c r="T116" s="1450" t="s">
        <v>715</v>
      </c>
      <c r="U116" s="1450"/>
      <c r="V116" s="228"/>
      <c r="W116" s="228">
        <v>15</v>
      </c>
      <c r="X116" s="281">
        <v>11.468523791553739</v>
      </c>
      <c r="Y116" s="253">
        <v>2204</v>
      </c>
      <c r="Z116" s="218"/>
      <c r="AA116" s="262">
        <f t="shared" si="42"/>
        <v>11.468523791553739</v>
      </c>
      <c r="AB116" s="218">
        <v>1</v>
      </c>
      <c r="AC116" s="308">
        <f t="shared" si="41"/>
        <v>14.335654739442173</v>
      </c>
    </row>
    <row r="117" spans="2:32" ht="15">
      <c r="B117" s="161">
        <f t="shared" si="31"/>
        <v>100</v>
      </c>
      <c r="C117" s="162" t="str">
        <f>S117&amp;" "&amp;T117&amp;" "&amp;V117&amp;" "&amp;"Dn"&amp;" "&amp;W117</f>
        <v>Кран для манометрів IVR тип 68 Dn 15</v>
      </c>
      <c r="D117" s="161">
        <f t="shared" si="24"/>
        <v>101</v>
      </c>
      <c r="E117" s="51" t="s">
        <v>115</v>
      </c>
      <c r="F117" s="189">
        <f t="shared" si="25"/>
        <v>5.85</v>
      </c>
      <c r="G117" s="189">
        <f t="shared" si="26"/>
        <v>590.84999999999991</v>
      </c>
      <c r="I117" s="161">
        <f t="shared" si="27"/>
        <v>100</v>
      </c>
      <c r="J117" s="162" t="str">
        <f>R117&amp;" "&amp;T117&amp;" "&amp;V117&amp;" "&amp;"Dn"&amp;W117</f>
        <v>Threaded ball valve for pressure gauge IVR тип 68 Dn15</v>
      </c>
      <c r="K117" s="161">
        <f t="shared" si="28"/>
        <v>101</v>
      </c>
      <c r="L117" s="161" t="str">
        <f t="shared" si="29"/>
        <v>-</v>
      </c>
      <c r="M117" s="189">
        <f t="shared" si="34"/>
        <v>5.85</v>
      </c>
      <c r="N117" s="189">
        <f t="shared" si="35"/>
        <v>590.84999999999991</v>
      </c>
      <c r="Q117" s="307">
        <f t="shared" si="40"/>
        <v>101</v>
      </c>
      <c r="R117" s="162" t="s">
        <v>744</v>
      </c>
      <c r="S117" s="273" t="s">
        <v>370</v>
      </c>
      <c r="T117" s="1450" t="s">
        <v>715</v>
      </c>
      <c r="U117" s="1450"/>
      <c r="V117" s="305" t="s">
        <v>367</v>
      </c>
      <c r="W117" s="228">
        <v>15</v>
      </c>
      <c r="X117" s="281">
        <v>4.7</v>
      </c>
      <c r="Y117" s="253">
        <v>5028</v>
      </c>
      <c r="Z117" s="218"/>
      <c r="AA117" s="262">
        <f t="shared" si="42"/>
        <v>4.7</v>
      </c>
      <c r="AB117" s="218">
        <v>1</v>
      </c>
      <c r="AC117" s="275">
        <v>5.85</v>
      </c>
    </row>
    <row r="118" spans="2:32" ht="15.75" thickBot="1">
      <c r="B118" s="161">
        <f t="shared" si="31"/>
        <v>101</v>
      </c>
      <c r="C118" s="162" t="str">
        <f>S118&amp;" "&amp;T118&amp;" "&amp;V118&amp;" "&amp;"Dn"&amp;" "&amp;W118</f>
        <v>Спускник повітря IVR тип 832 Dn 15</v>
      </c>
      <c r="D118" s="161">
        <f t="shared" si="24"/>
        <v>101</v>
      </c>
      <c r="E118" s="51" t="s">
        <v>115</v>
      </c>
      <c r="F118" s="189">
        <f t="shared" si="25"/>
        <v>4.95</v>
      </c>
      <c r="G118" s="189">
        <f t="shared" si="26"/>
        <v>499.95000000000005</v>
      </c>
      <c r="I118" s="161">
        <f t="shared" si="27"/>
        <v>101</v>
      </c>
      <c r="J118" s="162" t="str">
        <f>R118&amp;" "&amp;T118&amp;" "&amp;V118&amp;" "&amp;"Dn"&amp;W118</f>
        <v>Automatic air vent, DN 15, completed with check valve IVR тип 832 Dn15</v>
      </c>
      <c r="K118" s="161">
        <f t="shared" si="28"/>
        <v>101</v>
      </c>
      <c r="L118" s="161" t="str">
        <f t="shared" si="29"/>
        <v>-</v>
      </c>
      <c r="M118" s="189">
        <f t="shared" si="34"/>
        <v>4.95</v>
      </c>
      <c r="N118" s="189">
        <f t="shared" si="35"/>
        <v>499.95000000000005</v>
      </c>
      <c r="Q118" s="307">
        <f t="shared" si="40"/>
        <v>101</v>
      </c>
      <c r="R118" s="304" t="s">
        <v>743</v>
      </c>
      <c r="S118" s="274" t="s">
        <v>378</v>
      </c>
      <c r="T118" s="1453" t="s">
        <v>715</v>
      </c>
      <c r="U118" s="1453"/>
      <c r="V118" s="247" t="s">
        <v>379</v>
      </c>
      <c r="W118" s="247">
        <v>15</v>
      </c>
      <c r="X118" s="281">
        <v>3.2639999999999998</v>
      </c>
      <c r="Y118" s="254">
        <v>5028</v>
      </c>
      <c r="Z118" s="218"/>
      <c r="AA118" s="262">
        <f t="shared" si="42"/>
        <v>3.2639999999999998</v>
      </c>
      <c r="AB118" s="218">
        <v>1</v>
      </c>
      <c r="AC118" s="275">
        <f>4.09+0.86</f>
        <v>4.95</v>
      </c>
    </row>
    <row r="119" spans="2:32" ht="15">
      <c r="B119" s="161">
        <f t="shared" si="31"/>
        <v>102</v>
      </c>
      <c r="C119" s="162" t="str">
        <f>S119&amp;" "&amp;T119&amp;" "&amp;V119</f>
        <v>Термометр біметалічний з нерж. сталі Склоприбор 0-120</v>
      </c>
      <c r="D119" s="161">
        <f t="shared" si="24"/>
        <v>56</v>
      </c>
      <c r="E119" s="51" t="s">
        <v>115</v>
      </c>
      <c r="F119" s="189">
        <f t="shared" si="25"/>
        <v>23.80799341315311</v>
      </c>
      <c r="G119" s="189">
        <f t="shared" si="26"/>
        <v>1333.2476311365742</v>
      </c>
      <c r="I119" s="161">
        <f t="shared" si="27"/>
        <v>102</v>
      </c>
      <c r="J119" s="162" t="str">
        <f>R119&amp;" "&amp;T119&amp;" "&amp;V119</f>
        <v>Bimetallic thermometer, stainless steel Склоприбор 0-120</v>
      </c>
      <c r="K119" s="161">
        <f t="shared" si="28"/>
        <v>56</v>
      </c>
      <c r="L119" s="161" t="str">
        <f t="shared" si="29"/>
        <v>-</v>
      </c>
      <c r="M119" s="189">
        <f t="shared" si="34"/>
        <v>23.80799341315311</v>
      </c>
      <c r="N119" s="189">
        <f t="shared" si="35"/>
        <v>1333.2476311365742</v>
      </c>
      <c r="Q119" s="307">
        <f t="shared" si="40"/>
        <v>56</v>
      </c>
      <c r="R119" s="302" t="s">
        <v>739</v>
      </c>
      <c r="S119" s="268" t="s">
        <v>368</v>
      </c>
      <c r="T119" s="1452" t="s">
        <v>717</v>
      </c>
      <c r="U119" s="1452"/>
      <c r="V119" s="250" t="s">
        <v>109</v>
      </c>
      <c r="W119" s="227"/>
      <c r="X119" s="281">
        <v>19.839994510960924</v>
      </c>
      <c r="Y119" s="249">
        <v>2778</v>
      </c>
      <c r="Z119" s="218"/>
      <c r="AA119" s="262">
        <f t="shared" si="42"/>
        <v>19.839994510960924</v>
      </c>
      <c r="AB119" s="218">
        <v>1</v>
      </c>
      <c r="AC119" s="308">
        <f>X119*1.2</f>
        <v>23.80799341315311</v>
      </c>
    </row>
    <row r="120" spans="2:32" ht="15">
      <c r="B120" s="161">
        <f t="shared" si="31"/>
        <v>103</v>
      </c>
      <c r="C120" s="162" t="str">
        <f t="shared" ref="C120:C122" si="43">S120&amp;" "&amp;T120&amp;" "&amp;V120</f>
        <v>Датчик темпер. зовніш. повітря ТЭРА ТСП 2-10Г</v>
      </c>
      <c r="D120" s="161">
        <f t="shared" si="24"/>
        <v>6</v>
      </c>
      <c r="E120" s="51" t="s">
        <v>115</v>
      </c>
      <c r="F120" s="189">
        <f t="shared" si="25"/>
        <v>13.873546262307453</v>
      </c>
      <c r="G120" s="189">
        <f t="shared" si="26"/>
        <v>83.241277573844712</v>
      </c>
      <c r="I120" s="161">
        <f t="shared" si="27"/>
        <v>103</v>
      </c>
      <c r="J120" s="162" t="str">
        <f>R120&amp;" "&amp;T120&amp;" "&amp;V120</f>
        <v>Ambient air temperature sensor ТЭРА ТСП 2-10Г</v>
      </c>
      <c r="K120" s="161">
        <f t="shared" si="28"/>
        <v>6</v>
      </c>
      <c r="L120" s="161" t="str">
        <f t="shared" si="29"/>
        <v>-</v>
      </c>
      <c r="M120" s="189">
        <f t="shared" si="34"/>
        <v>13.873546262307453</v>
      </c>
      <c r="N120" s="189">
        <f t="shared" si="35"/>
        <v>83.241277573844712</v>
      </c>
      <c r="Q120" s="307">
        <f t="shared" si="40"/>
        <v>6</v>
      </c>
      <c r="R120" s="162" t="s">
        <v>745</v>
      </c>
      <c r="S120" s="268" t="s">
        <v>58</v>
      </c>
      <c r="T120" s="1452" t="s">
        <v>83</v>
      </c>
      <c r="U120" s="1452"/>
      <c r="V120" s="244" t="s">
        <v>383</v>
      </c>
      <c r="W120" s="227"/>
      <c r="X120" s="281">
        <v>11.561288551922878</v>
      </c>
      <c r="Y120" s="234">
        <v>274</v>
      </c>
      <c r="Z120" s="218"/>
      <c r="AA120" s="262">
        <f t="shared" si="42"/>
        <v>11.561288551922878</v>
      </c>
      <c r="AB120" s="218">
        <v>1</v>
      </c>
      <c r="AC120" s="308">
        <f>X120*1.2</f>
        <v>13.873546262307453</v>
      </c>
    </row>
    <row r="121" spans="2:32" ht="15">
      <c r="B121" s="161">
        <f t="shared" si="31"/>
        <v>104</v>
      </c>
      <c r="C121" s="162" t="str">
        <f t="shared" si="43"/>
        <v>Датчик темпер. води врізний  Danfoss MBT 5250</v>
      </c>
      <c r="D121" s="161">
        <f t="shared" si="24"/>
        <v>23</v>
      </c>
      <c r="E121" s="51" t="s">
        <v>115</v>
      </c>
      <c r="F121" s="189">
        <f t="shared" si="25"/>
        <v>98.399999999999991</v>
      </c>
      <c r="G121" s="189">
        <f t="shared" si="26"/>
        <v>2263.1999999999998</v>
      </c>
      <c r="I121" s="161">
        <f t="shared" si="27"/>
        <v>104</v>
      </c>
      <c r="J121" s="162" t="str">
        <f>R121&amp;" "&amp;T121&amp;" "&amp;V121</f>
        <v>Water temperature sensor, embedded Danfoss MBT 5250</v>
      </c>
      <c r="K121" s="161">
        <f t="shared" si="28"/>
        <v>23</v>
      </c>
      <c r="L121" s="161" t="str">
        <f t="shared" si="29"/>
        <v>-</v>
      </c>
      <c r="M121" s="189">
        <f t="shared" si="34"/>
        <v>98.399999999999991</v>
      </c>
      <c r="N121" s="189">
        <f t="shared" si="35"/>
        <v>2263.1999999999998</v>
      </c>
      <c r="Q121" s="307">
        <f t="shared" si="40"/>
        <v>23</v>
      </c>
      <c r="R121" s="162" t="s">
        <v>746</v>
      </c>
      <c r="S121" s="268" t="s">
        <v>59</v>
      </c>
      <c r="T121" s="1452" t="s">
        <v>647</v>
      </c>
      <c r="U121" s="1452"/>
      <c r="V121" s="244" t="s">
        <v>372</v>
      </c>
      <c r="W121" s="227"/>
      <c r="X121" s="285">
        <v>40.229999999999997</v>
      </c>
      <c r="Y121" s="234">
        <v>1102</v>
      </c>
      <c r="Z121" s="218"/>
      <c r="AA121" s="262">
        <f t="shared" si="42"/>
        <v>40.229999999999997</v>
      </c>
      <c r="AB121" s="218">
        <v>1</v>
      </c>
      <c r="AC121" s="275">
        <f>82*1.2</f>
        <v>98.399999999999991</v>
      </c>
    </row>
    <row r="122" spans="2:32" ht="15.75" thickBot="1">
      <c r="B122" s="161">
        <f t="shared" si="31"/>
        <v>105</v>
      </c>
      <c r="C122" s="162" t="str">
        <f t="shared" si="43"/>
        <v>Реле тиску 0,2-8 бар Danfoss KPI35</v>
      </c>
      <c r="D122" s="161">
        <f t="shared" si="24"/>
        <v>6</v>
      </c>
      <c r="E122" s="51" t="s">
        <v>115</v>
      </c>
      <c r="F122" s="189">
        <f t="shared" si="25"/>
        <v>90.96</v>
      </c>
      <c r="G122" s="189">
        <f t="shared" si="26"/>
        <v>545.76</v>
      </c>
      <c r="I122" s="161">
        <f t="shared" si="27"/>
        <v>105</v>
      </c>
      <c r="J122" s="162" t="str">
        <f>R122&amp;" "&amp;T122&amp;" "&amp;V122</f>
        <v>Pressure relay (0,2…8bar) Danfoss KPI35</v>
      </c>
      <c r="K122" s="161">
        <f t="shared" si="28"/>
        <v>6</v>
      </c>
      <c r="L122" s="161" t="str">
        <f t="shared" si="29"/>
        <v>-</v>
      </c>
      <c r="M122" s="189">
        <f t="shared" si="34"/>
        <v>90.96</v>
      </c>
      <c r="N122" s="189">
        <f t="shared" si="35"/>
        <v>545.76</v>
      </c>
      <c r="Q122" s="307">
        <f t="shared" si="40"/>
        <v>6</v>
      </c>
      <c r="R122" s="303" t="s">
        <v>738</v>
      </c>
      <c r="S122" s="271" t="s">
        <v>82</v>
      </c>
      <c r="T122" s="1454" t="s">
        <v>647</v>
      </c>
      <c r="U122" s="1454"/>
      <c r="V122" s="309" t="s">
        <v>81</v>
      </c>
      <c r="W122" s="246"/>
      <c r="X122" s="283">
        <v>42.39</v>
      </c>
      <c r="Y122" s="251">
        <v>274</v>
      </c>
      <c r="Z122" s="218"/>
      <c r="AA122" s="262">
        <f t="shared" si="42"/>
        <v>42.39</v>
      </c>
      <c r="AB122" s="218">
        <v>1</v>
      </c>
      <c r="AC122" s="275">
        <f>75.8*1.2</f>
        <v>90.96</v>
      </c>
    </row>
    <row r="123" spans="2:32" ht="15">
      <c r="B123" s="161">
        <f t="shared" si="31"/>
        <v>106</v>
      </c>
      <c r="C123" s="162" t="str">
        <f t="shared" ref="C123:C140" si="44">S123&amp;" "&amp;T123&amp;" "&amp;V123&amp;" "&amp;"Dn"&amp;" "&amp;W123</f>
        <v>Фільтр фланцевий LDM FP110S Dn 20</v>
      </c>
      <c r="D123" s="161">
        <f t="shared" si="24"/>
        <v>1</v>
      </c>
      <c r="E123" s="51" t="s">
        <v>115</v>
      </c>
      <c r="F123" s="189">
        <f t="shared" si="25"/>
        <v>26.3</v>
      </c>
      <c r="G123" s="189">
        <f t="shared" si="26"/>
        <v>26.3</v>
      </c>
      <c r="I123" s="161">
        <f t="shared" si="27"/>
        <v>106</v>
      </c>
      <c r="J123" s="162" t="str">
        <f t="shared" ref="J123:J140" si="45">R123&amp;" "&amp;T123&amp;" "&amp;V123&amp;" "&amp;"Dn"&amp;W123</f>
        <v>Flanged screen filter LDM FP110S Dn20</v>
      </c>
      <c r="K123" s="161">
        <f t="shared" si="28"/>
        <v>1</v>
      </c>
      <c r="L123" s="161" t="str">
        <f t="shared" si="29"/>
        <v>-</v>
      </c>
      <c r="M123" s="189">
        <f t="shared" si="34"/>
        <v>26.3</v>
      </c>
      <c r="N123" s="189">
        <f t="shared" si="35"/>
        <v>26.3</v>
      </c>
      <c r="Q123" s="307">
        <f t="shared" si="40"/>
        <v>1</v>
      </c>
      <c r="R123" s="296" t="s">
        <v>725</v>
      </c>
      <c r="S123" s="268" t="s">
        <v>14</v>
      </c>
      <c r="T123" s="1455" t="s">
        <v>718</v>
      </c>
      <c r="U123" s="1449"/>
      <c r="V123" s="242" t="s">
        <v>13</v>
      </c>
      <c r="W123" s="227">
        <v>20</v>
      </c>
      <c r="X123" s="281">
        <v>17.16</v>
      </c>
      <c r="Y123" s="232">
        <v>2</v>
      </c>
      <c r="Z123" s="218"/>
      <c r="AA123" s="262">
        <f t="shared" si="42"/>
        <v>17.16</v>
      </c>
      <c r="AB123" s="218">
        <v>1</v>
      </c>
      <c r="AC123" s="275">
        <v>26.3</v>
      </c>
      <c r="AF123">
        <v>1</v>
      </c>
    </row>
    <row r="124" spans="2:32" ht="15">
      <c r="B124" s="161">
        <f t="shared" si="31"/>
        <v>107</v>
      </c>
      <c r="C124" s="162" t="str">
        <f t="shared" si="44"/>
        <v>Фільтр фланцевий LDM FP110S Dn 25</v>
      </c>
      <c r="D124" s="161">
        <f t="shared" si="24"/>
        <v>1</v>
      </c>
      <c r="E124" s="51" t="s">
        <v>115</v>
      </c>
      <c r="F124" s="189">
        <f t="shared" si="25"/>
        <v>27.5</v>
      </c>
      <c r="G124" s="189">
        <f t="shared" si="26"/>
        <v>27.5</v>
      </c>
      <c r="I124" s="161">
        <f t="shared" si="27"/>
        <v>107</v>
      </c>
      <c r="J124" s="162" t="str">
        <f t="shared" si="45"/>
        <v>Flanged screen filter LDM FP110S Dn25</v>
      </c>
      <c r="K124" s="161">
        <f t="shared" si="28"/>
        <v>1</v>
      </c>
      <c r="L124" s="161" t="str">
        <f t="shared" si="29"/>
        <v>-</v>
      </c>
      <c r="M124" s="189">
        <f t="shared" si="34"/>
        <v>27.5</v>
      </c>
      <c r="N124" s="189">
        <f t="shared" si="35"/>
        <v>27.5</v>
      </c>
      <c r="Q124" s="307">
        <f t="shared" si="40"/>
        <v>1</v>
      </c>
      <c r="R124" s="296" t="s">
        <v>725</v>
      </c>
      <c r="S124" s="268" t="s">
        <v>14</v>
      </c>
      <c r="T124" s="1449" t="s">
        <v>718</v>
      </c>
      <c r="U124" s="1449"/>
      <c r="V124" s="242" t="s">
        <v>13</v>
      </c>
      <c r="W124" s="227">
        <v>25</v>
      </c>
      <c r="X124" s="281">
        <v>17.88</v>
      </c>
      <c r="Y124" s="232">
        <v>2</v>
      </c>
      <c r="Z124" s="218"/>
      <c r="AA124" s="262">
        <f t="shared" si="42"/>
        <v>17.88</v>
      </c>
      <c r="AB124" s="218">
        <v>1</v>
      </c>
      <c r="AC124" s="275">
        <v>27.5</v>
      </c>
      <c r="AF124">
        <v>1</v>
      </c>
    </row>
    <row r="125" spans="2:32" ht="15">
      <c r="B125" s="161">
        <f t="shared" si="31"/>
        <v>108</v>
      </c>
      <c r="C125" s="162" t="str">
        <f t="shared" si="44"/>
        <v>Фільтр фланцевий LDM FP110S Dn 32</v>
      </c>
      <c r="D125" s="161">
        <f t="shared" si="24"/>
        <v>1</v>
      </c>
      <c r="E125" s="51" t="s">
        <v>115</v>
      </c>
      <c r="F125" s="189">
        <f t="shared" si="25"/>
        <v>35.200000000000003</v>
      </c>
      <c r="G125" s="189">
        <f t="shared" si="26"/>
        <v>35.200000000000003</v>
      </c>
      <c r="I125" s="161">
        <f t="shared" si="27"/>
        <v>108</v>
      </c>
      <c r="J125" s="162" t="str">
        <f t="shared" si="45"/>
        <v>Flanged screen filter LDM FP110S Dn32</v>
      </c>
      <c r="K125" s="161">
        <f t="shared" si="28"/>
        <v>1</v>
      </c>
      <c r="L125" s="161" t="str">
        <f t="shared" si="29"/>
        <v>-</v>
      </c>
      <c r="M125" s="189">
        <f t="shared" si="34"/>
        <v>35.200000000000003</v>
      </c>
      <c r="N125" s="189">
        <f t="shared" si="35"/>
        <v>35.200000000000003</v>
      </c>
      <c r="Q125" s="307">
        <f t="shared" si="40"/>
        <v>1</v>
      </c>
      <c r="R125" s="296" t="s">
        <v>725</v>
      </c>
      <c r="S125" s="268" t="s">
        <v>14</v>
      </c>
      <c r="T125" s="1449" t="s">
        <v>718</v>
      </c>
      <c r="U125" s="1449"/>
      <c r="V125" s="242" t="s">
        <v>13</v>
      </c>
      <c r="W125" s="227">
        <v>32</v>
      </c>
      <c r="X125" s="281">
        <v>22.88</v>
      </c>
      <c r="Y125" s="232">
        <v>4</v>
      </c>
      <c r="Z125" s="218"/>
      <c r="AA125" s="262">
        <f t="shared" si="42"/>
        <v>22.88</v>
      </c>
      <c r="AB125" s="218">
        <v>1</v>
      </c>
      <c r="AC125" s="275">
        <v>35.200000000000003</v>
      </c>
      <c r="AF125">
        <v>2</v>
      </c>
    </row>
    <row r="126" spans="2:32" ht="15">
      <c r="B126" s="161">
        <f t="shared" si="31"/>
        <v>109</v>
      </c>
      <c r="C126" s="162" t="str">
        <f t="shared" si="44"/>
        <v>Фільтр фланцевий LDM FP110S Dn 40</v>
      </c>
      <c r="D126" s="161">
        <f t="shared" si="24"/>
        <v>1</v>
      </c>
      <c r="E126" s="51" t="s">
        <v>115</v>
      </c>
      <c r="F126" s="189">
        <f t="shared" si="25"/>
        <v>45.1</v>
      </c>
      <c r="G126" s="189">
        <f t="shared" si="26"/>
        <v>45.1</v>
      </c>
      <c r="I126" s="161">
        <f t="shared" si="27"/>
        <v>109</v>
      </c>
      <c r="J126" s="162" t="str">
        <f t="shared" si="45"/>
        <v>Flanged screen filter LDM FP110S Dn40</v>
      </c>
      <c r="K126" s="161">
        <f t="shared" si="28"/>
        <v>1</v>
      </c>
      <c r="L126" s="161" t="str">
        <f t="shared" si="29"/>
        <v>-</v>
      </c>
      <c r="M126" s="189">
        <f t="shared" si="34"/>
        <v>45.1</v>
      </c>
      <c r="N126" s="189">
        <f t="shared" si="35"/>
        <v>45.1</v>
      </c>
      <c r="Q126" s="307">
        <f t="shared" si="40"/>
        <v>1</v>
      </c>
      <c r="R126" s="296" t="s">
        <v>725</v>
      </c>
      <c r="S126" s="268" t="s">
        <v>14</v>
      </c>
      <c r="T126" s="1449" t="s">
        <v>718</v>
      </c>
      <c r="U126" s="1449"/>
      <c r="V126" s="242" t="s">
        <v>13</v>
      </c>
      <c r="W126" s="227">
        <v>40</v>
      </c>
      <c r="X126" s="281">
        <v>29.32</v>
      </c>
      <c r="Y126" s="232">
        <v>16</v>
      </c>
      <c r="Z126" s="218"/>
      <c r="AA126" s="262">
        <f t="shared" si="42"/>
        <v>29.32</v>
      </c>
      <c r="AB126" s="218">
        <v>1</v>
      </c>
      <c r="AC126" s="275">
        <v>45.1</v>
      </c>
      <c r="AF126">
        <v>2</v>
      </c>
    </row>
    <row r="127" spans="2:32" ht="15">
      <c r="B127" s="161">
        <f t="shared" si="31"/>
        <v>110</v>
      </c>
      <c r="C127" s="162" t="str">
        <f t="shared" si="44"/>
        <v>Фільтр фланцевий LDM FP110S Dn 50</v>
      </c>
      <c r="D127" s="161">
        <f t="shared" si="24"/>
        <v>5</v>
      </c>
      <c r="E127" s="51" t="s">
        <v>115</v>
      </c>
      <c r="F127" s="189">
        <f t="shared" si="25"/>
        <v>51.7</v>
      </c>
      <c r="G127" s="189">
        <f t="shared" si="26"/>
        <v>258.5</v>
      </c>
      <c r="I127" s="161">
        <f t="shared" si="27"/>
        <v>110</v>
      </c>
      <c r="J127" s="162" t="str">
        <f t="shared" si="45"/>
        <v>Flanged screen filter LDM FP110S Dn50</v>
      </c>
      <c r="K127" s="161">
        <f t="shared" si="28"/>
        <v>5</v>
      </c>
      <c r="L127" s="161" t="str">
        <f t="shared" si="29"/>
        <v>-</v>
      </c>
      <c r="M127" s="189">
        <f t="shared" si="34"/>
        <v>51.7</v>
      </c>
      <c r="N127" s="189">
        <f t="shared" si="35"/>
        <v>258.5</v>
      </c>
      <c r="Q127" s="307">
        <f t="shared" si="40"/>
        <v>5</v>
      </c>
      <c r="R127" s="296" t="s">
        <v>725</v>
      </c>
      <c r="S127" s="268" t="s">
        <v>14</v>
      </c>
      <c r="T127" s="1449" t="s">
        <v>718</v>
      </c>
      <c r="U127" s="1449"/>
      <c r="V127" s="242" t="s">
        <v>13</v>
      </c>
      <c r="W127" s="227">
        <v>50</v>
      </c>
      <c r="X127" s="281">
        <v>33.61</v>
      </c>
      <c r="Y127" s="232">
        <v>236</v>
      </c>
      <c r="Z127" s="218"/>
      <c r="AA127" s="262">
        <f t="shared" si="42"/>
        <v>33.61</v>
      </c>
      <c r="AB127" s="218">
        <v>1</v>
      </c>
      <c r="AC127" s="275">
        <v>51.7</v>
      </c>
      <c r="AF127">
        <v>22</v>
      </c>
    </row>
    <row r="128" spans="2:32" ht="15">
      <c r="B128" s="161">
        <f t="shared" si="31"/>
        <v>111</v>
      </c>
      <c r="C128" s="162" t="str">
        <f t="shared" si="44"/>
        <v>Фільтр фланцевий LDM FP110S Dn 65</v>
      </c>
      <c r="D128" s="161">
        <f t="shared" si="24"/>
        <v>6</v>
      </c>
      <c r="E128" s="51" t="s">
        <v>115</v>
      </c>
      <c r="F128" s="189">
        <f t="shared" si="25"/>
        <v>77</v>
      </c>
      <c r="G128" s="189">
        <f t="shared" si="26"/>
        <v>462</v>
      </c>
      <c r="I128" s="161">
        <f t="shared" si="27"/>
        <v>111</v>
      </c>
      <c r="J128" s="162" t="str">
        <f t="shared" si="45"/>
        <v>Flanged screen filter LDM FP110S Dn65</v>
      </c>
      <c r="K128" s="161">
        <f t="shared" si="28"/>
        <v>6</v>
      </c>
      <c r="L128" s="161" t="str">
        <f t="shared" si="29"/>
        <v>-</v>
      </c>
      <c r="M128" s="189">
        <f t="shared" si="34"/>
        <v>77</v>
      </c>
      <c r="N128" s="189">
        <f t="shared" si="35"/>
        <v>462</v>
      </c>
      <c r="Q128" s="307">
        <f t="shared" si="40"/>
        <v>6</v>
      </c>
      <c r="R128" s="296" t="s">
        <v>725</v>
      </c>
      <c r="S128" s="268" t="s">
        <v>14</v>
      </c>
      <c r="T128" s="1449" t="s">
        <v>718</v>
      </c>
      <c r="U128" s="1449"/>
      <c r="V128" s="242" t="s">
        <v>13</v>
      </c>
      <c r="W128" s="227">
        <v>65</v>
      </c>
      <c r="X128" s="281">
        <v>50.05</v>
      </c>
      <c r="Y128" s="232">
        <v>277</v>
      </c>
      <c r="Z128" s="218"/>
      <c r="AA128" s="262">
        <f t="shared" si="42"/>
        <v>50.05</v>
      </c>
      <c r="AB128" s="218">
        <v>1</v>
      </c>
      <c r="AC128" s="275">
        <v>77</v>
      </c>
      <c r="AF128">
        <v>15.9</v>
      </c>
    </row>
    <row r="129" spans="2:32" ht="15">
      <c r="B129" s="161">
        <f t="shared" si="31"/>
        <v>112</v>
      </c>
      <c r="C129" s="162" t="str">
        <f t="shared" si="44"/>
        <v>Фільтр фланцевий LDM FP110S Dn 80</v>
      </c>
      <c r="D129" s="161">
        <f t="shared" si="24"/>
        <v>4</v>
      </c>
      <c r="E129" s="51" t="s">
        <v>115</v>
      </c>
      <c r="F129" s="189">
        <f t="shared" si="25"/>
        <v>97.5</v>
      </c>
      <c r="G129" s="189">
        <f t="shared" si="26"/>
        <v>390</v>
      </c>
      <c r="I129" s="161">
        <f t="shared" si="27"/>
        <v>112</v>
      </c>
      <c r="J129" s="162" t="str">
        <f t="shared" si="45"/>
        <v>Flanged screen filter LDM FP110S Dn80</v>
      </c>
      <c r="K129" s="161">
        <f t="shared" si="28"/>
        <v>4</v>
      </c>
      <c r="L129" s="161" t="str">
        <f t="shared" si="29"/>
        <v>-</v>
      </c>
      <c r="M129" s="189">
        <f t="shared" si="34"/>
        <v>97.5</v>
      </c>
      <c r="N129" s="189">
        <f t="shared" si="35"/>
        <v>390</v>
      </c>
      <c r="Q129" s="307">
        <f t="shared" si="40"/>
        <v>4</v>
      </c>
      <c r="R129" s="296" t="s">
        <v>725</v>
      </c>
      <c r="S129" s="268" t="s">
        <v>14</v>
      </c>
      <c r="T129" s="1449" t="s">
        <v>718</v>
      </c>
      <c r="U129" s="1449"/>
      <c r="V129" s="242" t="s">
        <v>13</v>
      </c>
      <c r="W129" s="227">
        <v>80</v>
      </c>
      <c r="X129" s="281">
        <v>63.64</v>
      </c>
      <c r="Y129" s="232">
        <v>200</v>
      </c>
      <c r="Z129" s="218"/>
      <c r="AA129" s="262">
        <f t="shared" si="42"/>
        <v>63.64</v>
      </c>
      <c r="AB129" s="218">
        <v>1</v>
      </c>
      <c r="AC129" s="275">
        <v>97.5</v>
      </c>
      <c r="AF129">
        <v>10.5</v>
      </c>
    </row>
    <row r="130" spans="2:32" ht="15">
      <c r="B130" s="161">
        <f t="shared" si="31"/>
        <v>113</v>
      </c>
      <c r="C130" s="162" t="str">
        <f t="shared" si="44"/>
        <v>Фільтр фланцевий LDM FP110S Dn 100</v>
      </c>
      <c r="D130" s="161">
        <f t="shared" si="24"/>
        <v>2</v>
      </c>
      <c r="E130" s="51" t="s">
        <v>115</v>
      </c>
      <c r="F130" s="189">
        <f t="shared" si="25"/>
        <v>139</v>
      </c>
      <c r="G130" s="189">
        <f t="shared" si="26"/>
        <v>278</v>
      </c>
      <c r="I130" s="161">
        <f t="shared" si="27"/>
        <v>113</v>
      </c>
      <c r="J130" s="162" t="str">
        <f t="shared" si="45"/>
        <v>Flanged screen filter LDM FP110S Dn100</v>
      </c>
      <c r="K130" s="161">
        <f t="shared" si="28"/>
        <v>2</v>
      </c>
      <c r="L130" s="161" t="str">
        <f t="shared" si="29"/>
        <v>-</v>
      </c>
      <c r="M130" s="189">
        <f t="shared" si="34"/>
        <v>139</v>
      </c>
      <c r="N130" s="189">
        <f t="shared" si="35"/>
        <v>278</v>
      </c>
      <c r="Q130" s="307">
        <f t="shared" si="40"/>
        <v>2</v>
      </c>
      <c r="R130" s="296" t="s">
        <v>725</v>
      </c>
      <c r="S130" s="268" t="s">
        <v>14</v>
      </c>
      <c r="T130" s="1449" t="s">
        <v>718</v>
      </c>
      <c r="U130" s="1449"/>
      <c r="V130" s="242" t="s">
        <v>13</v>
      </c>
      <c r="W130" s="227">
        <v>100</v>
      </c>
      <c r="X130" s="281">
        <v>90.09</v>
      </c>
      <c r="Y130" s="232">
        <v>99</v>
      </c>
      <c r="Z130" s="218"/>
      <c r="AA130" s="262">
        <f t="shared" si="42"/>
        <v>90.09</v>
      </c>
      <c r="AB130" s="218">
        <v>1</v>
      </c>
      <c r="AC130" s="275">
        <v>139</v>
      </c>
      <c r="AF130">
        <v>5.0999999999999996</v>
      </c>
    </row>
    <row r="131" spans="2:32" ht="15">
      <c r="B131" s="161">
        <f t="shared" si="31"/>
        <v>114</v>
      </c>
      <c r="C131" s="162" t="str">
        <f t="shared" si="44"/>
        <v>Фільтр фланцевий LDM FP110S Dn 125</v>
      </c>
      <c r="D131" s="161">
        <f t="shared" si="24"/>
        <v>1</v>
      </c>
      <c r="E131" s="51" t="s">
        <v>115</v>
      </c>
      <c r="F131" s="189">
        <f t="shared" si="25"/>
        <v>208</v>
      </c>
      <c r="G131" s="189">
        <f t="shared" si="26"/>
        <v>208</v>
      </c>
      <c r="I131" s="161">
        <f t="shared" si="27"/>
        <v>114</v>
      </c>
      <c r="J131" s="162" t="str">
        <f t="shared" si="45"/>
        <v>Flanged screen filter LDM FP110S Dn125</v>
      </c>
      <c r="K131" s="161">
        <f t="shared" si="28"/>
        <v>1</v>
      </c>
      <c r="L131" s="161" t="str">
        <f t="shared" si="29"/>
        <v>-</v>
      </c>
      <c r="M131" s="189">
        <f t="shared" si="34"/>
        <v>208</v>
      </c>
      <c r="N131" s="189">
        <f t="shared" si="35"/>
        <v>208</v>
      </c>
      <c r="Q131" s="307">
        <f t="shared" si="40"/>
        <v>1</v>
      </c>
      <c r="R131" s="296" t="s">
        <v>725</v>
      </c>
      <c r="S131" s="268" t="s">
        <v>14</v>
      </c>
      <c r="T131" s="1449" t="s">
        <v>718</v>
      </c>
      <c r="U131" s="1449"/>
      <c r="V131" s="242" t="s">
        <v>13</v>
      </c>
      <c r="W131" s="227">
        <v>125</v>
      </c>
      <c r="X131" s="281">
        <v>135.13999999999999</v>
      </c>
      <c r="Y131" s="232">
        <v>15</v>
      </c>
      <c r="Z131" s="218"/>
      <c r="AA131" s="262">
        <f t="shared" si="42"/>
        <v>135.13999999999999</v>
      </c>
      <c r="AB131" s="218">
        <v>1</v>
      </c>
      <c r="AC131" s="275">
        <v>208</v>
      </c>
      <c r="AF131">
        <v>3</v>
      </c>
    </row>
    <row r="132" spans="2:32" ht="15">
      <c r="B132" s="161">
        <f t="shared" si="31"/>
        <v>115</v>
      </c>
      <c r="C132" s="162" t="str">
        <f t="shared" si="44"/>
        <v>Кран кульовий фланцевий BREEZE 11с38п Dn 20</v>
      </c>
      <c r="D132" s="161">
        <f t="shared" si="24"/>
        <v>1</v>
      </c>
      <c r="E132" s="51" t="s">
        <v>115</v>
      </c>
      <c r="F132" s="189" t="e">
        <f t="shared" si="25"/>
        <v>#REF!</v>
      </c>
      <c r="G132" s="189" t="e">
        <f t="shared" si="26"/>
        <v>#REF!</v>
      </c>
      <c r="I132" s="161">
        <f t="shared" si="27"/>
        <v>115</v>
      </c>
      <c r="J132" s="162" t="str">
        <f t="shared" si="45"/>
        <v>Flanged full bore ball valve BREEZE 11с38п Dn20</v>
      </c>
      <c r="K132" s="161">
        <f t="shared" si="28"/>
        <v>1</v>
      </c>
      <c r="L132" s="161" t="str">
        <f t="shared" si="29"/>
        <v>-</v>
      </c>
      <c r="M132" s="189" t="e">
        <f t="shared" si="34"/>
        <v>#REF!</v>
      </c>
      <c r="N132" s="189" t="e">
        <f t="shared" si="35"/>
        <v>#REF!</v>
      </c>
      <c r="Q132" s="307">
        <f t="shared" si="40"/>
        <v>1</v>
      </c>
      <c r="R132" s="296" t="s">
        <v>724</v>
      </c>
      <c r="S132" s="267" t="s">
        <v>27</v>
      </c>
      <c r="T132" s="1447" t="s">
        <v>648</v>
      </c>
      <c r="U132" s="1448"/>
      <c r="V132" s="241" t="s">
        <v>365</v>
      </c>
      <c r="W132" s="227">
        <v>20</v>
      </c>
      <c r="X132" s="281">
        <v>16.524752135579263</v>
      </c>
      <c r="Y132" s="232">
        <v>4</v>
      </c>
      <c r="Z132" s="218"/>
      <c r="AA132" s="262">
        <f t="shared" si="42"/>
        <v>16.524752135579263</v>
      </c>
      <c r="AB132" s="218">
        <v>1</v>
      </c>
      <c r="AC132" s="275" t="e">
        <f t="shared" ref="AC132:AC140" si="46">AD132/$AC$15</f>
        <v>#REF!</v>
      </c>
      <c r="AD132">
        <v>535.20000000000005</v>
      </c>
      <c r="AF132" s="201">
        <v>3</v>
      </c>
    </row>
    <row r="133" spans="2:32" ht="15">
      <c r="B133" s="161">
        <f t="shared" si="31"/>
        <v>116</v>
      </c>
      <c r="C133" s="162" t="str">
        <f t="shared" si="44"/>
        <v>Кран кульовий фланцевий BREEZE 11с38п Dn 25</v>
      </c>
      <c r="D133" s="161">
        <f t="shared" si="24"/>
        <v>1</v>
      </c>
      <c r="E133" s="51" t="s">
        <v>115</v>
      </c>
      <c r="F133" s="189" t="e">
        <f t="shared" si="25"/>
        <v>#REF!</v>
      </c>
      <c r="G133" s="189" t="e">
        <f t="shared" si="26"/>
        <v>#REF!</v>
      </c>
      <c r="I133" s="161">
        <f t="shared" si="27"/>
        <v>116</v>
      </c>
      <c r="J133" s="162" t="str">
        <f t="shared" si="45"/>
        <v>Flanged full bore ball valve BREEZE 11с38п Dn25</v>
      </c>
      <c r="K133" s="161">
        <f t="shared" si="28"/>
        <v>1</v>
      </c>
      <c r="L133" s="161" t="str">
        <f t="shared" si="29"/>
        <v>-</v>
      </c>
      <c r="M133" s="189" t="e">
        <f t="shared" si="34"/>
        <v>#REF!</v>
      </c>
      <c r="N133" s="189" t="e">
        <f t="shared" si="35"/>
        <v>#REF!</v>
      </c>
      <c r="Q133" s="307">
        <f t="shared" si="40"/>
        <v>1</v>
      </c>
      <c r="R133" s="296" t="s">
        <v>724</v>
      </c>
      <c r="S133" s="267" t="s">
        <v>27</v>
      </c>
      <c r="T133" s="1447" t="s">
        <v>648</v>
      </c>
      <c r="U133" s="1448"/>
      <c r="V133" s="241" t="s">
        <v>365</v>
      </c>
      <c r="W133" s="227">
        <v>25</v>
      </c>
      <c r="X133" s="281">
        <v>17.11756835568973</v>
      </c>
      <c r="Y133" s="232">
        <v>7</v>
      </c>
      <c r="Z133" s="218"/>
      <c r="AA133" s="262">
        <f t="shared" si="42"/>
        <v>17.11756835568973</v>
      </c>
      <c r="AB133" s="218">
        <v>1</v>
      </c>
      <c r="AC133" s="275" t="e">
        <f t="shared" si="46"/>
        <v>#REF!</v>
      </c>
      <c r="AD133">
        <v>554.20000000000005</v>
      </c>
      <c r="AF133" s="201">
        <v>3</v>
      </c>
    </row>
    <row r="134" spans="2:32" ht="15">
      <c r="B134" s="161">
        <f t="shared" si="31"/>
        <v>117</v>
      </c>
      <c r="C134" s="162" t="str">
        <f t="shared" si="44"/>
        <v>Кран кульовий фланцевий BREEZE 11с38п Dn 32</v>
      </c>
      <c r="D134" s="161">
        <f t="shared" si="24"/>
        <v>3</v>
      </c>
      <c r="E134" s="51" t="s">
        <v>115</v>
      </c>
      <c r="F134" s="189" t="e">
        <f t="shared" si="25"/>
        <v>#REF!</v>
      </c>
      <c r="G134" s="189" t="e">
        <f t="shared" si="26"/>
        <v>#REF!</v>
      </c>
      <c r="I134" s="161">
        <f t="shared" si="27"/>
        <v>117</v>
      </c>
      <c r="J134" s="162" t="str">
        <f t="shared" si="45"/>
        <v>Flanged full bore ball valve BREEZE 11с38п Dn32</v>
      </c>
      <c r="K134" s="161">
        <f t="shared" si="28"/>
        <v>3</v>
      </c>
      <c r="L134" s="161" t="str">
        <f t="shared" si="29"/>
        <v>-</v>
      </c>
      <c r="M134" s="189" t="e">
        <f t="shared" si="34"/>
        <v>#REF!</v>
      </c>
      <c r="N134" s="189" t="e">
        <f t="shared" si="35"/>
        <v>#REF!</v>
      </c>
      <c r="Q134" s="307">
        <f t="shared" si="40"/>
        <v>3</v>
      </c>
      <c r="R134" s="296" t="s">
        <v>724</v>
      </c>
      <c r="S134" s="267" t="s">
        <v>27</v>
      </c>
      <c r="T134" s="1447" t="s">
        <v>648</v>
      </c>
      <c r="U134" s="1448"/>
      <c r="V134" s="241" t="s">
        <v>365</v>
      </c>
      <c r="W134" s="227">
        <v>32</v>
      </c>
      <c r="X134" s="281">
        <v>18.192015841622073</v>
      </c>
      <c r="Y134" s="232">
        <v>137</v>
      </c>
      <c r="Z134" s="218"/>
      <c r="AA134" s="262">
        <f t="shared" si="42"/>
        <v>18.192015841622073</v>
      </c>
      <c r="AB134" s="218">
        <v>1</v>
      </c>
      <c r="AC134" s="275" t="e">
        <f t="shared" si="46"/>
        <v>#REF!</v>
      </c>
      <c r="AD134">
        <v>589.20000000000005</v>
      </c>
      <c r="AF134" s="201">
        <v>10.9</v>
      </c>
    </row>
    <row r="135" spans="2:32" ht="15">
      <c r="B135" s="161">
        <f t="shared" si="31"/>
        <v>118</v>
      </c>
      <c r="C135" s="162" t="str">
        <f t="shared" si="44"/>
        <v>Кран кульовий фланцевий BREEZE 11с38п Dn 40</v>
      </c>
      <c r="D135" s="161">
        <f t="shared" si="24"/>
        <v>5</v>
      </c>
      <c r="E135" s="51" t="s">
        <v>115</v>
      </c>
      <c r="F135" s="189" t="e">
        <f t="shared" si="25"/>
        <v>#REF!</v>
      </c>
      <c r="G135" s="189" t="e">
        <f t="shared" si="26"/>
        <v>#REF!</v>
      </c>
      <c r="I135" s="161">
        <f t="shared" si="27"/>
        <v>118</v>
      </c>
      <c r="J135" s="162" t="str">
        <f t="shared" si="45"/>
        <v>Flanged full bore ball valve BREEZE 11с38п Dn40</v>
      </c>
      <c r="K135" s="161">
        <f t="shared" si="28"/>
        <v>5</v>
      </c>
      <c r="L135" s="161" t="str">
        <f t="shared" si="29"/>
        <v>-</v>
      </c>
      <c r="M135" s="189" t="e">
        <f t="shared" si="34"/>
        <v>#REF!</v>
      </c>
      <c r="N135" s="189" t="e">
        <f t="shared" si="35"/>
        <v>#REF!</v>
      </c>
      <c r="Q135" s="307">
        <f t="shared" si="40"/>
        <v>5</v>
      </c>
      <c r="R135" s="296" t="s">
        <v>724</v>
      </c>
      <c r="S135" s="267" t="s">
        <v>27</v>
      </c>
      <c r="T135" s="1447" t="s">
        <v>648</v>
      </c>
      <c r="U135" s="1448"/>
      <c r="V135" s="241" t="s">
        <v>365</v>
      </c>
      <c r="W135" s="227">
        <v>40</v>
      </c>
      <c r="X135" s="281">
        <v>21.00792480016467</v>
      </c>
      <c r="Y135" s="232">
        <v>245</v>
      </c>
      <c r="Z135" s="218"/>
      <c r="AA135" s="262">
        <f t="shared" si="42"/>
        <v>21.00792480016467</v>
      </c>
      <c r="AB135" s="218">
        <v>1</v>
      </c>
      <c r="AC135" s="275" t="e">
        <f t="shared" si="46"/>
        <v>#REF!</v>
      </c>
      <c r="AD135">
        <v>680.4</v>
      </c>
      <c r="AF135" s="201">
        <v>17.899999999999999</v>
      </c>
    </row>
    <row r="136" spans="2:32" ht="15">
      <c r="B136" s="161">
        <f t="shared" si="31"/>
        <v>119</v>
      </c>
      <c r="C136" s="162" t="str">
        <f t="shared" si="44"/>
        <v>Кран кульовий фланцевий BREEZE 11с38п Dn 50</v>
      </c>
      <c r="D136" s="161">
        <f t="shared" si="24"/>
        <v>22</v>
      </c>
      <c r="E136" s="51" t="s">
        <v>115</v>
      </c>
      <c r="F136" s="189" t="e">
        <f t="shared" si="25"/>
        <v>#REF!</v>
      </c>
      <c r="G136" s="189" t="e">
        <f t="shared" si="26"/>
        <v>#REF!</v>
      </c>
      <c r="I136" s="161">
        <f t="shared" si="27"/>
        <v>119</v>
      </c>
      <c r="J136" s="162" t="str">
        <f t="shared" si="45"/>
        <v>Flanged full bore ball valve BREEZE 11с38п Dn50</v>
      </c>
      <c r="K136" s="161">
        <f t="shared" si="28"/>
        <v>22</v>
      </c>
      <c r="L136" s="161" t="str">
        <f t="shared" si="29"/>
        <v>-</v>
      </c>
      <c r="M136" s="189" t="e">
        <f t="shared" si="34"/>
        <v>#REF!</v>
      </c>
      <c r="N136" s="189" t="e">
        <f t="shared" si="35"/>
        <v>#REF!</v>
      </c>
      <c r="Q136" s="307">
        <f t="shared" si="40"/>
        <v>22</v>
      </c>
      <c r="R136" s="296" t="s">
        <v>724</v>
      </c>
      <c r="S136" s="267" t="s">
        <v>27</v>
      </c>
      <c r="T136" s="1447" t="s">
        <v>648</v>
      </c>
      <c r="U136" s="1448"/>
      <c r="V136" s="241" t="s">
        <v>365</v>
      </c>
      <c r="W136" s="227">
        <v>50</v>
      </c>
      <c r="X136" s="281">
        <v>26.908604947676924</v>
      </c>
      <c r="Y136" s="232">
        <v>1096</v>
      </c>
      <c r="Z136" s="218"/>
      <c r="AA136" s="262">
        <f t="shared" si="42"/>
        <v>26.908604947676924</v>
      </c>
      <c r="AB136" s="218">
        <v>1</v>
      </c>
      <c r="AC136" s="275" t="e">
        <f t="shared" si="46"/>
        <v>#REF!</v>
      </c>
      <c r="AD136">
        <v>855.6</v>
      </c>
      <c r="AF136" s="201">
        <v>91.8</v>
      </c>
    </row>
    <row r="137" spans="2:32" ht="15">
      <c r="B137" s="161">
        <f t="shared" si="31"/>
        <v>120</v>
      </c>
      <c r="C137" s="162" t="str">
        <f t="shared" si="44"/>
        <v>Кран кульовий фланцевий BREEZE 11с38п Dn 65</v>
      </c>
      <c r="D137" s="161">
        <f t="shared" si="24"/>
        <v>16</v>
      </c>
      <c r="E137" s="51" t="s">
        <v>115</v>
      </c>
      <c r="F137" s="189" t="e">
        <f t="shared" si="25"/>
        <v>#REF!</v>
      </c>
      <c r="G137" s="189" t="e">
        <f t="shared" si="26"/>
        <v>#REF!</v>
      </c>
      <c r="I137" s="161">
        <f t="shared" si="27"/>
        <v>120</v>
      </c>
      <c r="J137" s="162" t="str">
        <f t="shared" si="45"/>
        <v>Flanged full bore ball valve BREEZE 11с38п Dn65</v>
      </c>
      <c r="K137" s="161">
        <f t="shared" si="28"/>
        <v>16</v>
      </c>
      <c r="L137" s="161" t="str">
        <f t="shared" si="29"/>
        <v>-</v>
      </c>
      <c r="M137" s="189" t="e">
        <f t="shared" si="34"/>
        <v>#REF!</v>
      </c>
      <c r="N137" s="189" t="e">
        <f t="shared" si="35"/>
        <v>#REF!</v>
      </c>
      <c r="Q137" s="307">
        <f t="shared" si="40"/>
        <v>16</v>
      </c>
      <c r="R137" s="296" t="s">
        <v>724</v>
      </c>
      <c r="S137" s="267" t="s">
        <v>27</v>
      </c>
      <c r="T137" s="1447" t="s">
        <v>648</v>
      </c>
      <c r="U137" s="1448"/>
      <c r="V137" s="241" t="s">
        <v>365</v>
      </c>
      <c r="W137" s="227">
        <v>65</v>
      </c>
      <c r="X137" s="281">
        <v>35.309616110329685</v>
      </c>
      <c r="Y137" s="232">
        <v>756</v>
      </c>
      <c r="Z137" s="218"/>
      <c r="AA137" s="262">
        <f t="shared" si="42"/>
        <v>35.309616110329685</v>
      </c>
      <c r="AB137" s="218">
        <v>1</v>
      </c>
      <c r="AC137" s="275" t="e">
        <f t="shared" si="46"/>
        <v>#REF!</v>
      </c>
      <c r="AD137">
        <v>1143.5999999999999</v>
      </c>
      <c r="AF137" s="201">
        <v>60.8</v>
      </c>
    </row>
    <row r="138" spans="2:32" ht="15">
      <c r="B138" s="161">
        <f t="shared" si="31"/>
        <v>121</v>
      </c>
      <c r="C138" s="162" t="str">
        <f t="shared" si="44"/>
        <v>Кран кульовий фланцевий BREEZE 11с38п Dn 80</v>
      </c>
      <c r="D138" s="161">
        <f t="shared" si="24"/>
        <v>7</v>
      </c>
      <c r="E138" s="51" t="s">
        <v>115</v>
      </c>
      <c r="F138" s="189" t="e">
        <f t="shared" si="25"/>
        <v>#REF!</v>
      </c>
      <c r="G138" s="189" t="e">
        <f t="shared" si="26"/>
        <v>#REF!</v>
      </c>
      <c r="I138" s="161">
        <f t="shared" si="27"/>
        <v>121</v>
      </c>
      <c r="J138" s="162" t="str">
        <f t="shared" si="45"/>
        <v>Flanged full bore ball valve BREEZE 11с38п Dn80</v>
      </c>
      <c r="K138" s="161">
        <f t="shared" si="28"/>
        <v>7</v>
      </c>
      <c r="L138" s="161" t="str">
        <f t="shared" si="29"/>
        <v>-</v>
      </c>
      <c r="M138" s="189" t="e">
        <f t="shared" si="34"/>
        <v>#REF!</v>
      </c>
      <c r="N138" s="189" t="e">
        <f t="shared" si="35"/>
        <v>#REF!</v>
      </c>
      <c r="Q138" s="307">
        <f t="shared" si="40"/>
        <v>7</v>
      </c>
      <c r="R138" s="296" t="s">
        <v>724</v>
      </c>
      <c r="S138" s="267" t="s">
        <v>27</v>
      </c>
      <c r="T138" s="1447" t="s">
        <v>648</v>
      </c>
      <c r="U138" s="1448"/>
      <c r="V138" s="241" t="s">
        <v>365</v>
      </c>
      <c r="W138" s="227">
        <v>80</v>
      </c>
      <c r="X138" s="281">
        <v>42.645716834196712</v>
      </c>
      <c r="Y138" s="232">
        <v>315</v>
      </c>
      <c r="Z138" s="218"/>
      <c r="AA138" s="262">
        <f t="shared" si="42"/>
        <v>42.645716834196712</v>
      </c>
      <c r="AB138" s="218">
        <v>1</v>
      </c>
      <c r="AC138" s="275" t="e">
        <f t="shared" si="46"/>
        <v>#REF!</v>
      </c>
      <c r="AD138">
        <v>1381.2</v>
      </c>
      <c r="AF138" s="201">
        <v>29.1</v>
      </c>
    </row>
    <row r="139" spans="2:32" ht="15">
      <c r="B139" s="161">
        <f t="shared" si="31"/>
        <v>122</v>
      </c>
      <c r="C139" s="162" t="str">
        <f t="shared" si="44"/>
        <v>Кран кульовий фланцевий BREEZE 11с38п Dn 100</v>
      </c>
      <c r="D139" s="161">
        <f t="shared" si="24"/>
        <v>3</v>
      </c>
      <c r="E139" s="51" t="s">
        <v>115</v>
      </c>
      <c r="F139" s="189" t="e">
        <f t="shared" si="25"/>
        <v>#REF!</v>
      </c>
      <c r="G139" s="189" t="e">
        <f t="shared" si="26"/>
        <v>#REF!</v>
      </c>
      <c r="I139" s="161">
        <f t="shared" si="27"/>
        <v>122</v>
      </c>
      <c r="J139" s="162" t="str">
        <f t="shared" si="45"/>
        <v>Flanged full bore ball valve BREEZE 11с38п Dn100</v>
      </c>
      <c r="K139" s="161">
        <f t="shared" si="28"/>
        <v>3</v>
      </c>
      <c r="L139" s="161" t="str">
        <f t="shared" si="29"/>
        <v>-</v>
      </c>
      <c r="M139" s="189" t="e">
        <f t="shared" si="34"/>
        <v>#REF!</v>
      </c>
      <c r="N139" s="189" t="e">
        <f t="shared" si="35"/>
        <v>#REF!</v>
      </c>
      <c r="Q139" s="307">
        <f t="shared" si="40"/>
        <v>3</v>
      </c>
      <c r="R139" s="296" t="s">
        <v>724</v>
      </c>
      <c r="S139" s="267" t="s">
        <v>27</v>
      </c>
      <c r="T139" s="1447" t="s">
        <v>648</v>
      </c>
      <c r="U139" s="1448"/>
      <c r="V139" s="241" t="s">
        <v>365</v>
      </c>
      <c r="W139" s="227">
        <v>100</v>
      </c>
      <c r="X139" s="281">
        <v>73.249854197399557</v>
      </c>
      <c r="Y139" s="232">
        <v>108</v>
      </c>
      <c r="Z139" s="218"/>
      <c r="AA139" s="262">
        <f t="shared" si="42"/>
        <v>73.249854197399557</v>
      </c>
      <c r="AB139" s="218">
        <v>1</v>
      </c>
      <c r="AC139" s="275" t="e">
        <f t="shared" si="46"/>
        <v>#REF!</v>
      </c>
      <c r="AD139">
        <v>2372.4</v>
      </c>
      <c r="AF139" s="201">
        <v>10.8</v>
      </c>
    </row>
    <row r="140" spans="2:32" ht="15">
      <c r="B140" s="161">
        <f t="shared" si="31"/>
        <v>123</v>
      </c>
      <c r="C140" s="162" t="str">
        <f t="shared" si="44"/>
        <v>Кран кульовий фланцевий BREEZE 11с38п Dn 125</v>
      </c>
      <c r="D140" s="161">
        <f t="shared" si="24"/>
        <v>1</v>
      </c>
      <c r="E140" s="51" t="s">
        <v>115</v>
      </c>
      <c r="F140" s="189" t="e">
        <f t="shared" si="25"/>
        <v>#REF!</v>
      </c>
      <c r="G140" s="189" t="e">
        <f t="shared" si="26"/>
        <v>#REF!</v>
      </c>
      <c r="I140" s="161">
        <f t="shared" si="27"/>
        <v>123</v>
      </c>
      <c r="J140" s="162" t="str">
        <f t="shared" si="45"/>
        <v>Flanged full bore ball valve BREEZE 11с38п Dn125</v>
      </c>
      <c r="K140" s="161">
        <f t="shared" si="28"/>
        <v>1</v>
      </c>
      <c r="L140" s="161" t="str">
        <f t="shared" si="29"/>
        <v>-</v>
      </c>
      <c r="M140" s="189" t="e">
        <f t="shared" si="34"/>
        <v>#REF!</v>
      </c>
      <c r="N140" s="189" t="e">
        <f t="shared" si="35"/>
        <v>#REF!</v>
      </c>
      <c r="Q140" s="307">
        <f t="shared" si="40"/>
        <v>1</v>
      </c>
      <c r="R140" s="296" t="s">
        <v>724</v>
      </c>
      <c r="S140" s="267" t="s">
        <v>27</v>
      </c>
      <c r="T140" s="1447" t="s">
        <v>648</v>
      </c>
      <c r="U140" s="1448"/>
      <c r="V140" s="241" t="s">
        <v>365</v>
      </c>
      <c r="W140" s="227">
        <v>125</v>
      </c>
      <c r="X140" s="281">
        <v>107.26268482623759</v>
      </c>
      <c r="Y140" s="232">
        <v>14</v>
      </c>
      <c r="Z140" s="218"/>
      <c r="AA140" s="262">
        <f t="shared" si="42"/>
        <v>107.26268482623759</v>
      </c>
      <c r="AB140" s="218">
        <v>1</v>
      </c>
      <c r="AC140" s="275" t="e">
        <f t="shared" si="46"/>
        <v>#REF!</v>
      </c>
      <c r="AD140">
        <v>4798.8</v>
      </c>
      <c r="AF140" s="201">
        <v>3</v>
      </c>
    </row>
    <row r="141" spans="2:32" ht="15">
      <c r="B141" s="161"/>
      <c r="C141" s="162"/>
      <c r="D141" s="161"/>
      <c r="E141" s="161"/>
      <c r="F141" s="294" t="s">
        <v>760</v>
      </c>
      <c r="G141" s="295" t="e">
        <f>SUM(G18:G140)</f>
        <v>#REF!</v>
      </c>
      <c r="I141" s="161"/>
      <c r="J141" s="162"/>
      <c r="K141" s="161"/>
      <c r="L141" s="161"/>
      <c r="M141" s="294" t="s">
        <v>723</v>
      </c>
      <c r="N141" s="295" t="e">
        <f>SUM(N18:N140)</f>
        <v>#REF!</v>
      </c>
      <c r="R141" s="62"/>
      <c r="S141" s="219"/>
      <c r="T141" s="219"/>
      <c r="U141" s="219"/>
      <c r="V141" s="219"/>
      <c r="W141" s="219"/>
      <c r="X141" s="219"/>
      <c r="Y141" s="219">
        <v>2682</v>
      </c>
      <c r="Z141" s="218"/>
      <c r="AA141" s="218"/>
      <c r="AB141" s="218"/>
    </row>
    <row r="142" spans="2:32" ht="15">
      <c r="S142" s="218"/>
      <c r="T142" s="218"/>
      <c r="U142" s="218"/>
      <c r="V142" s="218"/>
      <c r="W142" s="218"/>
      <c r="X142" s="218"/>
      <c r="Y142" s="218"/>
      <c r="Z142" s="218"/>
      <c r="AA142" s="216">
        <f>SUM(AA18:AA140)</f>
        <v>69520.032679933181</v>
      </c>
      <c r="AB142" s="218"/>
    </row>
    <row r="144" spans="2:32" ht="15">
      <c r="AA144" s="216">
        <f>AA142/287</f>
        <v>242.23007902415742</v>
      </c>
    </row>
    <row r="146" spans="3:27" ht="15.75">
      <c r="C146" s="263" t="s">
        <v>763</v>
      </c>
      <c r="J146" s="263" t="s">
        <v>762</v>
      </c>
      <c r="AA146">
        <v>205.49385602764173</v>
      </c>
    </row>
    <row r="147" spans="3:27" ht="15.75">
      <c r="C147" s="263"/>
      <c r="J147" s="264"/>
    </row>
    <row r="148" spans="3:27" ht="15.75">
      <c r="C148" s="311" t="s">
        <v>764</v>
      </c>
      <c r="J148" s="310" t="s">
        <v>761</v>
      </c>
    </row>
    <row r="149" spans="3:27" ht="15.75">
      <c r="C149" s="312" t="s">
        <v>765</v>
      </c>
      <c r="J149" s="263" t="s">
        <v>766</v>
      </c>
    </row>
  </sheetData>
  <mergeCells count="134">
    <mergeCell ref="E15:F15"/>
    <mergeCell ref="B15:B16"/>
    <mergeCell ref="C15:C16"/>
    <mergeCell ref="D15:D16"/>
    <mergeCell ref="I15:I16"/>
    <mergeCell ref="J15:J16"/>
    <mergeCell ref="K15:K16"/>
    <mergeCell ref="L15:M15"/>
    <mergeCell ref="R16:R17"/>
    <mergeCell ref="T16:U17"/>
    <mergeCell ref="T20:U20"/>
    <mergeCell ref="T21:U21"/>
    <mergeCell ref="S16:S17"/>
    <mergeCell ref="T18:U18"/>
    <mergeCell ref="T19:U19"/>
    <mergeCell ref="T38:U38"/>
    <mergeCell ref="T39:U39"/>
    <mergeCell ref="T40:U40"/>
    <mergeCell ref="T22:U22"/>
    <mergeCell ref="T29:U29"/>
    <mergeCell ref="T26:U26"/>
    <mergeCell ref="T27:U27"/>
    <mergeCell ref="T28:U28"/>
    <mergeCell ref="T23:U23"/>
    <mergeCell ref="T24:U24"/>
    <mergeCell ref="T25:U25"/>
    <mergeCell ref="T35:U35"/>
    <mergeCell ref="T36:U36"/>
    <mergeCell ref="T37:U37"/>
    <mergeCell ref="T78:U78"/>
    <mergeCell ref="T46:U46"/>
    <mergeCell ref="T41:U41"/>
    <mergeCell ref="T42:U42"/>
    <mergeCell ref="T43:U43"/>
    <mergeCell ref="T97:U97"/>
    <mergeCell ref="T98:U98"/>
    <mergeCell ref="T99:U99"/>
    <mergeCell ref="T100:U100"/>
    <mergeCell ref="T84:U84"/>
    <mergeCell ref="T85:U85"/>
    <mergeCell ref="T94:U94"/>
    <mergeCell ref="T95:U95"/>
    <mergeCell ref="T96:U96"/>
    <mergeCell ref="T86:U86"/>
    <mergeCell ref="T87:U87"/>
    <mergeCell ref="T88:U88"/>
    <mergeCell ref="T93:U93"/>
    <mergeCell ref="T89:U89"/>
    <mergeCell ref="T90:U90"/>
    <mergeCell ref="T55:U55"/>
    <mergeCell ref="T56:U56"/>
    <mergeCell ref="T57:U57"/>
    <mergeCell ref="T58:U58"/>
    <mergeCell ref="T60:U60"/>
    <mergeCell ref="T61:U61"/>
    <mergeCell ref="T77:U77"/>
    <mergeCell ref="T73:U73"/>
    <mergeCell ref="T74:U74"/>
    <mergeCell ref="T62:U62"/>
    <mergeCell ref="T63:U63"/>
    <mergeCell ref="T64:U64"/>
    <mergeCell ref="T71:U71"/>
    <mergeCell ref="T72:U72"/>
    <mergeCell ref="T66:U66"/>
    <mergeCell ref="T67:U67"/>
    <mergeCell ref="T68:U68"/>
    <mergeCell ref="T69:U69"/>
    <mergeCell ref="T70:U70"/>
    <mergeCell ref="T65:U65"/>
    <mergeCell ref="T75:U75"/>
    <mergeCell ref="T76:U76"/>
    <mergeCell ref="T50:U50"/>
    <mergeCell ref="T51:U51"/>
    <mergeCell ref="T52:U52"/>
    <mergeCell ref="T53:U53"/>
    <mergeCell ref="T54:U54"/>
    <mergeCell ref="T33:U33"/>
    <mergeCell ref="T34:U34"/>
    <mergeCell ref="T30:U30"/>
    <mergeCell ref="T31:U31"/>
    <mergeCell ref="T32:U32"/>
    <mergeCell ref="T44:U44"/>
    <mergeCell ref="T45:U45"/>
    <mergeCell ref="T91:U91"/>
    <mergeCell ref="T92:U92"/>
    <mergeCell ref="T129:U129"/>
    <mergeCell ref="T130:U130"/>
    <mergeCell ref="T106:U106"/>
    <mergeCell ref="T107:U107"/>
    <mergeCell ref="T108:U108"/>
    <mergeCell ref="T109:U109"/>
    <mergeCell ref="T110:U110"/>
    <mergeCell ref="T111:U111"/>
    <mergeCell ref="T128:U128"/>
    <mergeCell ref="T123:U123"/>
    <mergeCell ref="T124:U124"/>
    <mergeCell ref="T125:U125"/>
    <mergeCell ref="T126:U126"/>
    <mergeCell ref="T127:U127"/>
    <mergeCell ref="T119:U119"/>
    <mergeCell ref="T104:U104"/>
    <mergeCell ref="T131:U131"/>
    <mergeCell ref="T47:U47"/>
    <mergeCell ref="T48:U48"/>
    <mergeCell ref="T49:U49"/>
    <mergeCell ref="T59:U59"/>
    <mergeCell ref="T101:U101"/>
    <mergeCell ref="T102:U102"/>
    <mergeCell ref="T103:U103"/>
    <mergeCell ref="T105:U105"/>
    <mergeCell ref="T112:U112"/>
    <mergeCell ref="T113:U113"/>
    <mergeCell ref="T114:U114"/>
    <mergeCell ref="T115:U115"/>
    <mergeCell ref="T116:U116"/>
    <mergeCell ref="T117:U117"/>
    <mergeCell ref="T118:U118"/>
    <mergeCell ref="T120:U120"/>
    <mergeCell ref="T121:U121"/>
    <mergeCell ref="T122:U122"/>
    <mergeCell ref="T79:U79"/>
    <mergeCell ref="T80:U80"/>
    <mergeCell ref="T81:U81"/>
    <mergeCell ref="T82:U82"/>
    <mergeCell ref="T83:U83"/>
    <mergeCell ref="T132:U132"/>
    <mergeCell ref="T133:U133"/>
    <mergeCell ref="T134:U134"/>
    <mergeCell ref="T140:U140"/>
    <mergeCell ref="T135:U135"/>
    <mergeCell ref="T136:U136"/>
    <mergeCell ref="T137:U137"/>
    <mergeCell ref="T138:U138"/>
    <mergeCell ref="T139:U13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I26"/>
  <sheetViews>
    <sheetView zoomScale="85" zoomScaleNormal="85" workbookViewId="0">
      <selection activeCell="I24" activeCellId="3" sqref="I2:I24 I2 I4 I24"/>
    </sheetView>
  </sheetViews>
  <sheetFormatPr defaultRowHeight="12.75"/>
  <cols>
    <col min="1" max="1" width="31.85546875" customWidth="1"/>
    <col min="2" max="2" width="25.85546875" hidden="1" customWidth="1"/>
    <col min="4" max="4" width="20.7109375" hidden="1" customWidth="1"/>
    <col min="6" max="6" width="12.85546875" style="158" customWidth="1"/>
    <col min="9" max="9" width="9.140625" style="184"/>
    <col min="13" max="13" width="29" customWidth="1"/>
    <col min="14" max="14" width="17" customWidth="1"/>
    <col min="15" max="15" width="4.42578125" customWidth="1"/>
    <col min="16" max="16" width="14.42578125" customWidth="1"/>
    <col min="17" max="17" width="4.7109375" customWidth="1"/>
  </cols>
  <sheetData>
    <row r="1" spans="1:9" ht="38.25">
      <c r="A1" s="160" t="s">
        <v>612</v>
      </c>
      <c r="B1" s="160"/>
      <c r="C1" s="160" t="s">
        <v>636</v>
      </c>
      <c r="D1" s="160"/>
      <c r="E1" s="160" t="s">
        <v>637</v>
      </c>
      <c r="F1" s="203" t="s">
        <v>656</v>
      </c>
    </row>
    <row r="2" spans="1:9" ht="15">
      <c r="A2" s="167" t="s">
        <v>333</v>
      </c>
      <c r="B2" s="162" t="str">
        <f>RIGHT(A2,LEN(A2)-6)</f>
        <v xml:space="preserve">26+093M55HS-602  </v>
      </c>
      <c r="C2" s="162" t="str">
        <f>LEFT(B2,2)</f>
        <v>26</v>
      </c>
      <c r="D2" s="162" t="str">
        <f>RIGHT(A2,LEN(A2)-9)</f>
        <v xml:space="preserve">093M55HS-602  </v>
      </c>
      <c r="E2" s="162" t="str">
        <f>LEFT(D2,3)</f>
        <v>093</v>
      </c>
      <c r="F2" s="166" t="e">
        <f>IF(C2='Ціни контур теплопостачання'!$B$123,E2*'Ціни контур теплопостачання'!$C$123*'Ціни контур теплопостачання'!$E$123*'Ціни контур теплопостачання'!$F$123+'Ціни контур теплопостачання'!$D$123,IF(C2='Ціни контур теплопостачання'!$B$124,E2*'Ціни контур теплопостачання'!$C$124*'Ціни контур теплопостачання'!$E$124*'Ціни контур теплопостачання'!$F$124+'Ціни контур теплопостачання'!$D$124,IF(C2='Ціни контур теплопостачання'!$B$125,E2*'Ціни контур теплопостачання'!$C$125*'Ціни контур теплопостачання'!$E$125*'Ціни контур теплопостачання'!$F$125+'Ціни контур теплопостачання'!$D$125,IF(C2='Ціни контур теплопостачання'!$B$126,E2*'Ціни контур теплопостачання'!$C$126*'Ціни контур теплопостачання'!$E$126*'Ціни контур теплопостачання'!$F$126+'Ціни контур теплопостачання'!$D$126,IF(C2='Ціни контур теплопостачання'!$B$127,E2*'Ціни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I2" s="184">
        <v>1</v>
      </c>
    </row>
    <row r="3" spans="1:9" ht="15">
      <c r="A3" s="167" t="s">
        <v>334</v>
      </c>
      <c r="B3" s="162" t="str">
        <f t="shared" ref="B3:B24" si="0">RIGHT(A3,LEN(A3)-6)</f>
        <v xml:space="preserve">16+065A00HS-265  </v>
      </c>
      <c r="C3" s="162" t="str">
        <f t="shared" ref="C3:C24" si="1">LEFT(B3,2)</f>
        <v>16</v>
      </c>
      <c r="D3" s="162" t="str">
        <f t="shared" ref="D3:D24" si="2">RIGHT(A3,LEN(A3)-9)</f>
        <v xml:space="preserve">065A00HS-265  </v>
      </c>
      <c r="E3" s="162" t="str">
        <f t="shared" ref="E3:E24" si="3">LEFT(D3,3)</f>
        <v>065</v>
      </c>
      <c r="F3" s="166" t="e">
        <f>IF(C3='Ціни контур теплопостачання'!$B$123,E3*'Ціни контур теплопостачання'!$C$123*'Ціни контур теплопостачання'!$E$123*'Ціни контур теплопостачання'!$F$123+'Ціни контур теплопостачання'!$D$123,IF(C3='Ціни контур теплопостачання'!$B$124,E3*'Ціни контур теплопостачання'!$C$124*'Ціни контур теплопостачання'!$E$124*'Ціни контур теплопостачання'!$F$124+'Ціни контур теплопостачання'!$D$124,IF(C3='Ціни контур теплопостачання'!$B$125,E3*'Ціни контур теплопостачання'!$C$125*'Ціни контур теплопостачання'!$E$125*'Ціни контур теплопостачання'!$F$125+'Ціни контур теплопостачання'!$D$125,IF(C3='Ціни контур теплопостачання'!$B$126,E3*'Ціни контур теплопостачання'!$C$126*'Ціни контур теплопостачання'!$E$126*'Ціни контур теплопостачання'!$F$126+'Ціни контур теплопостачання'!$D$126,IF(C3='Ціни контур теплопостачання'!$B$127,E3*'Ціни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" spans="1:9" ht="15">
      <c r="A4" s="167" t="s">
        <v>335</v>
      </c>
      <c r="B4" s="162" t="str">
        <f t="shared" si="0"/>
        <v xml:space="preserve">08+023A00HS-32  </v>
      </c>
      <c r="C4" s="162" t="str">
        <f t="shared" si="1"/>
        <v>08</v>
      </c>
      <c r="D4" s="162" t="str">
        <f t="shared" si="2"/>
        <v xml:space="preserve">023A00HS-32  </v>
      </c>
      <c r="E4" s="162" t="str">
        <f t="shared" si="3"/>
        <v>023</v>
      </c>
      <c r="F4" s="166" t="e">
        <f>IF(C4='Ціни контур теплопостачання'!$B$123,E4*'Ціни контур теплопостачання'!$C$123*'Ціни контур теплопостачання'!$E$123*'Ціни контур теплопостачання'!$F$123+'Ціни контур теплопостачання'!$D$123,IF(C4='Ціни контур теплопостачання'!$B$124,E4*'Ціни контур теплопостачання'!$C$124*'Ціни контур теплопостачання'!$E$124*'Ціни контур теплопостачання'!$F$124+'Ціни контур теплопостачання'!$D$124,IF(C4='Ціни контур теплопостачання'!$B$125,E4*'Ціни контур теплопостачання'!$C$125*'Ціни контур теплопостачання'!$E$125*'Ціни контур теплопостачання'!$F$125+'Ціни контур теплопостачання'!$D$125,IF(C4='Ціни контур теплопостачання'!$B$126,E4*'Ціни контур теплопостачання'!$C$126*'Ціни контур теплопостачання'!$E$126*'Ціни контур теплопостачання'!$F$126+'Ціни контур теплопостачання'!$D$126,IF(C4='Ціни контур теплопостачання'!$B$127,E4*'Ціни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I4" s="184">
        <v>1</v>
      </c>
    </row>
    <row r="5" spans="1:9" ht="15">
      <c r="A5" s="167" t="s">
        <v>336</v>
      </c>
      <c r="B5" s="162" t="str">
        <f t="shared" si="0"/>
        <v xml:space="preserve">16+061A00HS-248  </v>
      </c>
      <c r="C5" s="162" t="str">
        <f t="shared" si="1"/>
        <v>16</v>
      </c>
      <c r="D5" s="162" t="str">
        <f t="shared" si="2"/>
        <v xml:space="preserve">061A00HS-248  </v>
      </c>
      <c r="E5" s="162" t="str">
        <f t="shared" si="3"/>
        <v>061</v>
      </c>
      <c r="F5" s="166" t="e">
        <f>IF(C5='Ціни контур теплопостачання'!$B$123,E5*'Ціни контур теплопостачання'!$C$123*'Ціни контур теплопостачання'!$E$123*'Ціни контур теплопостачання'!$F$123+'Ціни контур теплопостачання'!$D$123,IF(C5='Ціни контур теплопостачання'!$B$124,E5*'Ціни контур теплопостачання'!$C$124*'Ціни контур теплопостачання'!$E$124*'Ціни контур теплопостачання'!$F$124+'Ціни контур теплопостачання'!$D$124,IF(C5='Ціни контур теплопостачання'!$B$125,E5*'Ціни контур теплопостачання'!$C$125*'Ціни контур теплопостачання'!$E$125*'Ціни контур теплопостачання'!$F$125+'Ціни контур теплопостачання'!$D$125,IF(C5='Ціни контур теплопостачання'!$B$126,E5*'Ціни контур теплопостачання'!$C$126*'Ціни контур теплопостачання'!$E$126*'Ціни контур теплопостачання'!$F$126+'Ціни контур теплопостачання'!$D$126,IF(C5='Ціни контур теплопостачання'!$B$127,E5*'Ціни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" spans="1:9" ht="15">
      <c r="A6" s="167" t="s">
        <v>337</v>
      </c>
      <c r="B6" s="162" t="str">
        <f t="shared" si="0"/>
        <v xml:space="preserve">16+061A00HS-244  </v>
      </c>
      <c r="C6" s="162" t="str">
        <f t="shared" si="1"/>
        <v>16</v>
      </c>
      <c r="D6" s="162" t="str">
        <f t="shared" si="2"/>
        <v xml:space="preserve">061A00HS-244  </v>
      </c>
      <c r="E6" s="162" t="str">
        <f t="shared" si="3"/>
        <v>061</v>
      </c>
      <c r="F6" s="166" t="e">
        <f>IF(C6='Ціни контур теплопостачання'!$B$123,E6*'Ціни контур теплопостачання'!$C$123*'Ціни контур теплопостачання'!$E$123*'Ціни контур теплопостачання'!$F$123+'Ціни контур теплопостачання'!$D$123,IF(C6='Ціни контур теплопостачання'!$B$124,E6*'Ціни контур теплопостачання'!$C$124*'Ціни контур теплопостачання'!$E$124*'Ціни контур теплопостачання'!$F$124+'Ціни контур теплопостачання'!$D$124,IF(C6='Ціни контур теплопостачання'!$B$125,E6*'Ціни контур теплопостачання'!$C$125*'Ціни контур теплопостачання'!$E$125*'Ціни контур теплопостачання'!$F$125+'Ціни контур теплопостачання'!$D$125,IF(C6='Ціни контур теплопостачання'!$B$126,E6*'Ціни контур теплопостачання'!$C$126*'Ціни контур теплопостачання'!$E$126*'Ціни контур теплопостачання'!$F$126+'Ціни контур теплопостачання'!$D$126,IF(C6='Ціни контур теплопостачання'!$B$127,E6*'Ціни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" spans="1:9" ht="15">
      <c r="A7" s="167" t="s">
        <v>338</v>
      </c>
      <c r="B7" s="162" t="str">
        <f t="shared" si="0"/>
        <v xml:space="preserve">16+065A00HS-242  </v>
      </c>
      <c r="C7" s="162" t="str">
        <f t="shared" si="1"/>
        <v>16</v>
      </c>
      <c r="D7" s="162" t="str">
        <f t="shared" si="2"/>
        <v xml:space="preserve">065A00HS-242  </v>
      </c>
      <c r="E7" s="162" t="str">
        <f t="shared" si="3"/>
        <v>065</v>
      </c>
      <c r="F7" s="166" t="e">
        <f>IF(C7='Ціни контур теплопостачання'!$B$123,E7*'Ціни контур теплопостачання'!$C$123*'Ціни контур теплопостачання'!$E$123*'Ціни контур теплопостачання'!$F$123+'Ціни контур теплопостачання'!$D$123,IF(C7='Ціни контур теплопостачання'!$B$124,E7*'Ціни контур теплопостачання'!$C$124*'Ціни контур теплопостачання'!$E$124*'Ціни контур теплопостачання'!$F$124+'Ціни контур теплопостачання'!$D$124,IF(C7='Ціни контур теплопостачання'!$B$125,E7*'Ціни контур теплопостачання'!$C$125*'Ціни контур теплопостачання'!$E$125*'Ціни контур теплопостачання'!$F$125+'Ціни контур теплопостачання'!$D$125,IF(C7='Ціни контур теплопостачання'!$B$126,E7*'Ціни контур теплопостачання'!$C$126*'Ціни контур теплопостачання'!$E$126*'Ціни контур теплопостачання'!$F$126+'Ціни контур теплопостачання'!$D$126,IF(C7='Ціни контур теплопостачання'!$B$127,E7*'Ціни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" spans="1:9" ht="15">
      <c r="A8" s="167" t="s">
        <v>339</v>
      </c>
      <c r="B8" s="162" t="str">
        <f t="shared" si="0"/>
        <v xml:space="preserve">16+063A00HS-258  </v>
      </c>
      <c r="C8" s="162" t="str">
        <f t="shared" si="1"/>
        <v>16</v>
      </c>
      <c r="D8" s="162" t="str">
        <f t="shared" si="2"/>
        <v xml:space="preserve">063A00HS-258  </v>
      </c>
      <c r="E8" s="162" t="str">
        <f t="shared" si="3"/>
        <v>063</v>
      </c>
      <c r="F8" s="166" t="e">
        <f>IF(C8='Ціни контур теплопостачання'!$B$123,E8*'Ціни контур теплопостачання'!$C$123*'Ціни контур теплопостачання'!$E$123*'Ціни контур теплопостачання'!$F$123+'Ціни контур теплопостачання'!$D$123,IF(C8='Ціни контур теплопостачання'!$B$124,E8*'Ціни контур теплопостачання'!$C$124*'Ціни контур теплопостачання'!$E$124*'Ціни контур теплопостачання'!$F$124+'Ціни контур теплопостачання'!$D$124,IF(C8='Ціни контур теплопостачання'!$B$125,E8*'Ціни контур теплопостачання'!$C$125*'Ціни контур теплопостачання'!$E$125*'Ціни контур теплопостачання'!$F$125+'Ціни контур теплопостачання'!$D$125,IF(C8='Ціни контур теплопостачання'!$B$126,E8*'Ціни контур теплопостачання'!$C$126*'Ціни контур теплопостачання'!$E$126*'Ціни контур теплопостачання'!$F$126+'Ціни контур теплопостачання'!$D$126,IF(C8='Ціни контур теплопостачання'!$B$127,E8*'Ціни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" spans="1:9" ht="15">
      <c r="A9" s="167" t="s">
        <v>340</v>
      </c>
      <c r="B9" s="162" t="str">
        <f t="shared" si="0"/>
        <v xml:space="preserve">16+047A00HS-191  </v>
      </c>
      <c r="C9" s="162" t="str">
        <f t="shared" si="1"/>
        <v>16</v>
      </c>
      <c r="D9" s="162" t="str">
        <f t="shared" si="2"/>
        <v xml:space="preserve">047A00HS-191  </v>
      </c>
      <c r="E9" s="162" t="str">
        <f t="shared" si="3"/>
        <v>047</v>
      </c>
      <c r="F9" s="166" t="e">
        <f>IF(C9='Ціни контур теплопостачання'!$B$123,E9*'Ціни контур теплопостачання'!$C$123*'Ціни контур теплопостачання'!$E$123*'Ціни контур теплопостачання'!$F$123+'Ціни контур теплопостачання'!$D$123,IF(C9='Ціни контур теплопостачання'!$B$124,E9*'Ціни контур теплопостачання'!$C$124*'Ціни контур теплопостачання'!$E$124*'Ціни контур теплопостачання'!$F$124+'Ціни контур теплопостачання'!$D$124,IF(C9='Ціни контур теплопостачання'!$B$125,E9*'Ціни контур теплопостачання'!$C$125*'Ціни контур теплопостачання'!$E$125*'Ціни контур теплопостачання'!$F$125+'Ціни контур теплопостачання'!$D$125,IF(C9='Ціни контур теплопостачання'!$B$126,E9*'Ціни контур теплопостачання'!$C$126*'Ціни контур теплопостачання'!$E$126*'Ціни контур теплопостачання'!$F$126+'Ціни контур теплопостачання'!$D$126,IF(C9='Ціни контур теплопостачання'!$B$127,E9*'Ціни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" spans="1:9" ht="15">
      <c r="A10" s="167" t="s">
        <v>341</v>
      </c>
      <c r="B10" s="162" t="str">
        <f t="shared" si="0"/>
        <v xml:space="preserve">16+043A00HS-173  </v>
      </c>
      <c r="C10" s="162" t="str">
        <f t="shared" si="1"/>
        <v>16</v>
      </c>
      <c r="D10" s="162" t="str">
        <f t="shared" si="2"/>
        <v xml:space="preserve">043A00HS-173  </v>
      </c>
      <c r="E10" s="162" t="str">
        <f t="shared" si="3"/>
        <v>043</v>
      </c>
      <c r="F10" s="166" t="e">
        <f>IF(C10='Ціни контур теплопостачання'!$B$123,E10*'Ціни контур теплопостачання'!$C$123*'Ціни контур теплопостачання'!$E$123*'Ціни контур теплопостачання'!$F$123+'Ціни контур теплопостачання'!$D$123,IF(C10='Ціни контур теплопостачання'!$B$124,E10*'Ціни контур теплопостачання'!$C$124*'Ціни контур теплопостачання'!$E$124*'Ціни контур теплопостачання'!$F$124+'Ціни контур теплопостачання'!$D$124,IF(C10='Ціни контур теплопостачання'!$B$125,E10*'Ціни контур теплопостачання'!$C$125*'Ціни контур теплопостачання'!$E$125*'Ціни контур теплопостачання'!$F$125+'Ціни контур теплопостачання'!$D$125,IF(C10='Ціни контур теплопостачання'!$B$126,E10*'Ціни контур теплопостачання'!$C$126*'Ціни контур теплопостачання'!$E$126*'Ціни контур теплопостачання'!$F$126+'Ціни контур теплопостачання'!$D$126,IF(C10='Ціни контур теплопостачання'!$B$127,E10*'Ціни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" spans="1:9" ht="15">
      <c r="A11" s="167" t="s">
        <v>342</v>
      </c>
      <c r="B11" s="162" t="str">
        <f t="shared" si="0"/>
        <v xml:space="preserve">16+071A00HS-296  </v>
      </c>
      <c r="C11" s="162" t="str">
        <f t="shared" si="1"/>
        <v>16</v>
      </c>
      <c r="D11" s="162" t="str">
        <f t="shared" si="2"/>
        <v xml:space="preserve">071A00HS-296  </v>
      </c>
      <c r="E11" s="162" t="str">
        <f t="shared" si="3"/>
        <v>071</v>
      </c>
      <c r="F11" s="166" t="e">
        <f>IF(C11='Ціни контур теплопостачання'!$B$123,E11*'Ціни контур теплопостачання'!$C$123*'Ціни контур теплопостачання'!$E$123*'Ціни контур теплопостачання'!$F$123+'Ціни контур теплопостачання'!$D$123,IF(C11='Ціни контур теплопостачання'!$B$124,E11*'Ціни контур теплопостачання'!$C$124*'Ціни контур теплопостачання'!$E$124*'Ціни контур теплопостачання'!$F$124+'Ціни контур теплопостачання'!$D$124,IF(C11='Ціни контур теплопостачання'!$B$125,E11*'Ціни контур теплопостачання'!$C$125*'Ціни контур теплопостачання'!$E$125*'Ціни контур теплопостачання'!$F$125+'Ціни контур теплопостачання'!$D$125,IF(C11='Ціни контур теплопостачання'!$B$126,E11*'Ціни контур теплопостачання'!$C$126*'Ціни контур теплопостачання'!$E$126*'Ціни контур теплопостачання'!$F$126+'Ціни контур теплопостачання'!$D$126,IF(C11='Ціни контур теплопостачання'!$B$127,E11*'Ціни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" spans="1:9" ht="15">
      <c r="A12" s="167" t="s">
        <v>343</v>
      </c>
      <c r="B12" s="162" t="str">
        <f t="shared" si="0"/>
        <v xml:space="preserve">16+057A00HS-231  </v>
      </c>
      <c r="C12" s="162" t="str">
        <f t="shared" si="1"/>
        <v>16</v>
      </c>
      <c r="D12" s="162" t="str">
        <f t="shared" si="2"/>
        <v xml:space="preserve">057A00HS-231  </v>
      </c>
      <c r="E12" s="162" t="str">
        <f t="shared" si="3"/>
        <v>057</v>
      </c>
      <c r="F12" s="166" t="e">
        <f>IF(C12='Ціни контур теплопостачання'!$B$123,E12*'Ціни контур теплопостачання'!$C$123*'Ціни контур теплопостачання'!$E$123*'Ціни контур теплопостачання'!$F$123+'Ціни контур теплопостачання'!$D$123,IF(C12='Ціни контур теплопостачання'!$B$124,E12*'Ціни контур теплопостачання'!$C$124*'Ціни контур теплопостачання'!$E$124*'Ціни контур теплопостачання'!$F$124+'Ціни контур теплопостачання'!$D$124,IF(C12='Ціни контур теплопостачання'!$B$125,E12*'Ціни контур теплопостачання'!$C$125*'Ціни контур теплопостачання'!$E$125*'Ціни контур теплопостачання'!$F$125+'Ціни контур теплопостачання'!$D$125,IF(C12='Ціни контур теплопостачання'!$B$126,E12*'Ціни контур теплопостачання'!$C$126*'Ціни контур теплопостачання'!$E$126*'Ціни контур теплопостачання'!$F$126+'Ціни контур теплопостачання'!$D$126,IF(C12='Ціни контур теплопостачання'!$B$127,E12*'Ціни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" spans="1:9" ht="15">
      <c r="A13" s="167" t="s">
        <v>344</v>
      </c>
      <c r="B13" s="162" t="str">
        <f t="shared" si="0"/>
        <v xml:space="preserve">16+059A00HS-227  </v>
      </c>
      <c r="C13" s="162" t="str">
        <f t="shared" si="1"/>
        <v>16</v>
      </c>
      <c r="D13" s="162" t="str">
        <f t="shared" si="2"/>
        <v xml:space="preserve">059A00HS-227  </v>
      </c>
      <c r="E13" s="162" t="str">
        <f t="shared" si="3"/>
        <v>059</v>
      </c>
      <c r="F13" s="166" t="e">
        <f>IF(C13='Ціни контур теплопостачання'!$B$123,E13*'Ціни контур теплопостачання'!$C$123*'Ціни контур теплопостачання'!$E$123*'Ціни контур теплопостачання'!$F$123+'Ціни контур теплопостачання'!$D$123,IF(C13='Ціни контур теплопостачання'!$B$124,E13*'Ціни контур теплопостачання'!$C$124*'Ціни контур теплопостачання'!$E$124*'Ціни контур теплопостачання'!$F$124+'Ціни контур теплопостачання'!$D$124,IF(C13='Ціни контур теплопостачання'!$B$125,E13*'Ціни контур теплопостачання'!$C$125*'Ціни контур теплопостачання'!$E$125*'Ціни контур теплопостачання'!$F$125+'Ціни контур теплопостачання'!$D$125,IF(C13='Ціни контур теплопостачання'!$B$126,E13*'Ціни контур теплопостачання'!$C$126*'Ціни контур теплопостачання'!$E$126*'Ціни контур теплопостачання'!$F$126+'Ціни контур теплопостачання'!$D$126,IF(C13='Ціни контур теплопостачання'!$B$127,E13*'Ціни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" spans="1:9" ht="15">
      <c r="A14" s="167" t="s">
        <v>345</v>
      </c>
      <c r="B14" s="162" t="str">
        <f t="shared" si="0"/>
        <v xml:space="preserve">16+071A00HS-304  </v>
      </c>
      <c r="C14" s="162" t="str">
        <f t="shared" si="1"/>
        <v>16</v>
      </c>
      <c r="D14" s="162" t="str">
        <f t="shared" si="2"/>
        <v xml:space="preserve">071A00HS-304  </v>
      </c>
      <c r="E14" s="162" t="str">
        <f t="shared" si="3"/>
        <v>071</v>
      </c>
      <c r="F14" s="166" t="e">
        <f>IF(C14='Ціни контур теплопостачання'!$B$123,E14*'Ціни контур теплопостачання'!$C$123*'Ціни контур теплопостачання'!$E$123*'Ціни контур теплопостачання'!$F$123+'Ціни контур теплопостачання'!$D$123,IF(C14='Ціни контур теплопостачання'!$B$124,E14*'Ціни контур теплопостачання'!$C$124*'Ціни контур теплопостачання'!$E$124*'Ціни контур теплопостачання'!$F$124+'Ціни контур теплопостачання'!$D$124,IF(C14='Ціни контур теплопостачання'!$B$125,E14*'Ціни контур теплопостачання'!$C$125*'Ціни контур теплопостачання'!$E$125*'Ціни контур теплопостачання'!$F$125+'Ціни контур теплопостачання'!$D$125,IF(C14='Ціни контур теплопостачання'!$B$126,E14*'Ціни контур теплопостачання'!$C$126*'Ціни контур теплопостачання'!$E$126*'Ціни контур теплопостачання'!$F$126+'Ціни контур теплопостачання'!$D$126,IF(C14='Ціни контур теплопостачання'!$B$127,E14*'Ціни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" spans="1:9" ht="15">
      <c r="A15" s="167" t="s">
        <v>346</v>
      </c>
      <c r="B15" s="162" t="str">
        <f t="shared" si="0"/>
        <v xml:space="preserve">16+043A00HS-171  </v>
      </c>
      <c r="C15" s="162" t="str">
        <f t="shared" si="1"/>
        <v>16</v>
      </c>
      <c r="D15" s="162" t="str">
        <f t="shared" si="2"/>
        <v xml:space="preserve">043A00HS-171  </v>
      </c>
      <c r="E15" s="162" t="str">
        <f t="shared" si="3"/>
        <v>043</v>
      </c>
      <c r="F15" s="166" t="e">
        <f>IF(C15='Ціни контур теплопостачання'!$B$123,E15*'Ціни контур теплопостачання'!$C$123*'Ціни контур теплопостачання'!$E$123*'Ціни контур теплопостачання'!$F$123+'Ціни контур теплопостачання'!$D$123,IF(C15='Ціни контур теплопостачання'!$B$124,E15*'Ціни контур теплопостачання'!$C$124*'Ціни контур теплопостачання'!$E$124*'Ціни контур теплопостачання'!$F$124+'Ціни контур теплопостачання'!$D$124,IF(C15='Ціни контур теплопостачання'!$B$125,E15*'Ціни контур теплопостачання'!$C$125*'Ціни контур теплопостачання'!$E$125*'Ціни контур теплопостачання'!$F$125+'Ціни контур теплопостачання'!$D$125,IF(C15='Ціни контур теплопостачання'!$B$126,E15*'Ціни контур теплопостачання'!$C$126*'Ціни контур теплопостачання'!$E$126*'Ціни контур теплопостачання'!$F$126+'Ціни контур теплопостачання'!$D$126,IF(C15='Ціни контур теплопостачання'!$B$127,E15*'Ціни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" spans="1:9" ht="15">
      <c r="A16" s="167" t="s">
        <v>347</v>
      </c>
      <c r="B16" s="162" t="str">
        <f t="shared" si="0"/>
        <v xml:space="preserve">16+053A00HS-212  </v>
      </c>
      <c r="C16" s="162" t="str">
        <f t="shared" si="1"/>
        <v>16</v>
      </c>
      <c r="D16" s="162" t="str">
        <f t="shared" si="2"/>
        <v xml:space="preserve">053A00HS-212  </v>
      </c>
      <c r="E16" s="162" t="str">
        <f t="shared" si="3"/>
        <v>053</v>
      </c>
      <c r="F16" s="166" t="e">
        <f>IF(C16='Ціни контур теплопостачання'!$B$123,E16*'Ціни контур теплопостачання'!$C$123*'Ціни контур теплопостачання'!$E$123*'Ціни контур теплопостачання'!$F$123+'Ціни контур теплопостачання'!$D$123,IF(C16='Ціни контур теплопостачання'!$B$124,E16*'Ціни контур теплопостачання'!$C$124*'Ціни контур теплопостачання'!$E$124*'Ціни контур теплопостачання'!$F$124+'Ціни контур теплопостачання'!$D$124,IF(C16='Ціни контур теплопостачання'!$B$125,E16*'Ціни контур теплопостачання'!$C$125*'Ціни контур теплопостачання'!$E$125*'Ціни контур теплопостачання'!$F$125+'Ціни контур теплопостачання'!$D$125,IF(C16='Ціни контур теплопостачання'!$B$126,E16*'Ціни контур теплопостачання'!$C$126*'Ціни контур теплопостачання'!$E$126*'Ціни контур теплопостачання'!$F$126+'Ціни контур теплопостачання'!$D$126,IF(C16='Ціни контур теплопостачання'!$B$127,E16*'Ціни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" spans="1:9" ht="15">
      <c r="A17" s="167" t="s">
        <v>619</v>
      </c>
      <c r="B17" s="162" t="str">
        <f t="shared" si="0"/>
        <v xml:space="preserve">16+047A00HS-187 </v>
      </c>
      <c r="C17" s="162" t="str">
        <f t="shared" si="1"/>
        <v>16</v>
      </c>
      <c r="D17" s="162" t="str">
        <f t="shared" si="2"/>
        <v xml:space="preserve">047A00HS-187 </v>
      </c>
      <c r="E17" s="162" t="str">
        <f t="shared" si="3"/>
        <v>047</v>
      </c>
      <c r="F17" s="166" t="e">
        <f>IF(C17='Ціни контур теплопостачання'!$B$123,E17*'Ціни контур теплопостачання'!$C$123*'Ціни контур теплопостачання'!$E$123*'Ціни контур теплопостачання'!$F$123+'Ціни контур теплопостачання'!$D$123,IF(C17='Ціни контур теплопостачання'!$B$124,E17*'Ціни контур теплопостачання'!$C$124*'Ціни контур теплопостачання'!$E$124*'Ціни контур теплопостачання'!$F$124+'Ціни контур теплопостачання'!$D$124,IF(C17='Ціни контур теплопостачання'!$B$125,E17*'Ціни контур теплопостачання'!$C$125*'Ціни контур теплопостачання'!$E$125*'Ціни контур теплопостачання'!$F$125+'Ціни контур теплопостачання'!$D$125,IF(C17='Ціни контур теплопостачання'!$B$126,E17*'Ціни контур теплопостачання'!$C$126*'Ціни контур теплопостачання'!$E$126*'Ціни контур теплопостачання'!$F$126+'Ціни контур теплопостачання'!$D$126,IF(C17='Ціни контур теплопостачання'!$B$127,E17*'Ціни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" spans="1:9" ht="15">
      <c r="A18" s="167" t="s">
        <v>348</v>
      </c>
      <c r="B18" s="162" t="str">
        <f t="shared" si="0"/>
        <v xml:space="preserve">16+069A00HS-286  </v>
      </c>
      <c r="C18" s="162" t="str">
        <f t="shared" si="1"/>
        <v>16</v>
      </c>
      <c r="D18" s="162" t="str">
        <f t="shared" si="2"/>
        <v xml:space="preserve">069A00HS-286  </v>
      </c>
      <c r="E18" s="162" t="str">
        <f t="shared" si="3"/>
        <v>069</v>
      </c>
      <c r="F18" s="166" t="e">
        <f>IF(C18='Ціни контур теплопостачання'!$B$123,E18*'Ціни контур теплопостачання'!$C$123*'Ціни контур теплопостачання'!$E$123*'Ціни контур теплопостачання'!$F$123+'Ціни контур теплопостачання'!$D$123,IF(C18='Ціни контур теплопостачання'!$B$124,E18*'Ціни контур теплопостачання'!$C$124*'Ціни контур теплопостачання'!$E$124*'Ціни контур теплопостачання'!$F$124+'Ціни контур теплопостачання'!$D$124,IF(C18='Ціни контур теплопостачання'!$B$125,E18*'Ціни контур теплопостачання'!$C$125*'Ціни контур теплопостачання'!$E$125*'Ціни контур теплопостачання'!$F$125+'Ціни контур теплопостачання'!$D$125,IF(C18='Ціни контур теплопостачання'!$B$126,E18*'Ціни контур теплопостачання'!$C$126*'Ціни контур теплопостачання'!$E$126*'Ціни контур теплопостачання'!$F$126+'Ціни контур теплопостачання'!$D$126,IF(C18='Ціни контур теплопостачання'!$B$127,E18*'Ціни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" spans="1:9" ht="15">
      <c r="A19" s="167" t="s">
        <v>349</v>
      </c>
      <c r="B19" s="162" t="str">
        <f t="shared" si="0"/>
        <v xml:space="preserve">16+035A00HS-130  </v>
      </c>
      <c r="C19" s="162" t="str">
        <f t="shared" si="1"/>
        <v>16</v>
      </c>
      <c r="D19" s="162" t="str">
        <f t="shared" si="2"/>
        <v xml:space="preserve">035A00HS-130  </v>
      </c>
      <c r="E19" s="162" t="str">
        <f t="shared" si="3"/>
        <v>035</v>
      </c>
      <c r="F19" s="166" t="e">
        <f>IF(C19='Ціни контур теплопостачання'!$B$123,E19*'Ціни контур теплопостачання'!$C$123*'Ціни контур теплопостачання'!$E$123*'Ціни контур теплопостачання'!$F$123+'Ціни контур теплопостачання'!$D$123,IF(C19='Ціни контур теплопостачання'!$B$124,E19*'Ціни контур теплопостачання'!$C$124*'Ціни контур теплопостачання'!$E$124*'Ціни контур теплопостачання'!$F$124+'Ціни контур теплопостачання'!$D$124,IF(C19='Ціни контур теплопостачання'!$B$125,E19*'Ціни контур теплопостачання'!$C$125*'Ціни контур теплопостачання'!$E$125*'Ціни контур теплопостачання'!$F$125+'Ціни контур теплопостачання'!$D$125,IF(C19='Ціни контур теплопостачання'!$B$126,E19*'Ціни контур теплопостачання'!$C$126*'Ціни контур теплопостачання'!$E$126*'Ціни контур теплопостачання'!$F$126+'Ціни контур теплопостачання'!$D$126,IF(C19='Ціни контур теплопостачання'!$B$127,E19*'Ціни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" spans="1:9" ht="15">
      <c r="A20" s="167" t="s">
        <v>349</v>
      </c>
      <c r="B20" s="162" t="str">
        <f t="shared" si="0"/>
        <v xml:space="preserve">16+035A00HS-130  </v>
      </c>
      <c r="C20" s="162" t="str">
        <f t="shared" si="1"/>
        <v>16</v>
      </c>
      <c r="D20" s="162" t="str">
        <f t="shared" si="2"/>
        <v xml:space="preserve">035A00HS-130  </v>
      </c>
      <c r="E20" s="162" t="str">
        <f t="shared" si="3"/>
        <v>035</v>
      </c>
      <c r="F20" s="166" t="e">
        <f>IF(C20='Ціни контур теплопостачання'!$B$123,E20*'Ціни контур теплопостачання'!$C$123*'Ціни контур теплопостачання'!$E$123*'Ціни контур теплопостачання'!$F$123+'Ціни контур теплопостачання'!$D$123,IF(C20='Ціни контур теплопостачання'!$B$124,E20*'Ціни контур теплопостачання'!$C$124*'Ціни контур теплопостачання'!$E$124*'Ціни контур теплопостачання'!$F$124+'Ціни контур теплопостачання'!$D$124,IF(C20='Ціни контур теплопостачання'!$B$125,E20*'Ціни контур теплопостачання'!$C$125*'Ціни контур теплопостачання'!$E$125*'Ціни контур теплопостачання'!$F$125+'Ціни контур теплопостачання'!$D$125,IF(C20='Ціни контур теплопостачання'!$B$126,E20*'Ціни контур теплопостачання'!$C$126*'Ціни контур теплопостачання'!$E$126*'Ціни контур теплопостачання'!$F$126+'Ціни контур теплопостачання'!$D$126,IF(C20='Ціни контур теплопостачання'!$B$127,E20*'Ціни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" spans="1:9" ht="15">
      <c r="A21" s="167" t="s">
        <v>350</v>
      </c>
      <c r="B21" s="162" t="str">
        <f t="shared" si="0"/>
        <v xml:space="preserve">16+081A00HS-341  </v>
      </c>
      <c r="C21" s="162" t="str">
        <f t="shared" si="1"/>
        <v>16</v>
      </c>
      <c r="D21" s="162" t="str">
        <f t="shared" si="2"/>
        <v xml:space="preserve">081A00HS-341  </v>
      </c>
      <c r="E21" s="162" t="str">
        <f t="shared" si="3"/>
        <v>081</v>
      </c>
      <c r="F21" s="166" t="e">
        <f>IF(C21='Ціни контур теплопостачання'!$B$123,E21*'Ціни контур теплопостачання'!$C$123*'Ціни контур теплопостачання'!$E$123*'Ціни контур теплопостачання'!$F$123+'Ціни контур теплопостачання'!$D$123,IF(C21='Ціни контур теплопостачання'!$B$124,E21*'Ціни контур теплопостачання'!$C$124*'Ціни контур теплопостачання'!$E$124*'Ціни контур теплопостачання'!$F$124+'Ціни контур теплопостачання'!$D$124,IF(C21='Ціни контур теплопостачання'!$B$125,E21*'Ціни контур теплопостачання'!$C$125*'Ціни контур теплопостачання'!$E$125*'Ціни контур теплопостачання'!$F$125+'Ціни контур теплопостачання'!$D$125,IF(C21='Ціни контур теплопостачання'!$B$126,E21*'Ціни контур теплопостачання'!$C$126*'Ціни контур теплопостачання'!$E$126*'Ціни контур теплопостачання'!$F$126+'Ціни контур теплопостачання'!$D$126,IF(C21='Ціни контур теплопостачання'!$B$127,E21*'Ціни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" spans="1:9" ht="15">
      <c r="A22" s="167" t="s">
        <v>351</v>
      </c>
      <c r="B22" s="162" t="str">
        <f t="shared" si="0"/>
        <v xml:space="preserve">16+015A00HS-44  </v>
      </c>
      <c r="C22" s="162" t="str">
        <f t="shared" si="1"/>
        <v>16</v>
      </c>
      <c r="D22" s="162" t="str">
        <f t="shared" si="2"/>
        <v xml:space="preserve">015A00HS-44  </v>
      </c>
      <c r="E22" s="162" t="str">
        <f t="shared" si="3"/>
        <v>015</v>
      </c>
      <c r="F22" s="166" t="e">
        <f>IF(C22='Ціни контур теплопостачання'!$B$123,E22*'Ціни контур теплопостачання'!$C$123*'Ціни контур теплопостачання'!$E$123*'Ціни контур теплопостачання'!$F$123+'Ціни контур теплопостачання'!$D$123,IF(C22='Ціни контур теплопостачання'!$B$124,E22*'Ціни контур теплопостачання'!$C$124*'Ціни контур теплопостачання'!$E$124*'Ціни контур теплопостачання'!$F$124+'Ціни контур теплопостачання'!$D$124,IF(C22='Ціни контур теплопостачання'!$B$125,E22*'Ціни контур теплопостачання'!$C$125*'Ціни контур теплопостачання'!$E$125*'Ціни контур теплопостачання'!$F$125+'Ціни контур теплопостачання'!$D$125,IF(C22='Ціни контур теплопостачання'!$B$126,E22*'Ціни контур теплопостачання'!$C$126*'Ціни контур теплопостачання'!$E$126*'Ціни контур теплопостачання'!$F$126+'Ціни контур теплопостачання'!$D$126,IF(C22='Ціни контур теплопостачання'!$B$127,E22*'Ціни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" spans="1:9" ht="15">
      <c r="A23" s="167" t="s">
        <v>352</v>
      </c>
      <c r="B23" s="162" t="str">
        <f t="shared" si="0"/>
        <v xml:space="preserve">16+027A00HS-99  </v>
      </c>
      <c r="C23" s="162" t="str">
        <f t="shared" si="1"/>
        <v>16</v>
      </c>
      <c r="D23" s="162" t="str">
        <f t="shared" si="2"/>
        <v xml:space="preserve">027A00HS-99  </v>
      </c>
      <c r="E23" s="162" t="str">
        <f t="shared" si="3"/>
        <v>027</v>
      </c>
      <c r="F23" s="166" t="e">
        <f>IF(C23='Ціни контур теплопостачання'!$B$123,E23*'Ціни контур теплопостачання'!$C$123*'Ціни контур теплопостачання'!$E$123*'Ціни контур теплопостачання'!$F$123+'Ціни контур теплопостачання'!$D$123,IF(C23='Ціни контур теплопостачання'!$B$124,E23*'Ціни контур теплопостачання'!$C$124*'Ціни контур теплопостачання'!$E$124*'Ціни контур теплопостачання'!$F$124+'Ціни контур теплопостачання'!$D$124,IF(C23='Ціни контур теплопостачання'!$B$125,E23*'Ціни контур теплопостачання'!$C$125*'Ціни контур теплопостачання'!$E$125*'Ціни контур теплопостачання'!$F$125+'Ціни контур теплопостачання'!$D$125,IF(C23='Ціни контур теплопостачання'!$B$126,E23*'Ціни контур теплопостачання'!$C$126*'Ціни контур теплопостачання'!$E$126*'Ціни контур теплопостачання'!$F$126+'Ціни контур теплопостачання'!$D$126,IF(C23='Ціни контур теплопостачання'!$B$127,E23*'Ціни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" spans="1:9" ht="15">
      <c r="A24" s="167" t="s">
        <v>353</v>
      </c>
      <c r="B24" s="162" t="str">
        <f t="shared" si="0"/>
        <v xml:space="preserve">16+021A00HS-73  </v>
      </c>
      <c r="C24" s="162" t="str">
        <f t="shared" si="1"/>
        <v>16</v>
      </c>
      <c r="D24" s="162" t="str">
        <f t="shared" si="2"/>
        <v xml:space="preserve">021A00HS-73  </v>
      </c>
      <c r="E24" s="162" t="str">
        <f t="shared" si="3"/>
        <v>021</v>
      </c>
      <c r="F24" s="166" t="e">
        <f>IF(C24='Ціни контур теплопостачання'!$B$123,E24*'Ціни контур теплопостачання'!$C$123*'Ціни контур теплопостачання'!$E$123*'Ціни контур теплопостачання'!$F$123+'Ціни контур теплопостачання'!$D$123,IF(C24='Ціни контур теплопостачання'!$B$124,E24*'Ціни контур теплопостачання'!$C$124*'Ціни контур теплопостачання'!$E$124*'Ціни контур теплопостачання'!$F$124+'Ціни контур теплопостачання'!$D$124,IF(C24='Ціни контур теплопостачання'!$B$125,E24*'Ціни контур теплопостачання'!$C$125*'Ціни контур теплопостачання'!$E$125*'Ціни контур теплопостачання'!$F$125+'Ціни контур теплопостачання'!$D$125,IF(C24='Ціни контур теплопостачання'!$B$126,E24*'Ціни контур теплопостачання'!$C$126*'Ціни контур теплопостачання'!$E$126*'Ціни контур теплопостачання'!$F$126+'Ціни контур теплопостачання'!$D$126,IF(C24='Ціни контур теплопостачання'!$B$127,E24*'Ціни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I24" s="184">
        <v>21</v>
      </c>
    </row>
    <row r="26" spans="1:9">
      <c r="F26" s="158" t="e">
        <f>SUM(F2:F25)</f>
        <v>#REF!</v>
      </c>
    </row>
  </sheetData>
  <autoFilter ref="A1:F24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O267"/>
  <sheetViews>
    <sheetView topLeftCell="A127" workbookViewId="0">
      <selection activeCell="G162" sqref="G162"/>
    </sheetView>
  </sheetViews>
  <sheetFormatPr defaultRowHeight="12.75"/>
  <cols>
    <col min="1" max="1" width="23.5703125" customWidth="1"/>
    <col min="2" max="2" width="17.5703125" hidden="1" customWidth="1"/>
    <col min="3" max="3" width="9.28515625" customWidth="1"/>
    <col min="4" max="4" width="13.7109375" hidden="1" customWidth="1"/>
    <col min="5" max="5" width="9" customWidth="1"/>
    <col min="6" max="6" width="13.42578125" style="158" customWidth="1"/>
    <col min="7" max="7" width="9.140625" style="154"/>
    <col min="8" max="8" width="23.140625" customWidth="1"/>
    <col min="9" max="9" width="9.85546875" hidden="1" customWidth="1"/>
    <col min="11" max="11" width="0" hidden="1" customWidth="1"/>
    <col min="13" max="13" width="12.28515625" bestFit="1" customWidth="1"/>
  </cols>
  <sheetData>
    <row r="1" spans="1:14" ht="38.25">
      <c r="A1" s="160" t="s">
        <v>612</v>
      </c>
      <c r="B1" s="160"/>
      <c r="C1" s="160" t="s">
        <v>636</v>
      </c>
      <c r="D1" s="160"/>
      <c r="E1" s="160" t="s">
        <v>637</v>
      </c>
      <c r="F1" s="203" t="s">
        <v>656</v>
      </c>
      <c r="G1" s="173" t="s">
        <v>639</v>
      </c>
      <c r="H1" s="160" t="s">
        <v>612</v>
      </c>
      <c r="I1" s="160"/>
      <c r="J1" s="160" t="s">
        <v>636</v>
      </c>
      <c r="K1" s="160"/>
      <c r="L1" s="160" t="s">
        <v>637</v>
      </c>
      <c r="M1" s="203" t="s">
        <v>656</v>
      </c>
      <c r="N1" s="174" t="s">
        <v>640</v>
      </c>
    </row>
    <row r="2" spans="1:14">
      <c r="A2" s="168" t="s">
        <v>397</v>
      </c>
      <c r="B2" s="162" t="str">
        <f>RIGHT(A2,LEN(A2)-6)</f>
        <v xml:space="preserve">16+025A00HS-96  </v>
      </c>
      <c r="C2" s="162" t="str">
        <f>LEFT(B2,2)</f>
        <v>16</v>
      </c>
      <c r="D2" s="162" t="str">
        <f>RIGHT(A2,LEN(A2)-9)</f>
        <v xml:space="preserve">025A00HS-96  </v>
      </c>
      <c r="E2" s="162" t="str">
        <f>LEFT(D2,3)</f>
        <v>025</v>
      </c>
      <c r="F2" s="166" t="e">
        <f>IF(C2='Ціни контур теплопостачання'!$B$123,E2*'Ціни контур теплопостачання'!$C$123*'Ціни контур теплопостачання'!$E$123*'Ціни контур теплопостачання'!$F$123+'Ціни контур теплопостачання'!$D$123,IF(C2='Ціни контур теплопостачання'!$B$124,E2*'Ціни контур теплопостачання'!$C$124*'Ціни контур теплопостачання'!$E$124*'Ціни контур теплопостачання'!$F$124+'Ціни контур теплопостачання'!$D$124,IF(C2='Ціни контур теплопостачання'!$B$125,E2*'Ціни контур теплопостачання'!$C$125*'Ціни контур теплопостачання'!$E$125*'Ціни контур теплопостачання'!$F$125+'Ціни контур теплопостачання'!$D$125,IF(C2='Ціни контур теплопостачання'!$B$126,E2*'Ціни контур теплопостачання'!$C$126*'Ціни контур теплопостачання'!$E$126*'Ціни контур теплопостачання'!$F$126+'Ціни контур теплопостачання'!$D$126,IF(C2='Ціни контур теплопостачання'!$B$127,E2*'Ціни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" s="170" t="s">
        <v>133</v>
      </c>
      <c r="I2" s="162" t="str">
        <f>RIGHT(H2,LEN(H2)-6)</f>
        <v xml:space="preserve">08+019A00HS-105 </v>
      </c>
      <c r="J2" s="162" t="str">
        <f>LEFT(I2,2)</f>
        <v>08</v>
      </c>
      <c r="K2" s="162" t="str">
        <f>RIGHT(H2,LEN(H2)-9)</f>
        <v xml:space="preserve">019A00HS-105 </v>
      </c>
      <c r="L2" s="162" t="str">
        <f>LEFT(K2,3)</f>
        <v>019</v>
      </c>
      <c r="M2" s="166" t="e">
        <f>IF(J2='Ціни контур теплопостачання'!$B$123,L2*'Ціни контур теплопостачання'!$C$123*'Ціни контур теплопостачання'!$E$123*'Ціни контур теплопостачання'!$F$123+'Ціни контур теплопостачання'!$D$123,IF(J2='Ціни контур теплопостачання'!$B$124,L2*'Ціни контур теплопостачання'!$C$124*'Ціни контур теплопостачання'!$E$124*'Ціни контур теплопостачання'!$F$124+'Ціни контур теплопостачання'!$D$124,IF(J2='Ціни контур теплопостачання'!$B$125,L2*'Ціни контур теплопостачання'!$C$125*'Ціни контур теплопостачання'!$E$125*'Ціни контур теплопостачання'!$F$125+'Ціни контур теплопостачання'!$D$125,IF(J2='Ціни контур теплопостачання'!$B$126,L2*'Ціни контур теплопостачання'!$C$126*'Ціни контур теплопостачання'!$E$126*'Ціни контур теплопостачання'!$F$126+'Ціни контур теплопостачання'!$D$126,IF(J2='Ціни контур теплопостачання'!$B$127,L2*'Ціни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" spans="1:14">
      <c r="A3" s="168" t="s">
        <v>398</v>
      </c>
      <c r="B3" s="162" t="str">
        <f t="shared" ref="B3:B66" si="0">RIGHT(A3,LEN(A3)-6)</f>
        <v xml:space="preserve">16+071A00HS-287  </v>
      </c>
      <c r="C3" s="162" t="str">
        <f t="shared" ref="C3:C66" si="1">LEFT(B3,2)</f>
        <v>16</v>
      </c>
      <c r="D3" s="162" t="str">
        <f t="shared" ref="D3:D66" si="2">RIGHT(A3,LEN(A3)-9)</f>
        <v xml:space="preserve">071A00HS-287  </v>
      </c>
      <c r="E3" s="162" t="str">
        <f t="shared" ref="E3:E66" si="3">LEFT(D3,3)</f>
        <v>071</v>
      </c>
      <c r="F3" s="166" t="e">
        <f>IF(C3='Ціни контур теплопостачання'!$B$123,E3*'Ціни контур теплопостачання'!$C$123*'Ціни контур теплопостачання'!$E$123*'Ціни контур теплопостачання'!$F$123+'Ціни контур теплопостачання'!$D$123,IF(C3='Ціни контур теплопостачання'!$B$124,E3*'Ціни контур теплопостачання'!$C$124*'Ціни контур теплопостачання'!$E$124*'Ціни контур теплопостачання'!$F$124+'Ціни контур теплопостачання'!$D$124,IF(C3='Ціни контур теплопостачання'!$B$125,E3*'Ціни контур теплопостачання'!$C$125*'Ціни контур теплопостачання'!$E$125*'Ціни контур теплопостачання'!$F$125+'Ціни контур теплопостачання'!$D$125,IF(C3='Ціни контур теплопостачання'!$B$126,E3*'Ціни контур теплопостачання'!$C$126*'Ціни контур теплопостачання'!$E$126*'Ціни контур теплопостачання'!$F$126+'Ціни контур теплопостачання'!$D$126,IF(C3='Ціни контур теплопостачання'!$B$127,E3*'Ціни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" s="170" t="s">
        <v>134</v>
      </c>
      <c r="I3" s="162" t="str">
        <f t="shared" ref="I3:I66" si="4">RIGHT(H3,LEN(H3)-6)</f>
        <v xml:space="preserve">16+035M50HS-315 </v>
      </c>
      <c r="J3" s="162" t="str">
        <f t="shared" ref="J3:J66" si="5">LEFT(I3,2)</f>
        <v>16</v>
      </c>
      <c r="K3" s="162" t="str">
        <f t="shared" ref="K3:K66" si="6">RIGHT(H3,LEN(H3)-9)</f>
        <v xml:space="preserve">035M50HS-315 </v>
      </c>
      <c r="L3" s="162" t="str">
        <f t="shared" ref="L3:L66" si="7">LEFT(K3,3)</f>
        <v>035</v>
      </c>
      <c r="M3" s="166" t="e">
        <f>IF(J3='Ціни контур теплопостачання'!$B$123,L3*'Ціни контур теплопостачання'!$C$123*'Ціни контур теплопостачання'!$E$123*'Ціни контур теплопостачання'!$F$123+'Ціни контур теплопостачання'!$D$123,IF(J3='Ціни контур теплопостачання'!$B$124,L3*'Ціни контур теплопостачання'!$C$124*'Ціни контур теплопостачання'!$E$124*'Ціни контур теплопостачання'!$F$124+'Ціни контур теплопостачання'!$D$124,IF(J3='Ціни контур теплопостачання'!$B$125,L3*'Ціни контур теплопостачання'!$C$125*'Ціни контур теплопостачання'!$E$125*'Ціни контур теплопостачання'!$F$125+'Ціни контур теплопостачання'!$D$125,IF(J3='Ціни контур теплопостачання'!$B$126,L3*'Ціни контур теплопостачання'!$C$126*'Ціни контур теплопостачання'!$E$126*'Ціни контур теплопостачання'!$F$126+'Ціни контур теплопостачання'!$D$126,IF(J3='Ціни контур теплопостачання'!$B$127,L3*'Ціни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" spans="1:14">
      <c r="A4" s="168" t="s">
        <v>632</v>
      </c>
      <c r="B4" s="162" t="str">
        <f t="shared" si="0"/>
        <v xml:space="preserve">16+071A00HS-292  </v>
      </c>
      <c r="C4" s="162" t="str">
        <f t="shared" si="1"/>
        <v>16</v>
      </c>
      <c r="D4" s="162" t="str">
        <f t="shared" si="2"/>
        <v xml:space="preserve">071A00HS-292  </v>
      </c>
      <c r="E4" s="162" t="str">
        <f t="shared" si="3"/>
        <v>071</v>
      </c>
      <c r="F4" s="166" t="e">
        <f>IF(C4='Ціни контур теплопостачання'!$B$123,E4*'Ціни контур теплопостачання'!$C$123*'Ціни контур теплопостачання'!$E$123*'Ціни контур теплопостачання'!$F$123+'Ціни контур теплопостачання'!$D$123,IF(C4='Ціни контур теплопостачання'!$B$124,E4*'Ціни контур теплопостачання'!$C$124*'Ціни контур теплопостачання'!$E$124*'Ціни контур теплопостачання'!$F$124+'Ціни контур теплопостачання'!$D$124,IF(C4='Ціни контур теплопостачання'!$B$125,E4*'Ціни контур теплопостачання'!$C$125*'Ціни контур теплопостачання'!$E$125*'Ціни контур теплопостачання'!$F$125+'Ціни контур теплопостачання'!$D$125,IF(C4='Ціни контур теплопостачання'!$B$126,E4*'Ціни контур теплопостачання'!$C$126*'Ціни контур теплопостачання'!$E$126*'Ціни контур теплопостачання'!$F$126+'Ціни контур теплопостачання'!$D$126,IF(C4='Ціни контур теплопостачання'!$B$127,E4*'Ціни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" s="170" t="s">
        <v>135</v>
      </c>
      <c r="I4" s="162" t="str">
        <f t="shared" si="4"/>
        <v xml:space="preserve">16+027M50HS-267 </v>
      </c>
      <c r="J4" s="162" t="str">
        <f t="shared" si="5"/>
        <v>16</v>
      </c>
      <c r="K4" s="162" t="str">
        <f t="shared" si="6"/>
        <v xml:space="preserve">027M50HS-267 </v>
      </c>
      <c r="L4" s="162" t="str">
        <f t="shared" si="7"/>
        <v>027</v>
      </c>
      <c r="M4" s="166" t="e">
        <f>IF(J4='Ціни контур теплопостачання'!$B$123,L4*'Ціни контур теплопостачання'!$C$123*'Ціни контур теплопостачання'!$E$123*'Ціни контур теплопостачання'!$F$123+'Ціни контур теплопостачання'!$D$123,IF(J4='Ціни контур теплопостачання'!$B$124,L4*'Ціни контур теплопостачання'!$C$124*'Ціни контур теплопостачання'!$E$124*'Ціни контур теплопостачання'!$F$124+'Ціни контур теплопостачання'!$D$124,IF(J4='Ціни контур теплопостачання'!$B$125,L4*'Ціни контур теплопостачання'!$C$125*'Ціни контур теплопостачання'!$E$125*'Ціни контур теплопостачання'!$F$125+'Ціни контур теплопостачання'!$D$125,IF(J4='Ціни контур теплопостачання'!$B$126,L4*'Ціни контур теплопостачання'!$C$126*'Ціни контур теплопостачання'!$E$126*'Ціни контур теплопостачання'!$F$126+'Ціни контур теплопостачання'!$D$126,IF(J4='Ціни контур теплопостачання'!$B$127,L4*'Ціни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" spans="1:14">
      <c r="A5" s="168" t="s">
        <v>399</v>
      </c>
      <c r="B5" s="162" t="str">
        <f t="shared" si="0"/>
        <v xml:space="preserve">16+037A00HS-146  </v>
      </c>
      <c r="C5" s="162" t="str">
        <f t="shared" si="1"/>
        <v>16</v>
      </c>
      <c r="D5" s="162" t="str">
        <f t="shared" si="2"/>
        <v xml:space="preserve">037A00HS-146  </v>
      </c>
      <c r="E5" s="162" t="str">
        <f t="shared" si="3"/>
        <v>037</v>
      </c>
      <c r="F5" s="166" t="e">
        <f>IF(C5='Ціни контур теплопостачання'!$B$123,E5*'Ціни контур теплопостачання'!$C$123*'Ціни контур теплопостачання'!$E$123*'Ціни контур теплопостачання'!$F$123+'Ціни контур теплопостачання'!$D$123,IF(C5='Ціни контур теплопостачання'!$B$124,E5*'Ціни контур теплопостачання'!$C$124*'Ціни контур теплопостачання'!$E$124*'Ціни контур теплопостачання'!$F$124+'Ціни контур теплопостачання'!$D$124,IF(C5='Ціни контур теплопостачання'!$B$125,E5*'Ціни контур теплопостачання'!$C$125*'Ціни контур теплопостачання'!$E$125*'Ціни контур теплопостачання'!$F$125+'Ціни контур теплопостачання'!$D$125,IF(C5='Ціни контур теплопостачання'!$B$126,E5*'Ціни контур теплопостачання'!$C$126*'Ціни контур теплопостачання'!$E$126*'Ціни контур теплопостачання'!$F$126+'Ціни контур теплопостачання'!$D$126,IF(C5='Ціни контур теплопостачання'!$B$127,E5*'Ціни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" s="170" t="s">
        <v>136</v>
      </c>
      <c r="I5" s="162" t="str">
        <f t="shared" si="4"/>
        <v xml:space="preserve">08+023A00HS-133 </v>
      </c>
      <c r="J5" s="162" t="str">
        <f t="shared" si="5"/>
        <v>08</v>
      </c>
      <c r="K5" s="162" t="str">
        <f t="shared" si="6"/>
        <v xml:space="preserve">023A00HS-133 </v>
      </c>
      <c r="L5" s="162" t="str">
        <f t="shared" si="7"/>
        <v>023</v>
      </c>
      <c r="M5" s="166" t="e">
        <f>IF(J5='Ціни контур теплопостачання'!$B$123,L5*'Ціни контур теплопостачання'!$C$123*'Ціни контур теплопостачання'!$E$123*'Ціни контур теплопостачання'!$F$123+'Ціни контур теплопостачання'!$D$123,IF(J5='Ціни контур теплопостачання'!$B$124,L5*'Ціни контур теплопостачання'!$C$124*'Ціни контур теплопостачання'!$E$124*'Ціни контур теплопостачання'!$F$124+'Ціни контур теплопостачання'!$D$124,IF(J5='Ціни контур теплопостачання'!$B$125,L5*'Ціни контур теплопостачання'!$C$125*'Ціни контур теплопостачання'!$E$125*'Ціни контур теплопостачання'!$F$125+'Ціни контур теплопостачання'!$D$125,IF(J5='Ціни контур теплопостачання'!$B$126,L5*'Ціни контур теплопостачання'!$C$126*'Ціни контур теплопостачання'!$E$126*'Ціни контур теплопостачання'!$F$126+'Ціни контур теплопостачання'!$D$126,IF(J5='Ціни контур теплопостачання'!$B$127,L5*'Ціни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" spans="1:14">
      <c r="A6" s="168" t="s">
        <v>400</v>
      </c>
      <c r="B6" s="162" t="str">
        <f t="shared" si="0"/>
        <v xml:space="preserve">16+041A00HS-161  </v>
      </c>
      <c r="C6" s="162" t="str">
        <f t="shared" si="1"/>
        <v>16</v>
      </c>
      <c r="D6" s="162" t="str">
        <f t="shared" si="2"/>
        <v xml:space="preserve">041A00HS-161  </v>
      </c>
      <c r="E6" s="162" t="str">
        <f t="shared" si="3"/>
        <v>041</v>
      </c>
      <c r="F6" s="166" t="e">
        <f>IF(C6='Ціни контур теплопостачання'!$B$123,E6*'Ціни контур теплопостачання'!$C$123*'Ціни контур теплопостачання'!$E$123*'Ціни контур теплопостачання'!$F$123+'Ціни контур теплопостачання'!$D$123,IF(C6='Ціни контур теплопостачання'!$B$124,E6*'Ціни контур теплопостачання'!$C$124*'Ціни контур теплопостачання'!$E$124*'Ціни контур теплопостачання'!$F$124+'Ціни контур теплопостачання'!$D$124,IF(C6='Ціни контур теплопостачання'!$B$125,E6*'Ціни контур теплопостачання'!$C$125*'Ціни контур теплопостачання'!$E$125*'Ціни контур теплопостачання'!$F$125+'Ціни контур теплопостачання'!$D$125,IF(C6='Ціни контур теплопостачання'!$B$126,E6*'Ціни контур теплопостачання'!$C$126*'Ціни контур теплопостачання'!$E$126*'Ціни контур теплопостачання'!$F$126+'Ціни контур теплопостачання'!$D$126,IF(C6='Ціни контур теплопостачання'!$B$127,E6*'Ціни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" s="170" t="s">
        <v>137</v>
      </c>
      <c r="I6" s="162" t="str">
        <f t="shared" si="4"/>
        <v>08+029A00HS-166</v>
      </c>
      <c r="J6" s="162" t="str">
        <f t="shared" si="5"/>
        <v>08</v>
      </c>
      <c r="K6" s="162" t="str">
        <f t="shared" si="6"/>
        <v>029A00HS-166</v>
      </c>
      <c r="L6" s="162" t="str">
        <f t="shared" si="7"/>
        <v>029</v>
      </c>
      <c r="M6" s="166" t="e">
        <f>IF(J6='Ціни контур теплопостачання'!$B$123,L6*'Ціни контур теплопостачання'!$C$123*'Ціни контур теплопостачання'!$E$123*'Ціни контур теплопостачання'!$F$123+'Ціни контур теплопостачання'!$D$123,IF(J6='Ціни контур теплопостачання'!$B$124,L6*'Ціни контур теплопостачання'!$C$124*'Ціни контур теплопостачання'!$E$124*'Ціни контур теплопостачання'!$F$124+'Ціни контур теплопостачання'!$D$124,IF(J6='Ціни контур теплопостачання'!$B$125,L6*'Ціни контур теплопостачання'!$C$125*'Ціни контур теплопостачання'!$E$125*'Ціни контур теплопостачання'!$F$125+'Ціни контур теплопостачання'!$D$125,IF(J6='Ціни контур теплопостачання'!$B$126,L6*'Ціни контур теплопостачання'!$C$126*'Ціни контур теплопостачання'!$E$126*'Ціни контур теплопостачання'!$F$126+'Ціни контур теплопостачання'!$D$126,IF(J6='Ціни контур теплопостачання'!$B$127,L6*'Ціни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" spans="1:14">
      <c r="A7" s="168" t="s">
        <v>401</v>
      </c>
      <c r="B7" s="162" t="str">
        <f t="shared" si="0"/>
        <v xml:space="preserve">16+059A00HS-241  </v>
      </c>
      <c r="C7" s="162" t="str">
        <f t="shared" si="1"/>
        <v>16</v>
      </c>
      <c r="D7" s="162" t="str">
        <f t="shared" si="2"/>
        <v xml:space="preserve">059A00HS-241  </v>
      </c>
      <c r="E7" s="162" t="str">
        <f t="shared" si="3"/>
        <v>059</v>
      </c>
      <c r="F7" s="166" t="e">
        <f>IF(C7='Ціни контур теплопостачання'!$B$123,E7*'Ціни контур теплопостачання'!$C$123*'Ціни контур теплопостачання'!$E$123*'Ціни контур теплопостачання'!$F$123+'Ціни контур теплопостачання'!$D$123,IF(C7='Ціни контур теплопостачання'!$B$124,E7*'Ціни контур теплопостачання'!$C$124*'Ціни контур теплопостачання'!$E$124*'Ціни контур теплопостачання'!$F$124+'Ціни контур теплопостачання'!$D$124,IF(C7='Ціни контур теплопостачання'!$B$125,E7*'Ціни контур теплопостачання'!$C$125*'Ціни контур теплопостачання'!$E$125*'Ціни контур теплопостачання'!$F$125+'Ціни контур теплопостачання'!$D$125,IF(C7='Ціни контур теплопостачання'!$B$126,E7*'Ціни контур теплопостачання'!$C$126*'Ціни контур теплопостачання'!$E$126*'Ціни контур теплопостачання'!$F$126+'Ціни контур теплопостачання'!$D$126,IF(C7='Ціни контур теплопостачання'!$B$127,E7*'Ціни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" s="170" t="s">
        <v>138</v>
      </c>
      <c r="I7" s="162" t="str">
        <f t="shared" si="4"/>
        <v xml:space="preserve">16+021M656S-250 </v>
      </c>
      <c r="J7" s="162" t="str">
        <f t="shared" si="5"/>
        <v>16</v>
      </c>
      <c r="K7" s="162" t="str">
        <f t="shared" si="6"/>
        <v xml:space="preserve">021M656S-250 </v>
      </c>
      <c r="L7" s="162" t="str">
        <f t="shared" si="7"/>
        <v>021</v>
      </c>
      <c r="M7" s="166" t="e">
        <f>IF(J7='Ціни контур теплопостачання'!$B$123,L7*'Ціни контур теплопостачання'!$C$123*'Ціни контур теплопостачання'!$E$123*'Ціни контур теплопостачання'!$F$123+'Ціни контур теплопостачання'!$D$123,IF(J7='Ціни контур теплопостачання'!$B$124,L7*'Ціни контур теплопостачання'!$C$124*'Ціни контур теплопостачання'!$E$124*'Ціни контур теплопостачання'!$F$124+'Ціни контур теплопостачання'!$D$124,IF(J7='Ціни контур теплопостачання'!$B$125,L7*'Ціни контур теплопостачання'!$C$125*'Ціни контур теплопостачання'!$E$125*'Ціни контур теплопостачання'!$F$125+'Ціни контур теплопостачання'!$D$125,IF(J7='Ціни контур теплопостачання'!$B$126,L7*'Ціни контур теплопостачання'!$C$126*'Ціни контур теплопостачання'!$E$126*'Ціни контур теплопостачання'!$F$126+'Ціни контур теплопостачання'!$D$126,IF(J7='Ціни контур теплопостачання'!$B$127,L7*'Ціни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" spans="1:14">
      <c r="A8" s="168" t="s">
        <v>402</v>
      </c>
      <c r="B8" s="162" t="str">
        <f t="shared" si="0"/>
        <v xml:space="preserve">16+035A00HS-137  </v>
      </c>
      <c r="C8" s="162" t="str">
        <f t="shared" si="1"/>
        <v>16</v>
      </c>
      <c r="D8" s="162" t="str">
        <f t="shared" si="2"/>
        <v xml:space="preserve">035A00HS-137  </v>
      </c>
      <c r="E8" s="162" t="str">
        <f t="shared" si="3"/>
        <v>035</v>
      </c>
      <c r="F8" s="166" t="e">
        <f>IF(C8='Ціни контур теплопостачання'!$B$123,E8*'Ціни контур теплопостачання'!$C$123*'Ціни контур теплопостачання'!$E$123*'Ціни контур теплопостачання'!$F$123+'Ціни контур теплопостачання'!$D$123,IF(C8='Ціни контур теплопостачання'!$B$124,E8*'Ціни контур теплопостачання'!$C$124*'Ціни контур теплопостачання'!$E$124*'Ціни контур теплопостачання'!$F$124+'Ціни контур теплопостачання'!$D$124,IF(C8='Ціни контур теплопостачання'!$B$125,E8*'Ціни контур теплопостачання'!$C$125*'Ціни контур теплопостачання'!$E$125*'Ціни контур теплопостачання'!$F$125+'Ціни контур теплопостачання'!$D$125,IF(C8='Ціни контур теплопостачання'!$B$126,E8*'Ціни контур теплопостачання'!$C$126*'Ціни контур теплопостачання'!$E$126*'Ціни контур теплопостачання'!$F$126+'Ціни контур теплопостачання'!$D$126,IF(C8='Ціни контур теплопостачання'!$B$127,E8*'Ціни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" s="170" t="s">
        <v>139</v>
      </c>
      <c r="I8" s="162" t="str">
        <f t="shared" si="4"/>
        <v xml:space="preserve">08+027A00HS-164 </v>
      </c>
      <c r="J8" s="162" t="str">
        <f t="shared" si="5"/>
        <v>08</v>
      </c>
      <c r="K8" s="162" t="str">
        <f t="shared" si="6"/>
        <v xml:space="preserve">027A00HS-164 </v>
      </c>
      <c r="L8" s="162" t="str">
        <f t="shared" si="7"/>
        <v>027</v>
      </c>
      <c r="M8" s="166" t="e">
        <f>IF(J8='Ціни контур теплопостачання'!$B$123,L8*'Ціни контур теплопостачання'!$C$123*'Ціни контур теплопостачання'!$E$123*'Ціни контур теплопостачання'!$F$123+'Ціни контур теплопостачання'!$D$123,IF(J8='Ціни контур теплопостачання'!$B$124,L8*'Ціни контур теплопостачання'!$C$124*'Ціни контур теплопостачання'!$E$124*'Ціни контур теплопостачання'!$F$124+'Ціни контур теплопостачання'!$D$124,IF(J8='Ціни контур теплопостачання'!$B$125,L8*'Ціни контур теплопостачання'!$C$125*'Ціни контур теплопостачання'!$E$125*'Ціни контур теплопостачання'!$F$125+'Ціни контур теплопостачання'!$D$125,IF(J8='Ціни контур теплопостачання'!$B$126,L8*'Ціни контур теплопостачання'!$C$126*'Ціни контур теплопостачання'!$E$126*'Ціни контур теплопостачання'!$F$126+'Ціни контур теплопостачання'!$D$126,IF(J8='Ціни контур теплопостачання'!$B$127,L8*'Ціни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" spans="1:14">
      <c r="A9" s="168" t="s">
        <v>402</v>
      </c>
      <c r="B9" s="162" t="str">
        <f t="shared" si="0"/>
        <v xml:space="preserve">16+035A00HS-137  </v>
      </c>
      <c r="C9" s="162" t="str">
        <f t="shared" si="1"/>
        <v>16</v>
      </c>
      <c r="D9" s="162" t="str">
        <f t="shared" si="2"/>
        <v xml:space="preserve">035A00HS-137  </v>
      </c>
      <c r="E9" s="162" t="str">
        <f t="shared" si="3"/>
        <v>035</v>
      </c>
      <c r="F9" s="166" t="e">
        <f>IF(C9='Ціни контур теплопостачання'!$B$123,E9*'Ціни контур теплопостачання'!$C$123*'Ціни контур теплопостачання'!$E$123*'Ціни контур теплопостачання'!$F$123+'Ціни контур теплопостачання'!$D$123,IF(C9='Ціни контур теплопостачання'!$B$124,E9*'Ціни контур теплопостачання'!$C$124*'Ціни контур теплопостачання'!$E$124*'Ціни контур теплопостачання'!$F$124+'Ціни контур теплопостачання'!$D$124,IF(C9='Ціни контур теплопостачання'!$B$125,E9*'Ціни контур теплопостачання'!$C$125*'Ціни контур теплопостачання'!$E$125*'Ціни контур теплопостачання'!$F$125+'Ціни контур теплопостачання'!$D$125,IF(C9='Ціни контур теплопостачання'!$B$126,E9*'Ціни контур теплопостачання'!$C$126*'Ціни контур теплопостачання'!$E$126*'Ціни контур теплопостачання'!$F$126+'Ціни контур теплопостачання'!$D$126,IF(C9='Ціни контур теплопостачання'!$B$127,E9*'Ціни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" s="170" t="s">
        <v>139</v>
      </c>
      <c r="I9" s="162" t="str">
        <f t="shared" si="4"/>
        <v xml:space="preserve">08+027A00HS-164 </v>
      </c>
      <c r="J9" s="162" t="str">
        <f t="shared" si="5"/>
        <v>08</v>
      </c>
      <c r="K9" s="162" t="str">
        <f t="shared" si="6"/>
        <v xml:space="preserve">027A00HS-164 </v>
      </c>
      <c r="L9" s="162" t="str">
        <f t="shared" si="7"/>
        <v>027</v>
      </c>
      <c r="M9" s="166" t="e">
        <f>IF(J9='Ціни контур теплопостачання'!$B$123,L9*'Ціни контур теплопостачання'!$C$123*'Ціни контур теплопостачання'!$E$123*'Ціни контур теплопостачання'!$F$123+'Ціни контур теплопостачання'!$D$123,IF(J9='Ціни контур теплопостачання'!$B$124,L9*'Ціни контур теплопостачання'!$C$124*'Ціни контур теплопостачання'!$E$124*'Ціни контур теплопостачання'!$F$124+'Ціни контур теплопостачання'!$D$124,IF(J9='Ціни контур теплопостачання'!$B$125,L9*'Ціни контур теплопостачання'!$C$125*'Ціни контур теплопостачання'!$E$125*'Ціни контур теплопостачання'!$F$125+'Ціни контур теплопостачання'!$D$125,IF(J9='Ціни контур теплопостачання'!$B$126,L9*'Ціни контур теплопостачання'!$C$126*'Ціни контур теплопостачання'!$E$126*'Ціни контур теплопостачання'!$F$126+'Ціни контур теплопостачання'!$D$126,IF(J9='Ціни контур теплопостачання'!$B$127,L9*'Ціни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" spans="1:14">
      <c r="A10" s="168" t="s">
        <v>403</v>
      </c>
      <c r="B10" s="162" t="str">
        <f t="shared" si="0"/>
        <v xml:space="preserve">16+053A00HS-213  </v>
      </c>
      <c r="C10" s="162" t="str">
        <f t="shared" si="1"/>
        <v>16</v>
      </c>
      <c r="D10" s="162" t="str">
        <f t="shared" si="2"/>
        <v xml:space="preserve">053A00HS-213  </v>
      </c>
      <c r="E10" s="162" t="str">
        <f t="shared" si="3"/>
        <v>053</v>
      </c>
      <c r="F10" s="166" t="e">
        <f>IF(C10='Ціни контур теплопостачання'!$B$123,E10*'Ціни контур теплопостачання'!$C$123*'Ціни контур теплопостачання'!$E$123*'Ціни контур теплопостачання'!$F$123+'Ціни контур теплопостачання'!$D$123,IF(C10='Ціни контур теплопостачання'!$B$124,E10*'Ціни контур теплопостачання'!$C$124*'Ціни контур теплопостачання'!$E$124*'Ціни контур теплопостачання'!$F$124+'Ціни контур теплопостачання'!$D$124,IF(C10='Ціни контур теплопостачання'!$B$125,E10*'Ціни контур теплопостачання'!$C$125*'Ціни контур теплопостачання'!$E$125*'Ціни контур теплопостачання'!$F$125+'Ціни контур теплопостачання'!$D$125,IF(C10='Ціни контур теплопостачання'!$B$126,E10*'Ціни контур теплопостачання'!$C$126*'Ціни контур теплопостачання'!$E$126*'Ціни контур теплопостачання'!$F$126+'Ціни контур теплопостачання'!$D$126,IF(C10='Ціни контур теплопостачання'!$B$127,E10*'Ціни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" s="170" t="s">
        <v>140</v>
      </c>
      <c r="I10" s="162" t="str">
        <f t="shared" si="4"/>
        <v xml:space="preserve">08+033A00HS-189 </v>
      </c>
      <c r="J10" s="162" t="str">
        <f t="shared" si="5"/>
        <v>08</v>
      </c>
      <c r="K10" s="162" t="str">
        <f t="shared" si="6"/>
        <v xml:space="preserve">033A00HS-189 </v>
      </c>
      <c r="L10" s="162" t="str">
        <f t="shared" si="7"/>
        <v>033</v>
      </c>
      <c r="M10" s="166" t="e">
        <f>IF(J10='Ціни контур теплопостачання'!$B$123,L10*'Ціни контур теплопостачання'!$C$123*'Ціни контур теплопостачання'!$E$123*'Ціни контур теплопостачання'!$F$123+'Ціни контур теплопостачання'!$D$123,IF(J10='Ціни контур теплопостачання'!$B$124,L10*'Ціни контур теплопостачання'!$C$124*'Ціни контур теплопостачання'!$E$124*'Ціни контур теплопостачання'!$F$124+'Ціни контур теплопостачання'!$D$124,IF(J10='Ціни контур теплопостачання'!$B$125,L10*'Ціни контур теплопостачання'!$C$125*'Ціни контур теплопостачання'!$E$125*'Ціни контур теплопостачання'!$F$125+'Ціни контур теплопостачання'!$D$125,IF(J10='Ціни контур теплопостачання'!$B$126,L10*'Ціни контур теплопостачання'!$C$126*'Ціни контур теплопостачання'!$E$126*'Ціни контур теплопостачання'!$F$126+'Ціни контур теплопостачання'!$D$126,IF(J10='Ціни контур теплопостачання'!$B$127,L10*'Ціни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" spans="1:14">
      <c r="A11" s="168" t="s">
        <v>403</v>
      </c>
      <c r="B11" s="162" t="str">
        <f t="shared" si="0"/>
        <v xml:space="preserve">16+053A00HS-213  </v>
      </c>
      <c r="C11" s="162" t="str">
        <f t="shared" si="1"/>
        <v>16</v>
      </c>
      <c r="D11" s="162" t="str">
        <f t="shared" si="2"/>
        <v xml:space="preserve">053A00HS-213  </v>
      </c>
      <c r="E11" s="162" t="str">
        <f t="shared" si="3"/>
        <v>053</v>
      </c>
      <c r="F11" s="166" t="e">
        <f>IF(C11='Ціни контур теплопостачання'!$B$123,E11*'Ціни контур теплопостачання'!$C$123*'Ціни контур теплопостачання'!$E$123*'Ціни контур теплопостачання'!$F$123+'Ціни контур теплопостачання'!$D$123,IF(C11='Ціни контур теплопостачання'!$B$124,E11*'Ціни контур теплопостачання'!$C$124*'Ціни контур теплопостачання'!$E$124*'Ціни контур теплопостачання'!$F$124+'Ціни контур теплопостачання'!$D$124,IF(C11='Ціни контур теплопостачання'!$B$125,E11*'Ціни контур теплопостачання'!$C$125*'Ціни контур теплопостачання'!$E$125*'Ціни контур теплопостачання'!$F$125+'Ціни контур теплопостачання'!$D$125,IF(C11='Ціни контур теплопостачання'!$B$126,E11*'Ціни контур теплопостачання'!$C$126*'Ціни контур теплопостачання'!$E$126*'Ціни контур теплопостачання'!$F$126+'Ціни контур теплопостачання'!$D$126,IF(C11='Ціни контур теплопостачання'!$B$127,E11*'Ціни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" s="170" t="s">
        <v>140</v>
      </c>
      <c r="I11" s="162" t="str">
        <f t="shared" si="4"/>
        <v xml:space="preserve">08+033A00HS-189 </v>
      </c>
      <c r="J11" s="162" t="str">
        <f t="shared" si="5"/>
        <v>08</v>
      </c>
      <c r="K11" s="162" t="str">
        <f t="shared" si="6"/>
        <v xml:space="preserve">033A00HS-189 </v>
      </c>
      <c r="L11" s="162" t="str">
        <f t="shared" si="7"/>
        <v>033</v>
      </c>
      <c r="M11" s="166" t="e">
        <f>IF(J11='Ціни контур теплопостачання'!$B$123,L11*'Ціни контур теплопостачання'!$C$123*'Ціни контур теплопостачання'!$E$123*'Ціни контур теплопостачання'!$F$123+'Ціни контур теплопостачання'!$D$123,IF(J11='Ціни контур теплопостачання'!$B$124,L11*'Ціни контур теплопостачання'!$C$124*'Ціни контур теплопостачання'!$E$124*'Ціни контур теплопостачання'!$F$124+'Ціни контур теплопостачання'!$D$124,IF(J11='Ціни контур теплопостачання'!$B$125,L11*'Ціни контур теплопостачання'!$C$125*'Ціни контур теплопостачання'!$E$125*'Ціни контур теплопостачання'!$F$125+'Ціни контур теплопостачання'!$D$125,IF(J11='Ціни контур теплопостачання'!$B$126,L11*'Ціни контур теплопостачання'!$C$126*'Ціни контур теплопостачання'!$E$126*'Ціни контур теплопостачання'!$F$126+'Ціни контур теплопостачання'!$D$126,IF(J11='Ціни контур теплопостачання'!$B$127,L11*'Ціни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" spans="1:14">
      <c r="A12" s="168" t="s">
        <v>404</v>
      </c>
      <c r="B12" s="162" t="str">
        <f t="shared" si="0"/>
        <v xml:space="preserve">16+077A00HS-319  </v>
      </c>
      <c r="C12" s="162" t="str">
        <f t="shared" si="1"/>
        <v>16</v>
      </c>
      <c r="D12" s="162" t="str">
        <f t="shared" si="2"/>
        <v xml:space="preserve">077A00HS-319  </v>
      </c>
      <c r="E12" s="162" t="str">
        <f t="shared" si="3"/>
        <v>077</v>
      </c>
      <c r="F12" s="166" t="e">
        <f>IF(C12='Ціни контур теплопостачання'!$B$123,E12*'Ціни контур теплопостачання'!$C$123*'Ціни контур теплопостачання'!$E$123*'Ціни контур теплопостачання'!$F$123+'Ціни контур теплопостачання'!$D$123,IF(C12='Ціни контур теплопостачання'!$B$124,E12*'Ціни контур теплопостачання'!$C$124*'Ціни контур теплопостачання'!$E$124*'Ціни контур теплопостачання'!$F$124+'Ціни контур теплопостачання'!$D$124,IF(C12='Ціни контур теплопостачання'!$B$125,E12*'Ціни контур теплопостачання'!$C$125*'Ціни контур теплопостачання'!$E$125*'Ціни контур теплопостачання'!$F$125+'Ціни контур теплопостачання'!$D$125,IF(C12='Ціни контур теплопостачання'!$B$126,E12*'Ціни контур теплопостачання'!$C$126*'Ціни контур теплопостачання'!$E$126*'Ціни контур теплопостачання'!$F$126+'Ціни контур теплопостачання'!$D$126,IF(C12='Ціни контур теплопостачання'!$B$127,E12*'Ціни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" s="170" t="s">
        <v>141</v>
      </c>
      <c r="I12" s="162" t="str">
        <f t="shared" si="4"/>
        <v xml:space="preserve">08+049A00HS-284 </v>
      </c>
      <c r="J12" s="162" t="str">
        <f t="shared" si="5"/>
        <v>08</v>
      </c>
      <c r="K12" s="162" t="str">
        <f t="shared" si="6"/>
        <v xml:space="preserve">049A00HS-284 </v>
      </c>
      <c r="L12" s="162" t="str">
        <f t="shared" si="7"/>
        <v>049</v>
      </c>
      <c r="M12" s="166" t="e">
        <f>IF(J12='Ціни контур теплопостачання'!$B$123,L12*'Ціни контур теплопостачання'!$C$123*'Ціни контур теплопостачання'!$E$123*'Ціни контур теплопостачання'!$F$123+'Ціни контур теплопостачання'!$D$123,IF(J12='Ціни контур теплопостачання'!$B$124,L12*'Ціни контур теплопостачання'!$C$124*'Ціни контур теплопостачання'!$E$124*'Ціни контур теплопостачання'!$F$124+'Ціни контур теплопостачання'!$D$124,IF(J12='Ціни контур теплопостачання'!$B$125,L12*'Ціни контур теплопостачання'!$C$125*'Ціни контур теплопостачання'!$E$125*'Ціни контур теплопостачання'!$F$125+'Ціни контур теплопостачання'!$D$125,IF(J12='Ціни контур теплопостачання'!$B$126,L12*'Ціни контур теплопостачання'!$C$126*'Ціни контур теплопостачання'!$E$126*'Ціни контур теплопостачання'!$F$126+'Ціни контур теплопостачання'!$D$126,IF(J12='Ціни контур теплопостачання'!$B$127,L12*'Ціни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" spans="1:14">
      <c r="A13" s="168" t="s">
        <v>631</v>
      </c>
      <c r="B13" s="162" t="str">
        <f t="shared" si="0"/>
        <v xml:space="preserve">16+085A00HS-348  </v>
      </c>
      <c r="C13" s="162" t="str">
        <f t="shared" si="1"/>
        <v>16</v>
      </c>
      <c r="D13" s="162" t="str">
        <f t="shared" si="2"/>
        <v xml:space="preserve">085A00HS-348  </v>
      </c>
      <c r="E13" s="162" t="str">
        <f t="shared" si="3"/>
        <v>085</v>
      </c>
      <c r="F13" s="166" t="e">
        <f>IF(C13='Ціни контур теплопостачання'!$B$123,E13*'Ціни контур теплопостачання'!$C$123*'Ціни контур теплопостачання'!$E$123*'Ціни контур теплопостачання'!$F$123+'Ціни контур теплопостачання'!$D$123,IF(C13='Ціни контур теплопостачання'!$B$124,E13*'Ціни контур теплопостачання'!$C$124*'Ціни контур теплопостачання'!$E$124*'Ціни контур теплопостачання'!$F$124+'Ціни контур теплопостачання'!$D$124,IF(C13='Ціни контур теплопостачання'!$B$125,E13*'Ціни контур теплопостачання'!$C$125*'Ціни контур теплопостачання'!$E$125*'Ціни контур теплопостачання'!$F$125+'Ціни контур теплопостачання'!$D$125,IF(C13='Ціни контур теплопостачання'!$B$126,E13*'Ціни контур теплопостачання'!$C$126*'Ціни контур теплопостачання'!$E$126*'Ціни контур теплопостачання'!$F$126+'Ціни контур теплопостачання'!$D$126,IF(C13='Ціни контур теплопостачання'!$B$127,E13*'Ціни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" s="170" t="s">
        <v>142</v>
      </c>
      <c r="I13" s="162" t="str">
        <f t="shared" si="4"/>
        <v xml:space="preserve">16+035M50HS-341 </v>
      </c>
      <c r="J13" s="162" t="str">
        <f t="shared" si="5"/>
        <v>16</v>
      </c>
      <c r="K13" s="162" t="str">
        <f t="shared" si="6"/>
        <v xml:space="preserve">035M50HS-341 </v>
      </c>
      <c r="L13" s="162" t="str">
        <f t="shared" si="7"/>
        <v>035</v>
      </c>
      <c r="M13" s="166" t="e">
        <f>IF(J13='Ціни контур теплопостачання'!$B$123,L13*'Ціни контур теплопостачання'!$C$123*'Ціни контур теплопостачання'!$E$123*'Ціни контур теплопостачання'!$F$123+'Ціни контур теплопостачання'!$D$123,IF(J13='Ціни контур теплопостачання'!$B$124,L13*'Ціни контур теплопостачання'!$C$124*'Ціни контур теплопостачання'!$E$124*'Ціни контур теплопостачання'!$F$124+'Ціни контур теплопостачання'!$D$124,IF(J13='Ціни контур теплопостачання'!$B$125,L13*'Ціни контур теплопостачання'!$C$125*'Ціни контур теплопостачання'!$E$125*'Ціни контур теплопостачання'!$F$125+'Ціни контур теплопостачання'!$D$125,IF(J13='Ціни контур теплопостачання'!$B$126,L13*'Ціни контур теплопостачання'!$C$126*'Ціни контур теплопостачання'!$E$126*'Ціни контур теплопостачання'!$F$126+'Ціни контур теплопостачання'!$D$126,IF(J13='Ціни контур теплопостачання'!$B$127,L13*'Ціни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" spans="1:14">
      <c r="A14" s="168" t="s">
        <v>405</v>
      </c>
      <c r="B14" s="162" t="str">
        <f t="shared" si="0"/>
        <v xml:space="preserve">16+057A00HS-232  </v>
      </c>
      <c r="C14" s="162" t="str">
        <f t="shared" si="1"/>
        <v>16</v>
      </c>
      <c r="D14" s="162" t="str">
        <f t="shared" si="2"/>
        <v xml:space="preserve">057A00HS-232  </v>
      </c>
      <c r="E14" s="162" t="str">
        <f t="shared" si="3"/>
        <v>057</v>
      </c>
      <c r="F14" s="166" t="e">
        <f>IF(C14='Ціни контур теплопостачання'!$B$123,E14*'Ціни контур теплопостачання'!$C$123*'Ціни контур теплопостачання'!$E$123*'Ціни контур теплопостачання'!$F$123+'Ціни контур теплопостачання'!$D$123,IF(C14='Ціни контур теплопостачання'!$B$124,E14*'Ціни контур теплопостачання'!$C$124*'Ціни контур теплопостачання'!$E$124*'Ціни контур теплопостачання'!$F$124+'Ціни контур теплопостачання'!$D$124,IF(C14='Ціни контур теплопостачання'!$B$125,E14*'Ціни контур теплопостачання'!$C$125*'Ціни контур теплопостачання'!$E$125*'Ціни контур теплопостачання'!$F$125+'Ціни контур теплопостачання'!$D$125,IF(C14='Ціни контур теплопостачання'!$B$126,E14*'Ціни контур теплопостачання'!$C$126*'Ціни контур теплопостачання'!$E$126*'Ціни контур теплопостачання'!$F$126+'Ціни контур теплопостачання'!$D$126,IF(C14='Ціни контур теплопостачання'!$B$127,E14*'Ціни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" s="170" t="s">
        <v>143</v>
      </c>
      <c r="I14" s="162" t="str">
        <f t="shared" si="4"/>
        <v xml:space="preserve">08+039A00HS-228 </v>
      </c>
      <c r="J14" s="162" t="str">
        <f t="shared" si="5"/>
        <v>08</v>
      </c>
      <c r="K14" s="162" t="str">
        <f t="shared" si="6"/>
        <v xml:space="preserve">039A00HS-228 </v>
      </c>
      <c r="L14" s="162" t="str">
        <f t="shared" si="7"/>
        <v>039</v>
      </c>
      <c r="M14" s="166" t="e">
        <f>IF(J14='Ціни контур теплопостачання'!$B$123,L14*'Ціни контур теплопостачання'!$C$123*'Ціни контур теплопостачання'!$E$123*'Ціни контур теплопостачання'!$F$123+'Ціни контур теплопостачання'!$D$123,IF(J14='Ціни контур теплопостачання'!$B$124,L14*'Ціни контур теплопостачання'!$C$124*'Ціни контур теплопостачання'!$E$124*'Ціни контур теплопостачання'!$F$124+'Ціни контур теплопостачання'!$D$124,IF(J14='Ціни контур теплопостачання'!$B$125,L14*'Ціни контур теплопостачання'!$C$125*'Ціни контур теплопостачання'!$E$125*'Ціни контур теплопостачання'!$F$125+'Ціни контур теплопостачання'!$D$125,IF(J14='Ціни контур теплопостачання'!$B$126,L14*'Ціни контур теплопостачання'!$C$126*'Ціни контур теплопостачання'!$E$126*'Ціни контур теплопостачання'!$F$126+'Ціни контур теплопостачання'!$D$126,IF(J14='Ціни контур теплопостачання'!$B$127,L14*'Ціни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" spans="1:14">
      <c r="A15" s="168" t="s">
        <v>406</v>
      </c>
      <c r="B15" s="162" t="str">
        <f t="shared" si="0"/>
        <v xml:space="preserve">16+065A00HS-261  </v>
      </c>
      <c r="C15" s="162" t="str">
        <f t="shared" si="1"/>
        <v>16</v>
      </c>
      <c r="D15" s="162" t="str">
        <f t="shared" si="2"/>
        <v xml:space="preserve">065A00HS-261  </v>
      </c>
      <c r="E15" s="162" t="str">
        <f t="shared" si="3"/>
        <v>065</v>
      </c>
      <c r="F15" s="166" t="e">
        <f>IF(C15='Ціни контур теплопостачання'!$B$123,E15*'Ціни контур теплопостачання'!$C$123*'Ціни контур теплопостачання'!$E$123*'Ціни контур теплопостачання'!$F$123+'Ціни контур теплопостачання'!$D$123,IF(C15='Ціни контур теплопостачання'!$B$124,E15*'Ціни контур теплопостачання'!$C$124*'Ціни контур теплопостачання'!$E$124*'Ціни контур теплопостачання'!$F$124+'Ціни контур теплопостачання'!$D$124,IF(C15='Ціни контур теплопостачання'!$B$125,E15*'Ціни контур теплопостачання'!$C$125*'Ціни контур теплопостачання'!$E$125*'Ціни контур теплопостачання'!$F$125+'Ціни контур теплопостачання'!$D$125,IF(C15='Ціни контур теплопостачання'!$B$126,E15*'Ціни контур теплопостачання'!$C$126*'Ціни контур теплопостачання'!$E$126*'Ціни контур теплопостачання'!$F$126+'Ціни контур теплопостачання'!$D$126,IF(C15='Ціни контур теплопостачання'!$B$127,E15*'Ціни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" s="170" t="s">
        <v>144</v>
      </c>
      <c r="I15" s="162" t="str">
        <f t="shared" si="4"/>
        <v xml:space="preserve">08+051A00HS-289 </v>
      </c>
      <c r="J15" s="162" t="str">
        <f t="shared" si="5"/>
        <v>08</v>
      </c>
      <c r="K15" s="162" t="str">
        <f t="shared" si="6"/>
        <v xml:space="preserve">051A00HS-289 </v>
      </c>
      <c r="L15" s="162" t="str">
        <f t="shared" si="7"/>
        <v>051</v>
      </c>
      <c r="M15" s="166" t="e">
        <f>IF(J15='Ціни контур теплопостачання'!$B$123,L15*'Ціни контур теплопостачання'!$C$123*'Ціни контур теплопостачання'!$E$123*'Ціни контур теплопостачання'!$F$123+'Ціни контур теплопостачання'!$D$123,IF(J15='Ціни контур теплопостачання'!$B$124,L15*'Ціни контур теплопостачання'!$C$124*'Ціни контур теплопостачання'!$E$124*'Ціни контур теплопостачання'!$F$124+'Ціни контур теплопостачання'!$D$124,IF(J15='Ціни контур теплопостачання'!$B$125,L15*'Ціни контур теплопостачання'!$C$125*'Ціни контур теплопостачання'!$E$125*'Ціни контур теплопостачання'!$F$125+'Ціни контур теплопостачання'!$D$125,IF(J15='Ціни контур теплопостачання'!$B$126,L15*'Ціни контур теплопостачання'!$C$126*'Ціни контур теплопостачання'!$E$126*'Ціни контур теплопостачання'!$F$126+'Ціни контур теплопостачання'!$D$126,IF(J15='Ціни контур теплопостачання'!$B$127,L15*'Ціни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" spans="1:14">
      <c r="A16" s="168" t="s">
        <v>353</v>
      </c>
      <c r="B16" s="162" t="str">
        <f t="shared" si="0"/>
        <v xml:space="preserve">16+021A00HS-73  </v>
      </c>
      <c r="C16" s="162" t="str">
        <f t="shared" si="1"/>
        <v>16</v>
      </c>
      <c r="D16" s="162" t="str">
        <f t="shared" si="2"/>
        <v xml:space="preserve">021A00HS-73  </v>
      </c>
      <c r="E16" s="162" t="str">
        <f t="shared" si="3"/>
        <v>021</v>
      </c>
      <c r="F16" s="166" t="e">
        <f>IF(C16='Ціни контур теплопостачання'!$B$123,E16*'Ціни контур теплопостачання'!$C$123*'Ціни контур теплопостачання'!$E$123*'Ціни контур теплопостачання'!$F$123+'Ціни контур теплопостачання'!$D$123,IF(C16='Ціни контур теплопостачання'!$B$124,E16*'Ціни контур теплопостачання'!$C$124*'Ціни контур теплопостачання'!$E$124*'Ціни контур теплопостачання'!$F$124+'Ціни контур теплопостачання'!$D$124,IF(C16='Ціни контур теплопостачання'!$B$125,E16*'Ціни контур теплопостачання'!$C$125*'Ціни контур теплопостачання'!$E$125*'Ціни контур теплопостачання'!$F$125+'Ціни контур теплопостачання'!$D$125,IF(C16='Ціни контур теплопостачання'!$B$126,E16*'Ціни контур теплопостачання'!$C$126*'Ціни контур теплопостачання'!$E$126*'Ціни контур теплопостачання'!$F$126+'Ціни контур теплопостачання'!$D$126,IF(C16='Ціни контур теплопостачання'!$B$127,E16*'Ціни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" s="170" t="s">
        <v>145</v>
      </c>
      <c r="I16" s="162" t="str">
        <f t="shared" si="4"/>
        <v>16+009M50HS-75</v>
      </c>
      <c r="J16" s="162" t="str">
        <f t="shared" si="5"/>
        <v>16</v>
      </c>
      <c r="K16" s="162" t="str">
        <f t="shared" si="6"/>
        <v>009M50HS-75</v>
      </c>
      <c r="L16" s="162" t="str">
        <f t="shared" si="7"/>
        <v>009</v>
      </c>
      <c r="M16" s="166" t="e">
        <f>IF(J16='Ціни контур теплопостачання'!$B$123,L16*'Ціни контур теплопостачання'!$C$123*'Ціни контур теплопостачання'!$E$123*'Ціни контур теплопостачання'!$F$123+'Ціни контур теплопостачання'!$D$123,IF(J16='Ціни контур теплопостачання'!$B$124,L16*'Ціни контур теплопостачання'!$C$124*'Ціни контур теплопостачання'!$E$124*'Ціни контур теплопостачання'!$F$124+'Ціни контур теплопостачання'!$D$124,IF(J16='Ціни контур теплопостачання'!$B$125,L16*'Ціни контур теплопостачання'!$C$125*'Ціни контур теплопостачання'!$E$125*'Ціни контур теплопостачання'!$F$125+'Ціни контур теплопостачання'!$D$125,IF(J16='Ціни контур теплопостачання'!$B$126,L16*'Ціни контур теплопостачання'!$C$126*'Ціни контур теплопостачання'!$E$126*'Ціни контур теплопостачання'!$F$126+'Ціни контур теплопостачання'!$D$126,IF(J16='Ціни контур теплопостачання'!$B$127,L16*'Ціни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" spans="1:13">
      <c r="A17" s="168" t="s">
        <v>407</v>
      </c>
      <c r="B17" s="162" t="str">
        <f t="shared" si="0"/>
        <v xml:space="preserve">16+055A00HS-218  </v>
      </c>
      <c r="C17" s="162" t="str">
        <f t="shared" si="1"/>
        <v>16</v>
      </c>
      <c r="D17" s="162" t="str">
        <f t="shared" si="2"/>
        <v xml:space="preserve">055A00HS-218  </v>
      </c>
      <c r="E17" s="162" t="str">
        <f t="shared" si="3"/>
        <v>055</v>
      </c>
      <c r="F17" s="166" t="e">
        <f>IF(C17='Ціни контур теплопостачання'!$B$123,E17*'Ціни контур теплопостачання'!$C$123*'Ціни контур теплопостачання'!$E$123*'Ціни контур теплопостачання'!$F$123+'Ціни контур теплопостачання'!$D$123,IF(C17='Ціни контур теплопостачання'!$B$124,E17*'Ціни контур теплопостачання'!$C$124*'Ціни контур теплопостачання'!$E$124*'Ціни контур теплопостачання'!$F$124+'Ціни контур теплопостачання'!$D$124,IF(C17='Ціни контур теплопостачання'!$B$125,E17*'Ціни контур теплопостачання'!$C$125*'Ціни контур теплопостачання'!$E$125*'Ціни контур теплопостачання'!$F$125+'Ціни контур теплопостачання'!$D$125,IF(C17='Ціни контур теплопостачання'!$B$126,E17*'Ціни контур теплопостачання'!$C$126*'Ціни контур теплопостачання'!$E$126*'Ціни контур теплопостачання'!$F$126+'Ціни контур теплопостачання'!$D$126,IF(C17='Ціни контур теплопостачання'!$B$127,E17*'Ціни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" s="170" t="s">
        <v>146</v>
      </c>
      <c r="I17" s="162" t="str">
        <f t="shared" si="4"/>
        <v>08+039A00HS-225</v>
      </c>
      <c r="J17" s="162" t="str">
        <f t="shared" si="5"/>
        <v>08</v>
      </c>
      <c r="K17" s="162" t="str">
        <f t="shared" si="6"/>
        <v>039A00HS-225</v>
      </c>
      <c r="L17" s="162" t="str">
        <f t="shared" si="7"/>
        <v>039</v>
      </c>
      <c r="M17" s="166" t="e">
        <f>IF(J17='Ціни контур теплопостачання'!$B$123,L17*'Ціни контур теплопостачання'!$C$123*'Ціни контур теплопостачання'!$E$123*'Ціни контур теплопостачання'!$F$123+'Ціни контур теплопостачання'!$D$123,IF(J17='Ціни контур теплопостачання'!$B$124,L17*'Ціни контур теплопостачання'!$C$124*'Ціни контур теплопостачання'!$E$124*'Ціни контур теплопостачання'!$F$124+'Ціни контур теплопостачання'!$D$124,IF(J17='Ціни контур теплопостачання'!$B$125,L17*'Ціни контур теплопостачання'!$C$125*'Ціни контур теплопостачання'!$E$125*'Ціни контур теплопостачання'!$F$125+'Ціни контур теплопостачання'!$D$125,IF(J17='Ціни контур теплопостачання'!$B$126,L17*'Ціни контур теплопостачання'!$C$126*'Ціни контур теплопостачання'!$E$126*'Ціни контур теплопостачання'!$F$126+'Ціни контур теплопостачання'!$D$126,IF(J17='Ціни контур теплопостачання'!$B$127,L17*'Ціни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" spans="1:13">
      <c r="A18" s="168" t="s">
        <v>408</v>
      </c>
      <c r="B18" s="162" t="str">
        <f t="shared" si="0"/>
        <v xml:space="preserve">16+087A00HS-370  </v>
      </c>
      <c r="C18" s="162" t="str">
        <f t="shared" si="1"/>
        <v>16</v>
      </c>
      <c r="D18" s="162" t="str">
        <f t="shared" si="2"/>
        <v xml:space="preserve">087A00HS-370  </v>
      </c>
      <c r="E18" s="162" t="str">
        <f t="shared" si="3"/>
        <v>087</v>
      </c>
      <c r="F18" s="166" t="e">
        <f>IF(C18='Ціни контур теплопостачання'!$B$123,E18*'Ціни контур теплопостачання'!$C$123*'Ціни контур теплопостачання'!$E$123*'Ціни контур теплопостачання'!$F$123+'Ціни контур теплопостачання'!$D$123,IF(C18='Ціни контур теплопостачання'!$B$124,E18*'Ціни контур теплопостачання'!$C$124*'Ціни контур теплопостачання'!$E$124*'Ціни контур теплопостачання'!$F$124+'Ціни контур теплопостачання'!$D$124,IF(C18='Ціни контур теплопостачання'!$B$125,E18*'Ціни контур теплопостачання'!$C$125*'Ціни контур теплопостачання'!$E$125*'Ціни контур теплопостачання'!$F$125+'Ціни контур теплопостачання'!$D$125,IF(C18='Ціни контур теплопостачання'!$B$126,E18*'Ціни контур теплопостачання'!$C$126*'Ціни контур теплопостачання'!$E$126*'Ціни контур теплопостачання'!$F$126+'Ціни контур теплопостачання'!$D$126,IF(C18='Ціни контур теплопостачання'!$B$127,E18*'Ціни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" s="170" t="s">
        <v>147</v>
      </c>
      <c r="I18" s="162" t="str">
        <f t="shared" si="4"/>
        <v xml:space="preserve">16+037M50HS-373 </v>
      </c>
      <c r="J18" s="162" t="str">
        <f t="shared" si="5"/>
        <v>16</v>
      </c>
      <c r="K18" s="162" t="str">
        <f t="shared" si="6"/>
        <v xml:space="preserve">037M50HS-373 </v>
      </c>
      <c r="L18" s="162" t="str">
        <f t="shared" si="7"/>
        <v>037</v>
      </c>
      <c r="M18" s="166" t="e">
        <f>IF(J18='Ціни контур теплопостачання'!$B$123,L18*'Ціни контур теплопостачання'!$C$123*'Ціни контур теплопостачання'!$E$123*'Ціни контур теплопостачання'!$F$123+'Ціни контур теплопостачання'!$D$123,IF(J18='Ціни контур теплопостачання'!$B$124,L18*'Ціни контур теплопостачання'!$C$124*'Ціни контур теплопостачання'!$E$124*'Ціни контур теплопостачання'!$F$124+'Ціни контур теплопостачання'!$D$124,IF(J18='Ціни контур теплопостачання'!$B$125,L18*'Ціни контур теплопостачання'!$C$125*'Ціни контур теплопостачання'!$E$125*'Ціни контур теплопостачання'!$F$125+'Ціни контур теплопостачання'!$D$125,IF(J18='Ціни контур теплопостачання'!$B$126,L18*'Ціни контур теплопостачання'!$C$126*'Ціни контур теплопостачання'!$E$126*'Ціни контур теплопостачання'!$F$126+'Ціни контур теплопостачання'!$D$126,IF(J18='Ціни контур теплопостачання'!$B$127,L18*'Ціни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" spans="1:13">
      <c r="A19" s="168" t="s">
        <v>409</v>
      </c>
      <c r="B19" s="162" t="str">
        <f t="shared" si="0"/>
        <v xml:space="preserve">16+071A00HS-294  </v>
      </c>
      <c r="C19" s="162" t="str">
        <f t="shared" si="1"/>
        <v>16</v>
      </c>
      <c r="D19" s="162" t="str">
        <f t="shared" si="2"/>
        <v xml:space="preserve">071A00HS-294  </v>
      </c>
      <c r="E19" s="162" t="str">
        <f t="shared" si="3"/>
        <v>071</v>
      </c>
      <c r="F19" s="166" t="e">
        <f>IF(C19='Ціни контур теплопостачання'!$B$123,E19*'Ціни контур теплопостачання'!$C$123*'Ціни контур теплопостачання'!$E$123*'Ціни контур теплопостачання'!$F$123+'Ціни контур теплопостачання'!$D$123,IF(C19='Ціни контур теплопостачання'!$B$124,E19*'Ціни контур теплопостачання'!$C$124*'Ціни контур теплопостачання'!$E$124*'Ціни контур теплопостачання'!$F$124+'Ціни контур теплопостачання'!$D$124,IF(C19='Ціни контур теплопостачання'!$B$125,E19*'Ціни контур теплопостачання'!$C$125*'Ціни контур теплопостачання'!$E$125*'Ціни контур теплопостачання'!$F$125+'Ціни контур теплопостачання'!$D$125,IF(C19='Ціни контур теплопостачання'!$B$126,E19*'Ціни контур теплопостачання'!$C$126*'Ціни контур теплопостачання'!$E$126*'Ціни контур теплопостачання'!$F$126+'Ціни контур теплопостачання'!$D$126,IF(C19='Ціни контур теплопостачання'!$B$127,E19*'Ціни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" s="170" t="s">
        <v>148</v>
      </c>
      <c r="I19" s="162" t="str">
        <f t="shared" si="4"/>
        <v xml:space="preserve">16+035M50HS-353 </v>
      </c>
      <c r="J19" s="162" t="str">
        <f t="shared" si="5"/>
        <v>16</v>
      </c>
      <c r="K19" s="162" t="str">
        <f t="shared" si="6"/>
        <v xml:space="preserve">035M50HS-353 </v>
      </c>
      <c r="L19" s="162" t="str">
        <f t="shared" si="7"/>
        <v>035</v>
      </c>
      <c r="M19" s="166" t="e">
        <f>IF(J19='Ціни контур теплопостачання'!$B$123,L19*'Ціни контур теплопостачання'!$C$123*'Ціни контур теплопостачання'!$E$123*'Ціни контур теплопостачання'!$F$123+'Ціни контур теплопостачання'!$D$123,IF(J19='Ціни контур теплопостачання'!$B$124,L19*'Ціни контур теплопостачання'!$C$124*'Ціни контур теплопостачання'!$E$124*'Ціни контур теплопостачання'!$F$124+'Ціни контур теплопостачання'!$D$124,IF(J19='Ціни контур теплопостачання'!$B$125,L19*'Ціни контур теплопостачання'!$C$125*'Ціни контур теплопостачання'!$E$125*'Ціни контур теплопостачання'!$F$125+'Ціни контур теплопостачання'!$D$125,IF(J19='Ціни контур теплопостачання'!$B$126,L19*'Ціни контур теплопостачання'!$C$126*'Ціни контур теплопостачання'!$E$126*'Ціни контур теплопостачання'!$F$126+'Ціни контур теплопостачання'!$D$126,IF(J19='Ціни контур теплопостачання'!$B$127,L19*'Ціни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" spans="1:13">
      <c r="A20" s="168" t="s">
        <v>410</v>
      </c>
      <c r="B20" s="162" t="str">
        <f t="shared" si="0"/>
        <v xml:space="preserve">16+057A00HS-224  </v>
      </c>
      <c r="C20" s="162" t="str">
        <f t="shared" si="1"/>
        <v>16</v>
      </c>
      <c r="D20" s="162" t="str">
        <f t="shared" si="2"/>
        <v xml:space="preserve">057A00HS-224  </v>
      </c>
      <c r="E20" s="162" t="str">
        <f t="shared" si="3"/>
        <v>057</v>
      </c>
      <c r="F20" s="166" t="e">
        <f>IF(C20='Ціни контур теплопостачання'!$B$123,E20*'Ціни контур теплопостачання'!$C$123*'Ціни контур теплопостачання'!$E$123*'Ціни контур теплопостачання'!$F$123+'Ціни контур теплопостачання'!$D$123,IF(C20='Ціни контур теплопостачання'!$B$124,E20*'Ціни контур теплопостачання'!$C$124*'Ціни контур теплопостачання'!$E$124*'Ціни контур теплопостачання'!$F$124+'Ціни контур теплопостачання'!$D$124,IF(C20='Ціни контур теплопостачання'!$B$125,E20*'Ціни контур теплопостачання'!$C$125*'Ціни контур теплопостачання'!$E$125*'Ціни контур теплопостачання'!$F$125+'Ціни контур теплопостачання'!$D$125,IF(C20='Ціни контур теплопостачання'!$B$126,E20*'Ціни контур теплопостачання'!$C$126*'Ціни контур теплопостачання'!$E$126*'Ціни контур теплопостачання'!$F$126+'Ціни контур теплопостачання'!$D$126,IF(C20='Ціни контур теплопостачання'!$B$127,E20*'Ціни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" s="170" t="s">
        <v>149</v>
      </c>
      <c r="I20" s="162" t="str">
        <f t="shared" si="4"/>
        <v xml:space="preserve">08+037A00HS-212 </v>
      </c>
      <c r="J20" s="162" t="str">
        <f t="shared" si="5"/>
        <v>08</v>
      </c>
      <c r="K20" s="162" t="str">
        <f t="shared" si="6"/>
        <v xml:space="preserve">037A00HS-212 </v>
      </c>
      <c r="L20" s="162" t="str">
        <f t="shared" si="7"/>
        <v>037</v>
      </c>
      <c r="M20" s="166" t="e">
        <f>IF(J20='Ціни контур теплопостачання'!$B$123,L20*'Ціни контур теплопостачання'!$C$123*'Ціни контур теплопостачання'!$E$123*'Ціни контур теплопостачання'!$F$123+'Ціни контур теплопостачання'!$D$123,IF(J20='Ціни контур теплопостачання'!$B$124,L20*'Ціни контур теплопостачання'!$C$124*'Ціни контур теплопостачання'!$E$124*'Ціни контур теплопостачання'!$F$124+'Ціни контур теплопостачання'!$D$124,IF(J20='Ціни контур теплопостачання'!$B$125,L20*'Ціни контур теплопостачання'!$C$125*'Ціни контур теплопостачання'!$E$125*'Ціни контур теплопостачання'!$F$125+'Ціни контур теплопостачання'!$D$125,IF(J20='Ціни контур теплопостачання'!$B$126,L20*'Ціни контур теплопостачання'!$C$126*'Ціни контур теплопостачання'!$E$126*'Ціни контур теплопостачання'!$F$126+'Ціни контур теплопостачання'!$D$126,IF(J20='Ціни контур теплопостачання'!$B$127,L20*'Ціни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" spans="1:13">
      <c r="A21" s="168" t="s">
        <v>410</v>
      </c>
      <c r="B21" s="162" t="str">
        <f t="shared" si="0"/>
        <v xml:space="preserve">16+057A00HS-224  </v>
      </c>
      <c r="C21" s="162" t="str">
        <f t="shared" si="1"/>
        <v>16</v>
      </c>
      <c r="D21" s="162" t="str">
        <f t="shared" si="2"/>
        <v xml:space="preserve">057A00HS-224  </v>
      </c>
      <c r="E21" s="162" t="str">
        <f t="shared" si="3"/>
        <v>057</v>
      </c>
      <c r="F21" s="166" t="e">
        <f>IF(C21='Ціни контур теплопостачання'!$B$123,E21*'Ціни контур теплопостачання'!$C$123*'Ціни контур теплопостачання'!$E$123*'Ціни контур теплопостачання'!$F$123+'Ціни контур теплопостачання'!$D$123,IF(C21='Ціни контур теплопостачання'!$B$124,E21*'Ціни контур теплопостачання'!$C$124*'Ціни контур теплопостачання'!$E$124*'Ціни контур теплопостачання'!$F$124+'Ціни контур теплопостачання'!$D$124,IF(C21='Ціни контур теплопостачання'!$B$125,E21*'Ціни контур теплопостачання'!$C$125*'Ціни контур теплопостачання'!$E$125*'Ціни контур теплопостачання'!$F$125+'Ціни контур теплопостачання'!$D$125,IF(C21='Ціни контур теплопостачання'!$B$126,E21*'Ціни контур теплопостачання'!$C$126*'Ціни контур теплопостачання'!$E$126*'Ціни контур теплопостачання'!$F$126+'Ціни контур теплопостачання'!$D$126,IF(C21='Ціни контур теплопостачання'!$B$127,E21*'Ціни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" s="170" t="s">
        <v>149</v>
      </c>
      <c r="I21" s="162" t="str">
        <f t="shared" si="4"/>
        <v xml:space="preserve">08+037A00HS-212 </v>
      </c>
      <c r="J21" s="162" t="str">
        <f t="shared" si="5"/>
        <v>08</v>
      </c>
      <c r="K21" s="162" t="str">
        <f t="shared" si="6"/>
        <v xml:space="preserve">037A00HS-212 </v>
      </c>
      <c r="L21" s="162" t="str">
        <f t="shared" si="7"/>
        <v>037</v>
      </c>
      <c r="M21" s="166" t="e">
        <f>IF(J21='Ціни контур теплопостачання'!$B$123,L21*'Ціни контур теплопостачання'!$C$123*'Ціни контур теплопостачання'!$E$123*'Ціни контур теплопостачання'!$F$123+'Ціни контур теплопостачання'!$D$123,IF(J21='Ціни контур теплопостачання'!$B$124,L21*'Ціни контур теплопостачання'!$C$124*'Ціни контур теплопостачання'!$E$124*'Ціни контур теплопостачання'!$F$124+'Ціни контур теплопостачання'!$D$124,IF(J21='Ціни контур теплопостачання'!$B$125,L21*'Ціни контур теплопостачання'!$C$125*'Ціни контур теплопостачання'!$E$125*'Ціни контур теплопостачання'!$F$125+'Ціни контур теплопостачання'!$D$125,IF(J21='Ціни контур теплопостачання'!$B$126,L21*'Ціни контур теплопостачання'!$C$126*'Ціни контур теплопостачання'!$E$126*'Ціни контур теплопостачання'!$F$126+'Ціни контур теплопостачання'!$D$126,IF(J21='Ціни контур теплопостачання'!$B$127,L21*'Ціни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" spans="1:13">
      <c r="A22" s="168" t="s">
        <v>411</v>
      </c>
      <c r="B22" s="162" t="str">
        <f t="shared" si="0"/>
        <v xml:space="preserve">16+023A00HS-84  </v>
      </c>
      <c r="C22" s="162" t="str">
        <f t="shared" si="1"/>
        <v>16</v>
      </c>
      <c r="D22" s="162" t="str">
        <f t="shared" si="2"/>
        <v xml:space="preserve">023A00HS-84  </v>
      </c>
      <c r="E22" s="162" t="str">
        <f t="shared" si="3"/>
        <v>023</v>
      </c>
      <c r="F22" s="166" t="e">
        <f>IF(C22='Ціни контур теплопостачання'!$B$123,E22*'Ціни контур теплопостачання'!$C$123*'Ціни контур теплопостачання'!$E$123*'Ціни контур теплопостачання'!$F$123+'Ціни контур теплопостачання'!$D$123,IF(C22='Ціни контур теплопостачання'!$B$124,E22*'Ціни контур теплопостачання'!$C$124*'Ціни контур теплопостачання'!$E$124*'Ціни контур теплопостачання'!$F$124+'Ціни контур теплопостачання'!$D$124,IF(C22='Ціни контур теплопостачання'!$B$125,E22*'Ціни контур теплопостачання'!$C$125*'Ціни контур теплопостачання'!$E$125*'Ціни контур теплопостачання'!$F$125+'Ціни контур теплопостачання'!$D$125,IF(C22='Ціни контур теплопостачання'!$B$126,E22*'Ціни контур теплопостачання'!$C$126*'Ціни контур теплопостачання'!$E$126*'Ціни контур теплопостачання'!$F$126+'Ціни контур теплопостачання'!$D$126,IF(C22='Ціни контур теплопостачання'!$B$127,E22*'Ціни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" s="170" t="s">
        <v>150</v>
      </c>
      <c r="I22" s="162" t="str">
        <f t="shared" si="4"/>
        <v xml:space="preserve">16+009M50HS-68 </v>
      </c>
      <c r="J22" s="162" t="str">
        <f t="shared" si="5"/>
        <v>16</v>
      </c>
      <c r="K22" s="162" t="str">
        <f t="shared" si="6"/>
        <v xml:space="preserve">009M50HS-68 </v>
      </c>
      <c r="L22" s="162" t="str">
        <f t="shared" si="7"/>
        <v>009</v>
      </c>
      <c r="M22" s="166" t="e">
        <f>IF(J22='Ціни контур теплопостачання'!$B$123,L22*'Ціни контур теплопостачання'!$C$123*'Ціни контур теплопостачання'!$E$123*'Ціни контур теплопостачання'!$F$123+'Ціни контур теплопостачання'!$D$123,IF(J22='Ціни контур теплопостачання'!$B$124,L22*'Ціни контур теплопостачання'!$C$124*'Ціни контур теплопостачання'!$E$124*'Ціни контур теплопостачання'!$F$124+'Ціни контур теплопостачання'!$D$124,IF(J22='Ціни контур теплопостачання'!$B$125,L22*'Ціни контур теплопостачання'!$C$125*'Ціни контур теплопостачання'!$E$125*'Ціни контур теплопостачання'!$F$125+'Ціни контур теплопостачання'!$D$125,IF(J22='Ціни контур теплопостачання'!$B$126,L22*'Ціни контур теплопостачання'!$C$126*'Ціни контур теплопостачання'!$E$126*'Ціни контур теплопостачання'!$F$126+'Ціни контур теплопостачання'!$D$126,IF(J22='Ціни контур теплопостачання'!$B$127,L22*'Ціни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" spans="1:13">
      <c r="A23" s="168" t="s">
        <v>630</v>
      </c>
      <c r="B23" s="162" t="str">
        <f t="shared" si="0"/>
        <v xml:space="preserve">16+043A00HS-168 </v>
      </c>
      <c r="C23" s="162" t="str">
        <f t="shared" si="1"/>
        <v>16</v>
      </c>
      <c r="D23" s="162" t="str">
        <f t="shared" si="2"/>
        <v xml:space="preserve">043A00HS-168 </v>
      </c>
      <c r="E23" s="162" t="str">
        <f t="shared" si="3"/>
        <v>043</v>
      </c>
      <c r="F23" s="166" t="e">
        <f>IF(C23='Ціни контур теплопостачання'!$B$123,E23*'Ціни контур теплопостачання'!$C$123*'Ціни контур теплопостачання'!$E$123*'Ціни контур теплопостачання'!$F$123+'Ціни контур теплопостачання'!$D$123,IF(C23='Ціни контур теплопостачання'!$B$124,E23*'Ціни контур теплопостачання'!$C$124*'Ціни контур теплопостачання'!$E$124*'Ціни контур теплопостачання'!$F$124+'Ціни контур теплопостачання'!$D$124,IF(C23='Ціни контур теплопостачання'!$B$125,E23*'Ціни контур теплопостачання'!$C$125*'Ціни контур теплопостачання'!$E$125*'Ціни контур теплопостачання'!$F$125+'Ціни контур теплопостачання'!$D$125,IF(C23='Ціни контур теплопостачання'!$B$126,E23*'Ціни контур теплопостачання'!$C$126*'Ціни контур теплопостачання'!$E$126*'Ціни контур теплопостачання'!$F$126+'Ціни контур теплопостачання'!$D$126,IF(C23='Ціни контур теплопостачання'!$B$127,E23*'Ціни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" s="170" t="s">
        <v>151</v>
      </c>
      <c r="I23" s="162" t="str">
        <f t="shared" si="4"/>
        <v xml:space="preserve">08+023A00HS-137 </v>
      </c>
      <c r="J23" s="162" t="str">
        <f t="shared" si="5"/>
        <v>08</v>
      </c>
      <c r="K23" s="162" t="str">
        <f t="shared" si="6"/>
        <v xml:space="preserve">023A00HS-137 </v>
      </c>
      <c r="L23" s="162" t="str">
        <f t="shared" si="7"/>
        <v>023</v>
      </c>
      <c r="M23" s="166" t="e">
        <f>IF(J23='Ціни контур теплопостачання'!$B$123,L23*'Ціни контур теплопостачання'!$C$123*'Ціни контур теплопостачання'!$E$123*'Ціни контур теплопостачання'!$F$123+'Ціни контур теплопостачання'!$D$123,IF(J23='Ціни контур теплопостачання'!$B$124,L23*'Ціни контур теплопостачання'!$C$124*'Ціни контур теплопостачання'!$E$124*'Ціни контур теплопостачання'!$F$124+'Ціни контур теплопостачання'!$D$124,IF(J23='Ціни контур теплопостачання'!$B$125,L23*'Ціни контур теплопостачання'!$C$125*'Ціни контур теплопостачання'!$E$125*'Ціни контур теплопостачання'!$F$125+'Ціни контур теплопостачання'!$D$125,IF(J23='Ціни контур теплопостачання'!$B$126,L23*'Ціни контур теплопостачання'!$C$126*'Ціни контур теплопостачання'!$E$126*'Ціни контур теплопостачання'!$F$126+'Ціни контур теплопостачання'!$D$126,IF(J23='Ціни контур теплопостачання'!$B$127,L23*'Ціни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" spans="1:13">
      <c r="A24" s="168" t="s">
        <v>412</v>
      </c>
      <c r="B24" s="162" t="str">
        <f t="shared" si="0"/>
        <v xml:space="preserve">16+061A00HS-252  </v>
      </c>
      <c r="C24" s="162" t="str">
        <f t="shared" si="1"/>
        <v>16</v>
      </c>
      <c r="D24" s="162" t="str">
        <f t="shared" si="2"/>
        <v xml:space="preserve">061A00HS-252  </v>
      </c>
      <c r="E24" s="162" t="str">
        <f t="shared" si="3"/>
        <v>061</v>
      </c>
      <c r="F24" s="166" t="e">
        <f>IF(C24='Ціни контур теплопостачання'!$B$123,E24*'Ціни контур теплопостачання'!$C$123*'Ціни контур теплопостачання'!$E$123*'Ціни контур теплопостачання'!$F$123+'Ціни контур теплопостачання'!$D$123,IF(C24='Ціни контур теплопостачання'!$B$124,E24*'Ціни контур теплопостачання'!$C$124*'Ціни контур теплопостачання'!$E$124*'Ціни контур теплопостачання'!$F$124+'Ціни контур теплопостачання'!$D$124,IF(C24='Ціни контур теплопостачання'!$B$125,E24*'Ціни контур теплопостачання'!$C$125*'Ціни контур теплопостачання'!$E$125*'Ціни контур теплопостачання'!$F$125+'Ціни контур теплопостачання'!$D$125,IF(C24='Ціни контур теплопостачання'!$B$126,E24*'Ціни контур теплопостачання'!$C$126*'Ціни контур теплопостачання'!$E$126*'Ціни контур теплопостачання'!$F$126+'Ціни контур теплопостачання'!$D$126,IF(C24='Ціни контур теплопостачання'!$B$127,E24*'Ціни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" s="170" t="s">
        <v>152</v>
      </c>
      <c r="I24" s="162" t="str">
        <f t="shared" si="4"/>
        <v xml:space="preserve">08+035A00HS-205 </v>
      </c>
      <c r="J24" s="162" t="str">
        <f t="shared" si="5"/>
        <v>08</v>
      </c>
      <c r="K24" s="162" t="str">
        <f t="shared" si="6"/>
        <v xml:space="preserve">035A00HS-205 </v>
      </c>
      <c r="L24" s="162" t="str">
        <f t="shared" si="7"/>
        <v>035</v>
      </c>
      <c r="M24" s="166" t="e">
        <f>IF(J24='Ціни контур теплопостачання'!$B$123,L24*'Ціни контур теплопостачання'!$C$123*'Ціни контур теплопостачання'!$E$123*'Ціни контур теплопостачання'!$F$123+'Ціни контур теплопостачання'!$D$123,IF(J24='Ціни контур теплопостачання'!$B$124,L24*'Ціни контур теплопостачання'!$C$124*'Ціни контур теплопостачання'!$E$124*'Ціни контур теплопостачання'!$F$124+'Ціни контур теплопостачання'!$D$124,IF(J24='Ціни контур теплопостачання'!$B$125,L24*'Ціни контур теплопостачання'!$C$125*'Ціни контур теплопостачання'!$E$125*'Ціни контур теплопостачання'!$F$125+'Ціни контур теплопостачання'!$D$125,IF(J24='Ціни контур теплопостачання'!$B$126,L24*'Ціни контур теплопостачання'!$C$126*'Ціни контур теплопостачання'!$E$126*'Ціни контур теплопостачання'!$F$126+'Ціни контур теплопостачання'!$D$126,IF(J24='Ціни контур теплопостачання'!$B$127,L24*'Ціни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" spans="1:13">
      <c r="A25" s="168" t="s">
        <v>630</v>
      </c>
      <c r="B25" s="162" t="str">
        <f t="shared" si="0"/>
        <v xml:space="preserve">16+043A00HS-168 </v>
      </c>
      <c r="C25" s="162" t="str">
        <f t="shared" si="1"/>
        <v>16</v>
      </c>
      <c r="D25" s="162" t="str">
        <f t="shared" si="2"/>
        <v xml:space="preserve">043A00HS-168 </v>
      </c>
      <c r="E25" s="162" t="str">
        <f t="shared" si="3"/>
        <v>043</v>
      </c>
      <c r="F25" s="166" t="e">
        <f>IF(C25='Ціни контур теплопостачання'!$B$123,E25*'Ціни контур теплопостачання'!$C$123*'Ціни контур теплопостачання'!$E$123*'Ціни контур теплопостачання'!$F$123+'Ціни контур теплопостачання'!$D$123,IF(C25='Ціни контур теплопостачання'!$B$124,E25*'Ціни контур теплопостачання'!$C$124*'Ціни контур теплопостачання'!$E$124*'Ціни контур теплопостачання'!$F$124+'Ціни контур теплопостачання'!$D$124,IF(C25='Ціни контур теплопостачання'!$B$125,E25*'Ціни контур теплопостачання'!$C$125*'Ціни контур теплопостачання'!$E$125*'Ціни контур теплопостачання'!$F$125+'Ціни контур теплопостачання'!$D$125,IF(C25='Ціни контур теплопостачання'!$B$126,E25*'Ціни контур теплопостачання'!$C$126*'Ціни контур теплопостачання'!$E$126*'Ціни контур теплопостачання'!$F$126+'Ціни контур теплопостачання'!$D$126,IF(C25='Ціни контур теплопостачання'!$B$127,E25*'Ціни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" s="170" t="s">
        <v>151</v>
      </c>
      <c r="I25" s="162" t="str">
        <f t="shared" si="4"/>
        <v xml:space="preserve">08+023A00HS-137 </v>
      </c>
      <c r="J25" s="162" t="str">
        <f t="shared" si="5"/>
        <v>08</v>
      </c>
      <c r="K25" s="162" t="str">
        <f t="shared" si="6"/>
        <v xml:space="preserve">023A00HS-137 </v>
      </c>
      <c r="L25" s="162" t="str">
        <f t="shared" si="7"/>
        <v>023</v>
      </c>
      <c r="M25" s="166" t="e">
        <f>IF(J25='Ціни контур теплопостачання'!$B$123,L25*'Ціни контур теплопостачання'!$C$123*'Ціни контур теплопостачання'!$E$123*'Ціни контур теплопостачання'!$F$123+'Ціни контур теплопостачання'!$D$123,IF(J25='Ціни контур теплопостачання'!$B$124,L25*'Ціни контур теплопостачання'!$C$124*'Ціни контур теплопостачання'!$E$124*'Ціни контур теплопостачання'!$F$124+'Ціни контур теплопостачання'!$D$124,IF(J25='Ціни контур теплопостачання'!$B$125,L25*'Ціни контур теплопостачання'!$C$125*'Ціни контур теплопостачання'!$E$125*'Ціни контур теплопостачання'!$F$125+'Ціни контур теплопостачання'!$D$125,IF(J25='Ціни контур теплопостачання'!$B$126,L25*'Ціни контур теплопостачання'!$C$126*'Ціни контур теплопостачання'!$E$126*'Ціни контур теплопостачання'!$F$126+'Ціни контур теплопостачання'!$D$126,IF(J25='Ціни контур теплопостачання'!$B$127,L25*'Ціни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6" spans="1:13">
      <c r="A26" s="168" t="s">
        <v>413</v>
      </c>
      <c r="B26" s="162" t="str">
        <f t="shared" si="0"/>
        <v xml:space="preserve">16+059A00HS-243  </v>
      </c>
      <c r="C26" s="162" t="str">
        <f t="shared" si="1"/>
        <v>16</v>
      </c>
      <c r="D26" s="162" t="str">
        <f t="shared" si="2"/>
        <v xml:space="preserve">059A00HS-243  </v>
      </c>
      <c r="E26" s="162" t="str">
        <f t="shared" si="3"/>
        <v>059</v>
      </c>
      <c r="F26" s="166" t="e">
        <f>IF(C26='Ціни контур теплопостачання'!$B$123,E26*'Ціни контур теплопостачання'!$C$123*'Ціни контур теплопостачання'!$E$123*'Ціни контур теплопостачання'!$F$123+'Ціни контур теплопостачання'!$D$123,IF(C26='Ціни контур теплопостачання'!$B$124,E26*'Ціни контур теплопостачання'!$C$124*'Ціни контур теплопостачання'!$E$124*'Ціни контур теплопостачання'!$F$124+'Ціни контур теплопостачання'!$D$124,IF(C26='Ціни контур теплопостачання'!$B$125,E26*'Ціни контур теплопостачання'!$C$125*'Ціни контур теплопостачання'!$E$125*'Ціни контур теплопостачання'!$F$125+'Ціни контур теплопостачання'!$D$125,IF(C26='Ціни контур теплопостачання'!$B$126,E26*'Ціни контур теплопостачання'!$C$126*'Ціни контур теплопостачання'!$E$126*'Ціни контур теплопостачання'!$F$126+'Ціни контур теплопостачання'!$D$126,IF(C26='Ціни контур теплопостачання'!$B$127,E26*'Ціни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6" s="170" t="s">
        <v>153</v>
      </c>
      <c r="I26" s="162" t="str">
        <f t="shared" si="4"/>
        <v xml:space="preserve">08+035A00HS-203 </v>
      </c>
      <c r="J26" s="162" t="str">
        <f t="shared" si="5"/>
        <v>08</v>
      </c>
      <c r="K26" s="162" t="str">
        <f t="shared" si="6"/>
        <v xml:space="preserve">035A00HS-203 </v>
      </c>
      <c r="L26" s="162" t="str">
        <f t="shared" si="7"/>
        <v>035</v>
      </c>
      <c r="M26" s="166" t="e">
        <f>IF(J26='Ціни контур теплопостачання'!$B$123,L26*'Ціни контур теплопостачання'!$C$123*'Ціни контур теплопостачання'!$E$123*'Ціни контур теплопостачання'!$F$123+'Ціни контур теплопостачання'!$D$123,IF(J26='Ціни контур теплопостачання'!$B$124,L26*'Ціни контур теплопостачання'!$C$124*'Ціни контур теплопостачання'!$E$124*'Ціни контур теплопостачання'!$F$124+'Ціни контур теплопостачання'!$D$124,IF(J26='Ціни контур теплопостачання'!$B$125,L26*'Ціни контур теплопостачання'!$C$125*'Ціни контур теплопостачання'!$E$125*'Ціни контур теплопостачання'!$F$125+'Ціни контур теплопостачання'!$D$125,IF(J26='Ціни контур теплопостачання'!$B$126,L26*'Ціни контур теплопостачання'!$C$126*'Ціни контур теплопостачання'!$E$126*'Ціни контур теплопостачання'!$F$126+'Ціни контур теплопостачання'!$D$126,IF(J26='Ціни контур теплопостачання'!$B$127,L26*'Ціни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7" spans="1:13">
      <c r="A27" s="168" t="s">
        <v>414</v>
      </c>
      <c r="B27" s="162" t="str">
        <f t="shared" si="0"/>
        <v xml:space="preserve">16+043A00HS-162  </v>
      </c>
      <c r="C27" s="162" t="str">
        <f t="shared" si="1"/>
        <v>16</v>
      </c>
      <c r="D27" s="162" t="str">
        <f t="shared" si="2"/>
        <v xml:space="preserve">043A00HS-162  </v>
      </c>
      <c r="E27" s="162" t="str">
        <f t="shared" si="3"/>
        <v>043</v>
      </c>
      <c r="F27" s="166" t="e">
        <f>IF(C27='Ціни контур теплопостачання'!$B$123,E27*'Ціни контур теплопостачання'!$C$123*'Ціни контур теплопостачання'!$E$123*'Ціни контур теплопостачання'!$F$123+'Ціни контур теплопостачання'!$D$123,IF(C27='Ціни контур теплопостачання'!$B$124,E27*'Ціни контур теплопостачання'!$C$124*'Ціни контур теплопостачання'!$E$124*'Ціни контур теплопостачання'!$F$124+'Ціни контур теплопостачання'!$D$124,IF(C27='Ціни контур теплопостачання'!$B$125,E27*'Ціни контур теплопостачання'!$C$125*'Ціни контур теплопостачання'!$E$125*'Ціни контур теплопостачання'!$F$125+'Ціни контур теплопостачання'!$D$125,IF(C27='Ціни контур теплопостачання'!$B$126,E27*'Ціни контур теплопостачання'!$C$126*'Ціни контур теплопостачання'!$E$126*'Ціни контур теплопостачання'!$F$126+'Ціни контур теплопостачання'!$D$126,IF(C27='Ціни контур теплопостачання'!$B$127,E27*'Ціни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7" s="170" t="s">
        <v>154</v>
      </c>
      <c r="I27" s="162" t="str">
        <f t="shared" si="4"/>
        <v xml:space="preserve">08+023A00HS-136 </v>
      </c>
      <c r="J27" s="162" t="str">
        <f t="shared" si="5"/>
        <v>08</v>
      </c>
      <c r="K27" s="162" t="str">
        <f t="shared" si="6"/>
        <v xml:space="preserve">023A00HS-136 </v>
      </c>
      <c r="L27" s="162" t="str">
        <f t="shared" si="7"/>
        <v>023</v>
      </c>
      <c r="M27" s="166" t="e">
        <f>IF(J27='Ціни контур теплопостачання'!$B$123,L27*'Ціни контур теплопостачання'!$C$123*'Ціни контур теплопостачання'!$E$123*'Ціни контур теплопостачання'!$F$123+'Ціни контур теплопостачання'!$D$123,IF(J27='Ціни контур теплопостачання'!$B$124,L27*'Ціни контур теплопостачання'!$C$124*'Ціни контур теплопостачання'!$E$124*'Ціни контур теплопостачання'!$F$124+'Ціни контур теплопостачання'!$D$124,IF(J27='Ціни контур теплопостачання'!$B$125,L27*'Ціни контур теплопостачання'!$C$125*'Ціни контур теплопостачання'!$E$125*'Ціни контур теплопостачання'!$F$125+'Ціни контур теплопостачання'!$D$125,IF(J27='Ціни контур теплопостачання'!$B$126,L27*'Ціни контур теплопостачання'!$C$126*'Ціни контур теплопостачання'!$E$126*'Ціни контур теплопостачання'!$F$126+'Ціни контур теплопостачання'!$D$126,IF(J27='Ціни контур теплопостачання'!$B$127,L27*'Ціни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8" spans="1:13">
      <c r="A28" s="168" t="s">
        <v>414</v>
      </c>
      <c r="B28" s="162" t="str">
        <f t="shared" si="0"/>
        <v xml:space="preserve">16+043A00HS-162  </v>
      </c>
      <c r="C28" s="162" t="str">
        <f t="shared" si="1"/>
        <v>16</v>
      </c>
      <c r="D28" s="162" t="str">
        <f t="shared" si="2"/>
        <v xml:space="preserve">043A00HS-162  </v>
      </c>
      <c r="E28" s="162" t="str">
        <f t="shared" si="3"/>
        <v>043</v>
      </c>
      <c r="F28" s="166" t="e">
        <f>IF(C28='Ціни контур теплопостачання'!$B$123,E28*'Ціни контур теплопостачання'!$C$123*'Ціни контур теплопостачання'!$E$123*'Ціни контур теплопостачання'!$F$123+'Ціни контур теплопостачання'!$D$123,IF(C28='Ціни контур теплопостачання'!$B$124,E28*'Ціни контур теплопостачання'!$C$124*'Ціни контур теплопостачання'!$E$124*'Ціни контур теплопостачання'!$F$124+'Ціни контур теплопостачання'!$D$124,IF(C28='Ціни контур теплопостачання'!$B$125,E28*'Ціни контур теплопостачання'!$C$125*'Ціни контур теплопостачання'!$E$125*'Ціни контур теплопостачання'!$F$125+'Ціни контур теплопостачання'!$D$125,IF(C28='Ціни контур теплопостачання'!$B$126,E28*'Ціни контур теплопостачання'!$C$126*'Ціни контур теплопостачання'!$E$126*'Ціни контур теплопостачання'!$F$126+'Ціни контур теплопостачання'!$D$126,IF(C28='Ціни контур теплопостачання'!$B$127,E28*'Ціни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8" s="170" t="s">
        <v>154</v>
      </c>
      <c r="I28" s="162" t="str">
        <f t="shared" si="4"/>
        <v xml:space="preserve">08+023A00HS-136 </v>
      </c>
      <c r="J28" s="162" t="str">
        <f t="shared" si="5"/>
        <v>08</v>
      </c>
      <c r="K28" s="162" t="str">
        <f t="shared" si="6"/>
        <v xml:space="preserve">023A00HS-136 </v>
      </c>
      <c r="L28" s="162" t="str">
        <f t="shared" si="7"/>
        <v>023</v>
      </c>
      <c r="M28" s="166" t="e">
        <f>IF(J28='Ціни контур теплопостачання'!$B$123,L28*'Ціни контур теплопостачання'!$C$123*'Ціни контур теплопостачання'!$E$123*'Ціни контур теплопостачання'!$F$123+'Ціни контур теплопостачання'!$D$123,IF(J28='Ціни контур теплопостачання'!$B$124,L28*'Ціни контур теплопостачання'!$C$124*'Ціни контур теплопостачання'!$E$124*'Ціни контур теплопостачання'!$F$124+'Ціни контур теплопостачання'!$D$124,IF(J28='Ціни контур теплопостачання'!$B$125,L28*'Ціни контур теплопостачання'!$C$125*'Ціни контур теплопостачання'!$E$125*'Ціни контур теплопостачання'!$F$125+'Ціни контур теплопостачання'!$D$125,IF(J28='Ціни контур теплопостачання'!$B$126,L28*'Ціни контур теплопостачання'!$C$126*'Ціни контур теплопостачання'!$E$126*'Ціни контур теплопостачання'!$F$126+'Ціни контур теплопостачання'!$D$126,IF(J28='Ціни контур теплопостачання'!$B$127,L28*'Ціни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9" spans="1:13">
      <c r="A29" s="168" t="s">
        <v>415</v>
      </c>
      <c r="B29" s="162" t="str">
        <f t="shared" si="0"/>
        <v xml:space="preserve">16+057A00HS-233  </v>
      </c>
      <c r="C29" s="162" t="str">
        <f t="shared" si="1"/>
        <v>16</v>
      </c>
      <c r="D29" s="162" t="str">
        <f t="shared" si="2"/>
        <v xml:space="preserve">057A00HS-233  </v>
      </c>
      <c r="E29" s="162" t="str">
        <f t="shared" si="3"/>
        <v>057</v>
      </c>
      <c r="F29" s="166" t="e">
        <f>IF(C29='Ціни контур теплопостачання'!$B$123,E29*'Ціни контур теплопостачання'!$C$123*'Ціни контур теплопостачання'!$E$123*'Ціни контур теплопостачання'!$F$123+'Ціни контур теплопостачання'!$D$123,IF(C29='Ціни контур теплопостачання'!$B$124,E29*'Ціни контур теплопостачання'!$C$124*'Ціни контур теплопостачання'!$E$124*'Ціни контур теплопостачання'!$F$124+'Ціни контур теплопостачання'!$D$124,IF(C29='Ціни контур теплопостачання'!$B$125,E29*'Ціни контур теплопостачання'!$C$125*'Ціни контур теплопостачання'!$E$125*'Ціни контур теплопостачання'!$F$125+'Ціни контур теплопостачання'!$D$125,IF(C29='Ціни контур теплопостачання'!$B$126,E29*'Ціни контур теплопостачання'!$C$126*'Ціни контур теплопостачання'!$E$126*'Ціни контур теплопостачання'!$F$126+'Ціни контур теплопостачання'!$D$126,IF(C29='Ціни контур теплопостачання'!$B$127,E29*'Ціни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9" s="170" t="s">
        <v>155</v>
      </c>
      <c r="I29" s="162" t="str">
        <f t="shared" si="4"/>
        <v xml:space="preserve">08+033A00HS-196 </v>
      </c>
      <c r="J29" s="162" t="str">
        <f t="shared" si="5"/>
        <v>08</v>
      </c>
      <c r="K29" s="162" t="str">
        <f t="shared" si="6"/>
        <v xml:space="preserve">033A00HS-196 </v>
      </c>
      <c r="L29" s="162" t="str">
        <f t="shared" si="7"/>
        <v>033</v>
      </c>
      <c r="M29" s="166" t="e">
        <f>IF(J29='Ціни контур теплопостачання'!$B$123,L29*'Ціни контур теплопостачання'!$C$123*'Ціни контур теплопостачання'!$E$123*'Ціни контур теплопостачання'!$F$123+'Ціни контур теплопостачання'!$D$123,IF(J29='Ціни контур теплопостачання'!$B$124,L29*'Ціни контур теплопостачання'!$C$124*'Ціни контур теплопостачання'!$E$124*'Ціни контур теплопостачання'!$F$124+'Ціни контур теплопостачання'!$D$124,IF(J29='Ціни контур теплопостачання'!$B$125,L29*'Ціни контур теплопостачання'!$C$125*'Ціни контур теплопостачання'!$E$125*'Ціни контур теплопостачання'!$F$125+'Ціни контур теплопостачання'!$D$125,IF(J29='Ціни контур теплопостачання'!$B$126,L29*'Ціни контур теплопостачання'!$C$126*'Ціни контур теплопостачання'!$E$126*'Ціни контур теплопостачання'!$F$126+'Ціни контур теплопостачання'!$D$126,IF(J29='Ціни контур теплопостачання'!$B$127,L29*'Ціни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0" spans="1:13">
      <c r="A30" s="168" t="s">
        <v>415</v>
      </c>
      <c r="B30" s="162" t="str">
        <f t="shared" si="0"/>
        <v xml:space="preserve">16+057A00HS-233  </v>
      </c>
      <c r="C30" s="162" t="str">
        <f t="shared" si="1"/>
        <v>16</v>
      </c>
      <c r="D30" s="162" t="str">
        <f t="shared" si="2"/>
        <v xml:space="preserve">057A00HS-233  </v>
      </c>
      <c r="E30" s="162" t="str">
        <f t="shared" si="3"/>
        <v>057</v>
      </c>
      <c r="F30" s="166" t="e">
        <f>IF(C30='Ціни контур теплопостачання'!$B$123,E30*'Ціни контур теплопостачання'!$C$123*'Ціни контур теплопостачання'!$E$123*'Ціни контур теплопостачання'!$F$123+'Ціни контур теплопостачання'!$D$123,IF(C30='Ціни контур теплопостачання'!$B$124,E30*'Ціни контур теплопостачання'!$C$124*'Ціни контур теплопостачання'!$E$124*'Ціни контур теплопостачання'!$F$124+'Ціни контур теплопостачання'!$D$124,IF(C30='Ціни контур теплопостачання'!$B$125,E30*'Ціни контур теплопостачання'!$C$125*'Ціни контур теплопостачання'!$E$125*'Ціни контур теплопостачання'!$F$125+'Ціни контур теплопостачання'!$D$125,IF(C30='Ціни контур теплопостачання'!$B$126,E30*'Ціни контур теплопостачання'!$C$126*'Ціни контур теплопостачання'!$E$126*'Ціни контур теплопостачання'!$F$126+'Ціни контур теплопостачання'!$D$126,IF(C30='Ціни контур теплопостачання'!$B$127,E30*'Ціни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0" s="170" t="s">
        <v>155</v>
      </c>
      <c r="I30" s="162" t="str">
        <f t="shared" si="4"/>
        <v xml:space="preserve">08+033A00HS-196 </v>
      </c>
      <c r="J30" s="162" t="str">
        <f t="shared" si="5"/>
        <v>08</v>
      </c>
      <c r="K30" s="162" t="str">
        <f t="shared" si="6"/>
        <v xml:space="preserve">033A00HS-196 </v>
      </c>
      <c r="L30" s="162" t="str">
        <f t="shared" si="7"/>
        <v>033</v>
      </c>
      <c r="M30" s="166" t="e">
        <f>IF(J30='Ціни контур теплопостачання'!$B$123,L30*'Ціни контур теплопостачання'!$C$123*'Ціни контур теплопостачання'!$E$123*'Ціни контур теплопостачання'!$F$123+'Ціни контур теплопостачання'!$D$123,IF(J30='Ціни контур теплопостачання'!$B$124,L30*'Ціни контур теплопостачання'!$C$124*'Ціни контур теплопостачання'!$E$124*'Ціни контур теплопостачання'!$F$124+'Ціни контур теплопостачання'!$D$124,IF(J30='Ціни контур теплопостачання'!$B$125,L30*'Ціни контур теплопостачання'!$C$125*'Ціни контур теплопостачання'!$E$125*'Ціни контур теплопостачання'!$F$125+'Ціни контур теплопостачання'!$D$125,IF(J30='Ціни контур теплопостачання'!$B$126,L30*'Ціни контур теплопостачання'!$C$126*'Ціни контур теплопостачання'!$E$126*'Ціни контур теплопостачання'!$F$126+'Ціни контур теплопостачання'!$D$126,IF(J30='Ціни контур теплопостачання'!$B$127,L30*'Ціни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1" spans="1:13">
      <c r="A31" s="168" t="s">
        <v>416</v>
      </c>
      <c r="B31" s="162" t="str">
        <f t="shared" si="0"/>
        <v xml:space="preserve">16+039A00HS-155  </v>
      </c>
      <c r="C31" s="162" t="str">
        <f t="shared" si="1"/>
        <v>16</v>
      </c>
      <c r="D31" s="162" t="str">
        <f t="shared" si="2"/>
        <v xml:space="preserve">039A00HS-155  </v>
      </c>
      <c r="E31" s="162" t="str">
        <f t="shared" si="3"/>
        <v>039</v>
      </c>
      <c r="F31" s="166" t="e">
        <f>IF(C31='Ціни контур теплопостачання'!$B$123,E31*'Ціни контур теплопостачання'!$C$123*'Ціни контур теплопостачання'!$E$123*'Ціни контур теплопостачання'!$F$123+'Ціни контур теплопостачання'!$D$123,IF(C31='Ціни контур теплопостачання'!$B$124,E31*'Ціни контур теплопостачання'!$C$124*'Ціни контур теплопостачання'!$E$124*'Ціни контур теплопостачання'!$F$124+'Ціни контур теплопостачання'!$D$124,IF(C31='Ціни контур теплопостачання'!$B$125,E31*'Ціни контур теплопостачання'!$C$125*'Ціни контур теплопостачання'!$E$125*'Ціни контур теплопостачання'!$F$125+'Ціни контур теплопостачання'!$D$125,IF(C31='Ціни контур теплопостачання'!$B$126,E31*'Ціни контур теплопостачання'!$C$126*'Ціни контур теплопостачання'!$E$126*'Ціни контур теплопостачання'!$F$126+'Ціни контур теплопостачання'!$D$126,IF(C31='Ціни контур теплопостачання'!$B$127,E31*'Ціни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1" s="170" t="s">
        <v>156</v>
      </c>
      <c r="I31" s="162" t="str">
        <f t="shared" si="4"/>
        <v xml:space="preserve">08+023A00HS-131 </v>
      </c>
      <c r="J31" s="162" t="str">
        <f t="shared" si="5"/>
        <v>08</v>
      </c>
      <c r="K31" s="162" t="str">
        <f t="shared" si="6"/>
        <v xml:space="preserve">023A00HS-131 </v>
      </c>
      <c r="L31" s="162" t="str">
        <f t="shared" si="7"/>
        <v>023</v>
      </c>
      <c r="M31" s="166" t="e">
        <f>IF(J31='Ціни контур теплопостачання'!$B$123,L31*'Ціни контур теплопостачання'!$C$123*'Ціни контур теплопостачання'!$E$123*'Ціни контур теплопостачання'!$F$123+'Ціни контур теплопостачання'!$D$123,IF(J31='Ціни контур теплопостачання'!$B$124,L31*'Ціни контур теплопостачання'!$C$124*'Ціни контур теплопостачання'!$E$124*'Ціни контур теплопостачання'!$F$124+'Ціни контур теплопостачання'!$D$124,IF(J31='Ціни контур теплопостачання'!$B$125,L31*'Ціни контур теплопостачання'!$C$125*'Ціни контур теплопостачання'!$E$125*'Ціни контур теплопостачання'!$F$125+'Ціни контур теплопостачання'!$D$125,IF(J31='Ціни контур теплопостачання'!$B$126,L31*'Ціни контур теплопостачання'!$C$126*'Ціни контур теплопостачання'!$E$126*'Ціни контур теплопостачання'!$F$126+'Ціни контур теплопостачання'!$D$126,IF(J31='Ціни контур теплопостачання'!$B$127,L31*'Ціни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2" spans="1:13">
      <c r="A32" s="168" t="s">
        <v>417</v>
      </c>
      <c r="B32" s="162" t="str">
        <f t="shared" si="0"/>
        <v xml:space="preserve">16+049A00HS-196  </v>
      </c>
      <c r="C32" s="162" t="str">
        <f t="shared" si="1"/>
        <v>16</v>
      </c>
      <c r="D32" s="162" t="str">
        <f t="shared" si="2"/>
        <v xml:space="preserve">049A00HS-196  </v>
      </c>
      <c r="E32" s="162" t="str">
        <f t="shared" si="3"/>
        <v>049</v>
      </c>
      <c r="F32" s="166" t="e">
        <f>IF(C32='Ціни контур теплопостачання'!$B$123,E32*'Ціни контур теплопостачання'!$C$123*'Ціни контур теплопостачання'!$E$123*'Ціни контур теплопостачання'!$F$123+'Ціни контур теплопостачання'!$D$123,IF(C32='Ціни контур теплопостачання'!$B$124,E32*'Ціни контур теплопостачання'!$C$124*'Ціни контур теплопостачання'!$E$124*'Ціни контур теплопостачання'!$F$124+'Ціни контур теплопостачання'!$D$124,IF(C32='Ціни контур теплопостачання'!$B$125,E32*'Ціни контур теплопостачання'!$C$125*'Ціни контур теплопостачання'!$E$125*'Ціни контур теплопостачання'!$F$125+'Ціни контур теплопостачання'!$D$125,IF(C32='Ціни контур теплопостачання'!$B$126,E32*'Ціни контур теплопостачання'!$C$126*'Ціни контур теплопостачання'!$E$126*'Ціни контур теплопостачання'!$F$126+'Ціни контур теплопостачання'!$D$126,IF(C32='Ціни контур теплопостачання'!$B$127,E32*'Ціни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2" s="170" t="s">
        <v>157</v>
      </c>
      <c r="I32" s="162" t="str">
        <f t="shared" si="4"/>
        <v xml:space="preserve">08+035A00HS-206 </v>
      </c>
      <c r="J32" s="162" t="str">
        <f t="shared" si="5"/>
        <v>08</v>
      </c>
      <c r="K32" s="162" t="str">
        <f t="shared" si="6"/>
        <v xml:space="preserve">035A00HS-206 </v>
      </c>
      <c r="L32" s="162" t="str">
        <f t="shared" si="7"/>
        <v>035</v>
      </c>
      <c r="M32" s="166" t="e">
        <f>IF(J32='Ціни контур теплопостачання'!$B$123,L32*'Ціни контур теплопостачання'!$C$123*'Ціни контур теплопостачання'!$E$123*'Ціни контур теплопостачання'!$F$123+'Ціни контур теплопостачання'!$D$123,IF(J32='Ціни контур теплопостачання'!$B$124,L32*'Ціни контур теплопостачання'!$C$124*'Ціни контур теплопостачання'!$E$124*'Ціни контур теплопостачання'!$F$124+'Ціни контур теплопостачання'!$D$124,IF(J32='Ціни контур теплопостачання'!$B$125,L32*'Ціни контур теплопостачання'!$C$125*'Ціни контур теплопостачання'!$E$125*'Ціни контур теплопостачання'!$F$125+'Ціни контур теплопостачання'!$D$125,IF(J32='Ціни контур теплопостачання'!$B$126,L32*'Ціни контур теплопостачання'!$C$126*'Ціни контур теплопостачання'!$E$126*'Ціни контур теплопостачання'!$F$126+'Ціни контур теплопостачання'!$D$126,IF(J32='Ціни контур теплопостачання'!$B$127,L32*'Ціни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3" spans="1:13">
      <c r="A33" s="168" t="s">
        <v>417</v>
      </c>
      <c r="B33" s="162" t="str">
        <f t="shared" si="0"/>
        <v xml:space="preserve">16+049A00HS-196  </v>
      </c>
      <c r="C33" s="162" t="str">
        <f t="shared" si="1"/>
        <v>16</v>
      </c>
      <c r="D33" s="162" t="str">
        <f t="shared" si="2"/>
        <v xml:space="preserve">049A00HS-196  </v>
      </c>
      <c r="E33" s="162" t="str">
        <f t="shared" si="3"/>
        <v>049</v>
      </c>
      <c r="F33" s="166" t="e">
        <f>IF(C33='Ціни контур теплопостачання'!$B$123,E33*'Ціни контур теплопостачання'!$C$123*'Ціни контур теплопостачання'!$E$123*'Ціни контур теплопостачання'!$F$123+'Ціни контур теплопостачання'!$D$123,IF(C33='Ціни контур теплопостачання'!$B$124,E33*'Ціни контур теплопостачання'!$C$124*'Ціни контур теплопостачання'!$E$124*'Ціни контур теплопостачання'!$F$124+'Ціни контур теплопостачання'!$D$124,IF(C33='Ціни контур теплопостачання'!$B$125,E33*'Ціни контур теплопостачання'!$C$125*'Ціни контур теплопостачання'!$E$125*'Ціни контур теплопостачання'!$F$125+'Ціни контур теплопостачання'!$D$125,IF(C33='Ціни контур теплопостачання'!$B$126,E33*'Ціни контур теплопостачання'!$C$126*'Ціни контур теплопостачання'!$E$126*'Ціни контур теплопостачання'!$F$126+'Ціни контур теплопостачання'!$D$126,IF(C33='Ціни контур теплопостачання'!$B$127,E33*'Ціни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3" s="170" t="s">
        <v>157</v>
      </c>
      <c r="I33" s="162" t="str">
        <f t="shared" si="4"/>
        <v xml:space="preserve">08+035A00HS-206 </v>
      </c>
      <c r="J33" s="162" t="str">
        <f t="shared" si="5"/>
        <v>08</v>
      </c>
      <c r="K33" s="162" t="str">
        <f t="shared" si="6"/>
        <v xml:space="preserve">035A00HS-206 </v>
      </c>
      <c r="L33" s="162" t="str">
        <f t="shared" si="7"/>
        <v>035</v>
      </c>
      <c r="M33" s="166" t="e">
        <f>IF(J33='Ціни контур теплопостачання'!$B$123,L33*'Ціни контур теплопостачання'!$C$123*'Ціни контур теплопостачання'!$E$123*'Ціни контур теплопостачання'!$F$123+'Ціни контур теплопостачання'!$D$123,IF(J33='Ціни контур теплопостачання'!$B$124,L33*'Ціни контур теплопостачання'!$C$124*'Ціни контур теплопостачання'!$E$124*'Ціни контур теплопостачання'!$F$124+'Ціни контур теплопостачання'!$D$124,IF(J33='Ціни контур теплопостачання'!$B$125,L33*'Ціни контур теплопостачання'!$C$125*'Ціни контур теплопостачання'!$E$125*'Ціни контур теплопостачання'!$F$125+'Ціни контур теплопостачання'!$D$125,IF(J33='Ціни контур теплопостачання'!$B$126,L33*'Ціни контур теплопостачання'!$C$126*'Ціни контур теплопостачання'!$E$126*'Ціни контур теплопостачання'!$F$126+'Ціни контур теплопостачання'!$D$126,IF(J33='Ціни контур теплопостачання'!$B$127,L33*'Ціни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4" spans="1:13">
      <c r="A34" s="168" t="s">
        <v>418</v>
      </c>
      <c r="B34" s="162" t="str">
        <f t="shared" si="0"/>
        <v xml:space="preserve">16+055A00HS-217  </v>
      </c>
      <c r="C34" s="162" t="str">
        <f t="shared" si="1"/>
        <v>16</v>
      </c>
      <c r="D34" s="162" t="str">
        <f t="shared" si="2"/>
        <v xml:space="preserve">055A00HS-217  </v>
      </c>
      <c r="E34" s="162" t="str">
        <f t="shared" si="3"/>
        <v>055</v>
      </c>
      <c r="F34" s="166" t="e">
        <f>IF(C34='Ціни контур теплопостачання'!$B$123,E34*'Ціни контур теплопостачання'!$C$123*'Ціни контур теплопостачання'!$E$123*'Ціни контур теплопостачання'!$F$123+'Ціни контур теплопостачання'!$D$123,IF(C34='Ціни контур теплопостачання'!$B$124,E34*'Ціни контур теплопостачання'!$C$124*'Ціни контур теплопостачання'!$E$124*'Ціни контур теплопостачання'!$F$124+'Ціни контур теплопостачання'!$D$124,IF(C34='Ціни контур теплопостачання'!$B$125,E34*'Ціни контур теплопостачання'!$C$125*'Ціни контур теплопостачання'!$E$125*'Ціни контур теплопостачання'!$F$125+'Ціни контур теплопостачання'!$D$125,IF(C34='Ціни контур теплопостачання'!$B$126,E34*'Ціни контур теплопостачання'!$C$126*'Ціни контур теплопостачання'!$E$126*'Ціни контур теплопостачання'!$F$126+'Ціни контур теплопостачання'!$D$126,IF(C34='Ціни контур теплопостачання'!$B$127,E34*'Ціни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4" s="170" t="s">
        <v>158</v>
      </c>
      <c r="I34" s="162" t="str">
        <f t="shared" si="4"/>
        <v xml:space="preserve">08+039A00HS-226 </v>
      </c>
      <c r="J34" s="162" t="str">
        <f t="shared" si="5"/>
        <v>08</v>
      </c>
      <c r="K34" s="162" t="str">
        <f t="shared" si="6"/>
        <v xml:space="preserve">039A00HS-226 </v>
      </c>
      <c r="L34" s="162" t="str">
        <f t="shared" si="7"/>
        <v>039</v>
      </c>
      <c r="M34" s="166" t="e">
        <f>IF(J34='Ціни контур теплопостачання'!$B$123,L34*'Ціни контур теплопостачання'!$C$123*'Ціни контур теплопостачання'!$E$123*'Ціни контур теплопостачання'!$F$123+'Ціни контур теплопостачання'!$D$123,IF(J34='Ціни контур теплопостачання'!$B$124,L34*'Ціни контур теплопостачання'!$C$124*'Ціни контур теплопостачання'!$E$124*'Ціни контур теплопостачання'!$F$124+'Ціни контур теплопостачання'!$D$124,IF(J34='Ціни контур теплопостачання'!$B$125,L34*'Ціни контур теплопостачання'!$C$125*'Ціни контур теплопостачання'!$E$125*'Ціни контур теплопостачання'!$F$125+'Ціни контур теплопостачання'!$D$125,IF(J34='Ціни контур теплопостачання'!$B$126,L34*'Ціни контур теплопостачання'!$C$126*'Ціни контур теплопостачання'!$E$126*'Ціни контур теплопостачання'!$F$126+'Ціни контур теплопостачання'!$D$126,IF(J34='Ціни контур теплопостачання'!$B$127,L34*'Ціни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5" spans="1:13">
      <c r="A35" s="168" t="s">
        <v>418</v>
      </c>
      <c r="B35" s="162" t="str">
        <f t="shared" si="0"/>
        <v xml:space="preserve">16+055A00HS-217  </v>
      </c>
      <c r="C35" s="162" t="str">
        <f t="shared" si="1"/>
        <v>16</v>
      </c>
      <c r="D35" s="162" t="str">
        <f t="shared" si="2"/>
        <v xml:space="preserve">055A00HS-217  </v>
      </c>
      <c r="E35" s="162" t="str">
        <f t="shared" si="3"/>
        <v>055</v>
      </c>
      <c r="F35" s="166" t="e">
        <f>IF(C35='Ціни контур теплопостачання'!$B$123,E35*'Ціни контур теплопостачання'!$C$123*'Ціни контур теплопостачання'!$E$123*'Ціни контур теплопостачання'!$F$123+'Ціни контур теплопостачання'!$D$123,IF(C35='Ціни контур теплопостачання'!$B$124,E35*'Ціни контур теплопостачання'!$C$124*'Ціни контур теплопостачання'!$E$124*'Ціни контур теплопостачання'!$F$124+'Ціни контур теплопостачання'!$D$124,IF(C35='Ціни контур теплопостачання'!$B$125,E35*'Ціни контур теплопостачання'!$C$125*'Ціни контур теплопостачання'!$E$125*'Ціни контур теплопостачання'!$F$125+'Ціни контур теплопостачання'!$D$125,IF(C35='Ціни контур теплопостачання'!$B$126,E35*'Ціни контур теплопостачання'!$C$126*'Ціни контур теплопостачання'!$E$126*'Ціни контур теплопостачання'!$F$126+'Ціни контур теплопостачання'!$D$126,IF(C35='Ціни контур теплопостачання'!$B$127,E35*'Ціни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5" s="170" t="s">
        <v>158</v>
      </c>
      <c r="I35" s="162" t="str">
        <f t="shared" si="4"/>
        <v xml:space="preserve">08+039A00HS-226 </v>
      </c>
      <c r="J35" s="162" t="str">
        <f t="shared" si="5"/>
        <v>08</v>
      </c>
      <c r="K35" s="162" t="str">
        <f t="shared" si="6"/>
        <v xml:space="preserve">039A00HS-226 </v>
      </c>
      <c r="L35" s="162" t="str">
        <f t="shared" si="7"/>
        <v>039</v>
      </c>
      <c r="M35" s="166" t="e">
        <f>IF(J35='Ціни контур теплопостачання'!$B$123,L35*'Ціни контур теплопостачання'!$C$123*'Ціни контур теплопостачання'!$E$123*'Ціни контур теплопостачання'!$F$123+'Ціни контур теплопостачання'!$D$123,IF(J35='Ціни контур теплопостачання'!$B$124,L35*'Ціни контур теплопостачання'!$C$124*'Ціни контур теплопостачання'!$E$124*'Ціни контур теплопостачання'!$F$124+'Ціни контур теплопостачання'!$D$124,IF(J35='Ціни контур теплопостачання'!$B$125,L35*'Ціни контур теплопостачання'!$C$125*'Ціни контур теплопостачання'!$E$125*'Ціни контур теплопостачання'!$F$125+'Ціни контур теплопостачання'!$D$125,IF(J35='Ціни контур теплопостачання'!$B$126,L35*'Ціни контур теплопостачання'!$C$126*'Ціни контур теплопостачання'!$E$126*'Ціни контур теплопостачання'!$F$126+'Ціни контур теплопостачання'!$D$126,IF(J35='Ціни контур теплопостачання'!$B$127,L35*'Ціни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6" spans="1:13">
      <c r="A36" s="168" t="s">
        <v>419</v>
      </c>
      <c r="B36" s="162" t="str">
        <f t="shared" si="0"/>
        <v xml:space="preserve">16+045A00HS-183  </v>
      </c>
      <c r="C36" s="162" t="str">
        <f t="shared" si="1"/>
        <v>16</v>
      </c>
      <c r="D36" s="162" t="str">
        <f t="shared" si="2"/>
        <v xml:space="preserve">045A00HS-183  </v>
      </c>
      <c r="E36" s="162" t="str">
        <f t="shared" si="3"/>
        <v>045</v>
      </c>
      <c r="F36" s="166" t="e">
        <f>IF(C36='Ціни контур теплопостачання'!$B$123,E36*'Ціни контур теплопостачання'!$C$123*'Ціни контур теплопостачання'!$E$123*'Ціни контур теплопостачання'!$F$123+'Ціни контур теплопостачання'!$D$123,IF(C36='Ціни контур теплопостачання'!$B$124,E36*'Ціни контур теплопостачання'!$C$124*'Ціни контур теплопостачання'!$E$124*'Ціни контур теплопостачання'!$F$124+'Ціни контур теплопостачання'!$D$124,IF(C36='Ціни контур теплопостачання'!$B$125,E36*'Ціни контур теплопостачання'!$C$125*'Ціни контур теплопостачання'!$E$125*'Ціни контур теплопостачання'!$F$125+'Ціни контур теплопостачання'!$D$125,IF(C36='Ціни контур теплопостачання'!$B$126,E36*'Ціни контур теплопостачання'!$C$126*'Ціни контур теплопостачання'!$E$126*'Ціни контур теплопостачання'!$F$126+'Ціни контур теплопостачання'!$D$126,IF(C36='Ціни контур теплопостачання'!$B$127,E36*'Ціни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6" s="170" t="s">
        <v>159</v>
      </c>
      <c r="I36" s="162" t="str">
        <f t="shared" si="4"/>
        <v xml:space="preserve">08+039A00HS-224 </v>
      </c>
      <c r="J36" s="162" t="str">
        <f t="shared" si="5"/>
        <v>08</v>
      </c>
      <c r="K36" s="162" t="str">
        <f t="shared" si="6"/>
        <v xml:space="preserve">039A00HS-224 </v>
      </c>
      <c r="L36" s="162" t="str">
        <f t="shared" si="7"/>
        <v>039</v>
      </c>
      <c r="M36" s="166" t="e">
        <f>IF(J36='Ціни контур теплопостачання'!$B$123,L36*'Ціни контур теплопостачання'!$C$123*'Ціни контур теплопостачання'!$E$123*'Ціни контур теплопостачання'!$F$123+'Ціни контур теплопостачання'!$D$123,IF(J36='Ціни контур теплопостачання'!$B$124,L36*'Ціни контур теплопостачання'!$C$124*'Ціни контур теплопостачання'!$E$124*'Ціни контур теплопостачання'!$F$124+'Ціни контур теплопостачання'!$D$124,IF(J36='Ціни контур теплопостачання'!$B$125,L36*'Ціни контур теплопостачання'!$C$125*'Ціни контур теплопостачання'!$E$125*'Ціни контур теплопостачання'!$F$125+'Ціни контур теплопостачання'!$D$125,IF(J36='Ціни контур теплопостачання'!$B$126,L36*'Ціни контур теплопостачання'!$C$126*'Ціни контур теплопостачання'!$E$126*'Ціни контур теплопостачання'!$F$126+'Ціни контур теплопостачання'!$D$126,IF(J36='Ціни контур теплопостачання'!$B$127,L36*'Ціни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7" spans="1:13">
      <c r="A37" s="168" t="s">
        <v>419</v>
      </c>
      <c r="B37" s="162" t="str">
        <f t="shared" si="0"/>
        <v xml:space="preserve">16+045A00HS-183  </v>
      </c>
      <c r="C37" s="162" t="str">
        <f t="shared" si="1"/>
        <v>16</v>
      </c>
      <c r="D37" s="162" t="str">
        <f t="shared" si="2"/>
        <v xml:space="preserve">045A00HS-183  </v>
      </c>
      <c r="E37" s="162" t="str">
        <f t="shared" si="3"/>
        <v>045</v>
      </c>
      <c r="F37" s="166" t="e">
        <f>IF(C37='Ціни контур теплопостачання'!$B$123,E37*'Ціни контур теплопостачання'!$C$123*'Ціни контур теплопостачання'!$E$123*'Ціни контур теплопостачання'!$F$123+'Ціни контур теплопостачання'!$D$123,IF(C37='Ціни контур теплопостачання'!$B$124,E37*'Ціни контур теплопостачання'!$C$124*'Ціни контур теплопостачання'!$E$124*'Ціни контур теплопостачання'!$F$124+'Ціни контур теплопостачання'!$D$124,IF(C37='Ціни контур теплопостачання'!$B$125,E37*'Ціни контур теплопостачання'!$C$125*'Ціни контур теплопостачання'!$E$125*'Ціни контур теплопостачання'!$F$125+'Ціни контур теплопостачання'!$D$125,IF(C37='Ціни контур теплопостачання'!$B$126,E37*'Ціни контур теплопостачання'!$C$126*'Ціни контур теплопостачання'!$E$126*'Ціни контур теплопостачання'!$F$126+'Ціни контур теплопостачання'!$D$126,IF(C37='Ціни контур теплопостачання'!$B$127,E37*'Ціни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7" s="170" t="s">
        <v>159</v>
      </c>
      <c r="I37" s="162" t="str">
        <f t="shared" si="4"/>
        <v xml:space="preserve">08+039A00HS-224 </v>
      </c>
      <c r="J37" s="162" t="str">
        <f t="shared" si="5"/>
        <v>08</v>
      </c>
      <c r="K37" s="162" t="str">
        <f t="shared" si="6"/>
        <v xml:space="preserve">039A00HS-224 </v>
      </c>
      <c r="L37" s="162" t="str">
        <f t="shared" si="7"/>
        <v>039</v>
      </c>
      <c r="M37" s="166" t="e">
        <f>IF(J37='Ціни контур теплопостачання'!$B$123,L37*'Ціни контур теплопостачання'!$C$123*'Ціни контур теплопостачання'!$E$123*'Ціни контур теплопостачання'!$F$123+'Ціни контур теплопостачання'!$D$123,IF(J37='Ціни контур теплопостачання'!$B$124,L37*'Ціни контур теплопостачання'!$C$124*'Ціни контур теплопостачання'!$E$124*'Ціни контур теплопостачання'!$F$124+'Ціни контур теплопостачання'!$D$124,IF(J37='Ціни контур теплопостачання'!$B$125,L37*'Ціни контур теплопостачання'!$C$125*'Ціни контур теплопостачання'!$E$125*'Ціни контур теплопостачання'!$F$125+'Ціни контур теплопостачання'!$D$125,IF(J37='Ціни контур теплопостачання'!$B$126,L37*'Ціни контур теплопостачання'!$C$126*'Ціни контур теплопостачання'!$E$126*'Ціни контур теплопостачання'!$F$126+'Ціни контур теплопостачання'!$D$126,IF(J37='Ціни контур теплопостачання'!$B$127,L37*'Ціни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8" spans="1:13">
      <c r="A38" s="168" t="s">
        <v>420</v>
      </c>
      <c r="B38" s="162" t="str">
        <f t="shared" si="0"/>
        <v xml:space="preserve">16+093A00HS-389  </v>
      </c>
      <c r="C38" s="162" t="str">
        <f t="shared" si="1"/>
        <v>16</v>
      </c>
      <c r="D38" s="162" t="str">
        <f t="shared" si="2"/>
        <v xml:space="preserve">093A00HS-389  </v>
      </c>
      <c r="E38" s="162" t="str">
        <f t="shared" si="3"/>
        <v>093</v>
      </c>
      <c r="F38" s="166" t="e">
        <f>IF(C38='Ціни контур теплопостачання'!$B$123,E38*'Ціни контур теплопостачання'!$C$123*'Ціни контур теплопостачання'!$E$123*'Ціни контур теплопостачання'!$F$123+'Ціни контур теплопостачання'!$D$123,IF(C38='Ціни контур теплопостачання'!$B$124,E38*'Ціни контур теплопостачання'!$C$124*'Ціни контур теплопостачання'!$E$124*'Ціни контур теплопостачання'!$F$124+'Ціни контур теплопостачання'!$D$124,IF(C38='Ціни контур теплопостачання'!$B$125,E38*'Ціни контур теплопостачання'!$C$125*'Ціни контур теплопостачання'!$E$125*'Ціни контур теплопостачання'!$F$125+'Ціни контур теплопостачання'!$D$125,IF(C38='Ціни контур теплопостачання'!$B$126,E38*'Ціни контур теплопостачання'!$C$126*'Ціни контур теплопостачання'!$E$126*'Ціни контур теплопостачання'!$F$126+'Ціни контур теплопостачання'!$D$126,IF(C38='Ціни контур теплопостачання'!$B$127,E38*'Ціни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8" s="170" t="s">
        <v>160</v>
      </c>
      <c r="I38" s="162" t="str">
        <f t="shared" si="4"/>
        <v xml:space="preserve">16+043M50HS-427 </v>
      </c>
      <c r="J38" s="162" t="str">
        <f t="shared" si="5"/>
        <v>16</v>
      </c>
      <c r="K38" s="162" t="str">
        <f t="shared" si="6"/>
        <v xml:space="preserve">043M50HS-427 </v>
      </c>
      <c r="L38" s="162" t="str">
        <f t="shared" si="7"/>
        <v>043</v>
      </c>
      <c r="M38" s="166" t="e">
        <f>IF(J38='Ціни контур теплопостачання'!$B$123,L38*'Ціни контур теплопостачання'!$C$123*'Ціни контур теплопостачання'!$E$123*'Ціни контур теплопостачання'!$F$123+'Ціни контур теплопостачання'!$D$123,IF(J38='Ціни контур теплопостачання'!$B$124,L38*'Ціни контур теплопостачання'!$C$124*'Ціни контур теплопостачання'!$E$124*'Ціни контур теплопостачання'!$F$124+'Ціни контур теплопостачання'!$D$124,IF(J38='Ціни контур теплопостачання'!$B$125,L38*'Ціни контур теплопостачання'!$C$125*'Ціни контур теплопостачання'!$E$125*'Ціни контур теплопостачання'!$F$125+'Ціни контур теплопостачання'!$D$125,IF(J38='Ціни контур теплопостачання'!$B$126,L38*'Ціни контур теплопостачання'!$C$126*'Ціни контур теплопостачання'!$E$126*'Ціни контур теплопостачання'!$F$126+'Ціни контур теплопостачання'!$D$126,IF(J38='Ціни контур теплопостачання'!$B$127,L38*'Ціни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39" spans="1:13">
      <c r="A39" s="168" t="s">
        <v>421</v>
      </c>
      <c r="B39" s="162" t="str">
        <f t="shared" si="0"/>
        <v xml:space="preserve">16+023A00HS-81  </v>
      </c>
      <c r="C39" s="162" t="str">
        <f t="shared" si="1"/>
        <v>16</v>
      </c>
      <c r="D39" s="162" t="str">
        <f t="shared" si="2"/>
        <v xml:space="preserve">023A00HS-81  </v>
      </c>
      <c r="E39" s="162" t="str">
        <f t="shared" si="3"/>
        <v>023</v>
      </c>
      <c r="F39" s="166" t="e">
        <f>IF(C39='Ціни контур теплопостачання'!$B$123,E39*'Ціни контур теплопостачання'!$C$123*'Ціни контур теплопостачання'!$E$123*'Ціни контур теплопостачання'!$F$123+'Ціни контур теплопостачання'!$D$123,IF(C39='Ціни контур теплопостачання'!$B$124,E39*'Ціни контур теплопостачання'!$C$124*'Ціни контур теплопостачання'!$E$124*'Ціни контур теплопостачання'!$F$124+'Ціни контур теплопостачання'!$D$124,IF(C39='Ціни контур теплопостачання'!$B$125,E39*'Ціни контур теплопостачання'!$C$125*'Ціни контур теплопостачання'!$E$125*'Ціни контур теплопостачання'!$F$125+'Ціни контур теплопостачання'!$D$125,IF(C39='Ціни контур теплопостачання'!$B$126,E39*'Ціни контур теплопостачання'!$C$126*'Ціни контур теплопостачання'!$E$126*'Ціни контур теплопостачання'!$F$126+'Ціни контур теплопостачання'!$D$126,IF(C39='Ціни контур теплопостачання'!$B$127,E39*'Ціни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39" s="170" t="s">
        <v>161</v>
      </c>
      <c r="I39" s="162" t="str">
        <f t="shared" si="4"/>
        <v xml:space="preserve">16+009M50HS-71 </v>
      </c>
      <c r="J39" s="162" t="str">
        <f t="shared" si="5"/>
        <v>16</v>
      </c>
      <c r="K39" s="162" t="str">
        <f t="shared" si="6"/>
        <v xml:space="preserve">009M50HS-71 </v>
      </c>
      <c r="L39" s="162" t="str">
        <f t="shared" si="7"/>
        <v>009</v>
      </c>
      <c r="M39" s="166" t="e">
        <f>IF(J39='Ціни контур теплопостачання'!$B$123,L39*'Ціни контур теплопостачання'!$C$123*'Ціни контур теплопостачання'!$E$123*'Ціни контур теплопостачання'!$F$123+'Ціни контур теплопостачання'!$D$123,IF(J39='Ціни контур теплопостачання'!$B$124,L39*'Ціни контур теплопостачання'!$C$124*'Ціни контур теплопостачання'!$E$124*'Ціни контур теплопостачання'!$F$124+'Ціни контур теплопостачання'!$D$124,IF(J39='Ціни контур теплопостачання'!$B$125,L39*'Ціни контур теплопостачання'!$C$125*'Ціни контур теплопостачання'!$E$125*'Ціни контур теплопостачання'!$F$125+'Ціни контур теплопостачання'!$D$125,IF(J39='Ціни контур теплопостачання'!$B$126,L39*'Ціни контур теплопостачання'!$C$126*'Ціни контур теплопостачання'!$E$126*'Ціни контур теплопостачання'!$F$126+'Ціни контур теплопостачання'!$D$126,IF(J39='Ціни контур теплопостачання'!$B$127,L39*'Ціни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0" spans="1:13">
      <c r="A40" s="168" t="s">
        <v>629</v>
      </c>
      <c r="B40" s="162" t="str">
        <f t="shared" si="0"/>
        <v xml:space="preserve">16+031A00HS-122 </v>
      </c>
      <c r="C40" s="162" t="str">
        <f t="shared" si="1"/>
        <v>16</v>
      </c>
      <c r="D40" s="162" t="str">
        <f t="shared" si="2"/>
        <v xml:space="preserve">031A00HS-122 </v>
      </c>
      <c r="E40" s="162" t="str">
        <f t="shared" si="3"/>
        <v>031</v>
      </c>
      <c r="F40" s="166" t="e">
        <f>IF(C40='Ціни контур теплопостачання'!$B$123,E40*'Ціни контур теплопостачання'!$C$123*'Ціни контур теплопостачання'!$E$123*'Ціни контур теплопостачання'!$F$123+'Ціни контур теплопостачання'!$D$123,IF(C40='Ціни контур теплопостачання'!$B$124,E40*'Ціни контур теплопостачання'!$C$124*'Ціни контур теплопостачання'!$E$124*'Ціни контур теплопостачання'!$F$124+'Ціни контур теплопостачання'!$D$124,IF(C40='Ціни контур теплопостачання'!$B$125,E40*'Ціни контур теплопостачання'!$C$125*'Ціни контур теплопостачання'!$E$125*'Ціни контур теплопостачання'!$F$125+'Ціни контур теплопостачання'!$D$125,IF(C40='Ціни контур теплопостачання'!$B$126,E40*'Ціни контур теплопостачання'!$C$126*'Ціни контур теплопостачання'!$E$126*'Ціни контур теплопостачання'!$F$126+'Ціни контур теплопостачання'!$D$126,IF(C40='Ціни контур теплопостачання'!$B$127,E40*'Ціни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0" s="170" t="s">
        <v>162</v>
      </c>
      <c r="I40" s="162" t="str">
        <f t="shared" si="4"/>
        <v xml:space="preserve">08+019A00HS-107 </v>
      </c>
      <c r="J40" s="162" t="str">
        <f t="shared" si="5"/>
        <v>08</v>
      </c>
      <c r="K40" s="162" t="str">
        <f t="shared" si="6"/>
        <v xml:space="preserve">019A00HS-107 </v>
      </c>
      <c r="L40" s="162" t="str">
        <f t="shared" si="7"/>
        <v>019</v>
      </c>
      <c r="M40" s="166" t="e">
        <f>IF(J40='Ціни контур теплопостачання'!$B$123,L40*'Ціни контур теплопостачання'!$C$123*'Ціни контур теплопостачання'!$E$123*'Ціни контур теплопостачання'!$F$123+'Ціни контур теплопостачання'!$D$123,IF(J40='Ціни контур теплопостачання'!$B$124,L40*'Ціни контур теплопостачання'!$C$124*'Ціни контур теплопостачання'!$E$124*'Ціни контур теплопостачання'!$F$124+'Ціни контур теплопостачання'!$D$124,IF(J40='Ціни контур теплопостачання'!$B$125,L40*'Ціни контур теплопостачання'!$C$125*'Ціни контур теплопостачання'!$E$125*'Ціни контур теплопостачання'!$F$125+'Ціни контур теплопостачання'!$D$125,IF(J40='Ціни контур теплопостачання'!$B$126,L40*'Ціни контур теплопостачання'!$C$126*'Ціни контур теплопостачання'!$E$126*'Ціни контур теплопостачання'!$F$126+'Ціни контур теплопостачання'!$D$126,IF(J40='Ціни контур теплопостачання'!$B$127,L40*'Ціни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1" spans="1:13">
      <c r="A41" s="168" t="s">
        <v>422</v>
      </c>
      <c r="B41" s="162" t="str">
        <f t="shared" si="0"/>
        <v xml:space="preserve">16+059A00HS-244  </v>
      </c>
      <c r="C41" s="162" t="str">
        <f t="shared" si="1"/>
        <v>16</v>
      </c>
      <c r="D41" s="162" t="str">
        <f t="shared" si="2"/>
        <v xml:space="preserve">059A00HS-244  </v>
      </c>
      <c r="E41" s="162" t="str">
        <f t="shared" si="3"/>
        <v>059</v>
      </c>
      <c r="F41" s="166" t="e">
        <f>IF(C41='Ціни контур теплопостачання'!$B$123,E41*'Ціни контур теплопостачання'!$C$123*'Ціни контур теплопостачання'!$E$123*'Ціни контур теплопостачання'!$F$123+'Ціни контур теплопостачання'!$D$123,IF(C41='Ціни контур теплопостачання'!$B$124,E41*'Ціни контур теплопостачання'!$C$124*'Ціни контур теплопостачання'!$E$124*'Ціни контур теплопостачання'!$F$124+'Ціни контур теплопостачання'!$D$124,IF(C41='Ціни контур теплопостачання'!$B$125,E41*'Ціни контур теплопостачання'!$C$125*'Ціни контур теплопостачання'!$E$125*'Ціни контур теплопостачання'!$F$125+'Ціни контур теплопостачання'!$D$125,IF(C41='Ціни контур теплопостачання'!$B$126,E41*'Ціни контур теплопостачання'!$C$126*'Ціни контур теплопостачання'!$E$126*'Ціни контур теплопостачання'!$F$126+'Ціни контур теплопостачання'!$D$126,IF(C41='Ціни контур теплопостачання'!$B$127,E41*'Ціни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1" s="170" t="s">
        <v>163</v>
      </c>
      <c r="I41" s="162" t="str">
        <f t="shared" si="4"/>
        <v xml:space="preserve">08+037A00HS-213 </v>
      </c>
      <c r="J41" s="162" t="str">
        <f t="shared" si="5"/>
        <v>08</v>
      </c>
      <c r="K41" s="162" t="str">
        <f t="shared" si="6"/>
        <v xml:space="preserve">037A00HS-213 </v>
      </c>
      <c r="L41" s="162" t="str">
        <f t="shared" si="7"/>
        <v>037</v>
      </c>
      <c r="M41" s="166" t="e">
        <f>IF(J41='Ціни контур теплопостачання'!$B$123,L41*'Ціни контур теплопостачання'!$C$123*'Ціни контур теплопостачання'!$E$123*'Ціни контур теплопостачання'!$F$123+'Ціни контур теплопостачання'!$D$123,IF(J41='Ціни контур теплопостачання'!$B$124,L41*'Ціни контур теплопостачання'!$C$124*'Ціни контур теплопостачання'!$E$124*'Ціни контур теплопостачання'!$F$124+'Ціни контур теплопостачання'!$D$124,IF(J41='Ціни контур теплопостачання'!$B$125,L41*'Ціни контур теплопостачання'!$C$125*'Ціни контур теплопостачання'!$E$125*'Ціни контур теплопостачання'!$F$125+'Ціни контур теплопостачання'!$D$125,IF(J41='Ціни контур теплопостачання'!$B$126,L41*'Ціни контур теплопостачання'!$C$126*'Ціни контур теплопостачання'!$E$126*'Ціни контур теплопостачання'!$F$126+'Ціни контур теплопостачання'!$D$126,IF(J41='Ціни контур теплопостачання'!$B$127,L41*'Ціни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2" spans="1:13">
      <c r="A42" s="168" t="s">
        <v>423</v>
      </c>
      <c r="B42" s="162" t="str">
        <f t="shared" si="0"/>
        <v xml:space="preserve">16+051A00HS-203  </v>
      </c>
      <c r="C42" s="162" t="str">
        <f t="shared" si="1"/>
        <v>16</v>
      </c>
      <c r="D42" s="162" t="str">
        <f t="shared" si="2"/>
        <v xml:space="preserve">051A00HS-203  </v>
      </c>
      <c r="E42" s="162" t="str">
        <f t="shared" si="3"/>
        <v>051</v>
      </c>
      <c r="F42" s="166" t="e">
        <f>IF(C42='Ціни контур теплопостачання'!$B$123,E42*'Ціни контур теплопостачання'!$C$123*'Ціни контур теплопостачання'!$E$123*'Ціни контур теплопостачання'!$F$123+'Ціни контур теплопостачання'!$D$123,IF(C42='Ціни контур теплопостачання'!$B$124,E42*'Ціни контур теплопостачання'!$C$124*'Ціни контур теплопостачання'!$E$124*'Ціни контур теплопостачання'!$F$124+'Ціни контур теплопостачання'!$D$124,IF(C42='Ціни контур теплопостачання'!$B$125,E42*'Ціни контур теплопостачання'!$C$125*'Ціни контур теплопостачання'!$E$125*'Ціни контур теплопостачання'!$F$125+'Ціни контур теплопостачання'!$D$125,IF(C42='Ціни контур теплопостачання'!$B$126,E42*'Ціни контур теплопостачання'!$C$126*'Ціни контур теплопостачання'!$E$126*'Ціни контур теплопостачання'!$F$126+'Ціни контур теплопостачання'!$D$126,IF(C42='Ціни контур теплопостачання'!$B$127,E42*'Ціни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2" s="170" t="s">
        <v>164</v>
      </c>
      <c r="I42" s="162" t="str">
        <f t="shared" si="4"/>
        <v xml:space="preserve">08+031A00HS-178 </v>
      </c>
      <c r="J42" s="162" t="str">
        <f t="shared" si="5"/>
        <v>08</v>
      </c>
      <c r="K42" s="162" t="str">
        <f t="shared" si="6"/>
        <v xml:space="preserve">031A00HS-178 </v>
      </c>
      <c r="L42" s="162" t="str">
        <f t="shared" si="7"/>
        <v>031</v>
      </c>
      <c r="M42" s="166" t="e">
        <f>IF(J42='Ціни контур теплопостачання'!$B$123,L42*'Ціни контур теплопостачання'!$C$123*'Ціни контур теплопостачання'!$E$123*'Ціни контур теплопостачання'!$F$123+'Ціни контур теплопостачання'!$D$123,IF(J42='Ціни контур теплопостачання'!$B$124,L42*'Ціни контур теплопостачання'!$C$124*'Ціни контур теплопостачання'!$E$124*'Ціни контур теплопостачання'!$F$124+'Ціни контур теплопостачання'!$D$124,IF(J42='Ціни контур теплопостачання'!$B$125,L42*'Ціни контур теплопостачання'!$C$125*'Ціни контур теплопостачання'!$E$125*'Ціни контур теплопостачання'!$F$125+'Ціни контур теплопостачання'!$D$125,IF(J42='Ціни контур теплопостачання'!$B$126,L42*'Ціни контур теплопостачання'!$C$126*'Ціни контур теплопостачання'!$E$126*'Ціни контур теплопостачання'!$F$126+'Ціни контур теплопостачання'!$D$126,IF(J42='Ціни контур теплопостачання'!$B$127,L42*'Ціни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3" spans="1:13">
      <c r="A43" s="168" t="s">
        <v>424</v>
      </c>
      <c r="B43" s="162" t="str">
        <f t="shared" si="0"/>
        <v xml:space="preserve">16+019A00HS-69  </v>
      </c>
      <c r="C43" s="162" t="str">
        <f t="shared" si="1"/>
        <v>16</v>
      </c>
      <c r="D43" s="162" t="str">
        <f t="shared" si="2"/>
        <v xml:space="preserve">019A00HS-69  </v>
      </c>
      <c r="E43" s="162" t="str">
        <f t="shared" si="3"/>
        <v>019</v>
      </c>
      <c r="F43" s="166" t="e">
        <f>IF(C43='Ціни контур теплопостачання'!$B$123,E43*'Ціни контур теплопостачання'!$C$123*'Ціни контур теплопостачання'!$E$123*'Ціни контур теплопостачання'!$F$123+'Ціни контур теплопостачання'!$D$123,IF(C43='Ціни контур теплопостачання'!$B$124,E43*'Ціни контур теплопостачання'!$C$124*'Ціни контур теплопостачання'!$E$124*'Ціни контур теплопостачання'!$F$124+'Ціни контур теплопостачання'!$D$124,IF(C43='Ціни контур теплопостачання'!$B$125,E43*'Ціни контур теплопостачання'!$C$125*'Ціни контур теплопостачання'!$E$125*'Ціни контур теплопостачання'!$F$125+'Ціни контур теплопостачання'!$D$125,IF(C43='Ціни контур теплопостачання'!$B$126,E43*'Ціни контур теплопостачання'!$C$126*'Ціни контур теплопостачання'!$E$126*'Ціни контур теплопостачання'!$F$126+'Ціни контур теплопостачання'!$D$126,IF(C43='Ціни контур теплопостачання'!$B$127,E43*'Ціни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3" s="170" t="s">
        <v>165</v>
      </c>
      <c r="I43" s="162" t="str">
        <f t="shared" si="4"/>
        <v xml:space="preserve">08+013A00HS-63 </v>
      </c>
      <c r="J43" s="162" t="str">
        <f t="shared" si="5"/>
        <v>08</v>
      </c>
      <c r="K43" s="162" t="str">
        <f t="shared" si="6"/>
        <v xml:space="preserve">013A00HS-63 </v>
      </c>
      <c r="L43" s="162" t="str">
        <f t="shared" si="7"/>
        <v>013</v>
      </c>
      <c r="M43" s="166" t="e">
        <f>IF(J43='Ціни контур теплопостачання'!$B$123,L43*'Ціни контур теплопостачання'!$C$123*'Ціни контур теплопостачання'!$E$123*'Ціни контур теплопостачання'!$F$123+'Ціни контур теплопостачання'!$D$123,IF(J43='Ціни контур теплопостачання'!$B$124,L43*'Ціни контур теплопостачання'!$C$124*'Ціни контур теплопостачання'!$E$124*'Ціни контур теплопостачання'!$F$124+'Ціни контур теплопостачання'!$D$124,IF(J43='Ціни контур теплопостачання'!$B$125,L43*'Ціни контур теплопостачання'!$C$125*'Ціни контур теплопостачання'!$E$125*'Ціни контур теплопостачання'!$F$125+'Ціни контур теплопостачання'!$D$125,IF(J43='Ціни контур теплопостачання'!$B$126,L43*'Ціни контур теплопостачання'!$C$126*'Ціни контур теплопостачання'!$E$126*'Ціни контур теплопостачання'!$F$126+'Ціни контур теплопостачання'!$D$126,IF(J43='Ціни контур теплопостачання'!$B$127,L43*'Ціни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4" spans="1:13">
      <c r="A44" s="168" t="s">
        <v>425</v>
      </c>
      <c r="B44" s="162" t="str">
        <f t="shared" si="0"/>
        <v xml:space="preserve">16+027A00HS-103  </v>
      </c>
      <c r="C44" s="162" t="str">
        <f t="shared" si="1"/>
        <v>16</v>
      </c>
      <c r="D44" s="162" t="str">
        <f t="shared" si="2"/>
        <v xml:space="preserve">027A00HS-103  </v>
      </c>
      <c r="E44" s="162" t="str">
        <f t="shared" si="3"/>
        <v>027</v>
      </c>
      <c r="F44" s="166" t="e">
        <f>IF(C44='Ціни контур теплопостачання'!$B$123,E44*'Ціни контур теплопостачання'!$C$123*'Ціни контур теплопостачання'!$E$123*'Ціни контур теплопостачання'!$F$123+'Ціни контур теплопостачання'!$D$123,IF(C44='Ціни контур теплопостачання'!$B$124,E44*'Ціни контур теплопостачання'!$C$124*'Ціни контур теплопостачання'!$E$124*'Ціни контур теплопостачання'!$F$124+'Ціни контур теплопостачання'!$D$124,IF(C44='Ціни контур теплопостачання'!$B$125,E44*'Ціни контур теплопостачання'!$C$125*'Ціни контур теплопостачання'!$E$125*'Ціни контур теплопостачання'!$F$125+'Ціни контур теплопостачання'!$D$125,IF(C44='Ціни контур теплопостачання'!$B$126,E44*'Ціни контур теплопостачання'!$C$126*'Ціни контур теплопостачання'!$E$126*'Ціни контур теплопостачання'!$F$126+'Ціни контур теплопостачання'!$D$126,IF(C44='Ціни контур теплопостачання'!$B$127,E44*'Ціни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4" s="170" t="s">
        <v>166</v>
      </c>
      <c r="I44" s="162" t="str">
        <f t="shared" si="4"/>
        <v xml:space="preserve">08+017A00HS-95 </v>
      </c>
      <c r="J44" s="162" t="str">
        <f t="shared" si="5"/>
        <v>08</v>
      </c>
      <c r="K44" s="162" t="str">
        <f t="shared" si="6"/>
        <v xml:space="preserve">017A00HS-95 </v>
      </c>
      <c r="L44" s="162" t="str">
        <f t="shared" si="7"/>
        <v>017</v>
      </c>
      <c r="M44" s="166" t="e">
        <f>IF(J44='Ціни контур теплопостачання'!$B$123,L44*'Ціни контур теплопостачання'!$C$123*'Ціни контур теплопостачання'!$E$123*'Ціни контур теплопостачання'!$F$123+'Ціни контур теплопостачання'!$D$123,IF(J44='Ціни контур теплопостачання'!$B$124,L44*'Ціни контур теплопостачання'!$C$124*'Ціни контур теплопостачання'!$E$124*'Ціни контур теплопостачання'!$F$124+'Ціни контур теплопостачання'!$D$124,IF(J44='Ціни контур теплопостачання'!$B$125,L44*'Ціни контур теплопостачання'!$C$125*'Ціни контур теплопостачання'!$E$125*'Ціни контур теплопостачання'!$F$125+'Ціни контур теплопостачання'!$D$125,IF(J44='Ціни контур теплопостачання'!$B$126,L44*'Ціни контур теплопостачання'!$C$126*'Ціни контур теплопостачання'!$E$126*'Ціни контур теплопостачання'!$F$126+'Ціни контур теплопостачання'!$D$126,IF(J44='Ціни контур теплопостачання'!$B$127,L44*'Ціни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5" spans="1:13">
      <c r="A45" s="168" t="s">
        <v>426</v>
      </c>
      <c r="B45" s="162" t="str">
        <f t="shared" si="0"/>
        <v xml:space="preserve">16+035A00HS-207  </v>
      </c>
      <c r="C45" s="162" t="str">
        <f t="shared" si="1"/>
        <v>16</v>
      </c>
      <c r="D45" s="162" t="str">
        <f t="shared" si="2"/>
        <v xml:space="preserve">035A00HS-207  </v>
      </c>
      <c r="E45" s="162" t="str">
        <f t="shared" si="3"/>
        <v>035</v>
      </c>
      <c r="F45" s="166" t="e">
        <f>IF(C45='Ціни контур теплопостачання'!$B$123,E45*'Ціни контур теплопостачання'!$C$123*'Ціни контур теплопостачання'!$E$123*'Ціни контур теплопостачання'!$F$123+'Ціни контур теплопостачання'!$D$123,IF(C45='Ціни контур теплопостачання'!$B$124,E45*'Ціни контур теплопостачання'!$C$124*'Ціни контур теплопостачання'!$E$124*'Ціни контур теплопостачання'!$F$124+'Ціни контур теплопостачання'!$D$124,IF(C45='Ціни контур теплопостачання'!$B$125,E45*'Ціни контур теплопостачання'!$C$125*'Ціни контур теплопостачання'!$E$125*'Ціни контур теплопостачання'!$F$125+'Ціни контур теплопостачання'!$D$125,IF(C45='Ціни контур теплопостачання'!$B$126,E45*'Ціни контур теплопостачання'!$C$126*'Ціни контур теплопостачання'!$E$126*'Ціни контур теплопостачання'!$F$126+'Ціни контур теплопостачання'!$D$126,IF(C45='Ціни контур теплопостачання'!$B$127,E45*'Ціни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5" s="170" t="s">
        <v>140</v>
      </c>
      <c r="I45" s="162" t="str">
        <f t="shared" si="4"/>
        <v xml:space="preserve">08+033A00HS-189 </v>
      </c>
      <c r="J45" s="162" t="str">
        <f t="shared" si="5"/>
        <v>08</v>
      </c>
      <c r="K45" s="162" t="str">
        <f t="shared" si="6"/>
        <v xml:space="preserve">033A00HS-189 </v>
      </c>
      <c r="L45" s="162" t="str">
        <f t="shared" si="7"/>
        <v>033</v>
      </c>
      <c r="M45" s="166" t="e">
        <f>IF(J45='Ціни контур теплопостачання'!$B$123,L45*'Ціни контур теплопостачання'!$C$123*'Ціни контур теплопостачання'!$E$123*'Ціни контур теплопостачання'!$F$123+'Ціни контур теплопостачання'!$D$123,IF(J45='Ціни контур теплопостачання'!$B$124,L45*'Ціни контур теплопостачання'!$C$124*'Ціни контур теплопостачання'!$E$124*'Ціни контур теплопостачання'!$F$124+'Ціни контур теплопостачання'!$D$124,IF(J45='Ціни контур теплопостачання'!$B$125,L45*'Ціни контур теплопостачання'!$C$125*'Ціни контур теплопостачання'!$E$125*'Ціни контур теплопостачання'!$F$125+'Ціни контур теплопостачання'!$D$125,IF(J45='Ціни контур теплопостачання'!$B$126,L45*'Ціни контур теплопостачання'!$C$126*'Ціни контур теплопостачання'!$E$126*'Ціни контур теплопостачання'!$F$126+'Ціни контур теплопостачання'!$D$126,IF(J45='Ціни контур теплопостачання'!$B$127,L45*'Ціни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6" spans="1:13">
      <c r="A46" s="168" t="s">
        <v>427</v>
      </c>
      <c r="B46" s="162" t="str">
        <f t="shared" si="0"/>
        <v xml:space="preserve">16+043A00HS-172  </v>
      </c>
      <c r="C46" s="162" t="str">
        <f t="shared" si="1"/>
        <v>16</v>
      </c>
      <c r="D46" s="162" t="str">
        <f t="shared" si="2"/>
        <v xml:space="preserve">043A00HS-172  </v>
      </c>
      <c r="E46" s="162" t="str">
        <f t="shared" si="3"/>
        <v>043</v>
      </c>
      <c r="F46" s="166" t="e">
        <f>IF(C46='Ціни контур теплопостачання'!$B$123,E46*'Ціни контур теплопостачання'!$C$123*'Ціни контур теплопостачання'!$E$123*'Ціни контур теплопостачання'!$F$123+'Ціни контур теплопостачання'!$D$123,IF(C46='Ціни контур теплопостачання'!$B$124,E46*'Ціни контур теплопостачання'!$C$124*'Ціни контур теплопостачання'!$E$124*'Ціни контур теплопостачання'!$F$124+'Ціни контур теплопостачання'!$D$124,IF(C46='Ціни контур теплопостачання'!$B$125,E46*'Ціни контур теплопостачання'!$C$125*'Ціни контур теплопостачання'!$E$125*'Ціни контур теплопостачання'!$F$125+'Ціни контур теплопостачання'!$D$125,IF(C46='Ціни контур теплопостачання'!$B$126,E46*'Ціни контур теплопостачання'!$C$126*'Ціни контур теплопостачання'!$E$126*'Ціни контур теплопостачання'!$F$126+'Ціни контур теплопостачання'!$D$126,IF(C46='Ціни контур теплопостачання'!$B$127,E46*'Ціни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6" s="170" t="s">
        <v>167</v>
      </c>
      <c r="I46" s="162" t="str">
        <f t="shared" si="4"/>
        <v xml:space="preserve">08+027A00HS-158 </v>
      </c>
      <c r="J46" s="162" t="str">
        <f t="shared" si="5"/>
        <v>08</v>
      </c>
      <c r="K46" s="162" t="str">
        <f t="shared" si="6"/>
        <v xml:space="preserve">027A00HS-158 </v>
      </c>
      <c r="L46" s="162" t="str">
        <f t="shared" si="7"/>
        <v>027</v>
      </c>
      <c r="M46" s="166" t="e">
        <f>IF(J46='Ціни контур теплопостачання'!$B$123,L46*'Ціни контур теплопостачання'!$C$123*'Ціни контур теплопостачання'!$E$123*'Ціни контур теплопостачання'!$F$123+'Ціни контур теплопостачання'!$D$123,IF(J46='Ціни контур теплопостачання'!$B$124,L46*'Ціни контур теплопостачання'!$C$124*'Ціни контур теплопостачання'!$E$124*'Ціни контур теплопостачання'!$F$124+'Ціни контур теплопостачання'!$D$124,IF(J46='Ціни контур теплопостачання'!$B$125,L46*'Ціни контур теплопостачання'!$C$125*'Ціни контур теплопостачання'!$E$125*'Ціни контур теплопостачання'!$F$125+'Ціни контур теплопостачання'!$D$125,IF(J46='Ціни контур теплопостачання'!$B$126,L46*'Ціни контур теплопостачання'!$C$126*'Ціни контур теплопостачання'!$E$126*'Ціни контур теплопостачання'!$F$126+'Ціни контур теплопостачання'!$D$126,IF(J46='Ціни контур теплопостачання'!$B$127,L46*'Ціни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7" spans="1:13">
      <c r="A47" s="168" t="s">
        <v>428</v>
      </c>
      <c r="B47" s="162" t="str">
        <f t="shared" si="0"/>
        <v xml:space="preserve">16+065A00HS-270  </v>
      </c>
      <c r="C47" s="162" t="str">
        <f t="shared" si="1"/>
        <v>16</v>
      </c>
      <c r="D47" s="162" t="str">
        <f t="shared" si="2"/>
        <v xml:space="preserve">065A00HS-270  </v>
      </c>
      <c r="E47" s="162" t="str">
        <f t="shared" si="3"/>
        <v>065</v>
      </c>
      <c r="F47" s="166" t="e">
        <f>IF(C47='Ціни контур теплопостачання'!$B$123,E47*'Ціни контур теплопостачання'!$C$123*'Ціни контур теплопостачання'!$E$123*'Ціни контур теплопостачання'!$F$123+'Ціни контур теплопостачання'!$D$123,IF(C47='Ціни контур теплопостачання'!$B$124,E47*'Ціни контур теплопостачання'!$C$124*'Ціни контур теплопостачання'!$E$124*'Ціни контур теплопостачання'!$F$124+'Ціни контур теплопостачання'!$D$124,IF(C47='Ціни контур теплопостачання'!$B$125,E47*'Ціни контур теплопостачання'!$C$125*'Ціни контур теплопостачання'!$E$125*'Ціни контур теплопостачання'!$F$125+'Ціни контур теплопостачання'!$D$125,IF(C47='Ціни контур теплопостачання'!$B$126,E47*'Ціни контур теплопостачання'!$C$126*'Ціни контур теплопостачання'!$E$126*'Ціни контур теплопостачання'!$F$126+'Ціни контур теплопостачання'!$D$126,IF(C47='Ціни контур теплопостачання'!$B$127,E47*'Ціни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7" s="170" t="s">
        <v>168</v>
      </c>
      <c r="I47" s="162" t="str">
        <f t="shared" si="4"/>
        <v xml:space="preserve">08+039A00HS-229 </v>
      </c>
      <c r="J47" s="162" t="str">
        <f t="shared" si="5"/>
        <v>08</v>
      </c>
      <c r="K47" s="162" t="str">
        <f t="shared" si="6"/>
        <v xml:space="preserve">039A00HS-229 </v>
      </c>
      <c r="L47" s="162" t="str">
        <f t="shared" si="7"/>
        <v>039</v>
      </c>
      <c r="M47" s="166" t="e">
        <f>IF(J47='Ціни контур теплопостачання'!$B$123,L47*'Ціни контур теплопостачання'!$C$123*'Ціни контур теплопостачання'!$E$123*'Ціни контур теплопостачання'!$F$123+'Ціни контур теплопостачання'!$D$123,IF(J47='Ціни контур теплопостачання'!$B$124,L47*'Ціни контур теплопостачання'!$C$124*'Ціни контур теплопостачання'!$E$124*'Ціни контур теплопостачання'!$F$124+'Ціни контур теплопостачання'!$D$124,IF(J47='Ціни контур теплопостачання'!$B$125,L47*'Ціни контур теплопостачання'!$C$125*'Ціни контур теплопостачання'!$E$125*'Ціни контур теплопостачання'!$F$125+'Ціни контур теплопостачання'!$D$125,IF(J47='Ціни контур теплопостачання'!$B$126,L47*'Ціни контур теплопостачання'!$C$126*'Ціни контур теплопостачання'!$E$126*'Ціни контур теплопостачання'!$F$126+'Ціни контур теплопостачання'!$D$126,IF(J47='Ціни контур теплопостачання'!$B$127,L47*'Ціни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8" spans="1:13">
      <c r="A48" s="168" t="s">
        <v>628</v>
      </c>
      <c r="B48" s="162" t="str">
        <f t="shared" si="0"/>
        <v xml:space="preserve">16+057A00HS-231 </v>
      </c>
      <c r="C48" s="162" t="str">
        <f t="shared" si="1"/>
        <v>16</v>
      </c>
      <c r="D48" s="162" t="str">
        <f t="shared" si="2"/>
        <v xml:space="preserve">057A00HS-231 </v>
      </c>
      <c r="E48" s="162" t="str">
        <f t="shared" si="3"/>
        <v>057</v>
      </c>
      <c r="F48" s="166" t="e">
        <f>IF(C48='Ціни контур теплопостачання'!$B$123,E48*'Ціни контур теплопостачання'!$C$123*'Ціни контур теплопостачання'!$E$123*'Ціни контур теплопостачання'!$F$123+'Ціни контур теплопостачання'!$D$123,IF(C48='Ціни контур теплопостачання'!$B$124,E48*'Ціни контур теплопостачання'!$C$124*'Ціни контур теплопостачання'!$E$124*'Ціни контур теплопостачання'!$F$124+'Ціни контур теплопостачання'!$D$124,IF(C48='Ціни контур теплопостачання'!$B$125,E48*'Ціни контур теплопостачання'!$C$125*'Ціни контур теплопостачання'!$E$125*'Ціни контур теплопостачання'!$F$125+'Ціни контур теплопостачання'!$D$125,IF(C48='Ціни контур теплопостачання'!$B$126,E48*'Ціни контур теплопостачання'!$C$126*'Ціни контур теплопостачання'!$E$126*'Ціни контур теплопостачання'!$F$126+'Ціни контур теплопостачання'!$D$126,IF(C48='Ціни контур теплопостачання'!$B$127,E48*'Ціни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8" s="170" t="s">
        <v>169</v>
      </c>
      <c r="I48" s="162" t="str">
        <f t="shared" si="4"/>
        <v xml:space="preserve">08+033A00HS-197 </v>
      </c>
      <c r="J48" s="162" t="str">
        <f t="shared" si="5"/>
        <v>08</v>
      </c>
      <c r="K48" s="162" t="str">
        <f t="shared" si="6"/>
        <v xml:space="preserve">033A00HS-197 </v>
      </c>
      <c r="L48" s="162" t="str">
        <f t="shared" si="7"/>
        <v>033</v>
      </c>
      <c r="M48" s="166" t="e">
        <f>IF(J48='Ціни контур теплопостачання'!$B$123,L48*'Ціни контур теплопостачання'!$C$123*'Ціни контур теплопостачання'!$E$123*'Ціни контур теплопостачання'!$F$123+'Ціни контур теплопостачання'!$D$123,IF(J48='Ціни контур теплопостачання'!$B$124,L48*'Ціни контур теплопостачання'!$C$124*'Ціни контур теплопостачання'!$E$124*'Ціни контур теплопостачання'!$F$124+'Ціни контур теплопостачання'!$D$124,IF(J48='Ціни контур теплопостачання'!$B$125,L48*'Ціни контур теплопостачання'!$C$125*'Ціни контур теплопостачання'!$E$125*'Ціни контур теплопостачання'!$F$125+'Ціни контур теплопостачання'!$D$125,IF(J48='Ціни контур теплопостачання'!$B$126,L48*'Ціни контур теплопостачання'!$C$126*'Ціни контур теплопостачання'!$E$126*'Ціни контур теплопостачання'!$F$126+'Ціни контур теплопостачання'!$D$126,IF(J48='Ціни контур теплопостачання'!$B$127,L48*'Ціни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49" spans="1:13">
      <c r="A49" s="168" t="s">
        <v>429</v>
      </c>
      <c r="B49" s="162" t="str">
        <f t="shared" si="0"/>
        <v xml:space="preserve">16+031A00HS-116  </v>
      </c>
      <c r="C49" s="162" t="str">
        <f t="shared" si="1"/>
        <v>16</v>
      </c>
      <c r="D49" s="162" t="str">
        <f t="shared" si="2"/>
        <v xml:space="preserve">031A00HS-116  </v>
      </c>
      <c r="E49" s="162" t="str">
        <f t="shared" si="3"/>
        <v>031</v>
      </c>
      <c r="F49" s="166" t="e">
        <f>IF(C49='Ціни контур теплопостачання'!$B$123,E49*'Ціни контур теплопостачання'!$C$123*'Ціни контур теплопостачання'!$E$123*'Ціни контур теплопостачання'!$F$123+'Ціни контур теплопостачання'!$D$123,IF(C49='Ціни контур теплопостачання'!$B$124,E49*'Ціни контур теплопостачання'!$C$124*'Ціни контур теплопостачання'!$E$124*'Ціни контур теплопостачання'!$F$124+'Ціни контур теплопостачання'!$D$124,IF(C49='Ціни контур теплопостачання'!$B$125,E49*'Ціни контур теплопостачання'!$C$125*'Ціни контур теплопостачання'!$E$125*'Ціни контур теплопостачання'!$F$125+'Ціни контур теплопостачання'!$D$125,IF(C49='Ціни контур теплопостачання'!$B$126,E49*'Ціни контур теплопостачання'!$C$126*'Ціни контур теплопостачання'!$E$126*'Ціни контур теплопостачання'!$F$126+'Ціни контур теплопостачання'!$D$126,IF(C49='Ціни контур теплопостачання'!$B$127,E49*'Ціни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49" s="170" t="s">
        <v>170</v>
      </c>
      <c r="I49" s="162" t="str">
        <f t="shared" si="4"/>
        <v xml:space="preserve">08+017A00HS-98 </v>
      </c>
      <c r="J49" s="162" t="str">
        <f t="shared" si="5"/>
        <v>08</v>
      </c>
      <c r="K49" s="162" t="str">
        <f t="shared" si="6"/>
        <v xml:space="preserve">017A00HS-98 </v>
      </c>
      <c r="L49" s="162" t="str">
        <f t="shared" si="7"/>
        <v>017</v>
      </c>
      <c r="M49" s="166" t="e">
        <f>IF(J49='Ціни контур теплопостачання'!$B$123,L49*'Ціни контур теплопостачання'!$C$123*'Ціни контур теплопостачання'!$E$123*'Ціни контур теплопостачання'!$F$123+'Ціни контур теплопостачання'!$D$123,IF(J49='Ціни контур теплопостачання'!$B$124,L49*'Ціни контур теплопостачання'!$C$124*'Ціни контур теплопостачання'!$E$124*'Ціни контур теплопостачання'!$F$124+'Ціни контур теплопостачання'!$D$124,IF(J49='Ціни контур теплопостачання'!$B$125,L49*'Ціни контур теплопостачання'!$C$125*'Ціни контур теплопостачання'!$E$125*'Ціни контур теплопостачання'!$F$125+'Ціни контур теплопостачання'!$D$125,IF(J49='Ціни контур теплопостачання'!$B$126,L49*'Ціни контур теплопостачання'!$C$126*'Ціни контур теплопостачання'!$E$126*'Ціни контур теплопостачання'!$F$126+'Ціни контур теплопостачання'!$D$126,IF(J49='Ціни контур теплопостачання'!$B$127,L49*'Ціни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0" spans="1:13">
      <c r="A50" s="168" t="s">
        <v>430</v>
      </c>
      <c r="B50" s="162" t="str">
        <f t="shared" si="0"/>
        <v xml:space="preserve">16+021A00HS-77  </v>
      </c>
      <c r="C50" s="162" t="str">
        <f t="shared" si="1"/>
        <v>16</v>
      </c>
      <c r="D50" s="162" t="str">
        <f t="shared" si="2"/>
        <v xml:space="preserve">021A00HS-77  </v>
      </c>
      <c r="E50" s="162" t="str">
        <f t="shared" si="3"/>
        <v>021</v>
      </c>
      <c r="F50" s="166" t="e">
        <f>IF(C50='Ціни контур теплопостачання'!$B$123,E50*'Ціни контур теплопостачання'!$C$123*'Ціни контур теплопостачання'!$E$123*'Ціни контур теплопостачання'!$F$123+'Ціни контур теплопостачання'!$D$123,IF(C50='Ціни контур теплопостачання'!$B$124,E50*'Ціни контур теплопостачання'!$C$124*'Ціни контур теплопостачання'!$E$124*'Ціни контур теплопостачання'!$F$124+'Ціни контур теплопостачання'!$D$124,IF(C50='Ціни контур теплопостачання'!$B$125,E50*'Ціни контур теплопостачання'!$C$125*'Ціни контур теплопостачання'!$E$125*'Ціни контур теплопостачання'!$F$125+'Ціни контур теплопостачання'!$D$125,IF(C50='Ціни контур теплопостачання'!$B$126,E50*'Ціни контур теплопостачання'!$C$126*'Ціни контур теплопостачання'!$E$126*'Ціни контур теплопостачання'!$F$126+'Ціни контур теплопостачання'!$D$126,IF(C50='Ціни контур теплопостачання'!$B$127,E50*'Ціни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0" s="170" t="s">
        <v>171</v>
      </c>
      <c r="I50" s="162" t="str">
        <f t="shared" si="4"/>
        <v xml:space="preserve">08+013A00HS-66 </v>
      </c>
      <c r="J50" s="162" t="str">
        <f t="shared" si="5"/>
        <v>08</v>
      </c>
      <c r="K50" s="162" t="str">
        <f t="shared" si="6"/>
        <v xml:space="preserve">013A00HS-66 </v>
      </c>
      <c r="L50" s="162" t="str">
        <f t="shared" si="7"/>
        <v>013</v>
      </c>
      <c r="M50" s="166" t="e">
        <f>IF(J50='Ціни контур теплопостачання'!$B$123,L50*'Ціни контур теплопостачання'!$C$123*'Ціни контур теплопостачання'!$E$123*'Ціни контур теплопостачання'!$F$123+'Ціни контур теплопостачання'!$D$123,IF(J50='Ціни контур теплопостачання'!$B$124,L50*'Ціни контур теплопостачання'!$C$124*'Ціни контур теплопостачання'!$E$124*'Ціни контур теплопостачання'!$F$124+'Ціни контур теплопостачання'!$D$124,IF(J50='Ціни контур теплопостачання'!$B$125,L50*'Ціни контур теплопостачання'!$C$125*'Ціни контур теплопостачання'!$E$125*'Ціни контур теплопостачання'!$F$125+'Ціни контур теплопостачання'!$D$125,IF(J50='Ціни контур теплопостачання'!$B$126,L50*'Ціни контур теплопостачання'!$C$126*'Ціни контур теплопостачання'!$E$126*'Ціни контур теплопостачання'!$F$126+'Ціни контур теплопостачання'!$D$126,IF(J50='Ціни контур теплопостачання'!$B$127,L50*'Ціни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1" spans="1:13">
      <c r="A51" s="168" t="s">
        <v>431</v>
      </c>
      <c r="B51" s="162" t="str">
        <f t="shared" si="0"/>
        <v xml:space="preserve">45+077M85HS-907 </v>
      </c>
      <c r="C51" s="162" t="str">
        <f t="shared" si="1"/>
        <v>45</v>
      </c>
      <c r="D51" s="162" t="str">
        <f t="shared" si="2"/>
        <v xml:space="preserve">077M85HS-907 </v>
      </c>
      <c r="E51" s="162" t="str">
        <f t="shared" si="3"/>
        <v>077</v>
      </c>
      <c r="F51" s="166" t="e">
        <f>IF(C51='Ціни контур теплопостачання'!$B$123,E51*'Ціни контур теплопостачання'!$C$123*'Ціни контур теплопостачання'!$E$123*'Ціни контур теплопостачання'!$F$123+'Ціни контур теплопостачання'!$D$123,IF(C51='Ціни контур теплопостачання'!$B$124,E51*'Ціни контур теплопостачання'!$C$124*'Ціни контур теплопостачання'!$E$124*'Ціни контур теплопостачання'!$F$124+'Ціни контур теплопостачання'!$D$124,IF(C51='Ціни контур теплопостачання'!$B$125,E51*'Ціни контур теплопостачання'!$C$125*'Ціни контур теплопостачання'!$E$125*'Ціни контур теплопостачання'!$F$125+'Ціни контур теплопостачання'!$D$125,IF(C51='Ціни контур теплопостачання'!$B$126,E51*'Ціни контур теплопостачання'!$C$126*'Ціни контур теплопостачання'!$E$126*'Ціни контур теплопостачання'!$F$126+'Ціни контур теплопостачання'!$D$126,IF(C51='Ціни контур теплопостачання'!$B$127,E51*'Ціни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G51" s="154">
        <v>1</v>
      </c>
      <c r="H51" s="170" t="s">
        <v>172</v>
      </c>
      <c r="I51" s="162" t="str">
        <f t="shared" si="4"/>
        <v xml:space="preserve">08+035A00HS-209 </v>
      </c>
      <c r="J51" s="162" t="str">
        <f t="shared" si="5"/>
        <v>08</v>
      </c>
      <c r="K51" s="162" t="str">
        <f t="shared" si="6"/>
        <v xml:space="preserve">035A00HS-209 </v>
      </c>
      <c r="L51" s="162" t="str">
        <f t="shared" si="7"/>
        <v>035</v>
      </c>
      <c r="M51" s="166" t="e">
        <f>IF(J51='Ціни контур теплопостачання'!$B$123,L51*'Ціни контур теплопостачання'!$C$123*'Ціни контур теплопостачання'!$E$123*'Ціни контур теплопостачання'!$F$123+'Ціни контур теплопостачання'!$D$123,IF(J51='Ціни контур теплопостачання'!$B$124,L51*'Ціни контур теплопостачання'!$C$124*'Ціни контур теплопостачання'!$E$124*'Ціни контур теплопостачання'!$F$124+'Ціни контур теплопостачання'!$D$124,IF(J51='Ціни контур теплопостачання'!$B$125,L51*'Ціни контур теплопостачання'!$C$125*'Ціни контур теплопостачання'!$E$125*'Ціни контур теплопостачання'!$F$125+'Ціни контур теплопостачання'!$D$125,IF(J51='Ціни контур теплопостачання'!$B$126,L51*'Ціни контур теплопостачання'!$C$126*'Ціни контур теплопостачання'!$E$126*'Ціни контур теплопостачання'!$F$126+'Ціни контур теплопостачання'!$D$126,IF(J51='Ціни контур теплопостачання'!$B$127,L51*'Ціни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2" spans="1:13">
      <c r="A52" s="168" t="s">
        <v>432</v>
      </c>
      <c r="B52" s="162" t="str">
        <f t="shared" si="0"/>
        <v xml:space="preserve">16+095A00HS-394  </v>
      </c>
      <c r="C52" s="162" t="str">
        <f t="shared" si="1"/>
        <v>16</v>
      </c>
      <c r="D52" s="162" t="str">
        <f t="shared" si="2"/>
        <v xml:space="preserve">095A00HS-394  </v>
      </c>
      <c r="E52" s="162" t="str">
        <f t="shared" si="3"/>
        <v>095</v>
      </c>
      <c r="F52" s="166" t="e">
        <f>IF(C52='Ціни контур теплопостачання'!$B$123,E52*'Ціни контур теплопостачання'!$C$123*'Ціни контур теплопостачання'!$E$123*'Ціни контур теплопостачання'!$F$123+'Ціни контур теплопостачання'!$D$123,IF(C52='Ціни контур теплопостачання'!$B$124,E52*'Ціни контур теплопостачання'!$C$124*'Ціни контур теплопостачання'!$E$124*'Ціни контур теплопостачання'!$F$124+'Ціни контур теплопостачання'!$D$124,IF(C52='Ціни контур теплопостачання'!$B$125,E52*'Ціни контур теплопостачання'!$C$125*'Ціни контур теплопостачання'!$E$125*'Ціни контур теплопостачання'!$F$125+'Ціни контур теплопостачання'!$D$125,IF(C52='Ціни контур теплопостачання'!$B$126,E52*'Ціни контур теплопостачання'!$C$126*'Ціни контур теплопостачання'!$E$126*'Ціни контур теплопостачання'!$F$126+'Ціни контур теплопостачання'!$D$126,IF(C52='Ціни контур теплопостачання'!$B$127,E52*'Ціни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2" s="170" t="s">
        <v>173</v>
      </c>
      <c r="I52" s="162" t="str">
        <f t="shared" si="4"/>
        <v xml:space="preserve">16+051M50HS-494 </v>
      </c>
      <c r="J52" s="162" t="str">
        <f t="shared" si="5"/>
        <v>16</v>
      </c>
      <c r="K52" s="162" t="str">
        <f t="shared" si="6"/>
        <v xml:space="preserve">051M50HS-494 </v>
      </c>
      <c r="L52" s="162" t="str">
        <f t="shared" si="7"/>
        <v>051</v>
      </c>
      <c r="M52" s="166" t="e">
        <f>IF(J52='Ціни контур теплопостачання'!$B$123,L52*'Ціни контур теплопостачання'!$C$123*'Ціни контур теплопостачання'!$E$123*'Ціни контур теплопостачання'!$F$123+'Ціни контур теплопостачання'!$D$123,IF(J52='Ціни контур теплопостачання'!$B$124,L52*'Ціни контур теплопостачання'!$C$124*'Ціни контур теплопостачання'!$E$124*'Ціни контур теплопостачання'!$F$124+'Ціни контур теплопостачання'!$D$124,IF(J52='Ціни контур теплопостачання'!$B$125,L52*'Ціни контур теплопостачання'!$C$125*'Ціни контур теплопостачання'!$E$125*'Ціни контур теплопостачання'!$F$125+'Ціни контур теплопостачання'!$D$125,IF(J52='Ціни контур теплопостачання'!$B$126,L52*'Ціни контур теплопостачання'!$C$126*'Ціни контур теплопостачання'!$E$126*'Ціни контур теплопостачання'!$F$126+'Ціни контур теплопостачання'!$D$126,IF(J52='Ціни контур теплопостачання'!$B$127,L52*'Ціни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3" spans="1:13">
      <c r="A53" s="168" t="s">
        <v>433</v>
      </c>
      <c r="B53" s="162" t="str">
        <f t="shared" si="0"/>
        <v xml:space="preserve">16+095A00HS-395   </v>
      </c>
      <c r="C53" s="162" t="str">
        <f t="shared" si="1"/>
        <v>16</v>
      </c>
      <c r="D53" s="162" t="str">
        <f t="shared" si="2"/>
        <v xml:space="preserve">095A00HS-395   </v>
      </c>
      <c r="E53" s="162" t="str">
        <f t="shared" si="3"/>
        <v>095</v>
      </c>
      <c r="F53" s="166" t="e">
        <f>IF(C53='Ціни контур теплопостачання'!$B$123,E53*'Ціни контур теплопостачання'!$C$123*'Ціни контур теплопостачання'!$E$123*'Ціни контур теплопостачання'!$F$123+'Ціни контур теплопостачання'!$D$123,IF(C53='Ціни контур теплопостачання'!$B$124,E53*'Ціни контур теплопостачання'!$C$124*'Ціни контур теплопостачання'!$E$124*'Ціни контур теплопостачання'!$F$124+'Ціни контур теплопостачання'!$D$124,IF(C53='Ціни контур теплопостачання'!$B$125,E53*'Ціни контур теплопостачання'!$C$125*'Ціни контур теплопостачання'!$E$125*'Ціни контур теплопостачання'!$F$125+'Ціни контур теплопостачання'!$D$125,IF(C53='Ціни контур теплопостачання'!$B$126,E53*'Ціни контур теплопостачання'!$C$126*'Ціни контур теплопостачання'!$E$126*'Ціни контур теплопостачання'!$F$126+'Ціни контур теплопостачання'!$D$126,IF(C53='Ціни контур теплопостачання'!$B$127,E53*'Ціни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3" s="170" t="s">
        <v>174</v>
      </c>
      <c r="I53" s="162" t="str">
        <f t="shared" si="4"/>
        <v xml:space="preserve">16+051M50HS-488 </v>
      </c>
      <c r="J53" s="162" t="str">
        <f t="shared" si="5"/>
        <v>16</v>
      </c>
      <c r="K53" s="162" t="str">
        <f t="shared" si="6"/>
        <v xml:space="preserve">051M50HS-488 </v>
      </c>
      <c r="L53" s="162" t="str">
        <f t="shared" si="7"/>
        <v>051</v>
      </c>
      <c r="M53" s="166" t="e">
        <f>IF(J53='Ціни контур теплопостачання'!$B$123,L53*'Ціни контур теплопостачання'!$C$123*'Ціни контур теплопостачання'!$E$123*'Ціни контур теплопостачання'!$F$123+'Ціни контур теплопостачання'!$D$123,IF(J53='Ціни контур теплопостачання'!$B$124,L53*'Ціни контур теплопостачання'!$C$124*'Ціни контур теплопостачання'!$E$124*'Ціни контур теплопостачання'!$F$124+'Ціни контур теплопостачання'!$D$124,IF(J53='Ціни контур теплопостачання'!$B$125,L53*'Ціни контур теплопостачання'!$C$125*'Ціни контур теплопостачання'!$E$125*'Ціни контур теплопостачання'!$F$125+'Ціни контур теплопостачання'!$D$125,IF(J53='Ціни контур теплопостачання'!$B$126,L53*'Ціни контур теплопостачання'!$C$126*'Ціни контур теплопостачання'!$E$126*'Ціни контур теплопостачання'!$F$126+'Ціни контур теплопостачання'!$D$126,IF(J53='Ціни контур теплопостачання'!$B$127,L53*'Ціни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4" spans="1:13">
      <c r="A54" s="168" t="s">
        <v>434</v>
      </c>
      <c r="B54" s="162" t="str">
        <f t="shared" si="0"/>
        <v xml:space="preserve">16+081A00HS-337  </v>
      </c>
      <c r="C54" s="162" t="str">
        <f t="shared" si="1"/>
        <v>16</v>
      </c>
      <c r="D54" s="162" t="str">
        <f t="shared" si="2"/>
        <v xml:space="preserve">081A00HS-337  </v>
      </c>
      <c r="E54" s="162" t="str">
        <f t="shared" si="3"/>
        <v>081</v>
      </c>
      <c r="F54" s="166" t="e">
        <f>IF(C54='Ціни контур теплопостачання'!$B$123,E54*'Ціни контур теплопостачання'!$C$123*'Ціни контур теплопостачання'!$E$123*'Ціни контур теплопостачання'!$F$123+'Ціни контур теплопостачання'!$D$123,IF(C54='Ціни контур теплопостачання'!$B$124,E54*'Ціни контур теплопостачання'!$C$124*'Ціни контур теплопостачання'!$E$124*'Ціни контур теплопостачання'!$F$124+'Ціни контур теплопостачання'!$D$124,IF(C54='Ціни контур теплопостачання'!$B$125,E54*'Ціни контур теплопостачання'!$C$125*'Ціни контур теплопостачання'!$E$125*'Ціни контур теплопостачання'!$F$125+'Ціни контур теплопостачання'!$D$125,IF(C54='Ціни контур теплопостачання'!$B$126,E54*'Ціни контур теплопостачання'!$C$126*'Ціни контур теплопостачання'!$E$126*'Ціни контур теплопостачання'!$F$126+'Ціни контур теплопостачання'!$D$126,IF(C54='Ціни контур теплопостачання'!$B$127,E54*'Ціни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4" s="170" t="s">
        <v>175</v>
      </c>
      <c r="I54" s="162" t="str">
        <f t="shared" si="4"/>
        <v xml:space="preserve">16+037M50HS-375 </v>
      </c>
      <c r="J54" s="162" t="str">
        <f t="shared" si="5"/>
        <v>16</v>
      </c>
      <c r="K54" s="162" t="str">
        <f t="shared" si="6"/>
        <v xml:space="preserve">037M50HS-375 </v>
      </c>
      <c r="L54" s="162" t="str">
        <f t="shared" si="7"/>
        <v>037</v>
      </c>
      <c r="M54" s="166" t="e">
        <f>IF(J54='Ціни контур теплопостачання'!$B$123,L54*'Ціни контур теплопостачання'!$C$123*'Ціни контур теплопостачання'!$E$123*'Ціни контур теплопостачання'!$F$123+'Ціни контур теплопостачання'!$D$123,IF(J54='Ціни контур теплопостачання'!$B$124,L54*'Ціни контур теплопостачання'!$C$124*'Ціни контур теплопостачання'!$E$124*'Ціни контур теплопостачання'!$F$124+'Ціни контур теплопостачання'!$D$124,IF(J54='Ціни контур теплопостачання'!$B$125,L54*'Ціни контур теплопостачання'!$C$125*'Ціни контур теплопостачання'!$E$125*'Ціни контур теплопостачання'!$F$125+'Ціни контур теплопостачання'!$D$125,IF(J54='Ціни контур теплопостачання'!$B$126,L54*'Ціни контур теплопостачання'!$C$126*'Ціни контур теплопостачання'!$E$126*'Ціни контур теплопостачання'!$F$126+'Ціни контур теплопостачання'!$D$126,IF(J54='Ціни контур теплопостачання'!$B$127,L54*'Ціни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5" spans="1:13">
      <c r="A55" s="168" t="s">
        <v>415</v>
      </c>
      <c r="B55" s="162" t="str">
        <f t="shared" si="0"/>
        <v xml:space="preserve">16+057A00HS-233  </v>
      </c>
      <c r="C55" s="162" t="str">
        <f t="shared" si="1"/>
        <v>16</v>
      </c>
      <c r="D55" s="162" t="str">
        <f t="shared" si="2"/>
        <v xml:space="preserve">057A00HS-233  </v>
      </c>
      <c r="E55" s="162" t="str">
        <f t="shared" si="3"/>
        <v>057</v>
      </c>
      <c r="F55" s="166" t="e">
        <f>IF(C55='Ціни контур теплопостачання'!$B$123,E55*'Ціни контур теплопостачання'!$C$123*'Ціни контур теплопостачання'!$E$123*'Ціни контур теплопостачання'!$F$123+'Ціни контур теплопостачання'!$D$123,IF(C55='Ціни контур теплопостачання'!$B$124,E55*'Ціни контур теплопостачання'!$C$124*'Ціни контур теплопостачання'!$E$124*'Ціни контур теплопостачання'!$F$124+'Ціни контур теплопостачання'!$D$124,IF(C55='Ціни контур теплопостачання'!$B$125,E55*'Ціни контур теплопостачання'!$C$125*'Ціни контур теплопостачання'!$E$125*'Ціни контур теплопостачання'!$F$125+'Ціни контур теплопостачання'!$D$125,IF(C55='Ціни контур теплопостачання'!$B$126,E55*'Ціни контур теплопостачання'!$C$126*'Ціни контур теплопостачання'!$E$126*'Ціни контур теплопостачання'!$F$126+'Ціни контур теплопостачання'!$D$126,IF(C55='Ціни контур теплопостачання'!$B$127,E55*'Ціни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5" s="170" t="s">
        <v>176</v>
      </c>
      <c r="I55" s="162" t="str">
        <f t="shared" si="4"/>
        <v xml:space="preserve">08+045A00HS-265 </v>
      </c>
      <c r="J55" s="162" t="str">
        <f t="shared" si="5"/>
        <v>08</v>
      </c>
      <c r="K55" s="162" t="str">
        <f t="shared" si="6"/>
        <v xml:space="preserve">045A00HS-265 </v>
      </c>
      <c r="L55" s="162" t="str">
        <f t="shared" si="7"/>
        <v>045</v>
      </c>
      <c r="M55" s="166" t="e">
        <f>IF(J55='Ціни контур теплопостачання'!$B$123,L55*'Ціни контур теплопостачання'!$C$123*'Ціни контур теплопостачання'!$E$123*'Ціни контур теплопостачання'!$F$123+'Ціни контур теплопостачання'!$D$123,IF(J55='Ціни контур теплопостачання'!$B$124,L55*'Ціни контур теплопостачання'!$C$124*'Ціни контур теплопостачання'!$E$124*'Ціни контур теплопостачання'!$F$124+'Ціни контур теплопостачання'!$D$124,IF(J55='Ціни контур теплопостачання'!$B$125,L55*'Ціни контур теплопостачання'!$C$125*'Ціни контур теплопостачання'!$E$125*'Ціни контур теплопостачання'!$F$125+'Ціни контур теплопостачання'!$D$125,IF(J55='Ціни контур теплопостачання'!$B$126,L55*'Ціни контур теплопостачання'!$C$126*'Ціни контур теплопостачання'!$E$126*'Ціни контур теплопостачання'!$F$126+'Ціни контур теплопостачання'!$D$126,IF(J55='Ціни контур теплопостачання'!$B$127,L55*'Ціни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6" spans="1:13">
      <c r="A56" s="168" t="s">
        <v>435</v>
      </c>
      <c r="B56" s="162" t="str">
        <f t="shared" si="0"/>
        <v xml:space="preserve">16+095A00HS-392  </v>
      </c>
      <c r="C56" s="162" t="str">
        <f t="shared" si="1"/>
        <v>16</v>
      </c>
      <c r="D56" s="162" t="str">
        <f t="shared" si="2"/>
        <v xml:space="preserve">095A00HS-392  </v>
      </c>
      <c r="E56" s="162" t="str">
        <f t="shared" si="3"/>
        <v>095</v>
      </c>
      <c r="F56" s="166" t="e">
        <f>IF(C56='Ціни контур теплопостачання'!$B$123,E56*'Ціни контур теплопостачання'!$C$123*'Ціни контур теплопостачання'!$E$123*'Ціни контур теплопостачання'!$F$123+'Ціни контур теплопостачання'!$D$123,IF(C56='Ціни контур теплопостачання'!$B$124,E56*'Ціни контур теплопостачання'!$C$124*'Ціни контур теплопостачання'!$E$124*'Ціни контур теплопостачання'!$F$124+'Ціни контур теплопостачання'!$D$124,IF(C56='Ціни контур теплопостачання'!$B$125,E56*'Ціни контур теплопостачання'!$C$125*'Ціни контур теплопостачання'!$E$125*'Ціни контур теплопостачання'!$F$125+'Ціни контур теплопостачання'!$D$125,IF(C56='Ціни контур теплопостачання'!$B$126,E56*'Ціни контур теплопостачання'!$C$126*'Ціни контур теплопостачання'!$E$126*'Ціни контур теплопостачання'!$F$126+'Ціни контур теплопостачання'!$D$126,IF(C56='Ціни контур теплопостачання'!$B$127,E56*'Ціни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6" s="170" t="s">
        <v>177</v>
      </c>
      <c r="I56" s="162" t="str">
        <f t="shared" si="4"/>
        <v xml:space="preserve">16+037M50HS-358 </v>
      </c>
      <c r="J56" s="162" t="str">
        <f t="shared" si="5"/>
        <v>16</v>
      </c>
      <c r="K56" s="162" t="str">
        <f t="shared" si="6"/>
        <v xml:space="preserve">037M50HS-358 </v>
      </c>
      <c r="L56" s="162" t="str">
        <f t="shared" si="7"/>
        <v>037</v>
      </c>
      <c r="M56" s="166" t="e">
        <f>IF(J56='Ціни контур теплопостачання'!$B$123,L56*'Ціни контур теплопостачання'!$C$123*'Ціни контур теплопостачання'!$E$123*'Ціни контур теплопостачання'!$F$123+'Ціни контур теплопостачання'!$D$123,IF(J56='Ціни контур теплопостачання'!$B$124,L56*'Ціни контур теплопостачання'!$C$124*'Ціни контур теплопостачання'!$E$124*'Ціни контур теплопостачання'!$F$124+'Ціни контур теплопостачання'!$D$124,IF(J56='Ціни контур теплопостачання'!$B$125,L56*'Ціни контур теплопостачання'!$C$125*'Ціни контур теплопостачання'!$E$125*'Ціни контур теплопостачання'!$F$125+'Ціни контур теплопостачання'!$D$125,IF(J56='Ціни контур теплопостачання'!$B$126,L56*'Ціни контур теплопостачання'!$C$126*'Ціни контур теплопостачання'!$E$126*'Ціни контур теплопостачання'!$F$126+'Ціни контур теплопостачання'!$D$126,IF(J56='Ціни контур теплопостачання'!$B$127,L56*'Ціни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7" spans="1:13">
      <c r="A57" s="168" t="s">
        <v>436</v>
      </c>
      <c r="B57" s="162" t="str">
        <f t="shared" si="0"/>
        <v xml:space="preserve">16+109A00HS-452 </v>
      </c>
      <c r="C57" s="162" t="str">
        <f t="shared" si="1"/>
        <v>16</v>
      </c>
      <c r="D57" s="162" t="str">
        <f t="shared" si="2"/>
        <v xml:space="preserve">109A00HS-452 </v>
      </c>
      <c r="E57" s="162" t="str">
        <f t="shared" si="3"/>
        <v>109</v>
      </c>
      <c r="F57" s="166" t="e">
        <f>IF(C57='Ціни контур теплопостачання'!$B$123,E57*'Ціни контур теплопостачання'!$C$123*'Ціни контур теплопостачання'!$E$123*'Ціни контур теплопостачання'!$F$123+'Ціни контур теплопостачання'!$D$123,IF(C57='Ціни контур теплопостачання'!$B$124,E57*'Ціни контур теплопостачання'!$C$124*'Ціни контур теплопостачання'!$E$124*'Ціни контур теплопостачання'!$F$124+'Ціни контур теплопостачання'!$D$124,IF(C57='Ціни контур теплопостачання'!$B$125,E57*'Ціни контур теплопостачання'!$C$125*'Ціни контур теплопостачання'!$E$125*'Ціни контур теплопостачання'!$F$125+'Ціни контур теплопостачання'!$D$125,IF(C57='Ціни контур теплопостачання'!$B$126,E57*'Ціни контур теплопостачання'!$C$126*'Ціни контур теплопостачання'!$E$126*'Ціни контур теплопостачання'!$F$126+'Ціни контур теплопостачання'!$D$126,IF(C57='Ціни контур теплопостачання'!$B$127,E57*'Ціни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7" s="170" t="s">
        <v>178</v>
      </c>
      <c r="I57" s="162" t="str">
        <f t="shared" si="4"/>
        <v xml:space="preserve">16+047M50HS-451 </v>
      </c>
      <c r="J57" s="162" t="str">
        <f t="shared" si="5"/>
        <v>16</v>
      </c>
      <c r="K57" s="162" t="str">
        <f t="shared" si="6"/>
        <v xml:space="preserve">047M50HS-451 </v>
      </c>
      <c r="L57" s="162" t="str">
        <f t="shared" si="7"/>
        <v>047</v>
      </c>
      <c r="M57" s="166" t="e">
        <f>IF(J57='Ціни контур теплопостачання'!$B$123,L57*'Ціни контур теплопостачання'!$C$123*'Ціни контур теплопостачання'!$E$123*'Ціни контур теплопостачання'!$F$123+'Ціни контур теплопостачання'!$D$123,IF(J57='Ціни контур теплопостачання'!$B$124,L57*'Ціни контур теплопостачання'!$C$124*'Ціни контур теплопостачання'!$E$124*'Ціни контур теплопостачання'!$F$124+'Ціни контур теплопостачання'!$D$124,IF(J57='Ціни контур теплопостачання'!$B$125,L57*'Ціни контур теплопостачання'!$C$125*'Ціни контур теплопостачання'!$E$125*'Ціни контур теплопостачання'!$F$125+'Ціни контур теплопостачання'!$D$125,IF(J57='Ціни контур теплопостачання'!$B$126,L57*'Ціни контур теплопостачання'!$C$126*'Ціни контур теплопостачання'!$E$126*'Ціни контур теплопостачання'!$F$126+'Ціни контур теплопостачання'!$D$126,IF(J57='Ціни контур теплопостачання'!$B$127,L57*'Ціни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8" spans="1:13">
      <c r="A58" s="168" t="s">
        <v>437</v>
      </c>
      <c r="B58" s="162" t="str">
        <f t="shared" si="0"/>
        <v xml:space="preserve">16+065A00HS-264  </v>
      </c>
      <c r="C58" s="162" t="str">
        <f t="shared" si="1"/>
        <v>16</v>
      </c>
      <c r="D58" s="162" t="str">
        <f t="shared" si="2"/>
        <v xml:space="preserve">065A00HS-264  </v>
      </c>
      <c r="E58" s="162" t="str">
        <f t="shared" si="3"/>
        <v>065</v>
      </c>
      <c r="F58" s="166" t="e">
        <f>IF(C58='Ціни контур теплопостачання'!$B$123,E58*'Ціни контур теплопостачання'!$C$123*'Ціни контур теплопостачання'!$E$123*'Ціни контур теплопостачання'!$F$123+'Ціни контур теплопостачання'!$D$123,IF(C58='Ціни контур теплопостачання'!$B$124,E58*'Ціни контур теплопостачання'!$C$124*'Ціни контур теплопостачання'!$E$124*'Ціни контур теплопостачання'!$F$124+'Ціни контур теплопостачання'!$D$124,IF(C58='Ціни контур теплопостачання'!$B$125,E58*'Ціни контур теплопостачання'!$C$125*'Ціни контур теплопостачання'!$E$125*'Ціни контур теплопостачання'!$F$125+'Ціни контур теплопостачання'!$D$125,IF(C58='Ціни контур теплопостачання'!$B$126,E58*'Ціни контур теплопостачання'!$C$126*'Ціни контур теплопостачання'!$E$126*'Ціни контур теплопостачання'!$F$126+'Ціни контур теплопостачання'!$D$126,IF(C58='Ціни контур теплопостачання'!$B$127,E58*'Ціни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8" s="170" t="s">
        <v>179</v>
      </c>
      <c r="I58" s="162" t="str">
        <f t="shared" si="4"/>
        <v xml:space="preserve">16+033M50HS-317 </v>
      </c>
      <c r="J58" s="162" t="str">
        <f t="shared" si="5"/>
        <v>16</v>
      </c>
      <c r="K58" s="162" t="str">
        <f t="shared" si="6"/>
        <v xml:space="preserve">033M50HS-317 </v>
      </c>
      <c r="L58" s="162" t="str">
        <f t="shared" si="7"/>
        <v>033</v>
      </c>
      <c r="M58" s="166" t="e">
        <f>IF(J58='Ціни контур теплопостачання'!$B$123,L58*'Ціни контур теплопостачання'!$C$123*'Ціни контур теплопостачання'!$E$123*'Ціни контур теплопостачання'!$F$123+'Ціни контур теплопостачання'!$D$123,IF(J58='Ціни контур теплопостачання'!$B$124,L58*'Ціни контур теплопостачання'!$C$124*'Ціни контур теплопостачання'!$E$124*'Ціни контур теплопостачання'!$F$124+'Ціни контур теплопостачання'!$D$124,IF(J58='Ціни контур теплопостачання'!$B$125,L58*'Ціни контур теплопостачання'!$C$125*'Ціни контур теплопостачання'!$E$125*'Ціни контур теплопостачання'!$F$125+'Ціни контур теплопостачання'!$D$125,IF(J58='Ціни контур теплопостачання'!$B$126,L58*'Ціни контур теплопостачання'!$C$126*'Ціни контур теплопостачання'!$E$126*'Ціни контур теплопостачання'!$F$126+'Ціни контур теплопостачання'!$D$126,IF(J58='Ціни контур теплопостачання'!$B$127,L58*'Ціни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59" spans="1:13">
      <c r="A59" s="168" t="s">
        <v>438</v>
      </c>
      <c r="B59" s="162" t="str">
        <f t="shared" si="0"/>
        <v xml:space="preserve">16+065A00HS-266  </v>
      </c>
      <c r="C59" s="162" t="str">
        <f t="shared" si="1"/>
        <v>16</v>
      </c>
      <c r="D59" s="162" t="str">
        <f t="shared" si="2"/>
        <v xml:space="preserve">065A00HS-266  </v>
      </c>
      <c r="E59" s="162" t="str">
        <f t="shared" si="3"/>
        <v>065</v>
      </c>
      <c r="F59" s="166" t="e">
        <f>IF(C59='Ціни контур теплопостачання'!$B$123,E59*'Ціни контур теплопостачання'!$C$123*'Ціни контур теплопостачання'!$E$123*'Ціни контур теплопостачання'!$F$123+'Ціни контур теплопостачання'!$D$123,IF(C59='Ціни контур теплопостачання'!$B$124,E59*'Ціни контур теплопостачання'!$C$124*'Ціни контур теплопостачання'!$E$124*'Ціни контур теплопостачання'!$F$124+'Ціни контур теплопостачання'!$D$124,IF(C59='Ціни контур теплопостачання'!$B$125,E59*'Ціни контур теплопостачання'!$C$125*'Ціни контур теплопостачання'!$E$125*'Ціни контур теплопостачання'!$F$125+'Ціни контур теплопостачання'!$D$125,IF(C59='Ціни контур теплопостачання'!$B$126,E59*'Ціни контур теплопостачання'!$C$126*'Ціни контур теплопостачання'!$E$126*'Ціни контур теплопостачання'!$F$126+'Ціни контур теплопостачання'!$D$126,IF(C59='Ціни контур теплопостачання'!$B$127,E59*'Ціни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59" s="170" t="s">
        <v>180</v>
      </c>
      <c r="I59" s="162" t="str">
        <f t="shared" si="4"/>
        <v xml:space="preserve">08+043A00HS-255 </v>
      </c>
      <c r="J59" s="162" t="str">
        <f t="shared" si="5"/>
        <v>08</v>
      </c>
      <c r="K59" s="162" t="str">
        <f t="shared" si="6"/>
        <v xml:space="preserve">043A00HS-255 </v>
      </c>
      <c r="L59" s="162" t="str">
        <f t="shared" si="7"/>
        <v>043</v>
      </c>
      <c r="M59" s="166" t="e">
        <f>IF(J59='Ціни контур теплопостачання'!$B$123,L59*'Ціни контур теплопостачання'!$C$123*'Ціни контур теплопостачання'!$E$123*'Ціни контур теплопостачання'!$F$123+'Ціни контур теплопостачання'!$D$123,IF(J59='Ціни контур теплопостачання'!$B$124,L59*'Ціни контур теплопостачання'!$C$124*'Ціни контур теплопостачання'!$E$124*'Ціни контур теплопостачання'!$F$124+'Ціни контур теплопостачання'!$D$124,IF(J59='Ціни контур теплопостачання'!$B$125,L59*'Ціни контур теплопостачання'!$C$125*'Ціни контур теплопостачання'!$E$125*'Ціни контур теплопостачання'!$F$125+'Ціни контур теплопостачання'!$D$125,IF(J59='Ціни контур теплопостачання'!$B$126,L59*'Ціни контур теплопостачання'!$C$126*'Ціни контур теплопостачання'!$E$126*'Ціни контур теплопостачання'!$F$126+'Ціни контур теплопостачання'!$D$126,IF(J59='Ціни контур теплопостачання'!$B$127,L59*'Ціни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0" spans="1:13">
      <c r="A60" s="168" t="s">
        <v>439</v>
      </c>
      <c r="B60" s="162" t="str">
        <f t="shared" si="0"/>
        <v xml:space="preserve">16+027A00HS-100  </v>
      </c>
      <c r="C60" s="162" t="str">
        <f t="shared" si="1"/>
        <v>16</v>
      </c>
      <c r="D60" s="162" t="str">
        <f t="shared" si="2"/>
        <v xml:space="preserve">027A00HS-100  </v>
      </c>
      <c r="E60" s="162" t="str">
        <f t="shared" si="3"/>
        <v>027</v>
      </c>
      <c r="F60" s="166" t="e">
        <f>IF(C60='Ціни контур теплопостачання'!$B$123,E60*'Ціни контур теплопостачання'!$C$123*'Ціни контур теплопостачання'!$E$123*'Ціни контур теплопостачання'!$F$123+'Ціни контур теплопостачання'!$D$123,IF(C60='Ціни контур теплопостачання'!$B$124,E60*'Ціни контур теплопостачання'!$C$124*'Ціни контур теплопостачання'!$E$124*'Ціни контур теплопостачання'!$F$124+'Ціни контур теплопостачання'!$D$124,IF(C60='Ціни контур теплопостачання'!$B$125,E60*'Ціни контур теплопостачання'!$C$125*'Ціни контур теплопостачання'!$E$125*'Ціни контур теплопостачання'!$F$125+'Ціни контур теплопостачання'!$D$125,IF(C60='Ціни контур теплопостачання'!$B$126,E60*'Ціни контур теплопостачання'!$C$126*'Ціни контур теплопостачання'!$E$126*'Ціни контур теплопостачання'!$F$126+'Ціни контур теплопостачання'!$D$126,IF(C60='Ціни контур теплопостачання'!$B$127,E60*'Ціни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0" s="170" t="s">
        <v>181</v>
      </c>
      <c r="I60" s="162" t="str">
        <f t="shared" si="4"/>
        <v xml:space="preserve">08+025A00HS-143 </v>
      </c>
      <c r="J60" s="162" t="str">
        <f t="shared" si="5"/>
        <v>08</v>
      </c>
      <c r="K60" s="162" t="str">
        <f t="shared" si="6"/>
        <v xml:space="preserve">025A00HS-143 </v>
      </c>
      <c r="L60" s="162" t="str">
        <f t="shared" si="7"/>
        <v>025</v>
      </c>
      <c r="M60" s="166" t="e">
        <f>IF(J60='Ціни контур теплопостачання'!$B$123,L60*'Ціни контур теплопостачання'!$C$123*'Ціни контур теплопостачання'!$E$123*'Ціни контур теплопостачання'!$F$123+'Ціни контур теплопостачання'!$D$123,IF(J60='Ціни контур теплопостачання'!$B$124,L60*'Ціни контур теплопостачання'!$C$124*'Ціни контур теплопостачання'!$E$124*'Ціни контур теплопостачання'!$F$124+'Ціни контур теплопостачання'!$D$124,IF(J60='Ціни контур теплопостачання'!$B$125,L60*'Ціни контур теплопостачання'!$C$125*'Ціни контур теплопостачання'!$E$125*'Ціни контур теплопостачання'!$F$125+'Ціни контур теплопостачання'!$D$125,IF(J60='Ціни контур теплопостачання'!$B$126,L60*'Ціни контур теплопостачання'!$C$126*'Ціни контур теплопостачання'!$E$126*'Ціни контур теплопостачання'!$F$126+'Ціни контур теплопостачання'!$D$126,IF(J60='Ціни контур теплопостачання'!$B$127,L60*'Ціни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1" spans="1:13">
      <c r="A61" s="168" t="s">
        <v>440</v>
      </c>
      <c r="B61" s="162" t="str">
        <f t="shared" si="0"/>
        <v xml:space="preserve">16+093A00HS-387  </v>
      </c>
      <c r="C61" s="162" t="str">
        <f t="shared" si="1"/>
        <v>16</v>
      </c>
      <c r="D61" s="162" t="str">
        <f t="shared" si="2"/>
        <v xml:space="preserve">093A00HS-387  </v>
      </c>
      <c r="E61" s="162" t="str">
        <f t="shared" si="3"/>
        <v>093</v>
      </c>
      <c r="F61" s="166" t="e">
        <f>IF(C61='Ціни контур теплопостачання'!$B$123,E61*'Ціни контур теплопостачання'!$C$123*'Ціни контур теплопостачання'!$E$123*'Ціни контур теплопостачання'!$F$123+'Ціни контур теплопостачання'!$D$123,IF(C61='Ціни контур теплопостачання'!$B$124,E61*'Ціни контур теплопостачання'!$C$124*'Ціни контур теплопостачання'!$E$124*'Ціни контур теплопостачання'!$F$124+'Ціни контур теплопостачання'!$D$124,IF(C61='Ціни контур теплопостачання'!$B$125,E61*'Ціни контур теплопостачання'!$C$125*'Ціни контур теплопостачання'!$E$125*'Ціни контур теплопостачання'!$F$125+'Ціни контур теплопостачання'!$D$125,IF(C61='Ціни контур теплопостачання'!$B$126,E61*'Ціни контур теплопостачання'!$C$126*'Ціни контур теплопостачання'!$E$126*'Ціни контур теплопостачання'!$F$126+'Ціни контур теплопостачання'!$D$126,IF(C61='Ціни контур теплопостачання'!$B$127,E61*'Ціни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1" s="170" t="s">
        <v>182</v>
      </c>
      <c r="I61" s="162" t="str">
        <f t="shared" si="4"/>
        <v xml:space="preserve">16+043M50HS-423 </v>
      </c>
      <c r="J61" s="162" t="str">
        <f t="shared" si="5"/>
        <v>16</v>
      </c>
      <c r="K61" s="162" t="str">
        <f t="shared" si="6"/>
        <v xml:space="preserve">043M50HS-423 </v>
      </c>
      <c r="L61" s="162" t="str">
        <f t="shared" si="7"/>
        <v>043</v>
      </c>
      <c r="M61" s="166" t="e">
        <f>IF(J61='Ціни контур теплопостачання'!$B$123,L61*'Ціни контур теплопостачання'!$C$123*'Ціни контур теплопостачання'!$E$123*'Ціни контур теплопостачання'!$F$123+'Ціни контур теплопостачання'!$D$123,IF(J61='Ціни контур теплопостачання'!$B$124,L61*'Ціни контур теплопостачання'!$C$124*'Ціни контур теплопостачання'!$E$124*'Ціни контур теплопостачання'!$F$124+'Ціни контур теплопостачання'!$D$124,IF(J61='Ціни контур теплопостачання'!$B$125,L61*'Ціни контур теплопостачання'!$C$125*'Ціни контур теплопостачання'!$E$125*'Ціни контур теплопостачання'!$F$125+'Ціни контур теплопостачання'!$D$125,IF(J61='Ціни контур теплопостачання'!$B$126,L61*'Ціни контур теплопостачання'!$C$126*'Ціни контур теплопостачання'!$E$126*'Ціни контур теплопостачання'!$F$126+'Ціни контур теплопостачання'!$D$126,IF(J61='Ціни контур теплопостачання'!$B$127,L61*'Ціни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2" spans="1:13">
      <c r="A62" s="168" t="s">
        <v>441</v>
      </c>
      <c r="B62" s="162" t="str">
        <f t="shared" si="0"/>
        <v xml:space="preserve">16+055A00HS-221  </v>
      </c>
      <c r="C62" s="162" t="str">
        <f t="shared" si="1"/>
        <v>16</v>
      </c>
      <c r="D62" s="162" t="str">
        <f t="shared" si="2"/>
        <v xml:space="preserve">055A00HS-221  </v>
      </c>
      <c r="E62" s="162" t="str">
        <f t="shared" si="3"/>
        <v>055</v>
      </c>
      <c r="F62" s="166" t="e">
        <f>IF(C62='Ціни контур теплопостачання'!$B$123,E62*'Ціни контур теплопостачання'!$C$123*'Ціни контур теплопостачання'!$E$123*'Ціни контур теплопостачання'!$F$123+'Ціни контур теплопостачання'!$D$123,IF(C62='Ціни контур теплопостачання'!$B$124,E62*'Ціни контур теплопостачання'!$C$124*'Ціни контур теплопостачання'!$E$124*'Ціни контур теплопостачання'!$F$124+'Ціни контур теплопостачання'!$D$124,IF(C62='Ціни контур теплопостачання'!$B$125,E62*'Ціни контур теплопостачання'!$C$125*'Ціни контур теплопостачання'!$E$125*'Ціни контур теплопостачання'!$F$125+'Ціни контур теплопостачання'!$D$125,IF(C62='Ціни контур теплопостачання'!$B$126,E62*'Ціни контур теплопостачання'!$C$126*'Ціни контур теплопостачання'!$E$126*'Ціни контур теплопостачання'!$F$126+'Ціни контур теплопостачання'!$D$126,IF(C62='Ціни контур теплопостачання'!$B$127,E62*'Ціни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2" s="170" t="s">
        <v>183</v>
      </c>
      <c r="I62" s="162" t="str">
        <f t="shared" si="4"/>
        <v xml:space="preserve">08+045A00HS-260 </v>
      </c>
      <c r="J62" s="162" t="str">
        <f t="shared" si="5"/>
        <v>08</v>
      </c>
      <c r="K62" s="162" t="str">
        <f t="shared" si="6"/>
        <v xml:space="preserve">045A00HS-260 </v>
      </c>
      <c r="L62" s="162" t="str">
        <f t="shared" si="7"/>
        <v>045</v>
      </c>
      <c r="M62" s="166" t="e">
        <f>IF(J62='Ціни контур теплопостачання'!$B$123,L62*'Ціни контур теплопостачання'!$C$123*'Ціни контур теплопостачання'!$E$123*'Ціни контур теплопостачання'!$F$123+'Ціни контур теплопостачання'!$D$123,IF(J62='Ціни контур теплопостачання'!$B$124,L62*'Ціни контур теплопостачання'!$C$124*'Ціни контур теплопостачання'!$E$124*'Ціни контур теплопостачання'!$F$124+'Ціни контур теплопостачання'!$D$124,IF(J62='Ціни контур теплопостачання'!$B$125,L62*'Ціни контур теплопостачання'!$C$125*'Ціни контур теплопостачання'!$E$125*'Ціни контур теплопостачання'!$F$125+'Ціни контур теплопостачання'!$D$125,IF(J62='Ціни контур теплопостачання'!$B$126,L62*'Ціни контур теплопостачання'!$C$126*'Ціни контур теплопостачання'!$E$126*'Ціни контур теплопостачання'!$F$126+'Ціни контур теплопостачання'!$D$126,IF(J62='Ціни контур теплопостачання'!$B$127,L62*'Ціни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3" spans="1:13">
      <c r="A63" s="168" t="s">
        <v>442</v>
      </c>
      <c r="B63" s="162" t="str">
        <f t="shared" si="0"/>
        <v xml:space="preserve">16+045A00HS-180  </v>
      </c>
      <c r="C63" s="162" t="str">
        <f t="shared" si="1"/>
        <v>16</v>
      </c>
      <c r="D63" s="162" t="str">
        <f t="shared" si="2"/>
        <v xml:space="preserve">045A00HS-180  </v>
      </c>
      <c r="E63" s="162" t="str">
        <f t="shared" si="3"/>
        <v>045</v>
      </c>
      <c r="F63" s="166" t="e">
        <f>IF(C63='Ціни контур теплопостачання'!$B$123,E63*'Ціни контур теплопостачання'!$C$123*'Ціни контур теплопостачання'!$E$123*'Ціни контур теплопостачання'!$F$123+'Ціни контур теплопостачання'!$D$123,IF(C63='Ціни контур теплопостачання'!$B$124,E63*'Ціни контур теплопостачання'!$C$124*'Ціни контур теплопостачання'!$E$124*'Ціни контур теплопостачання'!$F$124+'Ціни контур теплопостачання'!$D$124,IF(C63='Ціни контур теплопостачання'!$B$125,E63*'Ціни контур теплопостачання'!$C$125*'Ціни контур теплопостачання'!$E$125*'Ціни контур теплопостачання'!$F$125+'Ціни контур теплопостачання'!$D$125,IF(C63='Ціни контур теплопостачання'!$B$126,E63*'Ціни контур теплопостачання'!$C$126*'Ціни контур теплопостачання'!$E$126*'Ціни контур теплопостачання'!$F$126+'Ціни контур теплопостачання'!$D$126,IF(C63='Ціни контур теплопостачання'!$B$127,E63*'Ціни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3" s="170" t="s">
        <v>184</v>
      </c>
      <c r="I63" s="162" t="str">
        <f t="shared" si="4"/>
        <v xml:space="preserve">08+039A00HS-227 </v>
      </c>
      <c r="J63" s="162" t="str">
        <f t="shared" si="5"/>
        <v>08</v>
      </c>
      <c r="K63" s="162" t="str">
        <f t="shared" si="6"/>
        <v xml:space="preserve">039A00HS-227 </v>
      </c>
      <c r="L63" s="162" t="str">
        <f t="shared" si="7"/>
        <v>039</v>
      </c>
      <c r="M63" s="166" t="e">
        <f>IF(J63='Ціни контур теплопостачання'!$B$123,L63*'Ціни контур теплопостачання'!$C$123*'Ціни контур теплопостачання'!$E$123*'Ціни контур теплопостачання'!$F$123+'Ціни контур теплопостачання'!$D$123,IF(J63='Ціни контур теплопостачання'!$B$124,L63*'Ціни контур теплопостачання'!$C$124*'Ціни контур теплопостачання'!$E$124*'Ціни контур теплопостачання'!$F$124+'Ціни контур теплопостачання'!$D$124,IF(J63='Ціни контур теплопостачання'!$B$125,L63*'Ціни контур теплопостачання'!$C$125*'Ціни контур теплопостачання'!$E$125*'Ціни контур теплопостачання'!$F$125+'Ціни контур теплопостачання'!$D$125,IF(J63='Ціни контур теплопостачання'!$B$126,L63*'Ціни контур теплопостачання'!$C$126*'Ціни контур теплопостачання'!$E$126*'Ціни контур теплопостачання'!$F$126+'Ціни контур теплопостачання'!$D$126,IF(J63='Ціни контур теплопостачання'!$B$127,L63*'Ціни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4" spans="1:13">
      <c r="A64" s="168" t="s">
        <v>443</v>
      </c>
      <c r="B64" s="162" t="str">
        <f t="shared" si="0"/>
        <v xml:space="preserve">16+049A00HS-199  </v>
      </c>
      <c r="C64" s="162" t="str">
        <f t="shared" si="1"/>
        <v>16</v>
      </c>
      <c r="D64" s="162" t="str">
        <f t="shared" si="2"/>
        <v xml:space="preserve">049A00HS-199  </v>
      </c>
      <c r="E64" s="162" t="str">
        <f t="shared" si="3"/>
        <v>049</v>
      </c>
      <c r="F64" s="166" t="e">
        <f>IF(C64='Ціни контур теплопостачання'!$B$123,E64*'Ціни контур теплопостачання'!$C$123*'Ціни контур теплопостачання'!$E$123*'Ціни контур теплопостачання'!$F$123+'Ціни контур теплопостачання'!$D$123,IF(C64='Ціни контур теплопостачання'!$B$124,E64*'Ціни контур теплопостачання'!$C$124*'Ціни контур теплопостачання'!$E$124*'Ціни контур теплопостачання'!$F$124+'Ціни контур теплопостачання'!$D$124,IF(C64='Ціни контур теплопостачання'!$B$125,E64*'Ціни контур теплопостачання'!$C$125*'Ціни контур теплопостачання'!$E$125*'Ціни контур теплопостачання'!$F$125+'Ціни контур теплопостачання'!$D$125,IF(C64='Ціни контур теплопостачання'!$B$126,E64*'Ціни контур теплопостачання'!$C$126*'Ціни контур теплопостачання'!$E$126*'Ціни контур теплопостачання'!$F$126+'Ціни контур теплопостачання'!$D$126,IF(C64='Ціни контур теплопостачання'!$B$127,E64*'Ціни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4" s="170" t="s">
        <v>185</v>
      </c>
      <c r="I64" s="162" t="str">
        <f t="shared" si="4"/>
        <v xml:space="preserve">08+035A00HS-201 </v>
      </c>
      <c r="J64" s="162" t="str">
        <f t="shared" si="5"/>
        <v>08</v>
      </c>
      <c r="K64" s="162" t="str">
        <f t="shared" si="6"/>
        <v xml:space="preserve">035A00HS-201 </v>
      </c>
      <c r="L64" s="162" t="str">
        <f t="shared" si="7"/>
        <v>035</v>
      </c>
      <c r="M64" s="166" t="e">
        <f>IF(J64='Ціни контур теплопостачання'!$B$123,L64*'Ціни контур теплопостачання'!$C$123*'Ціни контур теплопостачання'!$E$123*'Ціни контур теплопостачання'!$F$123+'Ціни контур теплопостачання'!$D$123,IF(J64='Ціни контур теплопостачання'!$B$124,L64*'Ціни контур теплопостачання'!$C$124*'Ціни контур теплопостачання'!$E$124*'Ціни контур теплопостачання'!$F$124+'Ціни контур теплопостачання'!$D$124,IF(J64='Ціни контур теплопостачання'!$B$125,L64*'Ціни контур теплопостачання'!$C$125*'Ціни контур теплопостачання'!$E$125*'Ціни контур теплопостачання'!$F$125+'Ціни контур теплопостачання'!$D$125,IF(J64='Ціни контур теплопостачання'!$B$126,L64*'Ціни контур теплопостачання'!$C$126*'Ціни контур теплопостачання'!$E$126*'Ціни контур теплопостачання'!$F$126+'Ціни контур теплопостачання'!$D$126,IF(J64='Ціни контур теплопостачання'!$B$127,L64*'Ціни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5" spans="1:13">
      <c r="A65" s="168" t="s">
        <v>627</v>
      </c>
      <c r="B65" s="162" t="str">
        <f t="shared" si="0"/>
        <v xml:space="preserve">16+049A00HS-199 </v>
      </c>
      <c r="C65" s="162" t="str">
        <f t="shared" si="1"/>
        <v>16</v>
      </c>
      <c r="D65" s="162" t="str">
        <f t="shared" si="2"/>
        <v xml:space="preserve">049A00HS-199 </v>
      </c>
      <c r="E65" s="162" t="str">
        <f t="shared" si="3"/>
        <v>049</v>
      </c>
      <c r="F65" s="166" t="e">
        <f>IF(C65='Ціни контур теплопостачання'!$B$123,E65*'Ціни контур теплопостачання'!$C$123*'Ціни контур теплопостачання'!$E$123*'Ціни контур теплопостачання'!$F$123+'Ціни контур теплопостачання'!$D$123,IF(C65='Ціни контур теплопостачання'!$B$124,E65*'Ціни контур теплопостачання'!$C$124*'Ціни контур теплопостачання'!$E$124*'Ціни контур теплопостачання'!$F$124+'Ціни контур теплопостачання'!$D$124,IF(C65='Ціни контур теплопостачання'!$B$125,E65*'Ціни контур теплопостачання'!$C$125*'Ціни контур теплопостачання'!$E$125*'Ціни контур теплопостачання'!$F$125+'Ціни контур теплопостачання'!$D$125,IF(C65='Ціни контур теплопостачання'!$B$126,E65*'Ціни контур теплопостачання'!$C$126*'Ціни контур теплопостачання'!$E$126*'Ціни контур теплопостачання'!$F$126+'Ціни контур теплопостачання'!$D$126,IF(C65='Ціни контур теплопостачання'!$B$127,E65*'Ціни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5" s="170" t="s">
        <v>185</v>
      </c>
      <c r="I65" s="162" t="str">
        <f t="shared" si="4"/>
        <v xml:space="preserve">08+035A00HS-201 </v>
      </c>
      <c r="J65" s="162" t="str">
        <f t="shared" si="5"/>
        <v>08</v>
      </c>
      <c r="K65" s="162" t="str">
        <f t="shared" si="6"/>
        <v xml:space="preserve">035A00HS-201 </v>
      </c>
      <c r="L65" s="162" t="str">
        <f t="shared" si="7"/>
        <v>035</v>
      </c>
      <c r="M65" s="166" t="e">
        <f>IF(J65='Ціни контур теплопостачання'!$B$123,L65*'Ціни контур теплопостачання'!$C$123*'Ціни контур теплопостачання'!$E$123*'Ціни контур теплопостачання'!$F$123+'Ціни контур теплопостачання'!$D$123,IF(J65='Ціни контур теплопостачання'!$B$124,L65*'Ціни контур теплопостачання'!$C$124*'Ціни контур теплопостачання'!$E$124*'Ціни контур теплопостачання'!$F$124+'Ціни контур теплопостачання'!$D$124,IF(J65='Ціни контур теплопостачання'!$B$125,L65*'Ціни контур теплопостачання'!$C$125*'Ціни контур теплопостачання'!$E$125*'Ціни контур теплопостачання'!$F$125+'Ціни контур теплопостачання'!$D$125,IF(J65='Ціни контур теплопостачання'!$B$126,L65*'Ціни контур теплопостачання'!$C$126*'Ціни контур теплопостачання'!$E$126*'Ціни контур теплопостачання'!$F$126+'Ціни контур теплопостачання'!$D$126,IF(J65='Ціни контур теплопостачання'!$B$127,L65*'Ціни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6" spans="1:13">
      <c r="A66" s="168" t="s">
        <v>444</v>
      </c>
      <c r="B66" s="162" t="str">
        <f t="shared" si="0"/>
        <v xml:space="preserve">16+081A00HS-343  </v>
      </c>
      <c r="C66" s="162" t="str">
        <f t="shared" si="1"/>
        <v>16</v>
      </c>
      <c r="D66" s="162" t="str">
        <f t="shared" si="2"/>
        <v xml:space="preserve">081A00HS-343  </v>
      </c>
      <c r="E66" s="162" t="str">
        <f t="shared" si="3"/>
        <v>081</v>
      </c>
      <c r="F66" s="166" t="e">
        <f>IF(C66='Ціни контур теплопостачання'!$B$123,E66*'Ціни контур теплопостачання'!$C$123*'Ціни контур теплопостачання'!$E$123*'Ціни контур теплопостачання'!$F$123+'Ціни контур теплопостачання'!$D$123,IF(C66='Ціни контур теплопостачання'!$B$124,E66*'Ціни контур теплопостачання'!$C$124*'Ціни контур теплопостачання'!$E$124*'Ціни контур теплопостачання'!$F$124+'Ціни контур теплопостачання'!$D$124,IF(C66='Ціни контур теплопостачання'!$B$125,E66*'Ціни контур теплопостачання'!$C$125*'Ціни контур теплопостачання'!$E$125*'Ціни контур теплопостачання'!$F$125+'Ціни контур теплопостачання'!$D$125,IF(C66='Ціни контур теплопостачання'!$B$126,E66*'Ціни контур теплопостачання'!$C$126*'Ціни контур теплопостачання'!$E$126*'Ціни контур теплопостачання'!$F$126+'Ціни контур теплопостачання'!$D$126,IF(C66='Ціни контур теплопостачання'!$B$127,E66*'Ціни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6" s="170" t="s">
        <v>186</v>
      </c>
      <c r="I66" s="162" t="str">
        <f t="shared" si="4"/>
        <v xml:space="preserve">16+043M50HS-420 </v>
      </c>
      <c r="J66" s="162" t="str">
        <f t="shared" si="5"/>
        <v>16</v>
      </c>
      <c r="K66" s="162" t="str">
        <f t="shared" si="6"/>
        <v xml:space="preserve">043M50HS-420 </v>
      </c>
      <c r="L66" s="162" t="str">
        <f t="shared" si="7"/>
        <v>043</v>
      </c>
      <c r="M66" s="166" t="e">
        <f>IF(J66='Ціни контур теплопостачання'!$B$123,L66*'Ціни контур теплопостачання'!$C$123*'Ціни контур теплопостачання'!$E$123*'Ціни контур теплопостачання'!$F$123+'Ціни контур теплопостачання'!$D$123,IF(J66='Ціни контур теплопостачання'!$B$124,L66*'Ціни контур теплопостачання'!$C$124*'Ціни контур теплопостачання'!$E$124*'Ціни контур теплопостачання'!$F$124+'Ціни контур теплопостачання'!$D$124,IF(J66='Ціни контур теплопостачання'!$B$125,L66*'Ціни контур теплопостачання'!$C$125*'Ціни контур теплопостачання'!$E$125*'Ціни контур теплопостачання'!$F$125+'Ціни контур теплопостачання'!$D$125,IF(J66='Ціни контур теплопостачання'!$B$126,L66*'Ціни контур теплопостачання'!$C$126*'Ціни контур теплопостачання'!$E$126*'Ціни контур теплопостачання'!$F$126+'Ціни контур теплопостачання'!$D$126,IF(J66='Ціни контур теплопостачання'!$B$127,L66*'Ціни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7" spans="1:13">
      <c r="A67" s="168" t="s">
        <v>445</v>
      </c>
      <c r="B67" s="162" t="str">
        <f t="shared" ref="B67:B130" si="8">RIGHT(A67,LEN(A67)-6)</f>
        <v xml:space="preserve">16+065A00HS-272  </v>
      </c>
      <c r="C67" s="162" t="str">
        <f t="shared" ref="C67:C130" si="9">LEFT(B67,2)</f>
        <v>16</v>
      </c>
      <c r="D67" s="162" t="str">
        <f t="shared" ref="D67:D130" si="10">RIGHT(A67,LEN(A67)-9)</f>
        <v xml:space="preserve">065A00HS-272  </v>
      </c>
      <c r="E67" s="162" t="str">
        <f t="shared" ref="E67:E130" si="11">LEFT(D67,3)</f>
        <v>065</v>
      </c>
      <c r="F67" s="166" t="e">
        <f>IF(C67='Ціни контур теплопостачання'!$B$123,E67*'Ціни контур теплопостачання'!$C$123*'Ціни контур теплопостачання'!$E$123*'Ціни контур теплопостачання'!$F$123+'Ціни контур теплопостачання'!$D$123,IF(C67='Ціни контур теплопостачання'!$B$124,E67*'Ціни контур теплопостачання'!$C$124*'Ціни контур теплопостачання'!$E$124*'Ціни контур теплопостачання'!$F$124+'Ціни контур теплопостачання'!$D$124,IF(C67='Ціни контур теплопостачання'!$B$125,E67*'Ціни контур теплопостачання'!$C$125*'Ціни контур теплопостачання'!$E$125*'Ціни контур теплопостачання'!$F$125+'Ціни контур теплопостачання'!$D$125,IF(C67='Ціни контур теплопостачання'!$B$126,E67*'Ціни контур теплопостачання'!$C$126*'Ціни контур теплопостачання'!$E$126*'Ціни контур теплопостачання'!$F$126+'Ціни контур теплопостачання'!$D$126,IF(C67='Ціни контур теплопостачання'!$B$127,E67*'Ціни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7" s="170" t="s">
        <v>187</v>
      </c>
      <c r="I67" s="162" t="str">
        <f t="shared" ref="I67:I130" si="12">RIGHT(H67,LEN(H67)-6)</f>
        <v xml:space="preserve">16+029M50HS-279 </v>
      </c>
      <c r="J67" s="162" t="str">
        <f t="shared" ref="J67:J130" si="13">LEFT(I67,2)</f>
        <v>16</v>
      </c>
      <c r="K67" s="162" t="str">
        <f t="shared" ref="K67:K130" si="14">RIGHT(H67,LEN(H67)-9)</f>
        <v xml:space="preserve">029M50HS-279 </v>
      </c>
      <c r="L67" s="162" t="str">
        <f t="shared" ref="L67:L130" si="15">LEFT(K67,3)</f>
        <v>029</v>
      </c>
      <c r="M67" s="166" t="e">
        <f>IF(J67='Ціни контур теплопостачання'!$B$123,L67*'Ціни контур теплопостачання'!$C$123*'Ціни контур теплопостачання'!$E$123*'Ціни контур теплопостачання'!$F$123+'Ціни контур теплопостачання'!$D$123,IF(J67='Ціни контур теплопостачання'!$B$124,L67*'Ціни контур теплопостачання'!$C$124*'Ціни контур теплопостачання'!$E$124*'Ціни контур теплопостачання'!$F$124+'Ціни контур теплопостачання'!$D$124,IF(J67='Ціни контур теплопостачання'!$B$125,L67*'Ціни контур теплопостачання'!$C$125*'Ціни контур теплопостачання'!$E$125*'Ціни контур теплопостачання'!$F$125+'Ціни контур теплопостачання'!$D$125,IF(J67='Ціни контур теплопостачання'!$B$126,L67*'Ціни контур теплопостачання'!$C$126*'Ціни контур теплопостачання'!$E$126*'Ціни контур теплопостачання'!$F$126+'Ціни контур теплопостачання'!$D$126,IF(J67='Ціни контур теплопостачання'!$B$127,L67*'Ціни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8" spans="1:13">
      <c r="A68" s="168" t="s">
        <v>446</v>
      </c>
      <c r="B68" s="162" t="str">
        <f t="shared" si="8"/>
        <v xml:space="preserve">16+045A00HS-181  </v>
      </c>
      <c r="C68" s="162" t="str">
        <f t="shared" si="9"/>
        <v>16</v>
      </c>
      <c r="D68" s="162" t="str">
        <f t="shared" si="10"/>
        <v xml:space="preserve">045A00HS-181  </v>
      </c>
      <c r="E68" s="162" t="str">
        <f t="shared" si="11"/>
        <v>045</v>
      </c>
      <c r="F68" s="166" t="e">
        <f>IF(C68='Ціни контур теплопостачання'!$B$123,E68*'Ціни контур теплопостачання'!$C$123*'Ціни контур теплопостачання'!$E$123*'Ціни контур теплопостачання'!$F$123+'Ціни контур теплопостачання'!$D$123,IF(C68='Ціни контур теплопостачання'!$B$124,E68*'Ціни контур теплопостачання'!$C$124*'Ціни контур теплопостачання'!$E$124*'Ціни контур теплопостачання'!$F$124+'Ціни контур теплопостачання'!$D$124,IF(C68='Ціни контур теплопостачання'!$B$125,E68*'Ціни контур теплопостачання'!$C$125*'Ціни контур теплопостачання'!$E$125*'Ціни контур теплопостачання'!$F$125+'Ціни контур теплопостачання'!$D$125,IF(C68='Ціни контур теплопостачання'!$B$126,E68*'Ціни контур теплопостачання'!$C$126*'Ціни контур теплопостачання'!$E$126*'Ціни контур теплопостачання'!$F$126+'Ціни контур теплопостачання'!$D$126,IF(C68='Ціни контур теплопостачання'!$B$127,E68*'Ціни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8" s="170" t="s">
        <v>188</v>
      </c>
      <c r="I68" s="162" t="str">
        <f t="shared" si="12"/>
        <v xml:space="preserve">08+031A00HS-186 </v>
      </c>
      <c r="J68" s="162" t="str">
        <f t="shared" si="13"/>
        <v>08</v>
      </c>
      <c r="K68" s="162" t="str">
        <f t="shared" si="14"/>
        <v xml:space="preserve">031A00HS-186 </v>
      </c>
      <c r="L68" s="162" t="str">
        <f t="shared" si="15"/>
        <v>031</v>
      </c>
      <c r="M68" s="166" t="e">
        <f>IF(J68='Ціни контур теплопостачання'!$B$123,L68*'Ціни контур теплопостачання'!$C$123*'Ціни контур теплопостачання'!$E$123*'Ціни контур теплопостачання'!$F$123+'Ціни контур теплопостачання'!$D$123,IF(J68='Ціни контур теплопостачання'!$B$124,L68*'Ціни контур теплопостачання'!$C$124*'Ціни контур теплопостачання'!$E$124*'Ціни контур теплопостачання'!$F$124+'Ціни контур теплопостачання'!$D$124,IF(J68='Ціни контур теплопостачання'!$B$125,L68*'Ціни контур теплопостачання'!$C$125*'Ціни контур теплопостачання'!$E$125*'Ціни контур теплопостачання'!$F$125+'Ціни контур теплопостачання'!$D$125,IF(J68='Ціни контур теплопостачання'!$B$126,L68*'Ціни контур теплопостачання'!$C$126*'Ціни контур теплопостачання'!$E$126*'Ціни контур теплопостачання'!$F$126+'Ціни контур теплопостачання'!$D$126,IF(J68='Ціни контур теплопостачання'!$B$127,L68*'Ціни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69" spans="1:13">
      <c r="A69" s="168" t="s">
        <v>447</v>
      </c>
      <c r="B69" s="162" t="str">
        <f t="shared" si="8"/>
        <v xml:space="preserve">16+061A00HS-253  </v>
      </c>
      <c r="C69" s="162" t="str">
        <f t="shared" si="9"/>
        <v>16</v>
      </c>
      <c r="D69" s="162" t="str">
        <f t="shared" si="10"/>
        <v xml:space="preserve">061A00HS-253  </v>
      </c>
      <c r="E69" s="162" t="str">
        <f t="shared" si="11"/>
        <v>061</v>
      </c>
      <c r="F69" s="166" t="e">
        <f>IF(C69='Ціни контур теплопостачання'!$B$123,E69*'Ціни контур теплопостачання'!$C$123*'Ціни контур теплопостачання'!$E$123*'Ціни контур теплопостачання'!$F$123+'Ціни контур теплопостачання'!$D$123,IF(C69='Ціни контур теплопостачання'!$B$124,E69*'Ціни контур теплопостачання'!$C$124*'Ціни контур теплопостачання'!$E$124*'Ціни контур теплопостачання'!$F$124+'Ціни контур теплопостачання'!$D$124,IF(C69='Ціни контур теплопостачання'!$B$125,E69*'Ціни контур теплопостачання'!$C$125*'Ціни контур теплопостачання'!$E$125*'Ціни контур теплопостачання'!$F$125+'Ціни контур теплопостачання'!$D$125,IF(C69='Ціни контур теплопостачання'!$B$126,E69*'Ціни контур теплопостачання'!$C$126*'Ціни контур теплопостачання'!$E$126*'Ціни контур теплопостачання'!$F$126+'Ціни контур теплопостачання'!$D$126,IF(C69='Ціни контур теплопостачання'!$B$127,E69*'Ціни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69" s="170" t="s">
        <v>189</v>
      </c>
      <c r="I69" s="162" t="str">
        <f t="shared" si="12"/>
        <v xml:space="preserve">16+029M50HS-281 </v>
      </c>
      <c r="J69" s="162" t="str">
        <f t="shared" si="13"/>
        <v>16</v>
      </c>
      <c r="K69" s="162" t="str">
        <f t="shared" si="14"/>
        <v xml:space="preserve">029M50HS-281 </v>
      </c>
      <c r="L69" s="162" t="str">
        <f t="shared" si="15"/>
        <v>029</v>
      </c>
      <c r="M69" s="166" t="e">
        <f>IF(J69='Ціни контур теплопостачання'!$B$123,L69*'Ціни контур теплопостачання'!$C$123*'Ціни контур теплопостачання'!$E$123*'Ціни контур теплопостачання'!$F$123+'Ціни контур теплопостачання'!$D$123,IF(J69='Ціни контур теплопостачання'!$B$124,L69*'Ціни контур теплопостачання'!$C$124*'Ціни контур теплопостачання'!$E$124*'Ціни контур теплопостачання'!$F$124+'Ціни контур теплопостачання'!$D$124,IF(J69='Ціни контур теплопостачання'!$B$125,L69*'Ціни контур теплопостачання'!$C$125*'Ціни контур теплопостачання'!$E$125*'Ціни контур теплопостачання'!$F$125+'Ціни контур теплопостачання'!$D$125,IF(J69='Ціни контур теплопостачання'!$B$126,L69*'Ціни контур теплопостачання'!$C$126*'Ціни контур теплопостачання'!$E$126*'Ціни контур теплопостачання'!$F$126+'Ціни контур теплопостачання'!$D$126,IF(J69='Ціни контур теплопостачання'!$B$127,L69*'Ціни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0" spans="1:13">
      <c r="A70" s="168" t="s">
        <v>448</v>
      </c>
      <c r="B70" s="162" t="str">
        <f t="shared" si="8"/>
        <v xml:space="preserve">16+043A00HS-169  </v>
      </c>
      <c r="C70" s="162" t="str">
        <f t="shared" si="9"/>
        <v>16</v>
      </c>
      <c r="D70" s="162" t="str">
        <f t="shared" si="10"/>
        <v xml:space="preserve">043A00HS-169  </v>
      </c>
      <c r="E70" s="162" t="str">
        <f t="shared" si="11"/>
        <v>043</v>
      </c>
      <c r="F70" s="166" t="e">
        <f>IF(C70='Ціни контур теплопостачання'!$B$123,E70*'Ціни контур теплопостачання'!$C$123*'Ціни контур теплопостачання'!$E$123*'Ціни контур теплопостачання'!$F$123+'Ціни контур теплопостачання'!$D$123,IF(C70='Ціни контур теплопостачання'!$B$124,E70*'Ціни контур теплопостачання'!$C$124*'Ціни контур теплопостачання'!$E$124*'Ціни контур теплопостачання'!$F$124+'Ціни контур теплопостачання'!$D$124,IF(C70='Ціни контур теплопостачання'!$B$125,E70*'Ціни контур теплопостачання'!$C$125*'Ціни контур теплопостачання'!$E$125*'Ціни контур теплопостачання'!$F$125+'Ціни контур теплопостачання'!$D$125,IF(C70='Ціни контур теплопостачання'!$B$126,E70*'Ціни контур теплопостачання'!$C$126*'Ціни контур теплопостачання'!$E$126*'Ціни контур теплопостачання'!$F$126+'Ціни контур теплопостачання'!$D$126,IF(C70='Ціни контур теплопостачання'!$B$127,E70*'Ціни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0" s="170" t="s">
        <v>190</v>
      </c>
      <c r="I70" s="162" t="str">
        <f t="shared" si="12"/>
        <v xml:space="preserve">08+031A00HS-187 </v>
      </c>
      <c r="J70" s="162" t="str">
        <f t="shared" si="13"/>
        <v>08</v>
      </c>
      <c r="K70" s="162" t="str">
        <f t="shared" si="14"/>
        <v xml:space="preserve">031A00HS-187 </v>
      </c>
      <c r="L70" s="162" t="str">
        <f t="shared" si="15"/>
        <v>031</v>
      </c>
      <c r="M70" s="166" t="e">
        <f>IF(J70='Ціни контур теплопостачання'!$B$123,L70*'Ціни контур теплопостачання'!$C$123*'Ціни контур теплопостачання'!$E$123*'Ціни контур теплопостачання'!$F$123+'Ціни контур теплопостачання'!$D$123,IF(J70='Ціни контур теплопостачання'!$B$124,L70*'Ціни контур теплопостачання'!$C$124*'Ціни контур теплопостачання'!$E$124*'Ціни контур теплопостачання'!$F$124+'Ціни контур теплопостачання'!$D$124,IF(J70='Ціни контур теплопостачання'!$B$125,L70*'Ціни контур теплопостачання'!$C$125*'Ціни контур теплопостачання'!$E$125*'Ціни контур теплопостачання'!$F$125+'Ціни контур теплопостачання'!$D$125,IF(J70='Ціни контур теплопостачання'!$B$126,L70*'Ціни контур теплопостачання'!$C$126*'Ціни контур теплопостачання'!$E$126*'Ціни контур теплопостачання'!$F$126+'Ціни контур теплопостачання'!$D$126,IF(J70='Ціни контур теплопостачання'!$B$127,L70*'Ціни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1" spans="1:13">
      <c r="A71" s="168" t="s">
        <v>449</v>
      </c>
      <c r="B71" s="162" t="str">
        <f t="shared" si="8"/>
        <v xml:space="preserve">16+065A00HS-264  </v>
      </c>
      <c r="C71" s="162" t="str">
        <f t="shared" si="9"/>
        <v>16</v>
      </c>
      <c r="D71" s="162" t="str">
        <f t="shared" si="10"/>
        <v xml:space="preserve">065A00HS-264  </v>
      </c>
      <c r="E71" s="162" t="str">
        <f t="shared" si="11"/>
        <v>065</v>
      </c>
      <c r="F71" s="166" t="e">
        <f>IF(C71='Ціни контур теплопостачання'!$B$123,E71*'Ціни контур теплопостачання'!$C$123*'Ціни контур теплопостачання'!$E$123*'Ціни контур теплопостачання'!$F$123+'Ціни контур теплопостачання'!$D$123,IF(C71='Ціни контур теплопостачання'!$B$124,E71*'Ціни контур теплопостачання'!$C$124*'Ціни контур теплопостачання'!$E$124*'Ціни контур теплопостачання'!$F$124+'Ціни контур теплопостачання'!$D$124,IF(C71='Ціни контур теплопостачання'!$B$125,E71*'Ціни контур теплопостачання'!$C$125*'Ціни контур теплопостачання'!$E$125*'Ціни контур теплопостачання'!$F$125+'Ціни контур теплопостачання'!$D$125,IF(C71='Ціни контур теплопостачання'!$B$126,E71*'Ціни контур теплопостачання'!$C$126*'Ціни контур теплопостачання'!$E$126*'Ціни контур теплопостачання'!$F$126+'Ціни контур теплопостачання'!$D$126,IF(C71='Ціни контур теплопостачання'!$B$127,E71*'Ціни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1" s="170" t="s">
        <v>191</v>
      </c>
      <c r="I71" s="162" t="str">
        <f t="shared" si="12"/>
        <v xml:space="preserve">16+031M50HS-276 </v>
      </c>
      <c r="J71" s="162" t="str">
        <f t="shared" si="13"/>
        <v>16</v>
      </c>
      <c r="K71" s="162" t="str">
        <f t="shared" si="14"/>
        <v xml:space="preserve">031M50HS-276 </v>
      </c>
      <c r="L71" s="162" t="str">
        <f t="shared" si="15"/>
        <v>031</v>
      </c>
      <c r="M71" s="166" t="e">
        <f>IF(J71='Ціни контур теплопостачання'!$B$123,L71*'Ціни контур теплопостачання'!$C$123*'Ціни контур теплопостачання'!$E$123*'Ціни контур теплопостачання'!$F$123+'Ціни контур теплопостачання'!$D$123,IF(J71='Ціни контур теплопостачання'!$B$124,L71*'Ціни контур теплопостачання'!$C$124*'Ціни контур теплопостачання'!$E$124*'Ціни контур теплопостачання'!$F$124+'Ціни контур теплопостачання'!$D$124,IF(J71='Ціни контур теплопостачання'!$B$125,L71*'Ціни контур теплопостачання'!$C$125*'Ціни контур теплопостачання'!$E$125*'Ціни контур теплопостачання'!$F$125+'Ціни контур теплопостачання'!$D$125,IF(J71='Ціни контур теплопостачання'!$B$126,L71*'Ціни контур теплопостачання'!$C$126*'Ціни контур теплопостачання'!$E$126*'Ціни контур теплопостачання'!$F$126+'Ціни контур теплопостачання'!$D$126,IF(J71='Ціни контур теплопостачання'!$B$127,L71*'Ціни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2" spans="1:13">
      <c r="A72" s="168" t="s">
        <v>450</v>
      </c>
      <c r="B72" s="162" t="str">
        <f t="shared" si="8"/>
        <v xml:space="preserve">16+035A00HS-132  </v>
      </c>
      <c r="C72" s="162" t="str">
        <f t="shared" si="9"/>
        <v>16</v>
      </c>
      <c r="D72" s="162" t="str">
        <f t="shared" si="10"/>
        <v xml:space="preserve">035A00HS-132  </v>
      </c>
      <c r="E72" s="162" t="str">
        <f t="shared" si="11"/>
        <v>035</v>
      </c>
      <c r="F72" s="166" t="e">
        <f>IF(C72='Ціни контур теплопостачання'!$B$123,E72*'Ціни контур теплопостачання'!$C$123*'Ціни контур теплопостачання'!$E$123*'Ціни контур теплопостачання'!$F$123+'Ціни контур теплопостачання'!$D$123,IF(C72='Ціни контур теплопостачання'!$B$124,E72*'Ціни контур теплопостачання'!$C$124*'Ціни контур теплопостачання'!$E$124*'Ціни контур теплопостачання'!$F$124+'Ціни контур теплопостачання'!$D$124,IF(C72='Ціни контур теплопостачання'!$B$125,E72*'Ціни контур теплопостачання'!$C$125*'Ціни контур теплопостачання'!$E$125*'Ціни контур теплопостачання'!$F$125+'Ціни контур теплопостачання'!$D$125,IF(C72='Ціни контур теплопостачання'!$B$126,E72*'Ціни контур теплопостачання'!$C$126*'Ціни контур теплопостачання'!$E$126*'Ціни контур теплопостачання'!$F$126+'Ціни контур теплопостачання'!$D$126,IF(C72='Ціни контур теплопостачання'!$B$127,E72*'Ціни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2" s="170" t="s">
        <v>192</v>
      </c>
      <c r="I72" s="162" t="str">
        <f t="shared" si="12"/>
        <v xml:space="preserve">08+023A00HS-138 </v>
      </c>
      <c r="J72" s="162" t="str">
        <f t="shared" si="13"/>
        <v>08</v>
      </c>
      <c r="K72" s="162" t="str">
        <f t="shared" si="14"/>
        <v xml:space="preserve">023A00HS-138 </v>
      </c>
      <c r="L72" s="162" t="str">
        <f t="shared" si="15"/>
        <v>023</v>
      </c>
      <c r="M72" s="166" t="e">
        <f>IF(J72='Ціни контур теплопостачання'!$B$123,L72*'Ціни контур теплопостачання'!$C$123*'Ціни контур теплопостачання'!$E$123*'Ціни контур теплопостачання'!$F$123+'Ціни контур теплопостачання'!$D$123,IF(J72='Ціни контур теплопостачання'!$B$124,L72*'Ціни контур теплопостачання'!$C$124*'Ціни контур теплопостачання'!$E$124*'Ціни контур теплопостачання'!$F$124+'Ціни контур теплопостачання'!$D$124,IF(J72='Ціни контур теплопостачання'!$B$125,L72*'Ціни контур теплопостачання'!$C$125*'Ціни контур теплопостачання'!$E$125*'Ціни контур теплопостачання'!$F$125+'Ціни контур теплопостачання'!$D$125,IF(J72='Ціни контур теплопостачання'!$B$126,L72*'Ціни контур теплопостачання'!$C$126*'Ціни контур теплопостачання'!$E$126*'Ціни контур теплопостачання'!$F$126+'Ціни контур теплопостачання'!$D$126,IF(J72='Ціни контур теплопостачання'!$B$127,L72*'Ціни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3" spans="1:13">
      <c r="A73" s="168" t="s">
        <v>451</v>
      </c>
      <c r="B73" s="162" t="str">
        <f t="shared" si="8"/>
        <v xml:space="preserve">16+057A00HS-234  </v>
      </c>
      <c r="C73" s="162" t="str">
        <f t="shared" si="9"/>
        <v>16</v>
      </c>
      <c r="D73" s="162" t="str">
        <f t="shared" si="10"/>
        <v xml:space="preserve">057A00HS-234  </v>
      </c>
      <c r="E73" s="162" t="str">
        <f t="shared" si="11"/>
        <v>057</v>
      </c>
      <c r="F73" s="166" t="e">
        <f>IF(C73='Ціни контур теплопостачання'!$B$123,E73*'Ціни контур теплопостачання'!$C$123*'Ціни контур теплопостачання'!$E$123*'Ціни контур теплопостачання'!$F$123+'Ціни контур теплопостачання'!$D$123,IF(C73='Ціни контур теплопостачання'!$B$124,E73*'Ціни контур теплопостачання'!$C$124*'Ціни контур теплопостачання'!$E$124*'Ціни контур теплопостачання'!$F$124+'Ціни контур теплопостачання'!$D$124,IF(C73='Ціни контур теплопостачання'!$B$125,E73*'Ціни контур теплопостачання'!$C$125*'Ціни контур теплопостачання'!$E$125*'Ціни контур теплопостачання'!$F$125+'Ціни контур теплопостачання'!$D$125,IF(C73='Ціни контур теплопостачання'!$B$126,E73*'Ціни контур теплопостачання'!$C$126*'Ціни контур теплопостачання'!$E$126*'Ціни контур теплопостачання'!$F$126+'Ціни контур теплопостачання'!$D$126,IF(C73='Ціни контур теплопостачання'!$B$127,E73*'Ціни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3" s="170" t="s">
        <v>193</v>
      </c>
      <c r="I73" s="162" t="str">
        <f t="shared" si="12"/>
        <v xml:space="preserve">08+041A00HS-240 </v>
      </c>
      <c r="J73" s="162" t="str">
        <f t="shared" si="13"/>
        <v>08</v>
      </c>
      <c r="K73" s="162" t="str">
        <f t="shared" si="14"/>
        <v xml:space="preserve">041A00HS-240 </v>
      </c>
      <c r="L73" s="162" t="str">
        <f t="shared" si="15"/>
        <v>041</v>
      </c>
      <c r="M73" s="166" t="e">
        <f>IF(J73='Ціни контур теплопостачання'!$B$123,L73*'Ціни контур теплопостачання'!$C$123*'Ціни контур теплопостачання'!$E$123*'Ціни контур теплопостачання'!$F$123+'Ціни контур теплопостачання'!$D$123,IF(J73='Ціни контур теплопостачання'!$B$124,L73*'Ціни контур теплопостачання'!$C$124*'Ціни контур теплопостачання'!$E$124*'Ціни контур теплопостачання'!$F$124+'Ціни контур теплопостачання'!$D$124,IF(J73='Ціни контур теплопостачання'!$B$125,L73*'Ціни контур теплопостачання'!$C$125*'Ціни контур теплопостачання'!$E$125*'Ціни контур теплопостачання'!$F$125+'Ціни контур теплопостачання'!$D$125,IF(J73='Ціни контур теплопостачання'!$B$126,L73*'Ціни контур теплопостачання'!$C$126*'Ціни контур теплопостачання'!$E$126*'Ціни контур теплопостачання'!$F$126+'Ціни контур теплопостачання'!$D$126,IF(J73='Ціни контур теплопостачання'!$B$127,L73*'Ціни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4" spans="1:13">
      <c r="A74" s="168" t="s">
        <v>452</v>
      </c>
      <c r="B74" s="162" t="str">
        <f t="shared" si="8"/>
        <v xml:space="preserve">16+039A00HS-156 </v>
      </c>
      <c r="C74" s="162" t="str">
        <f t="shared" si="9"/>
        <v>16</v>
      </c>
      <c r="D74" s="162" t="str">
        <f t="shared" si="10"/>
        <v xml:space="preserve">039A00HS-156 </v>
      </c>
      <c r="E74" s="162" t="str">
        <f t="shared" si="11"/>
        <v>039</v>
      </c>
      <c r="F74" s="166" t="e">
        <f>IF(C74='Ціни контур теплопостачання'!$B$123,E74*'Ціни контур теплопостачання'!$C$123*'Ціни контур теплопостачання'!$E$123*'Ціни контур теплопостачання'!$F$123+'Ціни контур теплопостачання'!$D$123,IF(C74='Ціни контур теплопостачання'!$B$124,E74*'Ціни контур теплопостачання'!$C$124*'Ціни контур теплопостачання'!$E$124*'Ціни контур теплопостачання'!$F$124+'Ціни контур теплопостачання'!$D$124,IF(C74='Ціни контур теплопостачання'!$B$125,E74*'Ціни контур теплопостачання'!$C$125*'Ціни контур теплопостачання'!$E$125*'Ціни контур теплопостачання'!$F$125+'Ціни контур теплопостачання'!$D$125,IF(C74='Ціни контур теплопостачання'!$B$126,E74*'Ціни контур теплопостачання'!$C$126*'Ціни контур теплопостачання'!$E$126*'Ціни контур теплопостачання'!$F$126+'Ціни контур теплопостачання'!$D$126,IF(C74='Ціни контур теплопостачання'!$B$127,E74*'Ціни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4" s="170" t="s">
        <v>194</v>
      </c>
      <c r="I74" s="162" t="str">
        <f t="shared" si="12"/>
        <v xml:space="preserve">08+027A00HS-160 </v>
      </c>
      <c r="J74" s="162" t="str">
        <f t="shared" si="13"/>
        <v>08</v>
      </c>
      <c r="K74" s="162" t="str">
        <f t="shared" si="14"/>
        <v xml:space="preserve">027A00HS-160 </v>
      </c>
      <c r="L74" s="162" t="str">
        <f t="shared" si="15"/>
        <v>027</v>
      </c>
      <c r="M74" s="166" t="e">
        <f>IF(J74='Ціни контур теплопостачання'!$B$123,L74*'Ціни контур теплопостачання'!$C$123*'Ціни контур теплопостачання'!$E$123*'Ціни контур теплопостачання'!$F$123+'Ціни контур теплопостачання'!$D$123,IF(J74='Ціни контур теплопостачання'!$B$124,L74*'Ціни контур теплопостачання'!$C$124*'Ціни контур теплопостачання'!$E$124*'Ціни контур теплопостачання'!$F$124+'Ціни контур теплопостачання'!$D$124,IF(J74='Ціни контур теплопостачання'!$B$125,L74*'Ціни контур теплопостачання'!$C$125*'Ціни контур теплопостачання'!$E$125*'Ціни контур теплопостачання'!$F$125+'Ціни контур теплопостачання'!$D$125,IF(J74='Ціни контур теплопостачання'!$B$126,L74*'Ціни контур теплопостачання'!$C$126*'Ціни контур теплопостачання'!$E$126*'Ціни контур теплопостачання'!$F$126+'Ціни контур теплопостачання'!$D$126,IF(J74='Ціни контур теплопостачання'!$B$127,L74*'Ціни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5" spans="1:13">
      <c r="A75" s="168" t="s">
        <v>453</v>
      </c>
      <c r="B75" s="162" t="str">
        <f t="shared" si="8"/>
        <v xml:space="preserve">16+059A00HS-246  </v>
      </c>
      <c r="C75" s="162" t="str">
        <f t="shared" si="9"/>
        <v>16</v>
      </c>
      <c r="D75" s="162" t="str">
        <f t="shared" si="10"/>
        <v xml:space="preserve">059A00HS-246  </v>
      </c>
      <c r="E75" s="162" t="str">
        <f t="shared" si="11"/>
        <v>059</v>
      </c>
      <c r="F75" s="166" t="e">
        <f>IF(C75='Ціни контур теплопостачання'!$B$123,E75*'Ціни контур теплопостачання'!$C$123*'Ціни контур теплопостачання'!$E$123*'Ціни контур теплопостачання'!$F$123+'Ціни контур теплопостачання'!$D$123,IF(C75='Ціни контур теплопостачання'!$B$124,E75*'Ціни контур теплопостачання'!$C$124*'Ціни контур теплопостачання'!$E$124*'Ціни контур теплопостачання'!$F$124+'Ціни контур теплопостачання'!$D$124,IF(C75='Ціни контур теплопостачання'!$B$125,E75*'Ціни контур теплопостачання'!$C$125*'Ціни контур теплопостачання'!$E$125*'Ціни контур теплопостачання'!$F$125+'Ціни контур теплопостачання'!$D$125,IF(C75='Ціни контур теплопостачання'!$B$126,E75*'Ціни контур теплопостачання'!$C$126*'Ціни контур теплопостачання'!$E$126*'Ціни контур теплопостачання'!$F$126+'Ціни контур теплопостачання'!$D$126,IF(C75='Ціни контур теплопостачання'!$B$127,E75*'Ціни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5" s="170" t="s">
        <v>195</v>
      </c>
      <c r="I75" s="162" t="str">
        <f t="shared" si="12"/>
        <v xml:space="preserve">16+027M50HS-257 </v>
      </c>
      <c r="J75" s="162" t="str">
        <f t="shared" si="13"/>
        <v>16</v>
      </c>
      <c r="K75" s="162" t="str">
        <f t="shared" si="14"/>
        <v xml:space="preserve">027M50HS-257 </v>
      </c>
      <c r="L75" s="162" t="str">
        <f t="shared" si="15"/>
        <v>027</v>
      </c>
      <c r="M75" s="166" t="e">
        <f>IF(J75='Ціни контур теплопостачання'!$B$123,L75*'Ціни контур теплопостачання'!$C$123*'Ціни контур теплопостачання'!$E$123*'Ціни контур теплопостачання'!$F$123+'Ціни контур теплопостачання'!$D$123,IF(J75='Ціни контур теплопостачання'!$B$124,L75*'Ціни контур теплопостачання'!$C$124*'Ціни контур теплопостачання'!$E$124*'Ціни контур теплопостачання'!$F$124+'Ціни контур теплопостачання'!$D$124,IF(J75='Ціни контур теплопостачання'!$B$125,L75*'Ціни контур теплопостачання'!$C$125*'Ціни контур теплопостачання'!$E$125*'Ціни контур теплопостачання'!$F$125+'Ціни контур теплопостачання'!$D$125,IF(J75='Ціни контур теплопостачання'!$B$126,L75*'Ціни контур теплопостачання'!$C$126*'Ціни контур теплопостачання'!$E$126*'Ціни контур теплопостачання'!$F$126+'Ціни контур теплопостачання'!$D$126,IF(J75='Ціни контур теплопостачання'!$B$127,L75*'Ціни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6" spans="1:13">
      <c r="A76" s="168" t="s">
        <v>454</v>
      </c>
      <c r="B76" s="162" t="str">
        <f t="shared" si="8"/>
        <v xml:space="preserve">16+041A00HS-164  </v>
      </c>
      <c r="C76" s="162" t="str">
        <f t="shared" si="9"/>
        <v>16</v>
      </c>
      <c r="D76" s="162" t="str">
        <f t="shared" si="10"/>
        <v xml:space="preserve">041A00HS-164  </v>
      </c>
      <c r="E76" s="162" t="str">
        <f t="shared" si="11"/>
        <v>041</v>
      </c>
      <c r="F76" s="166" t="e">
        <f>IF(C76='Ціни контур теплопостачання'!$B$123,E76*'Ціни контур теплопостачання'!$C$123*'Ціни контур теплопостачання'!$E$123*'Ціни контур теплопостачання'!$F$123+'Ціни контур теплопостачання'!$D$123,IF(C76='Ціни контур теплопостачання'!$B$124,E76*'Ціни контур теплопостачання'!$C$124*'Ціни контур теплопостачання'!$E$124*'Ціни контур теплопостачання'!$F$124+'Ціни контур теплопостачання'!$D$124,IF(C76='Ціни контур теплопостачання'!$B$125,E76*'Ціни контур теплопостачання'!$C$125*'Ціни контур теплопостачання'!$E$125*'Ціни контур теплопостачання'!$F$125+'Ціни контур теплопостачання'!$D$125,IF(C76='Ціни контур теплопостачання'!$B$126,E76*'Ціни контур теплопостачання'!$C$126*'Ціни контур теплопостачання'!$E$126*'Ціни контур теплопостачання'!$F$126+'Ціни контур теплопостачання'!$D$126,IF(C76='Ціни контур теплопостачання'!$B$127,E76*'Ціни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6" s="170" t="s">
        <v>196</v>
      </c>
      <c r="I76" s="162" t="str">
        <f t="shared" si="12"/>
        <v xml:space="preserve">08+029A00HS-171 </v>
      </c>
      <c r="J76" s="162" t="str">
        <f t="shared" si="13"/>
        <v>08</v>
      </c>
      <c r="K76" s="162" t="str">
        <f t="shared" si="14"/>
        <v xml:space="preserve">029A00HS-171 </v>
      </c>
      <c r="L76" s="162" t="str">
        <f t="shared" si="15"/>
        <v>029</v>
      </c>
      <c r="M76" s="166" t="e">
        <f>IF(J76='Ціни контур теплопостачання'!$B$123,L76*'Ціни контур теплопостачання'!$C$123*'Ціни контур теплопостачання'!$E$123*'Ціни контур теплопостачання'!$F$123+'Ціни контур теплопостачання'!$D$123,IF(J76='Ціни контур теплопостачання'!$B$124,L76*'Ціни контур теплопостачання'!$C$124*'Ціни контур теплопостачання'!$E$124*'Ціни контур теплопостачання'!$F$124+'Ціни контур теплопостачання'!$D$124,IF(J76='Ціни контур теплопостачання'!$B$125,L76*'Ціни контур теплопостачання'!$C$125*'Ціни контур теплопостачання'!$E$125*'Ціни контур теплопостачання'!$F$125+'Ціни контур теплопостачання'!$D$125,IF(J76='Ціни контур теплопостачання'!$B$126,L76*'Ціни контур теплопостачання'!$C$126*'Ціни контур теплопостачання'!$E$126*'Ціни контур теплопостачання'!$F$126+'Ціни контур теплопостачання'!$D$126,IF(J76='Ціни контур теплопостачання'!$B$127,L76*'Ціни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7" spans="1:13">
      <c r="A77" s="168" t="s">
        <v>336</v>
      </c>
      <c r="B77" s="162" t="str">
        <f t="shared" si="8"/>
        <v xml:space="preserve">16+061A00HS-248  </v>
      </c>
      <c r="C77" s="162" t="str">
        <f t="shared" si="9"/>
        <v>16</v>
      </c>
      <c r="D77" s="162" t="str">
        <f t="shared" si="10"/>
        <v xml:space="preserve">061A00HS-248  </v>
      </c>
      <c r="E77" s="162" t="str">
        <f t="shared" si="11"/>
        <v>061</v>
      </c>
      <c r="F77" s="166" t="e">
        <f>IF(C77='Ціни контур теплопостачання'!$B$123,E77*'Ціни контур теплопостачання'!$C$123*'Ціни контур теплопостачання'!$E$123*'Ціни контур теплопостачання'!$F$123+'Ціни контур теплопостачання'!$D$123,IF(C77='Ціни контур теплопостачання'!$B$124,E77*'Ціни контур теплопостачання'!$C$124*'Ціни контур теплопостачання'!$E$124*'Ціни контур теплопостачання'!$F$124+'Ціни контур теплопостачання'!$D$124,IF(C77='Ціни контур теплопостачання'!$B$125,E77*'Ціни контур теплопостачання'!$C$125*'Ціни контур теплопостачання'!$E$125*'Ціни контур теплопостачання'!$F$125+'Ціни контур теплопостачання'!$D$125,IF(C77='Ціни контур теплопостачання'!$B$126,E77*'Ціни контур теплопостачання'!$C$126*'Ціни контур теплопостачання'!$E$126*'Ціни контур теплопостачання'!$F$126+'Ціни контур теплопостачання'!$D$126,IF(C77='Ціни контур теплопостачання'!$B$127,E77*'Ціни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7" s="170" t="s">
        <v>197</v>
      </c>
      <c r="I77" s="162" t="str">
        <f t="shared" si="12"/>
        <v xml:space="preserve">08+039A00HS-229 </v>
      </c>
      <c r="J77" s="162" t="str">
        <f t="shared" si="13"/>
        <v>08</v>
      </c>
      <c r="K77" s="162" t="str">
        <f t="shared" si="14"/>
        <v xml:space="preserve">039A00HS-229 </v>
      </c>
      <c r="L77" s="162" t="str">
        <f t="shared" si="15"/>
        <v>039</v>
      </c>
      <c r="M77" s="166" t="e">
        <f>IF(J77='Ціни контур теплопостачання'!$B$123,L77*'Ціни контур теплопостачання'!$C$123*'Ціни контур теплопостачання'!$E$123*'Ціни контур теплопостачання'!$F$123+'Ціни контур теплопостачання'!$D$123,IF(J77='Ціни контур теплопостачання'!$B$124,L77*'Ціни контур теплопостачання'!$C$124*'Ціни контур теплопостачання'!$E$124*'Ціни контур теплопостачання'!$F$124+'Ціни контур теплопостачання'!$D$124,IF(J77='Ціни контур теплопостачання'!$B$125,L77*'Ціни контур теплопостачання'!$C$125*'Ціни контур теплопостачання'!$E$125*'Ціни контур теплопостачання'!$F$125+'Ціни контур теплопостачання'!$D$125,IF(J77='Ціни контур теплопостачання'!$B$126,L77*'Ціни контур теплопостачання'!$C$126*'Ціни контур теплопостачання'!$E$126*'Ціни контур теплопостачання'!$F$126+'Ціни контур теплопостачання'!$D$126,IF(J77='Ціни контур теплопостачання'!$B$127,L77*'Ціни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8" spans="1:13">
      <c r="A78" s="168" t="s">
        <v>572</v>
      </c>
      <c r="B78" s="162" t="str">
        <f t="shared" si="8"/>
        <v xml:space="preserve">16+041A00HS-165 </v>
      </c>
      <c r="C78" s="162" t="str">
        <f t="shared" si="9"/>
        <v>16</v>
      </c>
      <c r="D78" s="162" t="str">
        <f t="shared" si="10"/>
        <v xml:space="preserve">041A00HS-165 </v>
      </c>
      <c r="E78" s="162" t="str">
        <f t="shared" si="11"/>
        <v>041</v>
      </c>
      <c r="F78" s="166" t="e">
        <f>IF(C78='Ціни контур теплопостачання'!$B$123,E78*'Ціни контур теплопостачання'!$C$123*'Ціни контур теплопостачання'!$E$123*'Ціни контур теплопостачання'!$F$123+'Ціни контур теплопостачання'!$D$123,IF(C78='Ціни контур теплопостачання'!$B$124,E78*'Ціни контур теплопостачання'!$C$124*'Ціни контур теплопостачання'!$E$124*'Ціни контур теплопостачання'!$F$124+'Ціни контур теплопостачання'!$D$124,IF(C78='Ціни контур теплопостачання'!$B$125,E78*'Ціни контур теплопостачання'!$C$125*'Ціни контур теплопостачання'!$E$125*'Ціни контур теплопостачання'!$F$125+'Ціни контур теплопостачання'!$D$125,IF(C78='Ціни контур теплопостачання'!$B$126,E78*'Ціни контур теплопостачання'!$C$126*'Ціни контур теплопостачання'!$E$126*'Ціни контур теплопостачання'!$F$126+'Ціни контур теплопостачання'!$D$126,IF(C78='Ціни контур теплопостачання'!$B$127,E78*'Ціни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8" s="170" t="s">
        <v>198</v>
      </c>
      <c r="I78" s="162" t="str">
        <f t="shared" si="12"/>
        <v xml:space="preserve">08+027A00HS-153 </v>
      </c>
      <c r="J78" s="162" t="str">
        <f t="shared" si="13"/>
        <v>08</v>
      </c>
      <c r="K78" s="162" t="str">
        <f t="shared" si="14"/>
        <v xml:space="preserve">027A00HS-153 </v>
      </c>
      <c r="L78" s="162" t="str">
        <f t="shared" si="15"/>
        <v>027</v>
      </c>
      <c r="M78" s="166" t="e">
        <f>IF(J78='Ціни контур теплопостачання'!$B$123,L78*'Ціни контур теплопостачання'!$C$123*'Ціни контур теплопостачання'!$E$123*'Ціни контур теплопостачання'!$F$123+'Ціни контур теплопостачання'!$D$123,IF(J78='Ціни контур теплопостачання'!$B$124,L78*'Ціни контур теплопостачання'!$C$124*'Ціни контур теплопостачання'!$E$124*'Ціни контур теплопостачання'!$F$124+'Ціни контур теплопостачання'!$D$124,IF(J78='Ціни контур теплопостачання'!$B$125,L78*'Ціни контур теплопостачання'!$C$125*'Ціни контур теплопостачання'!$E$125*'Ціни контур теплопостачання'!$F$125+'Ціни контур теплопостачання'!$D$125,IF(J78='Ціни контур теплопостачання'!$B$126,L78*'Ціни контур теплопостачання'!$C$126*'Ціни контур теплопостачання'!$E$126*'Ціни контур теплопостачання'!$F$126+'Ціни контур теплопостачання'!$D$126,IF(J78='Ціни контур теплопостачання'!$B$127,L78*'Ціни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79" spans="1:13">
      <c r="A79" s="168" t="s">
        <v>455</v>
      </c>
      <c r="B79" s="162" t="str">
        <f t="shared" si="8"/>
        <v xml:space="preserve">16+047A00HS-189  </v>
      </c>
      <c r="C79" s="162" t="str">
        <f t="shared" si="9"/>
        <v>16</v>
      </c>
      <c r="D79" s="162" t="str">
        <f t="shared" si="10"/>
        <v xml:space="preserve">047A00HS-189  </v>
      </c>
      <c r="E79" s="162" t="str">
        <f t="shared" si="11"/>
        <v>047</v>
      </c>
      <c r="F79" s="166" t="e">
        <f>IF(C79='Ціни контур теплопостачання'!$B$123,E79*'Ціни контур теплопостачання'!$C$123*'Ціни контур теплопостачання'!$E$123*'Ціни контур теплопостачання'!$F$123+'Ціни контур теплопостачання'!$D$123,IF(C79='Ціни контур теплопостачання'!$B$124,E79*'Ціни контур теплопостачання'!$C$124*'Ціни контур теплопостачання'!$E$124*'Ціни контур теплопостачання'!$F$124+'Ціни контур теплопостачання'!$D$124,IF(C79='Ціни контур теплопостачання'!$B$125,E79*'Ціни контур теплопостачання'!$C$125*'Ціни контур теплопостачання'!$E$125*'Ціни контур теплопостачання'!$F$125+'Ціни контур теплопостачання'!$D$125,IF(C79='Ціни контур теплопостачання'!$B$126,E79*'Ціни контур теплопостачання'!$C$126*'Ціни контур теплопостачання'!$E$126*'Ціни контур теплопостачання'!$F$126+'Ціни контур теплопостачання'!$D$126,IF(C79='Ціни контур теплопостачання'!$B$127,E79*'Ціни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79" s="170" t="s">
        <v>199</v>
      </c>
      <c r="I79" s="162" t="str">
        <f t="shared" si="12"/>
        <v xml:space="preserve">08+035A00HS-204 </v>
      </c>
      <c r="J79" s="162" t="str">
        <f t="shared" si="13"/>
        <v>08</v>
      </c>
      <c r="K79" s="162" t="str">
        <f t="shared" si="14"/>
        <v xml:space="preserve">035A00HS-204 </v>
      </c>
      <c r="L79" s="162" t="str">
        <f t="shared" si="15"/>
        <v>035</v>
      </c>
      <c r="M79" s="166" t="e">
        <f>IF(J79='Ціни контур теплопостачання'!$B$123,L79*'Ціни контур теплопостачання'!$C$123*'Ціни контур теплопостачання'!$E$123*'Ціни контур теплопостачання'!$F$123+'Ціни контур теплопостачання'!$D$123,IF(J79='Ціни контур теплопостачання'!$B$124,L79*'Ціни контур теплопостачання'!$C$124*'Ціни контур теплопостачання'!$E$124*'Ціни контур теплопостачання'!$F$124+'Ціни контур теплопостачання'!$D$124,IF(J79='Ціни контур теплопостачання'!$B$125,L79*'Ціни контур теплопостачання'!$C$125*'Ціни контур теплопостачання'!$E$125*'Ціни контур теплопостачання'!$F$125+'Ціни контур теплопостачання'!$D$125,IF(J79='Ціни контур теплопостачання'!$B$126,L79*'Ціни контур теплопостачання'!$C$126*'Ціни контур теплопостачання'!$E$126*'Ціни контур теплопостачання'!$F$126+'Ціни контур теплопостачання'!$D$126,IF(J79='Ціни контур теплопостачання'!$B$127,L79*'Ціни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0" spans="1:13">
      <c r="A80" s="168" t="s">
        <v>456</v>
      </c>
      <c r="B80" s="162" t="str">
        <f t="shared" si="8"/>
        <v xml:space="preserve">16+033A00HS-126 </v>
      </c>
      <c r="C80" s="162" t="str">
        <f t="shared" si="9"/>
        <v>16</v>
      </c>
      <c r="D80" s="162" t="str">
        <f t="shared" si="10"/>
        <v xml:space="preserve">033A00HS-126 </v>
      </c>
      <c r="E80" s="162" t="str">
        <f t="shared" si="11"/>
        <v>033</v>
      </c>
      <c r="F80" s="166" t="e">
        <f>IF(C80='Ціни контур теплопостачання'!$B$123,E80*'Ціни контур теплопостачання'!$C$123*'Ціни контур теплопостачання'!$E$123*'Ціни контур теплопостачання'!$F$123+'Ціни контур теплопостачання'!$D$123,IF(C80='Ціни контур теплопостачання'!$B$124,E80*'Ціни контур теплопостачання'!$C$124*'Ціни контур теплопостачання'!$E$124*'Ціни контур теплопостачання'!$F$124+'Ціни контур теплопостачання'!$D$124,IF(C80='Ціни контур теплопостачання'!$B$125,E80*'Ціни контур теплопостачання'!$C$125*'Ціни контур теплопостачання'!$E$125*'Ціни контур теплопостачання'!$F$125+'Ціни контур теплопостачання'!$D$125,IF(C80='Ціни контур теплопостачання'!$B$126,E80*'Ціни контур теплопостачання'!$C$126*'Ціни контур теплопостачання'!$E$126*'Ціни контур теплопостачання'!$F$126+'Ціни контур теплопостачання'!$D$126,IF(C80='Ціни контур теплопостачання'!$B$127,E80*'Ціни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0" s="170" t="s">
        <v>200</v>
      </c>
      <c r="I80" s="162" t="str">
        <f t="shared" si="12"/>
        <v xml:space="preserve">08+023A00HS-136 </v>
      </c>
      <c r="J80" s="162" t="str">
        <f t="shared" si="13"/>
        <v>08</v>
      </c>
      <c r="K80" s="162" t="str">
        <f t="shared" si="14"/>
        <v xml:space="preserve">023A00HS-136 </v>
      </c>
      <c r="L80" s="162" t="str">
        <f t="shared" si="15"/>
        <v>023</v>
      </c>
      <c r="M80" s="166" t="e">
        <f>IF(J80='Ціни контур теплопостачання'!$B$123,L80*'Ціни контур теплопостачання'!$C$123*'Ціни контур теплопостачання'!$E$123*'Ціни контур теплопостачання'!$F$123+'Ціни контур теплопостачання'!$D$123,IF(J80='Ціни контур теплопостачання'!$B$124,L80*'Ціни контур теплопостачання'!$C$124*'Ціни контур теплопостачання'!$E$124*'Ціни контур теплопостачання'!$F$124+'Ціни контур теплопостачання'!$D$124,IF(J80='Ціни контур теплопостачання'!$B$125,L80*'Ціни контур теплопостачання'!$C$125*'Ціни контур теплопостачання'!$E$125*'Ціни контур теплопостачання'!$F$125+'Ціни контур теплопостачання'!$D$125,IF(J80='Ціни контур теплопостачання'!$B$126,L80*'Ціни контур теплопостачання'!$C$126*'Ціни контур теплопостачання'!$E$126*'Ціни контур теплопостачання'!$F$126+'Ціни контур теплопостачання'!$D$126,IF(J80='Ціни контур теплопостачання'!$B$127,L80*'Ціни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1" spans="1:13">
      <c r="A81" s="168" t="s">
        <v>457</v>
      </c>
      <c r="B81" s="162" t="str">
        <f t="shared" si="8"/>
        <v xml:space="preserve">16+031A00HS-121  </v>
      </c>
      <c r="C81" s="162" t="str">
        <f t="shared" si="9"/>
        <v>16</v>
      </c>
      <c r="D81" s="162" t="str">
        <f t="shared" si="10"/>
        <v xml:space="preserve">031A00HS-121  </v>
      </c>
      <c r="E81" s="162" t="str">
        <f t="shared" si="11"/>
        <v>031</v>
      </c>
      <c r="F81" s="166" t="e">
        <f>IF(C81='Ціни контур теплопостачання'!$B$123,E81*'Ціни контур теплопостачання'!$C$123*'Ціни контур теплопостачання'!$E$123*'Ціни контур теплопостачання'!$F$123+'Ціни контур теплопостачання'!$D$123,IF(C81='Ціни контур теплопостачання'!$B$124,E81*'Ціни контур теплопостачання'!$C$124*'Ціни контур теплопостачання'!$E$124*'Ціни контур теплопостачання'!$F$124+'Ціни контур теплопостачання'!$D$124,IF(C81='Ціни контур теплопостачання'!$B$125,E81*'Ціни контур теплопостачання'!$C$125*'Ціни контур теплопостачання'!$E$125*'Ціни контур теплопостачання'!$F$125+'Ціни контур теплопостачання'!$D$125,IF(C81='Ціни контур теплопостачання'!$B$126,E81*'Ціни контур теплопостачання'!$C$126*'Ціни контур теплопостачання'!$E$126*'Ціни контур теплопостачання'!$F$126+'Ціни контур теплопостачання'!$D$126,IF(C81='Ціни контур теплопостачання'!$B$127,E81*'Ціни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1" s="170" t="s">
        <v>201</v>
      </c>
      <c r="I81" s="162" t="str">
        <f t="shared" si="12"/>
        <v xml:space="preserve">08+031A00HS-183 </v>
      </c>
      <c r="J81" s="162" t="str">
        <f t="shared" si="13"/>
        <v>08</v>
      </c>
      <c r="K81" s="162" t="str">
        <f t="shared" si="14"/>
        <v xml:space="preserve">031A00HS-183 </v>
      </c>
      <c r="L81" s="162" t="str">
        <f t="shared" si="15"/>
        <v>031</v>
      </c>
      <c r="M81" s="166" t="e">
        <f>IF(J81='Ціни контур теплопостачання'!$B$123,L81*'Ціни контур теплопостачання'!$C$123*'Ціни контур теплопостачання'!$E$123*'Ціни контур теплопостачання'!$F$123+'Ціни контур теплопостачання'!$D$123,IF(J81='Ціни контур теплопостачання'!$B$124,L81*'Ціни контур теплопостачання'!$C$124*'Ціни контур теплопостачання'!$E$124*'Ціни контур теплопостачання'!$F$124+'Ціни контур теплопостачання'!$D$124,IF(J81='Ціни контур теплопостачання'!$B$125,L81*'Ціни контур теплопостачання'!$C$125*'Ціни контур теплопостачання'!$E$125*'Ціни контур теплопостачання'!$F$125+'Ціни контур теплопостачання'!$D$125,IF(J81='Ціни контур теплопостачання'!$B$126,L81*'Ціни контур теплопостачання'!$C$126*'Ціни контур теплопостачання'!$E$126*'Ціни контур теплопостачання'!$F$126+'Ціни контур теплопостачання'!$D$126,IF(J81='Ціни контур теплопостачання'!$B$127,L81*'Ціни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2" spans="1:13">
      <c r="A82" s="168" t="s">
        <v>458</v>
      </c>
      <c r="B82" s="162" t="str">
        <f t="shared" si="8"/>
        <v xml:space="preserve">16+063A00HS-256  </v>
      </c>
      <c r="C82" s="162" t="str">
        <f t="shared" si="9"/>
        <v>16</v>
      </c>
      <c r="D82" s="162" t="str">
        <f t="shared" si="10"/>
        <v xml:space="preserve">063A00HS-256  </v>
      </c>
      <c r="E82" s="162" t="str">
        <f t="shared" si="11"/>
        <v>063</v>
      </c>
      <c r="F82" s="166" t="e">
        <f>IF(C82='Ціни контур теплопостачання'!$B$123,E82*'Ціни контур теплопостачання'!$C$123*'Ціни контур теплопостачання'!$E$123*'Ціни контур теплопостачання'!$F$123+'Ціни контур теплопостачання'!$D$123,IF(C82='Ціни контур теплопостачання'!$B$124,E82*'Ціни контур теплопостачання'!$C$124*'Ціни контур теплопостачання'!$E$124*'Ціни контур теплопостачання'!$F$124+'Ціни контур теплопостачання'!$D$124,IF(C82='Ціни контур теплопостачання'!$B$125,E82*'Ціни контур теплопостачання'!$C$125*'Ціни контур теплопостачання'!$E$125*'Ціни контур теплопостачання'!$F$125+'Ціни контур теплопостачання'!$D$125,IF(C82='Ціни контур теплопостачання'!$B$126,E82*'Ціни контур теплопостачання'!$C$126*'Ціни контур теплопостачання'!$E$126*'Ціни контур теплопостачання'!$F$126+'Ціни контур теплопостачання'!$D$126,IF(C82='Ціни контур теплопостачання'!$B$127,E82*'Ціни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2" s="170" t="s">
        <v>202</v>
      </c>
      <c r="I82" s="162" t="str">
        <f t="shared" si="12"/>
        <v xml:space="preserve">16+031M50HS-305 </v>
      </c>
      <c r="J82" s="162" t="str">
        <f t="shared" si="13"/>
        <v>16</v>
      </c>
      <c r="K82" s="162" t="str">
        <f t="shared" si="14"/>
        <v xml:space="preserve">031M50HS-305 </v>
      </c>
      <c r="L82" s="162" t="str">
        <f t="shared" si="15"/>
        <v>031</v>
      </c>
      <c r="M82" s="166" t="e">
        <f>IF(J82='Ціни контур теплопостачання'!$B$123,L82*'Ціни контур теплопостачання'!$C$123*'Ціни контур теплопостачання'!$E$123*'Ціни контур теплопостачання'!$F$123+'Ціни контур теплопостачання'!$D$123,IF(J82='Ціни контур теплопостачання'!$B$124,L82*'Ціни контур теплопостачання'!$C$124*'Ціни контур теплопостачання'!$E$124*'Ціни контур теплопостачання'!$F$124+'Ціни контур теплопостачання'!$D$124,IF(J82='Ціни контур теплопостачання'!$B$125,L82*'Ціни контур теплопостачання'!$C$125*'Ціни контур теплопостачання'!$E$125*'Ціни контур теплопостачання'!$F$125+'Ціни контур теплопостачання'!$D$125,IF(J82='Ціни контур теплопостачання'!$B$126,L82*'Ціни контур теплопостачання'!$C$126*'Ціни контур теплопостачання'!$E$126*'Ціни контур теплопостачання'!$F$126+'Ціни контур теплопостачання'!$D$126,IF(J82='Ціни контур теплопостачання'!$B$127,L82*'Ціни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3" spans="1:13">
      <c r="A83" s="168" t="s">
        <v>459</v>
      </c>
      <c r="B83" s="162" t="str">
        <f t="shared" si="8"/>
        <v xml:space="preserve">16+037A00HS-142  </v>
      </c>
      <c r="C83" s="162" t="str">
        <f t="shared" si="9"/>
        <v>16</v>
      </c>
      <c r="D83" s="162" t="str">
        <f t="shared" si="10"/>
        <v xml:space="preserve">037A00HS-142  </v>
      </c>
      <c r="E83" s="162" t="str">
        <f t="shared" si="11"/>
        <v>037</v>
      </c>
      <c r="F83" s="166" t="e">
        <f>IF(C83='Ціни контур теплопостачання'!$B$123,E83*'Ціни контур теплопостачання'!$C$123*'Ціни контур теплопостачання'!$E$123*'Ціни контур теплопостачання'!$F$123+'Ціни контур теплопостачання'!$D$123,IF(C83='Ціни контур теплопостачання'!$B$124,E83*'Ціни контур теплопостачання'!$C$124*'Ціни контур теплопостачання'!$E$124*'Ціни контур теплопостачання'!$F$124+'Ціни контур теплопостачання'!$D$124,IF(C83='Ціни контур теплопостачання'!$B$125,E83*'Ціни контур теплопостачання'!$C$125*'Ціни контур теплопостачання'!$E$125*'Ціни контур теплопостачання'!$F$125+'Ціни контур теплопостачання'!$D$125,IF(C83='Ціни контур теплопостачання'!$B$126,E83*'Ціни контур теплопостачання'!$C$126*'Ціни контур теплопостачання'!$E$126*'Ціни контур теплопостачання'!$F$126+'Ціни контур теплопостачання'!$D$126,IF(C83='Ціни контур теплопостачання'!$B$127,E83*'Ціни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3" s="170" t="s">
        <v>185</v>
      </c>
      <c r="I83" s="162" t="str">
        <f t="shared" si="12"/>
        <v xml:space="preserve">08+035A00HS-201 </v>
      </c>
      <c r="J83" s="162" t="str">
        <f t="shared" si="13"/>
        <v>08</v>
      </c>
      <c r="K83" s="162" t="str">
        <f t="shared" si="14"/>
        <v xml:space="preserve">035A00HS-201 </v>
      </c>
      <c r="L83" s="162" t="str">
        <f t="shared" si="15"/>
        <v>035</v>
      </c>
      <c r="M83" s="166" t="e">
        <f>IF(J83='Ціни контур теплопостачання'!$B$123,L83*'Ціни контур теплопостачання'!$C$123*'Ціни контур теплопостачання'!$E$123*'Ціни контур теплопостачання'!$F$123+'Ціни контур теплопостачання'!$D$123,IF(J83='Ціни контур теплопостачання'!$B$124,L83*'Ціни контур теплопостачання'!$C$124*'Ціни контур теплопостачання'!$E$124*'Ціни контур теплопостачання'!$F$124+'Ціни контур теплопостачання'!$D$124,IF(J83='Ціни контур теплопостачання'!$B$125,L83*'Ціни контур теплопостачання'!$C$125*'Ціни контур теплопостачання'!$E$125*'Ціни контур теплопостачання'!$F$125+'Ціни контур теплопостачання'!$D$125,IF(J83='Ціни контур теплопостачання'!$B$126,L83*'Ціни контур теплопостачання'!$C$126*'Ціни контур теплопостачання'!$E$126*'Ціни контур теплопостачання'!$F$126+'Ціни контур теплопостачання'!$D$126,IF(J83='Ціни контур теплопостачання'!$B$127,L83*'Ціни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4" spans="1:13">
      <c r="A84" s="168" t="s">
        <v>457</v>
      </c>
      <c r="B84" s="162" t="str">
        <f t="shared" si="8"/>
        <v xml:space="preserve">16+031A00HS-121  </v>
      </c>
      <c r="C84" s="162" t="str">
        <f t="shared" si="9"/>
        <v>16</v>
      </c>
      <c r="D84" s="162" t="str">
        <f t="shared" si="10"/>
        <v xml:space="preserve">031A00HS-121  </v>
      </c>
      <c r="E84" s="162" t="str">
        <f t="shared" si="11"/>
        <v>031</v>
      </c>
      <c r="F84" s="166" t="e">
        <f>IF(C84='Ціни контур теплопостачання'!$B$123,E84*'Ціни контур теплопостачання'!$C$123*'Ціни контур теплопостачання'!$E$123*'Ціни контур теплопостачання'!$F$123+'Ціни контур теплопостачання'!$D$123,IF(C84='Ціни контур теплопостачання'!$B$124,E84*'Ціни контур теплопостачання'!$C$124*'Ціни контур теплопостачання'!$E$124*'Ціни контур теплопостачання'!$F$124+'Ціни контур теплопостачання'!$D$124,IF(C84='Ціни контур теплопостачання'!$B$125,E84*'Ціни контур теплопостачання'!$C$125*'Ціни контур теплопостачання'!$E$125*'Ціни контур теплопостачання'!$F$125+'Ціни контур теплопостачання'!$D$125,IF(C84='Ціни контур теплопостачання'!$B$126,E84*'Ціни контур теплопостачання'!$C$126*'Ціни контур теплопостачання'!$E$126*'Ціни контур теплопостачання'!$F$126+'Ціни контур теплопостачання'!$D$126,IF(C84='Ціни контур теплопостачання'!$B$127,E84*'Ціни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4" s="170" t="s">
        <v>203</v>
      </c>
      <c r="I84" s="162" t="str">
        <f t="shared" si="12"/>
        <v xml:space="preserve">08+017A00HS-99 </v>
      </c>
      <c r="J84" s="162" t="str">
        <f t="shared" si="13"/>
        <v>08</v>
      </c>
      <c r="K84" s="162" t="str">
        <f t="shared" si="14"/>
        <v xml:space="preserve">017A00HS-99 </v>
      </c>
      <c r="L84" s="162" t="str">
        <f t="shared" si="15"/>
        <v>017</v>
      </c>
      <c r="M84" s="166" t="e">
        <f>IF(J84='Ціни контур теплопостачання'!$B$123,L84*'Ціни контур теплопостачання'!$C$123*'Ціни контур теплопостачання'!$E$123*'Ціни контур теплопостачання'!$F$123+'Ціни контур теплопостачання'!$D$123,IF(J84='Ціни контур теплопостачання'!$B$124,L84*'Ціни контур теплопостачання'!$C$124*'Ціни контур теплопостачання'!$E$124*'Ціни контур теплопостачання'!$F$124+'Ціни контур теплопостачання'!$D$124,IF(J84='Ціни контур теплопостачання'!$B$125,L84*'Ціни контур теплопостачання'!$C$125*'Ціни контур теплопостачання'!$E$125*'Ціни контур теплопостачання'!$F$125+'Ціни контур теплопостачання'!$D$125,IF(J84='Ціни контур теплопостачання'!$B$126,L84*'Ціни контур теплопостачання'!$C$126*'Ціни контур теплопостачання'!$E$126*'Ціни контур теплопостачання'!$F$126+'Ціни контур теплопостачання'!$D$126,IF(J84='Ціни контур теплопостачання'!$B$127,L84*'Ціни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5" spans="1:13">
      <c r="A85" s="168" t="s">
        <v>457</v>
      </c>
      <c r="B85" s="162" t="str">
        <f t="shared" si="8"/>
        <v xml:space="preserve">16+031A00HS-121  </v>
      </c>
      <c r="C85" s="162" t="str">
        <f t="shared" si="9"/>
        <v>16</v>
      </c>
      <c r="D85" s="162" t="str">
        <f t="shared" si="10"/>
        <v xml:space="preserve">031A00HS-121  </v>
      </c>
      <c r="E85" s="162" t="str">
        <f t="shared" si="11"/>
        <v>031</v>
      </c>
      <c r="F85" s="166" t="e">
        <f>IF(C85='Ціни контур теплопостачання'!$B$123,E85*'Ціни контур теплопостачання'!$C$123*'Ціни контур теплопостачання'!$E$123*'Ціни контур теплопостачання'!$F$123+'Ціни контур теплопостачання'!$D$123,IF(C85='Ціни контур теплопостачання'!$B$124,E85*'Ціни контур теплопостачання'!$C$124*'Ціни контур теплопостачання'!$E$124*'Ціни контур теплопостачання'!$F$124+'Ціни контур теплопостачання'!$D$124,IF(C85='Ціни контур теплопостачання'!$B$125,E85*'Ціни контур теплопостачання'!$C$125*'Ціни контур теплопостачання'!$E$125*'Ціни контур теплопостачання'!$F$125+'Ціни контур теплопостачання'!$D$125,IF(C85='Ціни контур теплопостачання'!$B$126,E85*'Ціни контур теплопостачання'!$C$126*'Ціни контур теплопостачання'!$E$126*'Ціни контур теплопостачання'!$F$126+'Ціни контур теплопостачання'!$D$126,IF(C85='Ціни контур теплопостачання'!$B$127,E85*'Ціни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5" s="170" t="s">
        <v>203</v>
      </c>
      <c r="I85" s="162" t="str">
        <f t="shared" si="12"/>
        <v xml:space="preserve">08+017A00HS-99 </v>
      </c>
      <c r="J85" s="162" t="str">
        <f t="shared" si="13"/>
        <v>08</v>
      </c>
      <c r="K85" s="162" t="str">
        <f t="shared" si="14"/>
        <v xml:space="preserve">017A00HS-99 </v>
      </c>
      <c r="L85" s="162" t="str">
        <f t="shared" si="15"/>
        <v>017</v>
      </c>
      <c r="M85" s="166" t="e">
        <f>IF(J85='Ціни контур теплопостачання'!$B$123,L85*'Ціни контур теплопостачання'!$C$123*'Ціни контур теплопостачання'!$E$123*'Ціни контур теплопостачання'!$F$123+'Ціни контур теплопостачання'!$D$123,IF(J85='Ціни контур теплопостачання'!$B$124,L85*'Ціни контур теплопостачання'!$C$124*'Ціни контур теплопостачання'!$E$124*'Ціни контур теплопостачання'!$F$124+'Ціни контур теплопостачання'!$D$124,IF(J85='Ціни контур теплопостачання'!$B$125,L85*'Ціни контур теплопостачання'!$C$125*'Ціни контур теплопостачання'!$E$125*'Ціни контур теплопостачання'!$F$125+'Ціни контур теплопостачання'!$D$125,IF(J85='Ціни контур теплопостачання'!$B$126,L85*'Ціни контур теплопостачання'!$C$126*'Ціни контур теплопостачання'!$E$126*'Ціни контур теплопостачання'!$F$126+'Ціни контур теплопостачання'!$D$126,IF(J85='Ціни контур теплопостачання'!$B$127,L85*'Ціни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6" spans="1:13">
      <c r="A86" s="168" t="s">
        <v>460</v>
      </c>
      <c r="B86" s="162" t="str">
        <f t="shared" si="8"/>
        <v xml:space="preserve">16+049A00HS-195  </v>
      </c>
      <c r="C86" s="162" t="str">
        <f t="shared" si="9"/>
        <v>16</v>
      </c>
      <c r="D86" s="162" t="str">
        <f t="shared" si="10"/>
        <v xml:space="preserve">049A00HS-195  </v>
      </c>
      <c r="E86" s="162" t="str">
        <f t="shared" si="11"/>
        <v>049</v>
      </c>
      <c r="F86" s="166" t="e">
        <f>IF(C86='Ціни контур теплопостачання'!$B$123,E86*'Ціни контур теплопостачання'!$C$123*'Ціни контур теплопостачання'!$E$123*'Ціни контур теплопостачання'!$F$123+'Ціни контур теплопостачання'!$D$123,IF(C86='Ціни контур теплопостачання'!$B$124,E86*'Ціни контур теплопостачання'!$C$124*'Ціни контур теплопостачання'!$E$124*'Ціни контур теплопостачання'!$F$124+'Ціни контур теплопостачання'!$D$124,IF(C86='Ціни контур теплопостачання'!$B$125,E86*'Ціни контур теплопостачання'!$C$125*'Ціни контур теплопостачання'!$E$125*'Ціни контур теплопостачання'!$F$125+'Ціни контур теплопостачання'!$D$125,IF(C86='Ціни контур теплопостачання'!$B$126,E86*'Ціни контур теплопостачання'!$C$126*'Ціни контур теплопостачання'!$E$126*'Ціни контур теплопостачання'!$F$126+'Ціни контур теплопостачання'!$D$126,IF(C86='Ціни контур теплопостачання'!$B$127,E86*'Ціни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6" s="170" t="s">
        <v>204</v>
      </c>
      <c r="I86" s="162" t="str">
        <f t="shared" si="12"/>
        <v xml:space="preserve">16+029M50HS-254 </v>
      </c>
      <c r="J86" s="162" t="str">
        <f t="shared" si="13"/>
        <v>16</v>
      </c>
      <c r="K86" s="162" t="str">
        <f t="shared" si="14"/>
        <v xml:space="preserve">029M50HS-254 </v>
      </c>
      <c r="L86" s="162" t="str">
        <f t="shared" si="15"/>
        <v>029</v>
      </c>
      <c r="M86" s="166" t="e">
        <f>IF(J86='Ціни контур теплопостачання'!$B$123,L86*'Ціни контур теплопостачання'!$C$123*'Ціни контур теплопостачання'!$E$123*'Ціни контур теплопостачання'!$F$123+'Ціни контур теплопостачання'!$D$123,IF(J86='Ціни контур теплопостачання'!$B$124,L86*'Ціни контур теплопостачання'!$C$124*'Ціни контур теплопостачання'!$E$124*'Ціни контур теплопостачання'!$F$124+'Ціни контур теплопостачання'!$D$124,IF(J86='Ціни контур теплопостачання'!$B$125,L86*'Ціни контур теплопостачання'!$C$125*'Ціни контур теплопостачання'!$E$125*'Ціни контур теплопостачання'!$F$125+'Ціни контур теплопостачання'!$D$125,IF(J86='Ціни контур теплопостачання'!$B$126,L86*'Ціни контур теплопостачання'!$C$126*'Ціни контур теплопостачання'!$E$126*'Ціни контур теплопостачання'!$F$126+'Ціни контур теплопостачання'!$D$126,IF(J86='Ціни контур теплопостачання'!$B$127,L86*'Ціни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7" spans="1:13">
      <c r="A87" s="168" t="s">
        <v>461</v>
      </c>
      <c r="B87" s="162" t="str">
        <f t="shared" si="8"/>
        <v xml:space="preserve">16+077A00HS-310  </v>
      </c>
      <c r="C87" s="162" t="str">
        <f t="shared" si="9"/>
        <v>16</v>
      </c>
      <c r="D87" s="162" t="str">
        <f t="shared" si="10"/>
        <v xml:space="preserve">077A00HS-310  </v>
      </c>
      <c r="E87" s="162" t="str">
        <f t="shared" si="11"/>
        <v>077</v>
      </c>
      <c r="F87" s="166" t="e">
        <f>IF(C87='Ціни контур теплопостачання'!$B$123,E87*'Ціни контур теплопостачання'!$C$123*'Ціни контур теплопостачання'!$E$123*'Ціни контур теплопостачання'!$F$123+'Ціни контур теплопостачання'!$D$123,IF(C87='Ціни контур теплопостачання'!$B$124,E87*'Ціни контур теплопостачання'!$C$124*'Ціни контур теплопостачання'!$E$124*'Ціни контур теплопостачання'!$F$124+'Ціни контур теплопостачання'!$D$124,IF(C87='Ціни контур теплопостачання'!$B$125,E87*'Ціни контур теплопостачання'!$C$125*'Ціни контур теплопостачання'!$E$125*'Ціни контур теплопостачання'!$F$125+'Ціни контур теплопостачання'!$D$125,IF(C87='Ціни контур теплопостачання'!$B$126,E87*'Ціни контур теплопостачання'!$C$126*'Ціни контур теплопостачання'!$E$126*'Ціни контур теплопостачання'!$F$126+'Ціни контур теплопостачання'!$D$126,IF(C87='Ціни контур теплопостачання'!$B$127,E87*'Ціни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7" s="170" t="s">
        <v>205</v>
      </c>
      <c r="I87" s="162" t="str">
        <f t="shared" si="12"/>
        <v xml:space="preserve">16+035M50HS-339 </v>
      </c>
      <c r="J87" s="162" t="str">
        <f t="shared" si="13"/>
        <v>16</v>
      </c>
      <c r="K87" s="162" t="str">
        <f t="shared" si="14"/>
        <v xml:space="preserve">035M50HS-339 </v>
      </c>
      <c r="L87" s="162" t="str">
        <f t="shared" si="15"/>
        <v>035</v>
      </c>
      <c r="M87" s="166" t="e">
        <f>IF(J87='Ціни контур теплопостачання'!$B$123,L87*'Ціни контур теплопостачання'!$C$123*'Ціни контур теплопостачання'!$E$123*'Ціни контур теплопостачання'!$F$123+'Ціни контур теплопостачання'!$D$123,IF(J87='Ціни контур теплопостачання'!$B$124,L87*'Ціни контур теплопостачання'!$C$124*'Ціни контур теплопостачання'!$E$124*'Ціни контур теплопостачання'!$F$124+'Ціни контур теплопостачання'!$D$124,IF(J87='Ціни контур теплопостачання'!$B$125,L87*'Ціни контур теплопостачання'!$C$125*'Ціни контур теплопостачання'!$E$125*'Ціни контур теплопостачання'!$F$125+'Ціни контур теплопостачання'!$D$125,IF(J87='Ціни контур теплопостачання'!$B$126,L87*'Ціни контур теплопостачання'!$C$126*'Ціни контур теплопостачання'!$E$126*'Ціни контур теплопостачання'!$F$126+'Ціни контур теплопостачання'!$D$126,IF(J87='Ціни контур теплопостачання'!$B$127,L87*'Ціни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8" spans="1:13">
      <c r="A88" s="168" t="s">
        <v>462</v>
      </c>
      <c r="B88" s="162" t="str">
        <f t="shared" si="8"/>
        <v xml:space="preserve">16+041A00HS-166  </v>
      </c>
      <c r="C88" s="162" t="str">
        <f t="shared" si="9"/>
        <v>16</v>
      </c>
      <c r="D88" s="162" t="str">
        <f t="shared" si="10"/>
        <v xml:space="preserve">041A00HS-166  </v>
      </c>
      <c r="E88" s="162" t="str">
        <f t="shared" si="11"/>
        <v>041</v>
      </c>
      <c r="F88" s="166" t="e">
        <f>IF(C88='Ціни контур теплопостачання'!$B$123,E88*'Ціни контур теплопостачання'!$C$123*'Ціни контур теплопостачання'!$E$123*'Ціни контур теплопостачання'!$F$123+'Ціни контур теплопостачання'!$D$123,IF(C88='Ціни контур теплопостачання'!$B$124,E88*'Ціни контур теплопостачання'!$C$124*'Ціни контур теплопостачання'!$E$124*'Ціни контур теплопостачання'!$F$124+'Ціни контур теплопостачання'!$D$124,IF(C88='Ціни контур теплопостачання'!$B$125,E88*'Ціни контур теплопостачання'!$C$125*'Ціни контур теплопостачання'!$E$125*'Ціни контур теплопостачання'!$F$125+'Ціни контур теплопостачання'!$D$125,IF(C88='Ціни контур теплопостачання'!$B$126,E88*'Ціни контур теплопостачання'!$C$126*'Ціни контур теплопостачання'!$E$126*'Ціни контур теплопостачання'!$F$126+'Ціни контур теплопостачання'!$D$126,IF(C88='Ціни контур теплопостачання'!$B$127,E88*'Ціни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8" s="170" t="s">
        <v>158</v>
      </c>
      <c r="I88" s="162" t="str">
        <f t="shared" si="12"/>
        <v xml:space="preserve">08+039A00HS-226 </v>
      </c>
      <c r="J88" s="162" t="str">
        <f t="shared" si="13"/>
        <v>08</v>
      </c>
      <c r="K88" s="162" t="str">
        <f t="shared" si="14"/>
        <v xml:space="preserve">039A00HS-226 </v>
      </c>
      <c r="L88" s="162" t="str">
        <f t="shared" si="15"/>
        <v>039</v>
      </c>
      <c r="M88" s="166" t="e">
        <f>IF(J88='Ціни контур теплопостачання'!$B$123,L88*'Ціни контур теплопостачання'!$C$123*'Ціни контур теплопостачання'!$E$123*'Ціни контур теплопостачання'!$F$123+'Ціни контур теплопостачання'!$D$123,IF(J88='Ціни контур теплопостачання'!$B$124,L88*'Ціни контур теплопостачання'!$C$124*'Ціни контур теплопостачання'!$E$124*'Ціни контур теплопостачання'!$F$124+'Ціни контур теплопостачання'!$D$124,IF(J88='Ціни контур теплопостачання'!$B$125,L88*'Ціни контур теплопостачання'!$C$125*'Ціни контур теплопостачання'!$E$125*'Ціни контур теплопостачання'!$F$125+'Ціни контур теплопостачання'!$D$125,IF(J88='Ціни контур теплопостачання'!$B$126,L88*'Ціни контур теплопостачання'!$C$126*'Ціни контур теплопостачання'!$E$126*'Ціни контур теплопостачання'!$F$126+'Ціни контур теплопостачання'!$D$126,IF(J88='Ціни контур теплопостачання'!$B$127,L88*'Ціни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89" spans="1:13">
      <c r="A89" s="168" t="s">
        <v>463</v>
      </c>
      <c r="B89" s="162" t="str">
        <f t="shared" si="8"/>
        <v xml:space="preserve">16+037A00HS-144  </v>
      </c>
      <c r="C89" s="162" t="str">
        <f t="shared" si="9"/>
        <v>16</v>
      </c>
      <c r="D89" s="162" t="str">
        <f t="shared" si="10"/>
        <v xml:space="preserve">037A00HS-144  </v>
      </c>
      <c r="E89" s="162" t="str">
        <f t="shared" si="11"/>
        <v>037</v>
      </c>
      <c r="F89" s="166" t="e">
        <f>IF(C89='Ціни контур теплопостачання'!$B$123,E89*'Ціни контур теплопостачання'!$C$123*'Ціни контур теплопостачання'!$E$123*'Ціни контур теплопостачання'!$F$123+'Ціни контур теплопостачання'!$D$123,IF(C89='Ціни контур теплопостачання'!$B$124,E89*'Ціни контур теплопостачання'!$C$124*'Ціни контур теплопостачання'!$E$124*'Ціни контур теплопостачання'!$F$124+'Ціни контур теплопостачання'!$D$124,IF(C89='Ціни контур теплопостачання'!$B$125,E89*'Ціни контур теплопостачання'!$C$125*'Ціни контур теплопостачання'!$E$125*'Ціни контур теплопостачання'!$F$125+'Ціни контур теплопостачання'!$D$125,IF(C89='Ціни контур теплопостачання'!$B$126,E89*'Ціни контур теплопостачання'!$C$126*'Ціни контур теплопостачання'!$E$126*'Ціни контур теплопостачання'!$F$126+'Ціни контур теплопостачання'!$D$126,IF(C89='Ціни контур теплопостачання'!$B$127,E89*'Ціни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89" s="170" t="s">
        <v>206</v>
      </c>
      <c r="I89" s="162" t="str">
        <f t="shared" si="12"/>
        <v xml:space="preserve">08+037A00HS-217 </v>
      </c>
      <c r="J89" s="162" t="str">
        <f t="shared" si="13"/>
        <v>08</v>
      </c>
      <c r="K89" s="162" t="str">
        <f t="shared" si="14"/>
        <v xml:space="preserve">037A00HS-217 </v>
      </c>
      <c r="L89" s="162" t="str">
        <f t="shared" si="15"/>
        <v>037</v>
      </c>
      <c r="M89" s="166" t="e">
        <f>IF(J89='Ціни контур теплопостачання'!$B$123,L89*'Ціни контур теплопостачання'!$C$123*'Ціни контур теплопостачання'!$E$123*'Ціни контур теплопостачання'!$F$123+'Ціни контур теплопостачання'!$D$123,IF(J89='Ціни контур теплопостачання'!$B$124,L89*'Ціни контур теплопостачання'!$C$124*'Ціни контур теплопостачання'!$E$124*'Ціни контур теплопостачання'!$F$124+'Ціни контур теплопостачання'!$D$124,IF(J89='Ціни контур теплопостачання'!$B$125,L89*'Ціни контур теплопостачання'!$C$125*'Ціни контур теплопостачання'!$E$125*'Ціни контур теплопостачання'!$F$125+'Ціни контур теплопостачання'!$D$125,IF(J89='Ціни контур теплопостачання'!$B$126,L89*'Ціни контур теплопостачання'!$C$126*'Ціни контур теплопостачання'!$E$126*'Ціни контур теплопостачання'!$F$126+'Ціни контур теплопостачання'!$D$126,IF(J89='Ціни контур теплопостачання'!$B$127,L89*'Ціни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0" spans="1:13">
      <c r="A90" s="168" t="s">
        <v>464</v>
      </c>
      <c r="B90" s="162" t="str">
        <f t="shared" si="8"/>
        <v xml:space="preserve">16+031A00HS-118  </v>
      </c>
      <c r="C90" s="162" t="str">
        <f t="shared" si="9"/>
        <v>16</v>
      </c>
      <c r="D90" s="162" t="str">
        <f t="shared" si="10"/>
        <v xml:space="preserve">031A00HS-118  </v>
      </c>
      <c r="E90" s="162" t="str">
        <f t="shared" si="11"/>
        <v>031</v>
      </c>
      <c r="F90" s="166" t="e">
        <f>IF(C90='Ціни контур теплопостачання'!$B$123,E90*'Ціни контур теплопостачання'!$C$123*'Ціни контур теплопостачання'!$E$123*'Ціни контур теплопостачання'!$F$123+'Ціни контур теплопостачання'!$D$123,IF(C90='Ціни контур теплопостачання'!$B$124,E90*'Ціни контур теплопостачання'!$C$124*'Ціни контур теплопостачання'!$E$124*'Ціни контур теплопостачання'!$F$124+'Ціни контур теплопостачання'!$D$124,IF(C90='Ціни контур теплопостачання'!$B$125,E90*'Ціни контур теплопостачання'!$C$125*'Ціни контур теплопостачання'!$E$125*'Ціни контур теплопостачання'!$F$125+'Ціни контур теплопостачання'!$D$125,IF(C90='Ціни контур теплопостачання'!$B$126,E90*'Ціни контур теплопостачання'!$C$126*'Ціни контур теплопостачання'!$E$126*'Ціни контур теплопостачання'!$F$126+'Ціни контур теплопостачання'!$D$126,IF(C90='Ціни контур теплопостачання'!$B$127,E90*'Ціни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0" s="170" t="s">
        <v>207</v>
      </c>
      <c r="I90" s="162" t="str">
        <f t="shared" si="12"/>
        <v xml:space="preserve">08+029A00HS-176 </v>
      </c>
      <c r="J90" s="162" t="str">
        <f t="shared" si="13"/>
        <v>08</v>
      </c>
      <c r="K90" s="162" t="str">
        <f t="shared" si="14"/>
        <v xml:space="preserve">029A00HS-176 </v>
      </c>
      <c r="L90" s="162" t="str">
        <f t="shared" si="15"/>
        <v>029</v>
      </c>
      <c r="M90" s="166" t="e">
        <f>IF(J90='Ціни контур теплопостачання'!$B$123,L90*'Ціни контур теплопостачання'!$C$123*'Ціни контур теплопостачання'!$E$123*'Ціни контур теплопостачання'!$F$123+'Ціни контур теплопостачання'!$D$123,IF(J90='Ціни контур теплопостачання'!$B$124,L90*'Ціни контур теплопостачання'!$C$124*'Ціни контур теплопостачання'!$E$124*'Ціни контур теплопостачання'!$F$124+'Ціни контур теплопостачання'!$D$124,IF(J90='Ціни контур теплопостачання'!$B$125,L90*'Ціни контур теплопостачання'!$C$125*'Ціни контур теплопостачання'!$E$125*'Ціни контур теплопостачання'!$F$125+'Ціни контур теплопостачання'!$D$125,IF(J90='Ціни контур теплопостачання'!$B$126,L90*'Ціни контур теплопостачання'!$C$126*'Ціни контур теплопостачання'!$E$126*'Ціни контур теплопостачання'!$F$126+'Ціни контур теплопостачання'!$D$126,IF(J90='Ціни контур теплопостачання'!$B$127,L90*'Ціни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1" spans="1:13">
      <c r="A91" s="168" t="s">
        <v>465</v>
      </c>
      <c r="B91" s="162" t="str">
        <f t="shared" si="8"/>
        <v xml:space="preserve">16+029A00HS-111  </v>
      </c>
      <c r="C91" s="162" t="str">
        <f t="shared" si="9"/>
        <v>16</v>
      </c>
      <c r="D91" s="162" t="str">
        <f t="shared" si="10"/>
        <v xml:space="preserve">029A00HS-111  </v>
      </c>
      <c r="E91" s="162" t="str">
        <f t="shared" si="11"/>
        <v>029</v>
      </c>
      <c r="F91" s="166" t="e">
        <f>IF(C91='Ціни контур теплопостачання'!$B$123,E91*'Ціни контур теплопостачання'!$C$123*'Ціни контур теплопостачання'!$E$123*'Ціни контур теплопостачання'!$F$123+'Ціни контур теплопостачання'!$D$123,IF(C91='Ціни контур теплопостачання'!$B$124,E91*'Ціни контур теплопостачання'!$C$124*'Ціни контур теплопостачання'!$E$124*'Ціни контур теплопостачання'!$F$124+'Ціни контур теплопостачання'!$D$124,IF(C91='Ціни контур теплопостачання'!$B$125,E91*'Ціни контур теплопостачання'!$C$125*'Ціни контур теплопостачання'!$E$125*'Ціни контур теплопостачання'!$F$125+'Ціни контур теплопостачання'!$D$125,IF(C91='Ціни контур теплопостачання'!$B$126,E91*'Ціни контур теплопостачання'!$C$126*'Ціни контур теплопостачання'!$E$126*'Ціни контур теплопостачання'!$F$126+'Ціни контур теплопостачання'!$D$126,IF(C91='Ціни контур теплопостачання'!$B$127,E91*'Ціни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1" s="170" t="s">
        <v>208</v>
      </c>
      <c r="I91" s="162" t="str">
        <f t="shared" si="12"/>
        <v xml:space="preserve">08+033A00HS-191 </v>
      </c>
      <c r="J91" s="162" t="str">
        <f t="shared" si="13"/>
        <v>08</v>
      </c>
      <c r="K91" s="162" t="str">
        <f t="shared" si="14"/>
        <v xml:space="preserve">033A00HS-191 </v>
      </c>
      <c r="L91" s="162" t="str">
        <f t="shared" si="15"/>
        <v>033</v>
      </c>
      <c r="M91" s="166" t="e">
        <f>IF(J91='Ціни контур теплопостачання'!$B$123,L91*'Ціни контур теплопостачання'!$C$123*'Ціни контур теплопостачання'!$E$123*'Ціни контур теплопостачання'!$F$123+'Ціни контур теплопостачання'!$D$123,IF(J91='Ціни контур теплопостачання'!$B$124,L91*'Ціни контур теплопостачання'!$C$124*'Ціни контур теплопостачання'!$E$124*'Ціни контур теплопостачання'!$F$124+'Ціни контур теплопостачання'!$D$124,IF(J91='Ціни контур теплопостачання'!$B$125,L91*'Ціни контур теплопостачання'!$C$125*'Ціни контур теплопостачання'!$E$125*'Ціни контур теплопостачання'!$F$125+'Ціни контур теплопостачання'!$D$125,IF(J91='Ціни контур теплопостачання'!$B$126,L91*'Ціни контур теплопостачання'!$C$126*'Ціни контур теплопостачання'!$E$126*'Ціни контур теплопостачання'!$F$126+'Ціни контур теплопостачання'!$D$126,IF(J91='Ціни контур теплопостачання'!$B$127,L91*'Ціни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2" spans="1:13">
      <c r="A92" s="168" t="s">
        <v>466</v>
      </c>
      <c r="B92" s="162" t="str">
        <f t="shared" si="8"/>
        <v>16+113A00HS-487</v>
      </c>
      <c r="C92" s="162" t="str">
        <f t="shared" si="9"/>
        <v>16</v>
      </c>
      <c r="D92" s="162" t="str">
        <f t="shared" si="10"/>
        <v>113A00HS-487</v>
      </c>
      <c r="E92" s="162" t="str">
        <f t="shared" si="11"/>
        <v>113</v>
      </c>
      <c r="F92" s="166" t="e">
        <f>IF(C92='Ціни контур теплопостачання'!$B$123,E92*'Ціни контур теплопостачання'!$C$123*'Ціни контур теплопостачання'!$E$123*'Ціни контур теплопостачання'!$F$123+'Ціни контур теплопостачання'!$D$123,IF(C92='Ціни контур теплопостачання'!$B$124,E92*'Ціни контур теплопостачання'!$C$124*'Ціни контур теплопостачання'!$E$124*'Ціни контур теплопостачання'!$F$124+'Ціни контур теплопостачання'!$D$124,IF(C92='Ціни контур теплопостачання'!$B$125,E92*'Ціни контур теплопостачання'!$C$125*'Ціни контур теплопостачання'!$E$125*'Ціни контур теплопостачання'!$F$125+'Ціни контур теплопостачання'!$D$125,IF(C92='Ціни контур теплопостачання'!$B$126,E92*'Ціни контур теплопостачання'!$C$126*'Ціни контур теплопостачання'!$E$126*'Ціни контур теплопостачання'!$F$126+'Ціни контур теплопостачання'!$D$126,IF(C92='Ціни контур теплопостачання'!$B$127,E92*'Ціни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2" s="170" t="s">
        <v>209</v>
      </c>
      <c r="I92" s="162" t="str">
        <f t="shared" si="12"/>
        <v xml:space="preserve">160+045M50HS-444 </v>
      </c>
      <c r="J92" s="162" t="str">
        <f t="shared" si="13"/>
        <v>16</v>
      </c>
      <c r="K92" s="162" t="str">
        <f t="shared" si="14"/>
        <v xml:space="preserve">+045M50HS-444 </v>
      </c>
      <c r="L92" s="162" t="str">
        <f t="shared" si="15"/>
        <v>+04</v>
      </c>
      <c r="M92" s="166" t="e">
        <f>IF(J92='Ціни контур теплопостачання'!$B$123,L92*'Ціни контур теплопостачання'!$C$123*'Ціни контур теплопостачання'!$E$123*'Ціни контур теплопостачання'!$F$123+'Ціни контур теплопостачання'!$D$123,IF(J92='Ціни контур теплопостачання'!$B$124,L92*'Ціни контур теплопостачання'!$C$124*'Ціни контур теплопостачання'!$E$124*'Ціни контур теплопостачання'!$F$124+'Ціни контур теплопостачання'!$D$124,IF(J92='Ціни контур теплопостачання'!$B$125,L92*'Ціни контур теплопостачання'!$C$125*'Ціни контур теплопостачання'!$E$125*'Ціни контур теплопостачання'!$F$125+'Ціни контур теплопостачання'!$D$125,IF(J92='Ціни контур теплопостачання'!$B$126,L92*'Ціни контур теплопостачання'!$C$126*'Ціни контур теплопостачання'!$E$126*'Ціни контур теплопостачання'!$F$126+'Ціни контур теплопостачання'!$D$126,IF(J92='Ціни контур теплопостачання'!$B$127,L92*'Ціни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3" spans="1:13">
      <c r="A93" s="168" t="s">
        <v>467</v>
      </c>
      <c r="B93" s="162" t="str">
        <f t="shared" si="8"/>
        <v xml:space="preserve">16+077A00HS-316  </v>
      </c>
      <c r="C93" s="162" t="str">
        <f t="shared" si="9"/>
        <v>16</v>
      </c>
      <c r="D93" s="162" t="str">
        <f t="shared" si="10"/>
        <v xml:space="preserve">077A00HS-316  </v>
      </c>
      <c r="E93" s="162" t="str">
        <f t="shared" si="11"/>
        <v>077</v>
      </c>
      <c r="F93" s="166" t="e">
        <f>IF(C93='Ціни контур теплопостачання'!$B$123,E93*'Ціни контур теплопостачання'!$C$123*'Ціни контур теплопостачання'!$E$123*'Ціни контур теплопостачання'!$F$123+'Ціни контур теплопостачання'!$D$123,IF(C93='Ціни контур теплопостачання'!$B$124,E93*'Ціни контур теплопостачання'!$C$124*'Ціни контур теплопостачання'!$E$124*'Ціни контур теплопостачання'!$F$124+'Ціни контур теплопостачання'!$D$124,IF(C93='Ціни контур теплопостачання'!$B$125,E93*'Ціни контур теплопостачання'!$C$125*'Ціни контур теплопостачання'!$E$125*'Ціни контур теплопостачання'!$F$125+'Ціни контур теплопостачання'!$D$125,IF(C93='Ціни контур теплопостачання'!$B$126,E93*'Ціни контур теплопостачання'!$C$126*'Ціни контур теплопостачання'!$E$126*'Ціни контур теплопостачання'!$F$126+'Ціни контур теплопостачання'!$D$126,IF(C93='Ціни контур теплопостачання'!$B$127,E93*'Ціни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3" s="170" t="s">
        <v>210</v>
      </c>
      <c r="I93" s="162" t="str">
        <f t="shared" si="12"/>
        <v xml:space="preserve">16+029M50HS-278 </v>
      </c>
      <c r="J93" s="162" t="str">
        <f t="shared" si="13"/>
        <v>16</v>
      </c>
      <c r="K93" s="162" t="str">
        <f t="shared" si="14"/>
        <v xml:space="preserve">029M50HS-278 </v>
      </c>
      <c r="L93" s="162" t="str">
        <f t="shared" si="15"/>
        <v>029</v>
      </c>
      <c r="M93" s="166" t="e">
        <f>IF(J93='Ціни контур теплопостачання'!$B$123,L93*'Ціни контур теплопостачання'!$C$123*'Ціни контур теплопостачання'!$E$123*'Ціни контур теплопостачання'!$F$123+'Ціни контур теплопостачання'!$D$123,IF(J93='Ціни контур теплопостачання'!$B$124,L93*'Ціни контур теплопостачання'!$C$124*'Ціни контур теплопостачання'!$E$124*'Ціни контур теплопостачання'!$F$124+'Ціни контур теплопостачання'!$D$124,IF(J93='Ціни контур теплопостачання'!$B$125,L93*'Ціни контур теплопостачання'!$C$125*'Ціни контур теплопостачання'!$E$125*'Ціни контур теплопостачання'!$F$125+'Ціни контур теплопостачання'!$D$125,IF(J93='Ціни контур теплопостачання'!$B$126,L93*'Ціни контур теплопостачання'!$C$126*'Ціни контур теплопостачання'!$E$126*'Ціни контур теплопостачання'!$F$126+'Ціни контур теплопостачання'!$D$126,IF(J93='Ціни контур теплопостачання'!$B$127,L93*'Ціни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4" spans="1:13">
      <c r="A94" s="168" t="s">
        <v>467</v>
      </c>
      <c r="B94" s="162" t="str">
        <f t="shared" si="8"/>
        <v xml:space="preserve">16+077A00HS-316  </v>
      </c>
      <c r="C94" s="162" t="str">
        <f t="shared" si="9"/>
        <v>16</v>
      </c>
      <c r="D94" s="162" t="str">
        <f t="shared" si="10"/>
        <v xml:space="preserve">077A00HS-316  </v>
      </c>
      <c r="E94" s="162" t="str">
        <f t="shared" si="11"/>
        <v>077</v>
      </c>
      <c r="F94" s="166" t="e">
        <f>IF(C94='Ціни контур теплопостачання'!$B$123,E94*'Ціни контур теплопостачання'!$C$123*'Ціни контур теплопостачання'!$E$123*'Ціни контур теплопостачання'!$F$123+'Ціни контур теплопостачання'!$D$123,IF(C94='Ціни контур теплопостачання'!$B$124,E94*'Ціни контур теплопостачання'!$C$124*'Ціни контур теплопостачання'!$E$124*'Ціни контур теплопостачання'!$F$124+'Ціни контур теплопостачання'!$D$124,IF(C94='Ціни контур теплопостачання'!$B$125,E94*'Ціни контур теплопостачання'!$C$125*'Ціни контур теплопостачання'!$E$125*'Ціни контур теплопостачання'!$F$125+'Ціни контур теплопостачання'!$D$125,IF(C94='Ціни контур теплопостачання'!$B$126,E94*'Ціни контур теплопостачання'!$C$126*'Ціни контур теплопостачання'!$E$126*'Ціни контур теплопостачання'!$F$126+'Ціни контур теплопостачання'!$D$126,IF(C94='Ціни контур теплопостачання'!$B$127,E94*'Ціни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4" s="170" t="s">
        <v>210</v>
      </c>
      <c r="I94" s="162" t="str">
        <f t="shared" si="12"/>
        <v xml:space="preserve">16+029M50HS-278 </v>
      </c>
      <c r="J94" s="162" t="str">
        <f t="shared" si="13"/>
        <v>16</v>
      </c>
      <c r="K94" s="162" t="str">
        <f t="shared" si="14"/>
        <v xml:space="preserve">029M50HS-278 </v>
      </c>
      <c r="L94" s="162" t="str">
        <f t="shared" si="15"/>
        <v>029</v>
      </c>
      <c r="M94" s="166" t="e">
        <f>IF(J94='Ціни контур теплопостачання'!$B$123,L94*'Ціни контур теплопостачання'!$C$123*'Ціни контур теплопостачання'!$E$123*'Ціни контур теплопостачання'!$F$123+'Ціни контур теплопостачання'!$D$123,IF(J94='Ціни контур теплопостачання'!$B$124,L94*'Ціни контур теплопостачання'!$C$124*'Ціни контур теплопостачання'!$E$124*'Ціни контур теплопостачання'!$F$124+'Ціни контур теплопостачання'!$D$124,IF(J94='Ціни контур теплопостачання'!$B$125,L94*'Ціни контур теплопостачання'!$C$125*'Ціни контур теплопостачання'!$E$125*'Ціни контур теплопостачання'!$F$125+'Ціни контур теплопостачання'!$D$125,IF(J94='Ціни контур теплопостачання'!$B$126,L94*'Ціни контур теплопостачання'!$C$126*'Ціни контур теплопостачання'!$E$126*'Ціни контур теплопостачання'!$F$126+'Ціни контур теплопостачання'!$D$126,IF(J94='Ціни контур теплопостачання'!$B$127,L94*'Ціни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5" spans="1:13">
      <c r="A95" s="168" t="s">
        <v>468</v>
      </c>
      <c r="B95" s="162" t="str">
        <f t="shared" si="8"/>
        <v xml:space="preserve">16+037A00HS-143  </v>
      </c>
      <c r="C95" s="162" t="str">
        <f t="shared" si="9"/>
        <v>16</v>
      </c>
      <c r="D95" s="162" t="str">
        <f t="shared" si="10"/>
        <v xml:space="preserve">037A00HS-143  </v>
      </c>
      <c r="E95" s="162" t="str">
        <f t="shared" si="11"/>
        <v>037</v>
      </c>
      <c r="F95" s="166" t="e">
        <f>IF(C95='Ціни контур теплопостачання'!$B$123,E95*'Ціни контур теплопостачання'!$C$123*'Ціни контур теплопостачання'!$E$123*'Ціни контур теплопостачання'!$F$123+'Ціни контур теплопостачання'!$D$123,IF(C95='Ціни контур теплопостачання'!$B$124,E95*'Ціни контур теплопостачання'!$C$124*'Ціни контур теплопостачання'!$E$124*'Ціни контур теплопостачання'!$F$124+'Ціни контур теплопостачання'!$D$124,IF(C95='Ціни контур теплопостачання'!$B$125,E95*'Ціни контур теплопостачання'!$C$125*'Ціни контур теплопостачання'!$E$125*'Ціни контур теплопостачання'!$F$125+'Ціни контур теплопостачання'!$D$125,IF(C95='Ціни контур теплопостачання'!$B$126,E95*'Ціни контур теплопостачання'!$C$126*'Ціни контур теплопостачання'!$E$126*'Ціни контур теплопостачання'!$F$126+'Ціни контур теплопостачання'!$D$126,IF(C95='Ціни контур теплопостачання'!$B$127,E95*'Ціни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5" s="170" t="s">
        <v>153</v>
      </c>
      <c r="I95" s="162" t="str">
        <f t="shared" si="12"/>
        <v xml:space="preserve">08+035A00HS-203 </v>
      </c>
      <c r="J95" s="162" t="str">
        <f t="shared" si="13"/>
        <v>08</v>
      </c>
      <c r="K95" s="162" t="str">
        <f t="shared" si="14"/>
        <v xml:space="preserve">035A00HS-203 </v>
      </c>
      <c r="L95" s="162" t="str">
        <f t="shared" si="15"/>
        <v>035</v>
      </c>
      <c r="M95" s="166" t="e">
        <f>IF(J95='Ціни контур теплопостачання'!$B$123,L95*'Ціни контур теплопостачання'!$C$123*'Ціни контур теплопостачання'!$E$123*'Ціни контур теплопостачання'!$F$123+'Ціни контур теплопостачання'!$D$123,IF(J95='Ціни контур теплопостачання'!$B$124,L95*'Ціни контур теплопостачання'!$C$124*'Ціни контур теплопостачання'!$E$124*'Ціни контур теплопостачання'!$F$124+'Ціни контур теплопостачання'!$D$124,IF(J95='Ціни контур теплопостачання'!$B$125,L95*'Ціни контур теплопостачання'!$C$125*'Ціни контур теплопостачання'!$E$125*'Ціни контур теплопостачання'!$F$125+'Ціни контур теплопостачання'!$D$125,IF(J95='Ціни контур теплопостачання'!$B$126,L95*'Ціни контур теплопостачання'!$C$126*'Ціни контур теплопостачання'!$E$126*'Ціни контур теплопостачання'!$F$126+'Ціни контур теплопостачання'!$D$126,IF(J95='Ціни контур теплопостачання'!$B$127,L95*'Ціни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6" spans="1:13">
      <c r="A96" s="168" t="s">
        <v>469</v>
      </c>
      <c r="B96" s="162" t="str">
        <f t="shared" si="8"/>
        <v xml:space="preserve">16+057A00HS-237  </v>
      </c>
      <c r="C96" s="162" t="str">
        <f t="shared" si="9"/>
        <v>16</v>
      </c>
      <c r="D96" s="162" t="str">
        <f t="shared" si="10"/>
        <v xml:space="preserve">057A00HS-237  </v>
      </c>
      <c r="E96" s="162" t="str">
        <f t="shared" si="11"/>
        <v>057</v>
      </c>
      <c r="F96" s="166" t="e">
        <f>IF(C96='Ціни контур теплопостачання'!$B$123,E96*'Ціни контур теплопостачання'!$C$123*'Ціни контур теплопостачання'!$E$123*'Ціни контур теплопостачання'!$F$123+'Ціни контур теплопостачання'!$D$123,IF(C96='Ціни контур теплопостачання'!$B$124,E96*'Ціни контур теплопостачання'!$C$124*'Ціни контур теплопостачання'!$E$124*'Ціни контур теплопостачання'!$F$124+'Ціни контур теплопостачання'!$D$124,IF(C96='Ціни контур теплопостачання'!$B$125,E96*'Ціни контур теплопостачання'!$C$125*'Ціни контур теплопостачання'!$E$125*'Ціни контур теплопостачання'!$F$125+'Ціни контур теплопостачання'!$D$125,IF(C96='Ціни контур теплопостачання'!$B$126,E96*'Ціни контур теплопостачання'!$C$126*'Ціни контур теплопостачання'!$E$126*'Ціни контур теплопостачання'!$F$126+'Ціни контур теплопостачання'!$D$126,IF(C96='Ціни контур теплопостачання'!$B$127,E96*'Ціни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6" s="170" t="s">
        <v>211</v>
      </c>
      <c r="I96" s="162" t="str">
        <f t="shared" si="12"/>
        <v xml:space="preserve">16+025M50HS-237 </v>
      </c>
      <c r="J96" s="162" t="str">
        <f t="shared" si="13"/>
        <v>16</v>
      </c>
      <c r="K96" s="162" t="str">
        <f t="shared" si="14"/>
        <v xml:space="preserve">025M50HS-237 </v>
      </c>
      <c r="L96" s="162" t="str">
        <f t="shared" si="15"/>
        <v>025</v>
      </c>
      <c r="M96" s="166" t="e">
        <f>IF(J96='Ціни контур теплопостачання'!$B$123,L96*'Ціни контур теплопостачання'!$C$123*'Ціни контур теплопостачання'!$E$123*'Ціни контур теплопостачання'!$F$123+'Ціни контур теплопостачання'!$D$123,IF(J96='Ціни контур теплопостачання'!$B$124,L96*'Ціни контур теплопостачання'!$C$124*'Ціни контур теплопостачання'!$E$124*'Ціни контур теплопостачання'!$F$124+'Ціни контур теплопостачання'!$D$124,IF(J96='Ціни контур теплопостачання'!$B$125,L96*'Ціни контур теплопостачання'!$C$125*'Ціни контур теплопостачання'!$E$125*'Ціни контур теплопостачання'!$F$125+'Ціни контур теплопостачання'!$D$125,IF(J96='Ціни контур теплопостачання'!$B$126,L96*'Ціни контур теплопостачання'!$C$126*'Ціни контур теплопостачання'!$E$126*'Ціни контур теплопостачання'!$F$126+'Ціни контур теплопостачання'!$D$126,IF(J96='Ціни контур теплопостачання'!$B$127,L96*'Ціни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7" spans="1:13">
      <c r="A97" s="168" t="s">
        <v>469</v>
      </c>
      <c r="B97" s="162" t="str">
        <f t="shared" si="8"/>
        <v xml:space="preserve">16+057A00HS-237  </v>
      </c>
      <c r="C97" s="162" t="str">
        <f t="shared" si="9"/>
        <v>16</v>
      </c>
      <c r="D97" s="162" t="str">
        <f t="shared" si="10"/>
        <v xml:space="preserve">057A00HS-237  </v>
      </c>
      <c r="E97" s="162" t="str">
        <f t="shared" si="11"/>
        <v>057</v>
      </c>
      <c r="F97" s="166" t="e">
        <f>IF(C97='Ціни контур теплопостачання'!$B$123,E97*'Ціни контур теплопостачання'!$C$123*'Ціни контур теплопостачання'!$E$123*'Ціни контур теплопостачання'!$F$123+'Ціни контур теплопостачання'!$D$123,IF(C97='Ціни контур теплопостачання'!$B$124,E97*'Ціни контур теплопостачання'!$C$124*'Ціни контур теплопостачання'!$E$124*'Ціни контур теплопостачання'!$F$124+'Ціни контур теплопостачання'!$D$124,IF(C97='Ціни контур теплопостачання'!$B$125,E97*'Ціни контур теплопостачання'!$C$125*'Ціни контур теплопостачання'!$E$125*'Ціни контур теплопостачання'!$F$125+'Ціни контур теплопостачання'!$D$125,IF(C97='Ціни контур теплопостачання'!$B$126,E97*'Ціни контур теплопостачання'!$C$126*'Ціни контур теплопостачання'!$E$126*'Ціни контур теплопостачання'!$F$126+'Ціни контур теплопостачання'!$D$126,IF(C97='Ціни контур теплопостачання'!$B$127,E97*'Ціни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7" s="170" t="s">
        <v>211</v>
      </c>
      <c r="I97" s="162" t="str">
        <f t="shared" si="12"/>
        <v xml:space="preserve">16+025M50HS-237 </v>
      </c>
      <c r="J97" s="162" t="str">
        <f t="shared" si="13"/>
        <v>16</v>
      </c>
      <c r="K97" s="162" t="str">
        <f t="shared" si="14"/>
        <v xml:space="preserve">025M50HS-237 </v>
      </c>
      <c r="L97" s="162" t="str">
        <f t="shared" si="15"/>
        <v>025</v>
      </c>
      <c r="M97" s="166" t="e">
        <f>IF(J97='Ціни контур теплопостачання'!$B$123,L97*'Ціни контур теплопостачання'!$C$123*'Ціни контур теплопостачання'!$E$123*'Ціни контур теплопостачання'!$F$123+'Ціни контур теплопостачання'!$D$123,IF(J97='Ціни контур теплопостачання'!$B$124,L97*'Ціни контур теплопостачання'!$C$124*'Ціни контур теплопостачання'!$E$124*'Ціни контур теплопостачання'!$F$124+'Ціни контур теплопостачання'!$D$124,IF(J97='Ціни контур теплопостачання'!$B$125,L97*'Ціни контур теплопостачання'!$C$125*'Ціни контур теплопостачання'!$E$125*'Ціни контур теплопостачання'!$F$125+'Ціни контур теплопостачання'!$D$125,IF(J97='Ціни контур теплопостачання'!$B$126,L97*'Ціни контур теплопостачання'!$C$126*'Ціни контур теплопостачання'!$E$126*'Ціни контур теплопостачання'!$F$126+'Ціни контур теплопостачання'!$D$126,IF(J97='Ціни контур теплопостачання'!$B$127,L97*'Ціни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8" spans="1:13">
      <c r="A98" s="168" t="s">
        <v>470</v>
      </c>
      <c r="B98" s="162" t="str">
        <f t="shared" si="8"/>
        <v xml:space="preserve">16+045A00HS-182  </v>
      </c>
      <c r="C98" s="162" t="str">
        <f t="shared" si="9"/>
        <v>16</v>
      </c>
      <c r="D98" s="162" t="str">
        <f t="shared" si="10"/>
        <v xml:space="preserve">045A00HS-182  </v>
      </c>
      <c r="E98" s="162" t="str">
        <f t="shared" si="11"/>
        <v>045</v>
      </c>
      <c r="F98" s="166" t="e">
        <f>IF(C98='Ціни контур теплопостачання'!$B$123,E98*'Ціни контур теплопостачання'!$C$123*'Ціни контур теплопостачання'!$E$123*'Ціни контур теплопостачання'!$F$123+'Ціни контур теплопостачання'!$D$123,IF(C98='Ціни контур теплопостачання'!$B$124,E98*'Ціни контур теплопостачання'!$C$124*'Ціни контур теплопостачання'!$E$124*'Ціни контур теплопостачання'!$F$124+'Ціни контур теплопостачання'!$D$124,IF(C98='Ціни контур теплопостачання'!$B$125,E98*'Ціни контур теплопостачання'!$C$125*'Ціни контур теплопостачання'!$E$125*'Ціни контур теплопостачання'!$F$125+'Ціни контур теплопостачання'!$D$125,IF(C98='Ціни контур теплопостачання'!$B$126,E98*'Ціни контур теплопостачання'!$C$126*'Ціни контур теплопостачання'!$E$126*'Ціни контур теплопостачання'!$F$126+'Ціни контур теплопостачання'!$D$126,IF(C98='Ціни контур теплопостачання'!$B$127,E98*'Ціни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8" s="170" t="s">
        <v>212</v>
      </c>
      <c r="I98" s="162" t="str">
        <f t="shared" si="12"/>
        <v xml:space="preserve">08+025A00HS-147 </v>
      </c>
      <c r="J98" s="162" t="str">
        <f t="shared" si="13"/>
        <v>08</v>
      </c>
      <c r="K98" s="162" t="str">
        <f t="shared" si="14"/>
        <v xml:space="preserve">025A00HS-147 </v>
      </c>
      <c r="L98" s="162" t="str">
        <f t="shared" si="15"/>
        <v>025</v>
      </c>
      <c r="M98" s="166" t="e">
        <f>IF(J98='Ціни контур теплопостачання'!$B$123,L98*'Ціни контур теплопостачання'!$C$123*'Ціни контур теплопостачання'!$E$123*'Ціни контур теплопостачання'!$F$123+'Ціни контур теплопостачання'!$D$123,IF(J98='Ціни контур теплопостачання'!$B$124,L98*'Ціни контур теплопостачання'!$C$124*'Ціни контур теплопостачання'!$E$124*'Ціни контур теплопостачання'!$F$124+'Ціни контур теплопостачання'!$D$124,IF(J98='Ціни контур теплопостачання'!$B$125,L98*'Ціни контур теплопостачання'!$C$125*'Ціни контур теплопостачання'!$E$125*'Ціни контур теплопостачання'!$F$125+'Ціни контур теплопостачання'!$D$125,IF(J98='Ціни контур теплопостачання'!$B$126,L98*'Ціни контур теплопостачання'!$C$126*'Ціни контур теплопостачання'!$E$126*'Ціни контур теплопостачання'!$F$126+'Ціни контур теплопостачання'!$D$126,IF(J98='Ціни контур теплопостачання'!$B$127,L98*'Ціни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99" spans="1:13">
      <c r="A99" s="168" t="s">
        <v>471</v>
      </c>
      <c r="B99" s="162" t="str">
        <f t="shared" si="8"/>
        <v xml:space="preserve">16+067A00HS-274  </v>
      </c>
      <c r="C99" s="162" t="str">
        <f t="shared" si="9"/>
        <v>16</v>
      </c>
      <c r="D99" s="162" t="str">
        <f t="shared" si="10"/>
        <v xml:space="preserve">067A00HS-274  </v>
      </c>
      <c r="E99" s="162" t="str">
        <f t="shared" si="11"/>
        <v>067</v>
      </c>
      <c r="F99" s="166" t="e">
        <f>IF(C99='Ціни контур теплопостачання'!$B$123,E99*'Ціни контур теплопостачання'!$C$123*'Ціни контур теплопостачання'!$E$123*'Ціни контур теплопостачання'!$F$123+'Ціни контур теплопостачання'!$D$123,IF(C99='Ціни контур теплопостачання'!$B$124,E99*'Ціни контур теплопостачання'!$C$124*'Ціни контур теплопостачання'!$E$124*'Ціни контур теплопостачання'!$F$124+'Ціни контур теплопостачання'!$D$124,IF(C99='Ціни контур теплопостачання'!$B$125,E99*'Ціни контур теплопостачання'!$C$125*'Ціни контур теплопостачання'!$E$125*'Ціни контур теплопостачання'!$F$125+'Ціни контур теплопостачання'!$D$125,IF(C99='Ціни контур теплопостачання'!$B$126,E99*'Ціни контур теплопостачання'!$C$126*'Ціни контур теплопостачання'!$E$126*'Ціни контур теплопостачання'!$F$126+'Ціни контур теплопостачання'!$D$126,IF(C99='Ціни контур теплопостачання'!$B$127,E99*'Ціни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99" s="170" t="s">
        <v>213</v>
      </c>
      <c r="I99" s="162" t="str">
        <f t="shared" si="12"/>
        <v xml:space="preserve">08+037A00HS-221 </v>
      </c>
      <c r="J99" s="162" t="str">
        <f t="shared" si="13"/>
        <v>08</v>
      </c>
      <c r="K99" s="162" t="str">
        <f t="shared" si="14"/>
        <v xml:space="preserve">037A00HS-221 </v>
      </c>
      <c r="L99" s="162" t="str">
        <f t="shared" si="15"/>
        <v>037</v>
      </c>
      <c r="M99" s="166" t="e">
        <f>IF(J99='Ціни контур теплопостачання'!$B$123,L99*'Ціни контур теплопостачання'!$C$123*'Ціни контур теплопостачання'!$E$123*'Ціни контур теплопостачання'!$F$123+'Ціни контур теплопостачання'!$D$123,IF(J99='Ціни контур теплопостачання'!$B$124,L99*'Ціни контур теплопостачання'!$C$124*'Ціни контур теплопостачання'!$E$124*'Ціни контур теплопостачання'!$F$124+'Ціни контур теплопостачання'!$D$124,IF(J99='Ціни контур теплопостачання'!$B$125,L99*'Ціни контур теплопостачання'!$C$125*'Ціни контур теплопостачання'!$E$125*'Ціни контур теплопостачання'!$F$125+'Ціни контур теплопостачання'!$D$125,IF(J99='Ціни контур теплопостачання'!$B$126,L99*'Ціни контур теплопостачання'!$C$126*'Ціни контур теплопостачання'!$E$126*'Ціни контур теплопостачання'!$F$126+'Ціни контур теплопостачання'!$D$126,IF(J99='Ціни контур теплопостачання'!$B$127,L99*'Ціни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0" spans="1:13">
      <c r="A100" s="168" t="s">
        <v>471</v>
      </c>
      <c r="B100" s="162" t="str">
        <f t="shared" si="8"/>
        <v xml:space="preserve">16+067A00HS-274  </v>
      </c>
      <c r="C100" s="162" t="str">
        <f t="shared" si="9"/>
        <v>16</v>
      </c>
      <c r="D100" s="162" t="str">
        <f t="shared" si="10"/>
        <v xml:space="preserve">067A00HS-274  </v>
      </c>
      <c r="E100" s="162" t="str">
        <f t="shared" si="11"/>
        <v>067</v>
      </c>
      <c r="F100" s="166" t="e">
        <f>IF(C100='Ціни контур теплопостачання'!$B$123,E100*'Ціни контур теплопостачання'!$C$123*'Ціни контур теплопостачання'!$E$123*'Ціни контур теплопостачання'!$F$123+'Ціни контур теплопостачання'!$D$123,IF(C100='Ціни контур теплопостачання'!$B$124,E100*'Ціни контур теплопостачання'!$C$124*'Ціни контур теплопостачання'!$E$124*'Ціни контур теплопостачання'!$F$124+'Ціни контур теплопостачання'!$D$124,IF(C100='Ціни контур теплопостачання'!$B$125,E100*'Ціни контур теплопостачання'!$C$125*'Ціни контур теплопостачання'!$E$125*'Ціни контур теплопостачання'!$F$125+'Ціни контур теплопостачання'!$D$125,IF(C100='Ціни контур теплопостачання'!$B$126,E100*'Ціни контур теплопостачання'!$C$126*'Ціни контур теплопостачання'!$E$126*'Ціни контур теплопостачання'!$F$126+'Ціни контур теплопостачання'!$D$126,IF(C100='Ціни контур теплопостачання'!$B$127,E100*'Ціни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0" s="170" t="s">
        <v>213</v>
      </c>
      <c r="I100" s="162" t="str">
        <f t="shared" si="12"/>
        <v xml:space="preserve">08+037A00HS-221 </v>
      </c>
      <c r="J100" s="162" t="str">
        <f t="shared" si="13"/>
        <v>08</v>
      </c>
      <c r="K100" s="162" t="str">
        <f t="shared" si="14"/>
        <v xml:space="preserve">037A00HS-221 </v>
      </c>
      <c r="L100" s="162" t="str">
        <f t="shared" si="15"/>
        <v>037</v>
      </c>
      <c r="M100" s="166" t="e">
        <f>IF(J100='Ціни контур теплопостачання'!$B$123,L100*'Ціни контур теплопостачання'!$C$123*'Ціни контур теплопостачання'!$E$123*'Ціни контур теплопостачання'!$F$123+'Ціни контур теплопостачання'!$D$123,IF(J100='Ціни контур теплопостачання'!$B$124,L100*'Ціни контур теплопостачання'!$C$124*'Ціни контур теплопостачання'!$E$124*'Ціни контур теплопостачання'!$F$124+'Ціни контур теплопостачання'!$D$124,IF(J100='Ціни контур теплопостачання'!$B$125,L100*'Ціни контур теплопостачання'!$C$125*'Ціни контур теплопостачання'!$E$125*'Ціни контур теплопостачання'!$F$125+'Ціни контур теплопостачання'!$D$125,IF(J100='Ціни контур теплопостачання'!$B$126,L100*'Ціни контур теплопостачання'!$C$126*'Ціни контур теплопостачання'!$E$126*'Ціни контур теплопостачання'!$F$126+'Ціни контур теплопостачання'!$D$126,IF(J100='Ціни контур теплопостачання'!$B$127,L100*'Ціни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1" spans="1:13">
      <c r="A101" s="168" t="s">
        <v>472</v>
      </c>
      <c r="B101" s="162" t="str">
        <f t="shared" si="8"/>
        <v xml:space="preserve">16+041A00HS-163  </v>
      </c>
      <c r="C101" s="162" t="str">
        <f t="shared" si="9"/>
        <v>16</v>
      </c>
      <c r="D101" s="162" t="str">
        <f t="shared" si="10"/>
        <v xml:space="preserve">041A00HS-163  </v>
      </c>
      <c r="E101" s="162" t="str">
        <f t="shared" si="11"/>
        <v>041</v>
      </c>
      <c r="F101" s="166" t="e">
        <f>IF(C101='Ціни контур теплопостачання'!$B$123,E101*'Ціни контур теплопостачання'!$C$123*'Ціни контур теплопостачання'!$E$123*'Ціни контур теплопостачання'!$F$123+'Ціни контур теплопостачання'!$D$123,IF(C101='Ціни контур теплопостачання'!$B$124,E101*'Ціни контур теплопостачання'!$C$124*'Ціни контур теплопостачання'!$E$124*'Ціни контур теплопостачання'!$F$124+'Ціни контур теплопостачання'!$D$124,IF(C101='Ціни контур теплопостачання'!$B$125,E101*'Ціни контур теплопостачання'!$C$125*'Ціни контур теплопостачання'!$E$125*'Ціни контур теплопостачання'!$F$125+'Ціни контур теплопостачання'!$D$125,IF(C101='Ціни контур теплопостачання'!$B$126,E101*'Ціни контур теплопостачання'!$C$126*'Ціни контур теплопостачання'!$E$126*'Ціни контур теплопостачання'!$F$126+'Ціни контур теплопостачання'!$D$126,IF(C101='Ціни контур теплопостачання'!$B$127,E101*'Ціни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1" s="170" t="s">
        <v>213</v>
      </c>
      <c r="I101" s="162" t="str">
        <f t="shared" si="12"/>
        <v xml:space="preserve">08+037A00HS-221 </v>
      </c>
      <c r="J101" s="162" t="str">
        <f t="shared" si="13"/>
        <v>08</v>
      </c>
      <c r="K101" s="162" t="str">
        <f t="shared" si="14"/>
        <v xml:space="preserve">037A00HS-221 </v>
      </c>
      <c r="L101" s="162" t="str">
        <f t="shared" si="15"/>
        <v>037</v>
      </c>
      <c r="M101" s="166" t="e">
        <f>IF(J101='Ціни контур теплопостачання'!$B$123,L101*'Ціни контур теплопостачання'!$C$123*'Ціни контур теплопостачання'!$E$123*'Ціни контур теплопостачання'!$F$123+'Ціни контур теплопостачання'!$D$123,IF(J101='Ціни контур теплопостачання'!$B$124,L101*'Ціни контур теплопостачання'!$C$124*'Ціни контур теплопостачання'!$E$124*'Ціни контур теплопостачання'!$F$124+'Ціни контур теплопостачання'!$D$124,IF(J101='Ціни контур теплопостачання'!$B$125,L101*'Ціни контур теплопостачання'!$C$125*'Ціни контур теплопостачання'!$E$125*'Ціни контур теплопостачання'!$F$125+'Ціни контур теплопостачання'!$D$125,IF(J101='Ціни контур теплопостачання'!$B$126,L101*'Ціни контур теплопостачання'!$C$126*'Ціни контур теплопостачання'!$E$126*'Ціни контур теплопостачання'!$F$126+'Ціни контур теплопостачання'!$D$126,IF(J101='Ціни контур теплопостачання'!$B$127,L101*'Ціни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2" spans="1:13">
      <c r="A102" s="168" t="s">
        <v>473</v>
      </c>
      <c r="B102" s="162" t="str">
        <f t="shared" si="8"/>
        <v xml:space="preserve">16+101A00HS-416  </v>
      </c>
      <c r="C102" s="162" t="str">
        <f t="shared" si="9"/>
        <v>16</v>
      </c>
      <c r="D102" s="162" t="str">
        <f t="shared" si="10"/>
        <v xml:space="preserve">101A00HS-416  </v>
      </c>
      <c r="E102" s="162" t="str">
        <f t="shared" si="11"/>
        <v>101</v>
      </c>
      <c r="F102" s="166" t="e">
        <f>IF(C102='Ціни контур теплопостачання'!$B$123,E102*'Ціни контур теплопостачання'!$C$123*'Ціни контур теплопостачання'!$E$123*'Ціни контур теплопостачання'!$F$123+'Ціни контур теплопостачання'!$D$123,IF(C102='Ціни контур теплопостачання'!$B$124,E102*'Ціни контур теплопостачання'!$C$124*'Ціни контур теплопостачання'!$E$124*'Ціни контур теплопостачання'!$F$124+'Ціни контур теплопостачання'!$D$124,IF(C102='Ціни контур теплопостачання'!$B$125,E102*'Ціни контур теплопостачання'!$C$125*'Ціни контур теплопостачання'!$E$125*'Ціни контур теплопостачання'!$F$125+'Ціни контур теплопостачання'!$D$125,IF(C102='Ціни контур теплопостачання'!$B$126,E102*'Ціни контур теплопостачання'!$C$126*'Ціни контур теплопостачання'!$E$126*'Ціни контур теплопостачання'!$F$126+'Ціни контур теплопостачання'!$D$126,IF(C102='Ціни контур теплопостачання'!$B$127,E102*'Ціни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2" s="170" t="s">
        <v>214</v>
      </c>
      <c r="I102" s="162" t="str">
        <f t="shared" si="12"/>
        <v xml:space="preserve">16+039M50HS-393 </v>
      </c>
      <c r="J102" s="162" t="str">
        <f t="shared" si="13"/>
        <v>16</v>
      </c>
      <c r="K102" s="162" t="str">
        <f t="shared" si="14"/>
        <v xml:space="preserve">039M50HS-393 </v>
      </c>
      <c r="L102" s="162" t="str">
        <f t="shared" si="15"/>
        <v>039</v>
      </c>
      <c r="M102" s="166" t="e">
        <f>IF(J102='Ціни контур теплопостачання'!$B$123,L102*'Ціни контур теплопостачання'!$C$123*'Ціни контур теплопостачання'!$E$123*'Ціни контур теплопостачання'!$F$123+'Ціни контур теплопостачання'!$D$123,IF(J102='Ціни контур теплопостачання'!$B$124,L102*'Ціни контур теплопостачання'!$C$124*'Ціни контур теплопостачання'!$E$124*'Ціни контур теплопостачання'!$F$124+'Ціни контур теплопостачання'!$D$124,IF(J102='Ціни контур теплопостачання'!$B$125,L102*'Ціни контур теплопостачання'!$C$125*'Ціни контур теплопостачання'!$E$125*'Ціни контур теплопостачання'!$F$125+'Ціни контур теплопостачання'!$D$125,IF(J102='Ціни контур теплопостачання'!$B$126,L102*'Ціни контур теплопостачання'!$C$126*'Ціни контур теплопостачання'!$E$126*'Ціни контур теплопостачання'!$F$126+'Ціни контур теплопостачання'!$D$126,IF(J102='Ціни контур теплопостачання'!$B$127,L102*'Ціни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3" spans="1:13">
      <c r="A103" s="168" t="s">
        <v>474</v>
      </c>
      <c r="B103" s="162" t="str">
        <f t="shared" si="8"/>
        <v xml:space="preserve">16+101A00HS-420   </v>
      </c>
      <c r="C103" s="162" t="str">
        <f t="shared" si="9"/>
        <v>16</v>
      </c>
      <c r="D103" s="162" t="str">
        <f t="shared" si="10"/>
        <v xml:space="preserve">101A00HS-420   </v>
      </c>
      <c r="E103" s="162" t="str">
        <f t="shared" si="11"/>
        <v>101</v>
      </c>
      <c r="F103" s="166" t="e">
        <f>IF(C103='Ціни контур теплопостачання'!$B$123,E103*'Ціни контур теплопостачання'!$C$123*'Ціни контур теплопостачання'!$E$123*'Ціни контур теплопостачання'!$F$123+'Ціни контур теплопостачання'!$D$123,IF(C103='Ціни контур теплопостачання'!$B$124,E103*'Ціни контур теплопостачання'!$C$124*'Ціни контур теплопостачання'!$E$124*'Ціни контур теплопостачання'!$F$124+'Ціни контур теплопостачання'!$D$124,IF(C103='Ціни контур теплопостачання'!$B$125,E103*'Ціни контур теплопостачання'!$C$125*'Ціни контур теплопостачання'!$E$125*'Ціни контур теплопостачання'!$F$125+'Ціни контур теплопостачання'!$D$125,IF(C103='Ціни контур теплопостачання'!$B$126,E103*'Ціни контур теплопостачання'!$C$126*'Ціни контур теплопостачання'!$E$126*'Ціни контур теплопостачання'!$F$126+'Ціни контур теплопостачання'!$D$126,IF(C103='Ціни контур теплопостачання'!$B$127,E103*'Ціни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3" s="170" t="s">
        <v>215</v>
      </c>
      <c r="I103" s="162" t="str">
        <f t="shared" si="12"/>
        <v xml:space="preserve">16+041M50HS-395 </v>
      </c>
      <c r="J103" s="162" t="str">
        <f t="shared" si="13"/>
        <v>16</v>
      </c>
      <c r="K103" s="162" t="str">
        <f t="shared" si="14"/>
        <v xml:space="preserve">041M50HS-395 </v>
      </c>
      <c r="L103" s="162" t="str">
        <f t="shared" si="15"/>
        <v>041</v>
      </c>
      <c r="M103" s="166" t="e">
        <f>IF(J103='Ціни контур теплопостачання'!$B$123,L103*'Ціни контур теплопостачання'!$C$123*'Ціни контур теплопостачання'!$E$123*'Ціни контур теплопостачання'!$F$123+'Ціни контур теплопостачання'!$D$123,IF(J103='Ціни контур теплопостачання'!$B$124,L103*'Ціни контур теплопостачання'!$C$124*'Ціни контур теплопостачання'!$E$124*'Ціни контур теплопостачання'!$F$124+'Ціни контур теплопостачання'!$D$124,IF(J103='Ціни контур теплопостачання'!$B$125,L103*'Ціни контур теплопостачання'!$C$125*'Ціни контур теплопостачання'!$E$125*'Ціни контур теплопостачання'!$F$125+'Ціни контур теплопостачання'!$D$125,IF(J103='Ціни контур теплопостачання'!$B$126,L103*'Ціни контур теплопостачання'!$C$126*'Ціни контур теплопостачання'!$E$126*'Ціни контур теплопостачання'!$F$126+'Ціни контур теплопостачання'!$D$126,IF(J103='Ціни контур теплопостачання'!$B$127,L103*'Ціни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4" spans="1:13">
      <c r="A104" s="168" t="s">
        <v>475</v>
      </c>
      <c r="B104" s="162" t="str">
        <f t="shared" si="8"/>
        <v xml:space="preserve">16+041A00HS-160  </v>
      </c>
      <c r="C104" s="162" t="str">
        <f t="shared" si="9"/>
        <v>16</v>
      </c>
      <c r="D104" s="162" t="str">
        <f t="shared" si="10"/>
        <v xml:space="preserve">041A00HS-160  </v>
      </c>
      <c r="E104" s="162" t="str">
        <f t="shared" si="11"/>
        <v>041</v>
      </c>
      <c r="F104" s="166" t="e">
        <f>IF(C104='Ціни контур теплопостачання'!$B$123,E104*'Ціни контур теплопостачання'!$C$123*'Ціни контур теплопостачання'!$E$123*'Ціни контур теплопостачання'!$F$123+'Ціни контур теплопостачання'!$D$123,IF(C104='Ціни контур теплопостачання'!$B$124,E104*'Ціни контур теплопостачання'!$C$124*'Ціни контур теплопостачання'!$E$124*'Ціни контур теплопостачання'!$F$124+'Ціни контур теплопостачання'!$D$124,IF(C104='Ціни контур теплопостачання'!$B$125,E104*'Ціни контур теплопостачання'!$C$125*'Ціни контур теплопостачання'!$E$125*'Ціни контур теплопостачання'!$F$125+'Ціни контур теплопостачання'!$D$125,IF(C104='Ціни контур теплопостачання'!$B$126,E104*'Ціни контур теплопостачання'!$C$126*'Ціни контур теплопостачання'!$E$126*'Ціни контур теплопостачання'!$F$126+'Ціни контур теплопостачання'!$D$126,IF(C104='Ціни контур теплопостачання'!$B$127,E104*'Ціни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4" s="170" t="s">
        <v>216</v>
      </c>
      <c r="I104" s="162" t="str">
        <f t="shared" si="12"/>
        <v xml:space="preserve">08+027A00HS-163 </v>
      </c>
      <c r="J104" s="162" t="str">
        <f t="shared" si="13"/>
        <v>08</v>
      </c>
      <c r="K104" s="162" t="str">
        <f t="shared" si="14"/>
        <v xml:space="preserve">027A00HS-163 </v>
      </c>
      <c r="L104" s="162" t="str">
        <f t="shared" si="15"/>
        <v>027</v>
      </c>
      <c r="M104" s="166" t="e">
        <f>IF(J104='Ціни контур теплопостачання'!$B$123,L104*'Ціни контур теплопостачання'!$C$123*'Ціни контур теплопостачання'!$E$123*'Ціни контур теплопостачання'!$F$123+'Ціни контур теплопостачання'!$D$123,IF(J104='Ціни контур теплопостачання'!$B$124,L104*'Ціни контур теплопостачання'!$C$124*'Ціни контур теплопостачання'!$E$124*'Ціни контур теплопостачання'!$F$124+'Ціни контур теплопостачання'!$D$124,IF(J104='Ціни контур теплопостачання'!$B$125,L104*'Ціни контур теплопостачання'!$C$125*'Ціни контур теплопостачання'!$E$125*'Ціни контур теплопостачання'!$F$125+'Ціни контур теплопостачання'!$D$125,IF(J104='Ціни контур теплопостачання'!$B$126,L104*'Ціни контур теплопостачання'!$C$126*'Ціни контур теплопостачання'!$E$126*'Ціни контур теплопостачання'!$F$126+'Ціни контур теплопостачання'!$D$126,IF(J104='Ціни контур теплопостачання'!$B$127,L104*'Ціни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5" spans="1:13">
      <c r="A105" s="168" t="s">
        <v>475</v>
      </c>
      <c r="B105" s="162" t="str">
        <f t="shared" si="8"/>
        <v xml:space="preserve">16+041A00HS-160  </v>
      </c>
      <c r="C105" s="162" t="str">
        <f t="shared" si="9"/>
        <v>16</v>
      </c>
      <c r="D105" s="162" t="str">
        <f t="shared" si="10"/>
        <v xml:space="preserve">041A00HS-160  </v>
      </c>
      <c r="E105" s="162" t="str">
        <f t="shared" si="11"/>
        <v>041</v>
      </c>
      <c r="F105" s="166" t="e">
        <f>IF(C105='Ціни контур теплопостачання'!$B$123,E105*'Ціни контур теплопостачання'!$C$123*'Ціни контур теплопостачання'!$E$123*'Ціни контур теплопостачання'!$F$123+'Ціни контур теплопостачання'!$D$123,IF(C105='Ціни контур теплопостачання'!$B$124,E105*'Ціни контур теплопостачання'!$C$124*'Ціни контур теплопостачання'!$E$124*'Ціни контур теплопостачання'!$F$124+'Ціни контур теплопостачання'!$D$124,IF(C105='Ціни контур теплопостачання'!$B$125,E105*'Ціни контур теплопостачання'!$C$125*'Ціни контур теплопостачання'!$E$125*'Ціни контур теплопостачання'!$F$125+'Ціни контур теплопостачання'!$D$125,IF(C105='Ціни контур теплопостачання'!$B$126,E105*'Ціни контур теплопостачання'!$C$126*'Ціни контур теплопостачання'!$E$126*'Ціни контур теплопостачання'!$F$126+'Ціни контур теплопостачання'!$D$126,IF(C105='Ціни контур теплопостачання'!$B$127,E105*'Ціни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5" s="170" t="s">
        <v>216</v>
      </c>
      <c r="I105" s="162" t="str">
        <f t="shared" si="12"/>
        <v xml:space="preserve">08+027A00HS-163 </v>
      </c>
      <c r="J105" s="162" t="str">
        <f t="shared" si="13"/>
        <v>08</v>
      </c>
      <c r="K105" s="162" t="str">
        <f t="shared" si="14"/>
        <v xml:space="preserve">027A00HS-163 </v>
      </c>
      <c r="L105" s="162" t="str">
        <f t="shared" si="15"/>
        <v>027</v>
      </c>
      <c r="M105" s="166" t="e">
        <f>IF(J105='Ціни контур теплопостачання'!$B$123,L105*'Ціни контур теплопостачання'!$C$123*'Ціни контур теплопостачання'!$E$123*'Ціни контур теплопостачання'!$F$123+'Ціни контур теплопостачання'!$D$123,IF(J105='Ціни контур теплопостачання'!$B$124,L105*'Ціни контур теплопостачання'!$C$124*'Ціни контур теплопостачання'!$E$124*'Ціни контур теплопостачання'!$F$124+'Ціни контур теплопостачання'!$D$124,IF(J105='Ціни контур теплопостачання'!$B$125,L105*'Ціни контур теплопостачання'!$C$125*'Ціни контур теплопостачання'!$E$125*'Ціни контур теплопостачання'!$F$125+'Ціни контур теплопостачання'!$D$125,IF(J105='Ціни контур теплопостачання'!$B$126,L105*'Ціни контур теплопостачання'!$C$126*'Ціни контур теплопостачання'!$E$126*'Ціни контур теплопостачання'!$F$126+'Ціни контур теплопостачання'!$D$126,IF(J105='Ціни контур теплопостачання'!$B$127,L105*'Ціни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6" spans="1:13">
      <c r="A106" s="168" t="s">
        <v>475</v>
      </c>
      <c r="B106" s="162" t="str">
        <f t="shared" si="8"/>
        <v xml:space="preserve">16+041A00HS-160  </v>
      </c>
      <c r="C106" s="162" t="str">
        <f t="shared" si="9"/>
        <v>16</v>
      </c>
      <c r="D106" s="162" t="str">
        <f t="shared" si="10"/>
        <v xml:space="preserve">041A00HS-160  </v>
      </c>
      <c r="E106" s="162" t="str">
        <f t="shared" si="11"/>
        <v>041</v>
      </c>
      <c r="F106" s="166" t="e">
        <f>IF(C106='Ціни контур теплопостачання'!$B$123,E106*'Ціни контур теплопостачання'!$C$123*'Ціни контур теплопостачання'!$E$123*'Ціни контур теплопостачання'!$F$123+'Ціни контур теплопостачання'!$D$123,IF(C106='Ціни контур теплопостачання'!$B$124,E106*'Ціни контур теплопостачання'!$C$124*'Ціни контур теплопостачання'!$E$124*'Ціни контур теплопостачання'!$F$124+'Ціни контур теплопостачання'!$D$124,IF(C106='Ціни контур теплопостачання'!$B$125,E106*'Ціни контур теплопостачання'!$C$125*'Ціни контур теплопостачання'!$E$125*'Ціни контур теплопостачання'!$F$125+'Ціни контур теплопостачання'!$D$125,IF(C106='Ціни контур теплопостачання'!$B$126,E106*'Ціни контур теплопостачання'!$C$126*'Ціни контур теплопостачання'!$E$126*'Ціни контур теплопостачання'!$F$126+'Ціни контур теплопостачання'!$D$126,IF(C106='Ціни контур теплопостачання'!$B$127,E106*'Ціни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6" s="170" t="s">
        <v>216</v>
      </c>
      <c r="I106" s="162" t="str">
        <f t="shared" si="12"/>
        <v xml:space="preserve">08+027A00HS-163 </v>
      </c>
      <c r="J106" s="162" t="str">
        <f t="shared" si="13"/>
        <v>08</v>
      </c>
      <c r="K106" s="162" t="str">
        <f t="shared" si="14"/>
        <v xml:space="preserve">027A00HS-163 </v>
      </c>
      <c r="L106" s="162" t="str">
        <f t="shared" si="15"/>
        <v>027</v>
      </c>
      <c r="M106" s="166" t="e">
        <f>IF(J106='Ціни контур теплопостачання'!$B$123,L106*'Ціни контур теплопостачання'!$C$123*'Ціни контур теплопостачання'!$E$123*'Ціни контур теплопостачання'!$F$123+'Ціни контур теплопостачання'!$D$123,IF(J106='Ціни контур теплопостачання'!$B$124,L106*'Ціни контур теплопостачання'!$C$124*'Ціни контур теплопостачання'!$E$124*'Ціни контур теплопостачання'!$F$124+'Ціни контур теплопостачання'!$D$124,IF(J106='Ціни контур теплопостачання'!$B$125,L106*'Ціни контур теплопостачання'!$C$125*'Ціни контур теплопостачання'!$E$125*'Ціни контур теплопостачання'!$F$125+'Ціни контур теплопостачання'!$D$125,IF(J106='Ціни контур теплопостачання'!$B$126,L106*'Ціни контур теплопостачання'!$C$126*'Ціни контур теплопостачання'!$E$126*'Ціни контур теплопостачання'!$F$126+'Ціни контур теплопостачання'!$D$126,IF(J106='Ціни контур теплопостачання'!$B$127,L106*'Ціни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7" spans="1:13">
      <c r="A107" s="168" t="s">
        <v>434</v>
      </c>
      <c r="B107" s="162" t="str">
        <f t="shared" si="8"/>
        <v xml:space="preserve">16+081A00HS-337  </v>
      </c>
      <c r="C107" s="162" t="str">
        <f t="shared" si="9"/>
        <v>16</v>
      </c>
      <c r="D107" s="162" t="str">
        <f t="shared" si="10"/>
        <v xml:space="preserve">081A00HS-337  </v>
      </c>
      <c r="E107" s="162" t="str">
        <f t="shared" si="11"/>
        <v>081</v>
      </c>
      <c r="F107" s="166" t="e">
        <f>IF(C107='Ціни контур теплопостачання'!$B$123,E107*'Ціни контур теплопостачання'!$C$123*'Ціни контур теплопостачання'!$E$123*'Ціни контур теплопостачання'!$F$123+'Ціни контур теплопостачання'!$D$123,IF(C107='Ціни контур теплопостачання'!$B$124,E107*'Ціни контур теплопостачання'!$C$124*'Ціни контур теплопостачання'!$E$124*'Ціни контур теплопостачання'!$F$124+'Ціни контур теплопостачання'!$D$124,IF(C107='Ціни контур теплопостачання'!$B$125,E107*'Ціни контур теплопостачання'!$C$125*'Ціни контур теплопостачання'!$E$125*'Ціни контур теплопостачання'!$F$125+'Ціни контур теплопостачання'!$D$125,IF(C107='Ціни контур теплопостачання'!$B$126,E107*'Ціни контур теплопостачання'!$C$126*'Ціни контур теплопостачання'!$E$126*'Ціни контур теплопостачання'!$F$126+'Ціни контур теплопостачання'!$D$126,IF(C107='Ціни контур теплопостачання'!$B$127,E107*'Ціни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7" s="170" t="s">
        <v>217</v>
      </c>
      <c r="I107" s="162" t="str">
        <f t="shared" si="12"/>
        <v xml:space="preserve">16+037M50HS-363 </v>
      </c>
      <c r="J107" s="162" t="str">
        <f t="shared" si="13"/>
        <v>16</v>
      </c>
      <c r="K107" s="162" t="str">
        <f t="shared" si="14"/>
        <v xml:space="preserve">037M50HS-363 </v>
      </c>
      <c r="L107" s="162" t="str">
        <f t="shared" si="15"/>
        <v>037</v>
      </c>
      <c r="M107" s="166" t="e">
        <f>IF(J107='Ціни контур теплопостачання'!$B$123,L107*'Ціни контур теплопостачання'!$C$123*'Ціни контур теплопостачання'!$E$123*'Ціни контур теплопостачання'!$F$123+'Ціни контур теплопостачання'!$D$123,IF(J107='Ціни контур теплопостачання'!$B$124,L107*'Ціни контур теплопостачання'!$C$124*'Ціни контур теплопостачання'!$E$124*'Ціни контур теплопостачання'!$F$124+'Ціни контур теплопостачання'!$D$124,IF(J107='Ціни контур теплопостачання'!$B$125,L107*'Ціни контур теплопостачання'!$C$125*'Ціни контур теплопостачання'!$E$125*'Ціни контур теплопостачання'!$F$125+'Ціни контур теплопостачання'!$D$125,IF(J107='Ціни контур теплопостачання'!$B$126,L107*'Ціни контур теплопостачання'!$C$126*'Ціни контур теплопостачання'!$E$126*'Ціни контур теплопостачання'!$F$126+'Ціни контур теплопостачання'!$D$126,IF(J107='Ціни контур теплопостачання'!$B$127,L107*'Ціни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8" spans="1:13">
      <c r="A108" s="168" t="s">
        <v>476</v>
      </c>
      <c r="B108" s="162" t="str">
        <f t="shared" si="8"/>
        <v xml:space="preserve">16+043A00HS-168  </v>
      </c>
      <c r="C108" s="162" t="str">
        <f t="shared" si="9"/>
        <v>16</v>
      </c>
      <c r="D108" s="162" t="str">
        <f t="shared" si="10"/>
        <v xml:space="preserve">043A00HS-168  </v>
      </c>
      <c r="E108" s="162" t="str">
        <f t="shared" si="11"/>
        <v>043</v>
      </c>
      <c r="F108" s="166" t="e">
        <f>IF(C108='Ціни контур теплопостачання'!$B$123,E108*'Ціни контур теплопостачання'!$C$123*'Ціни контур теплопостачання'!$E$123*'Ціни контур теплопостачання'!$F$123+'Ціни контур теплопостачання'!$D$123,IF(C108='Ціни контур теплопостачання'!$B$124,E108*'Ціни контур теплопостачання'!$C$124*'Ціни контур теплопостачання'!$E$124*'Ціни контур теплопостачання'!$F$124+'Ціни контур теплопостачання'!$D$124,IF(C108='Ціни контур теплопостачання'!$B$125,E108*'Ціни контур теплопостачання'!$C$125*'Ціни контур теплопостачання'!$E$125*'Ціни контур теплопостачання'!$F$125+'Ціни контур теплопостачання'!$D$125,IF(C108='Ціни контур теплопостачання'!$B$126,E108*'Ціни контур теплопостачання'!$C$126*'Ціни контур теплопостачання'!$E$126*'Ціни контур теплопостачання'!$F$126+'Ціни контур теплопостачання'!$D$126,IF(C108='Ціни контур теплопостачання'!$B$127,E108*'Ціни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8" s="170" t="s">
        <v>218</v>
      </c>
      <c r="I108" s="162" t="str">
        <f t="shared" si="12"/>
        <v xml:space="preserve">08+031A00HS-181 </v>
      </c>
      <c r="J108" s="162" t="str">
        <f t="shared" si="13"/>
        <v>08</v>
      </c>
      <c r="K108" s="162" t="str">
        <f t="shared" si="14"/>
        <v xml:space="preserve">031A00HS-181 </v>
      </c>
      <c r="L108" s="162" t="str">
        <f t="shared" si="15"/>
        <v>031</v>
      </c>
      <c r="M108" s="166" t="e">
        <f>IF(J108='Ціни контур теплопостачання'!$B$123,L108*'Ціни контур теплопостачання'!$C$123*'Ціни контур теплопостачання'!$E$123*'Ціни контур теплопостачання'!$F$123+'Ціни контур теплопостачання'!$D$123,IF(J108='Ціни контур теплопостачання'!$B$124,L108*'Ціни контур теплопостачання'!$C$124*'Ціни контур теплопостачання'!$E$124*'Ціни контур теплопостачання'!$F$124+'Ціни контур теплопостачання'!$D$124,IF(J108='Ціни контур теплопостачання'!$B$125,L108*'Ціни контур теплопостачання'!$C$125*'Ціни контур теплопостачання'!$E$125*'Ціни контур теплопостачання'!$F$125+'Ціни контур теплопостачання'!$D$125,IF(J108='Ціни контур теплопостачання'!$B$126,L108*'Ціни контур теплопостачання'!$C$126*'Ціни контур теплопостачання'!$E$126*'Ціни контур теплопостачання'!$F$126+'Ціни контур теплопостачання'!$D$126,IF(J108='Ціни контур теплопостачання'!$B$127,L108*'Ціни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09" spans="1:13">
      <c r="A109" s="168" t="s">
        <v>477</v>
      </c>
      <c r="B109" s="162" t="str">
        <f t="shared" si="8"/>
        <v xml:space="preserve">16+113A00HS-463  </v>
      </c>
      <c r="C109" s="162" t="str">
        <f t="shared" si="9"/>
        <v>16</v>
      </c>
      <c r="D109" s="162" t="str">
        <f t="shared" si="10"/>
        <v xml:space="preserve">113A00HS-463  </v>
      </c>
      <c r="E109" s="162" t="str">
        <f t="shared" si="11"/>
        <v>113</v>
      </c>
      <c r="F109" s="166" t="e">
        <f>IF(C109='Ціни контур теплопостачання'!$B$123,E109*'Ціни контур теплопостачання'!$C$123*'Ціни контур теплопостачання'!$E$123*'Ціни контур теплопостачання'!$F$123+'Ціни контур теплопостачання'!$D$123,IF(C109='Ціни контур теплопостачання'!$B$124,E109*'Ціни контур теплопостачання'!$C$124*'Ціни контур теплопостачання'!$E$124*'Ціни контур теплопостачання'!$F$124+'Ціни контур теплопостачання'!$D$124,IF(C109='Ціни контур теплопостачання'!$B$125,E109*'Ціни контур теплопостачання'!$C$125*'Ціни контур теплопостачання'!$E$125*'Ціни контур теплопостачання'!$F$125+'Ціни контур теплопостачання'!$D$125,IF(C109='Ціни контур теплопостачання'!$B$126,E109*'Ціни контур теплопостачання'!$C$126*'Ціни контур теплопостачання'!$E$126*'Ціни контур теплопостачання'!$F$126+'Ціни контур теплопостачання'!$D$126,IF(C109='Ціни контур теплопостачання'!$B$127,E109*'Ціни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09" s="170" t="s">
        <v>219</v>
      </c>
      <c r="I109" s="162" t="str">
        <f t="shared" si="12"/>
        <v xml:space="preserve">16+045M50HS-438 </v>
      </c>
      <c r="J109" s="162" t="str">
        <f t="shared" si="13"/>
        <v>16</v>
      </c>
      <c r="K109" s="162" t="str">
        <f t="shared" si="14"/>
        <v xml:space="preserve">045M50HS-438 </v>
      </c>
      <c r="L109" s="162" t="str">
        <f t="shared" si="15"/>
        <v>045</v>
      </c>
      <c r="M109" s="166" t="e">
        <f>IF(J109='Ціни контур теплопостачання'!$B$123,L109*'Ціни контур теплопостачання'!$C$123*'Ціни контур теплопостачання'!$E$123*'Ціни контур теплопостачання'!$F$123+'Ціни контур теплопостачання'!$D$123,IF(J109='Ціни контур теплопостачання'!$B$124,L109*'Ціни контур теплопостачання'!$C$124*'Ціни контур теплопостачання'!$E$124*'Ціни контур теплопостачання'!$F$124+'Ціни контур теплопостачання'!$D$124,IF(J109='Ціни контур теплопостачання'!$B$125,L109*'Ціни контур теплопостачання'!$C$125*'Ціни контур теплопостачання'!$E$125*'Ціни контур теплопостачання'!$F$125+'Ціни контур теплопостачання'!$D$125,IF(J109='Ціни контур теплопостачання'!$B$126,L109*'Ціни контур теплопостачання'!$C$126*'Ціни контур теплопостачання'!$E$126*'Ціни контур теплопостачання'!$F$126+'Ціни контур теплопостачання'!$D$126,IF(J109='Ціни контур теплопостачання'!$B$127,L109*'Ціни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0" spans="1:13">
      <c r="A110" s="168" t="s">
        <v>626</v>
      </c>
      <c r="B110" s="162" t="str">
        <f t="shared" si="8"/>
        <v xml:space="preserve">16+055A00HS-217 </v>
      </c>
      <c r="C110" s="162" t="str">
        <f t="shared" si="9"/>
        <v>16</v>
      </c>
      <c r="D110" s="162" t="str">
        <f t="shared" si="10"/>
        <v xml:space="preserve">055A00HS-217 </v>
      </c>
      <c r="E110" s="162" t="str">
        <f t="shared" si="11"/>
        <v>055</v>
      </c>
      <c r="F110" s="166" t="e">
        <f>IF(C110='Ціни контур теплопостачання'!$B$123,E110*'Ціни контур теплопостачання'!$C$123*'Ціни контур теплопостачання'!$E$123*'Ціни контур теплопостачання'!$F$123+'Ціни контур теплопостачання'!$D$123,IF(C110='Ціни контур теплопостачання'!$B$124,E110*'Ціни контур теплопостачання'!$C$124*'Ціни контур теплопостачання'!$E$124*'Ціни контур теплопостачання'!$F$124+'Ціни контур теплопостачання'!$D$124,IF(C110='Ціни контур теплопостачання'!$B$125,E110*'Ціни контур теплопостачання'!$C$125*'Ціни контур теплопостачання'!$E$125*'Ціни контур теплопостачання'!$F$125+'Ціни контур теплопостачання'!$D$125,IF(C110='Ціни контур теплопостачання'!$B$126,E110*'Ціни контур теплопостачання'!$C$126*'Ціни контур теплопостачання'!$E$126*'Ціни контур теплопостачання'!$F$126+'Ціни контур теплопостачання'!$D$126,IF(C110='Ціни контур теплопостачання'!$B$127,E110*'Ціни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0" s="170" t="s">
        <v>220</v>
      </c>
      <c r="I110" s="162" t="str">
        <f t="shared" si="12"/>
        <v xml:space="preserve">16+031M50HS-302 </v>
      </c>
      <c r="J110" s="162" t="str">
        <f t="shared" si="13"/>
        <v>16</v>
      </c>
      <c r="K110" s="162" t="str">
        <f t="shared" si="14"/>
        <v xml:space="preserve">031M50HS-302 </v>
      </c>
      <c r="L110" s="162" t="str">
        <f t="shared" si="15"/>
        <v>031</v>
      </c>
      <c r="M110" s="166" t="e">
        <f>IF(J110='Ціни контур теплопостачання'!$B$123,L110*'Ціни контур теплопостачання'!$C$123*'Ціни контур теплопостачання'!$E$123*'Ціни контур теплопостачання'!$F$123+'Ціни контур теплопостачання'!$D$123,IF(J110='Ціни контур теплопостачання'!$B$124,L110*'Ціни контур теплопостачання'!$C$124*'Ціни контур теплопостачання'!$E$124*'Ціни контур теплопостачання'!$F$124+'Ціни контур теплопостачання'!$D$124,IF(J110='Ціни контур теплопостачання'!$B$125,L110*'Ціни контур теплопостачання'!$C$125*'Ціни контур теплопостачання'!$E$125*'Ціни контур теплопостачання'!$F$125+'Ціни контур теплопостачання'!$D$125,IF(J110='Ціни контур теплопостачання'!$B$126,L110*'Ціни контур теплопостачання'!$C$126*'Ціни контур теплопостачання'!$E$126*'Ціни контур теплопостачання'!$F$126+'Ціни контур теплопостачання'!$D$126,IF(J110='Ціни контур теплопостачання'!$B$127,L110*'Ціни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1" spans="1:13">
      <c r="A111" s="168" t="s">
        <v>478</v>
      </c>
      <c r="B111" s="162" t="str">
        <f t="shared" si="8"/>
        <v xml:space="preserve">16+025A00HS-96 </v>
      </c>
      <c r="C111" s="162" t="str">
        <f t="shared" si="9"/>
        <v>16</v>
      </c>
      <c r="D111" s="162" t="str">
        <f t="shared" si="10"/>
        <v xml:space="preserve">025A00HS-96 </v>
      </c>
      <c r="E111" s="162" t="str">
        <f t="shared" si="11"/>
        <v>025</v>
      </c>
      <c r="F111" s="166" t="e">
        <f>IF(C111='Ціни контур теплопостачання'!$B$123,E111*'Ціни контур теплопостачання'!$C$123*'Ціни контур теплопостачання'!$E$123*'Ціни контур теплопостачання'!$F$123+'Ціни контур теплопостачання'!$D$123,IF(C111='Ціни контур теплопостачання'!$B$124,E111*'Ціни контур теплопостачання'!$C$124*'Ціни контур теплопостачання'!$E$124*'Ціни контур теплопостачання'!$F$124+'Ціни контур теплопостачання'!$D$124,IF(C111='Ціни контур теплопостачання'!$B$125,E111*'Ціни контур теплопостачання'!$C$125*'Ціни контур теплопостачання'!$E$125*'Ціни контур теплопостачання'!$F$125+'Ціни контур теплопостачання'!$D$125,IF(C111='Ціни контур теплопостачання'!$B$126,E111*'Ціни контур теплопостачання'!$C$126*'Ціни контур теплопостачання'!$E$126*'Ціни контур теплопостачання'!$F$126+'Ціни контур теплопостачання'!$D$126,IF(C111='Ціни контур теплопостачання'!$B$127,E111*'Ціни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1" s="170" t="s">
        <v>221</v>
      </c>
      <c r="I111" s="162" t="str">
        <f t="shared" si="12"/>
        <v xml:space="preserve">08+019A00HS-115 </v>
      </c>
      <c r="J111" s="162" t="str">
        <f t="shared" si="13"/>
        <v>08</v>
      </c>
      <c r="K111" s="162" t="str">
        <f t="shared" si="14"/>
        <v xml:space="preserve">019A00HS-115 </v>
      </c>
      <c r="L111" s="162" t="str">
        <f t="shared" si="15"/>
        <v>019</v>
      </c>
      <c r="M111" s="166" t="e">
        <f>IF(J111='Ціни контур теплопостачання'!$B$123,L111*'Ціни контур теплопостачання'!$C$123*'Ціни контур теплопостачання'!$E$123*'Ціни контур теплопостачання'!$F$123+'Ціни контур теплопостачання'!$D$123,IF(J111='Ціни контур теплопостачання'!$B$124,L111*'Ціни контур теплопостачання'!$C$124*'Ціни контур теплопостачання'!$E$124*'Ціни контур теплопостачання'!$F$124+'Ціни контур теплопостачання'!$D$124,IF(J111='Ціни контур теплопостачання'!$B$125,L111*'Ціни контур теплопостачання'!$C$125*'Ціни контур теплопостачання'!$E$125*'Ціни контур теплопостачання'!$F$125+'Ціни контур теплопостачання'!$D$125,IF(J111='Ціни контур теплопостачання'!$B$126,L111*'Ціни контур теплопостачання'!$C$126*'Ціни контур теплопостачання'!$E$126*'Ціни контур теплопостачання'!$F$126+'Ціни контур теплопостачання'!$D$126,IF(J111='Ціни контур теплопостачання'!$B$127,L111*'Ціни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2" spans="1:13">
      <c r="A112" s="168" t="s">
        <v>478</v>
      </c>
      <c r="B112" s="162" t="str">
        <f t="shared" si="8"/>
        <v xml:space="preserve">16+025A00HS-96 </v>
      </c>
      <c r="C112" s="162" t="str">
        <f t="shared" si="9"/>
        <v>16</v>
      </c>
      <c r="D112" s="162" t="str">
        <f t="shared" si="10"/>
        <v xml:space="preserve">025A00HS-96 </v>
      </c>
      <c r="E112" s="162" t="str">
        <f t="shared" si="11"/>
        <v>025</v>
      </c>
      <c r="F112" s="166" t="e">
        <f>IF(C112='Ціни контур теплопостачання'!$B$123,E112*'Ціни контур теплопостачання'!$C$123*'Ціни контур теплопостачання'!$E$123*'Ціни контур теплопостачання'!$F$123+'Ціни контур теплопостачання'!$D$123,IF(C112='Ціни контур теплопостачання'!$B$124,E112*'Ціни контур теплопостачання'!$C$124*'Ціни контур теплопостачання'!$E$124*'Ціни контур теплопостачання'!$F$124+'Ціни контур теплопостачання'!$D$124,IF(C112='Ціни контур теплопостачання'!$B$125,E112*'Ціни контур теплопостачання'!$C$125*'Ціни контур теплопостачання'!$E$125*'Ціни контур теплопостачання'!$F$125+'Ціни контур теплопостачання'!$D$125,IF(C112='Ціни контур теплопостачання'!$B$126,E112*'Ціни контур теплопостачання'!$C$126*'Ціни контур теплопостачання'!$E$126*'Ціни контур теплопостачання'!$F$126+'Ціни контур теплопостачання'!$D$126,IF(C112='Ціни контур теплопостачання'!$B$127,E112*'Ціни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2" s="170" t="s">
        <v>221</v>
      </c>
      <c r="I112" s="162" t="str">
        <f t="shared" si="12"/>
        <v xml:space="preserve">08+019A00HS-115 </v>
      </c>
      <c r="J112" s="162" t="str">
        <f t="shared" si="13"/>
        <v>08</v>
      </c>
      <c r="K112" s="162" t="str">
        <f t="shared" si="14"/>
        <v xml:space="preserve">019A00HS-115 </v>
      </c>
      <c r="L112" s="162" t="str">
        <f t="shared" si="15"/>
        <v>019</v>
      </c>
      <c r="M112" s="166" t="e">
        <f>IF(J112='Ціни контур теплопостачання'!$B$123,L112*'Ціни контур теплопостачання'!$C$123*'Ціни контур теплопостачання'!$E$123*'Ціни контур теплопостачання'!$F$123+'Ціни контур теплопостачання'!$D$123,IF(J112='Ціни контур теплопостачання'!$B$124,L112*'Ціни контур теплопостачання'!$C$124*'Ціни контур теплопостачання'!$E$124*'Ціни контур теплопостачання'!$F$124+'Ціни контур теплопостачання'!$D$124,IF(J112='Ціни контур теплопостачання'!$B$125,L112*'Ціни контур теплопостачання'!$C$125*'Ціни контур теплопостачання'!$E$125*'Ціни контур теплопостачання'!$F$125+'Ціни контур теплопостачання'!$D$125,IF(J112='Ціни контур теплопостачання'!$B$126,L112*'Ціни контур теплопостачання'!$C$126*'Ціни контур теплопостачання'!$E$126*'Ціни контур теплопостачання'!$F$126+'Ціни контур теплопостачання'!$D$126,IF(J112='Ціни контур теплопостачання'!$B$127,L112*'Ціни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3" spans="1:13">
      <c r="A113" s="168" t="s">
        <v>479</v>
      </c>
      <c r="B113" s="162" t="str">
        <f t="shared" si="8"/>
        <v xml:space="preserve">16+103A00HS-432 </v>
      </c>
      <c r="C113" s="162" t="str">
        <f t="shared" si="9"/>
        <v>16</v>
      </c>
      <c r="D113" s="162" t="str">
        <f t="shared" si="10"/>
        <v xml:space="preserve">103A00HS-432 </v>
      </c>
      <c r="E113" s="162" t="str">
        <f t="shared" si="11"/>
        <v>103</v>
      </c>
      <c r="F113" s="166" t="e">
        <f>IF(C113='Ціни контур теплопостачання'!$B$123,E113*'Ціни контур теплопостачання'!$C$123*'Ціни контур теплопостачання'!$E$123*'Ціни контур теплопостачання'!$F$123+'Ціни контур теплопостачання'!$D$123,IF(C113='Ціни контур теплопостачання'!$B$124,E113*'Ціни контур теплопостачання'!$C$124*'Ціни контур теплопостачання'!$E$124*'Ціни контур теплопостачання'!$F$124+'Ціни контур теплопостачання'!$D$124,IF(C113='Ціни контур теплопостачання'!$B$125,E113*'Ціни контур теплопостачання'!$C$125*'Ціни контур теплопостачання'!$E$125*'Ціни контур теплопостачання'!$F$125+'Ціни контур теплопостачання'!$D$125,IF(C113='Ціни контур теплопостачання'!$B$126,E113*'Ціни контур теплопостачання'!$C$126*'Ціни контур теплопостачання'!$E$126*'Ціни контур теплопостачання'!$F$126+'Ціни контур теплопостачання'!$D$126,IF(C113='Ціни контур теплопостачання'!$B$127,E113*'Ціни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3" s="170" t="s">
        <v>222</v>
      </c>
      <c r="I113" s="162" t="str">
        <f t="shared" si="12"/>
        <v xml:space="preserve">16+041M50HS-396 </v>
      </c>
      <c r="J113" s="162" t="str">
        <f t="shared" si="13"/>
        <v>16</v>
      </c>
      <c r="K113" s="162" t="str">
        <f t="shared" si="14"/>
        <v xml:space="preserve">041M50HS-396 </v>
      </c>
      <c r="L113" s="162" t="str">
        <f t="shared" si="15"/>
        <v>041</v>
      </c>
      <c r="M113" s="166" t="e">
        <f>IF(J113='Ціни контур теплопостачання'!$B$123,L113*'Ціни контур теплопостачання'!$C$123*'Ціни контур теплопостачання'!$E$123*'Ціни контур теплопостачання'!$F$123+'Ціни контур теплопостачання'!$D$123,IF(J113='Ціни контур теплопостачання'!$B$124,L113*'Ціни контур теплопостачання'!$C$124*'Ціни контур теплопостачання'!$E$124*'Ціни контур теплопостачання'!$F$124+'Ціни контур теплопостачання'!$D$124,IF(J113='Ціни контур теплопостачання'!$B$125,L113*'Ціни контур теплопостачання'!$C$125*'Ціни контур теплопостачання'!$E$125*'Ціни контур теплопостачання'!$F$125+'Ціни контур теплопостачання'!$D$125,IF(J113='Ціни контур теплопостачання'!$B$126,L113*'Ціни контур теплопостачання'!$C$126*'Ціни контур теплопостачання'!$E$126*'Ціни контур теплопостачання'!$F$126+'Ціни контур теплопостачання'!$D$126,IF(J113='Ціни контур теплопостачання'!$B$127,L113*'Ціни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4" spans="1:13">
      <c r="A114" s="168" t="s">
        <v>480</v>
      </c>
      <c r="B114" s="162" t="str">
        <f t="shared" si="8"/>
        <v xml:space="preserve">16+077A00HS-317  </v>
      </c>
      <c r="C114" s="162" t="str">
        <f t="shared" si="9"/>
        <v>16</v>
      </c>
      <c r="D114" s="162" t="str">
        <f t="shared" si="10"/>
        <v xml:space="preserve">077A00HS-317  </v>
      </c>
      <c r="E114" s="162" t="str">
        <f t="shared" si="11"/>
        <v>077</v>
      </c>
      <c r="F114" s="166" t="e">
        <f>IF(C114='Ціни контур теплопостачання'!$B$123,E114*'Ціни контур теплопостачання'!$C$123*'Ціни контур теплопостачання'!$E$123*'Ціни контур теплопостачання'!$F$123+'Ціни контур теплопостачання'!$D$123,IF(C114='Ціни контур теплопостачання'!$B$124,E114*'Ціни контур теплопостачання'!$C$124*'Ціни контур теплопостачання'!$E$124*'Ціни контур теплопостачання'!$F$124+'Ціни контур теплопостачання'!$D$124,IF(C114='Ціни контур теплопостачання'!$B$125,E114*'Ціни контур теплопостачання'!$C$125*'Ціни контур теплопостачання'!$E$125*'Ціни контур теплопостачання'!$F$125+'Ціни контур теплопостачання'!$D$125,IF(C114='Ціни контур теплопостачання'!$B$126,E114*'Ціни контур теплопостачання'!$C$126*'Ціни контур теплопостачання'!$E$126*'Ціни контур теплопостачання'!$F$126+'Ціни контур теплопостачання'!$D$126,IF(C114='Ціни контур теплопостачання'!$B$127,E114*'Ціни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4" s="170" t="s">
        <v>223</v>
      </c>
      <c r="I114" s="162" t="str">
        <f t="shared" si="12"/>
        <v xml:space="preserve">16+039M50HS-380 </v>
      </c>
      <c r="J114" s="162" t="str">
        <f t="shared" si="13"/>
        <v>16</v>
      </c>
      <c r="K114" s="162" t="str">
        <f t="shared" si="14"/>
        <v xml:space="preserve">039M50HS-380 </v>
      </c>
      <c r="L114" s="162" t="str">
        <f t="shared" si="15"/>
        <v>039</v>
      </c>
      <c r="M114" s="166" t="e">
        <f>IF(J114='Ціни контур теплопостачання'!$B$123,L114*'Ціни контур теплопостачання'!$C$123*'Ціни контур теплопостачання'!$E$123*'Ціни контур теплопостачання'!$F$123+'Ціни контур теплопостачання'!$D$123,IF(J114='Ціни контур теплопостачання'!$B$124,L114*'Ціни контур теплопостачання'!$C$124*'Ціни контур теплопостачання'!$E$124*'Ціни контур теплопостачання'!$F$124+'Ціни контур теплопостачання'!$D$124,IF(J114='Ціни контур теплопостачання'!$B$125,L114*'Ціни контур теплопостачання'!$C$125*'Ціни контур теплопостачання'!$E$125*'Ціни контур теплопостачання'!$F$125+'Ціни контур теплопостачання'!$D$125,IF(J114='Ціни контур теплопостачання'!$B$126,L114*'Ціни контур теплопостачання'!$C$126*'Ціни контур теплопостачання'!$E$126*'Ціни контур теплопостачання'!$F$126+'Ціни контур теплопостачання'!$D$126,IF(J114='Ціни контур теплопостачання'!$B$127,L114*'Ціни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5" spans="1:13">
      <c r="A115" s="168" t="s">
        <v>481</v>
      </c>
      <c r="B115" s="162" t="str">
        <f t="shared" si="8"/>
        <v xml:space="preserve">16+081A00HS-336  </v>
      </c>
      <c r="C115" s="162" t="str">
        <f t="shared" si="9"/>
        <v>16</v>
      </c>
      <c r="D115" s="162" t="str">
        <f t="shared" si="10"/>
        <v xml:space="preserve">081A00HS-336  </v>
      </c>
      <c r="E115" s="162" t="str">
        <f t="shared" si="11"/>
        <v>081</v>
      </c>
      <c r="F115" s="166" t="e">
        <f>IF(C115='Ціни контур теплопостачання'!$B$123,E115*'Ціни контур теплопостачання'!$C$123*'Ціни контур теплопостачання'!$E$123*'Ціни контур теплопостачання'!$F$123+'Ціни контур теплопостачання'!$D$123,IF(C115='Ціни контур теплопостачання'!$B$124,E115*'Ціни контур теплопостачання'!$C$124*'Ціни контур теплопостачання'!$E$124*'Ціни контур теплопостачання'!$F$124+'Ціни контур теплопостачання'!$D$124,IF(C115='Ціни контур теплопостачання'!$B$125,E115*'Ціни контур теплопостачання'!$C$125*'Ціни контур теплопостачання'!$E$125*'Ціни контур теплопостачання'!$F$125+'Ціни контур теплопостачання'!$D$125,IF(C115='Ціни контур теплопостачання'!$B$126,E115*'Ціни контур теплопостачання'!$C$126*'Ціни контур теплопостачання'!$E$126*'Ціни контур теплопостачання'!$F$126+'Ціни контур теплопостачання'!$D$126,IF(C115='Ціни контур теплопостачання'!$B$127,E115*'Ціни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5" s="170" t="s">
        <v>224</v>
      </c>
      <c r="I115" s="162" t="str">
        <f t="shared" si="12"/>
        <v xml:space="preserve">16+033M50HS-334 </v>
      </c>
      <c r="J115" s="162" t="str">
        <f t="shared" si="13"/>
        <v>16</v>
      </c>
      <c r="K115" s="162" t="str">
        <f t="shared" si="14"/>
        <v xml:space="preserve">033M50HS-334 </v>
      </c>
      <c r="L115" s="162" t="str">
        <f t="shared" si="15"/>
        <v>033</v>
      </c>
      <c r="M115" s="166" t="e">
        <f>IF(J115='Ціни контур теплопостачання'!$B$123,L115*'Ціни контур теплопостачання'!$C$123*'Ціни контур теплопостачання'!$E$123*'Ціни контур теплопостачання'!$F$123+'Ціни контур теплопостачання'!$D$123,IF(J115='Ціни контур теплопостачання'!$B$124,L115*'Ціни контур теплопостачання'!$C$124*'Ціни контур теплопостачання'!$E$124*'Ціни контур теплопостачання'!$F$124+'Ціни контур теплопостачання'!$D$124,IF(J115='Ціни контур теплопостачання'!$B$125,L115*'Ціни контур теплопостачання'!$C$125*'Ціни контур теплопостачання'!$E$125*'Ціни контур теплопостачання'!$F$125+'Ціни контур теплопостачання'!$D$125,IF(J115='Ціни контур теплопостачання'!$B$126,L115*'Ціни контур теплопостачання'!$C$126*'Ціни контур теплопостачання'!$E$126*'Ціни контур теплопостачання'!$F$126+'Ціни контур теплопостачання'!$D$126,IF(J115='Ціни контур теплопостачання'!$B$127,L115*'Ціни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6" spans="1:13">
      <c r="A116" s="168" t="s">
        <v>476</v>
      </c>
      <c r="B116" s="162" t="str">
        <f t="shared" si="8"/>
        <v xml:space="preserve">16+043A00HS-168  </v>
      </c>
      <c r="C116" s="162" t="str">
        <f t="shared" si="9"/>
        <v>16</v>
      </c>
      <c r="D116" s="162" t="str">
        <f t="shared" si="10"/>
        <v xml:space="preserve">043A00HS-168  </v>
      </c>
      <c r="E116" s="162" t="str">
        <f t="shared" si="11"/>
        <v>043</v>
      </c>
      <c r="F116" s="166" t="e">
        <f>IF(C116='Ціни контур теплопостачання'!$B$123,E116*'Ціни контур теплопостачання'!$C$123*'Ціни контур теплопостачання'!$E$123*'Ціни контур теплопостачання'!$F$123+'Ціни контур теплопостачання'!$D$123,IF(C116='Ціни контур теплопостачання'!$B$124,E116*'Ціни контур теплопостачання'!$C$124*'Ціни контур теплопостачання'!$E$124*'Ціни контур теплопостачання'!$F$124+'Ціни контур теплопостачання'!$D$124,IF(C116='Ціни контур теплопостачання'!$B$125,E116*'Ціни контур теплопостачання'!$C$125*'Ціни контур теплопостачання'!$E$125*'Ціни контур теплопостачання'!$F$125+'Ціни контур теплопостачання'!$D$125,IF(C116='Ціни контур теплопостачання'!$B$126,E116*'Ціни контур теплопостачання'!$C$126*'Ціни контур теплопостачання'!$E$126*'Ціни контур теплопостачання'!$F$126+'Ціни контур теплопостачання'!$D$126,IF(C116='Ціни контур теплопостачання'!$B$127,E116*'Ціни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6" s="170" t="s">
        <v>225</v>
      </c>
      <c r="I116" s="162" t="str">
        <f t="shared" si="12"/>
        <v xml:space="preserve">08+029A00HS-167 </v>
      </c>
      <c r="J116" s="162" t="str">
        <f t="shared" si="13"/>
        <v>08</v>
      </c>
      <c r="K116" s="162" t="str">
        <f t="shared" si="14"/>
        <v xml:space="preserve">029A00HS-167 </v>
      </c>
      <c r="L116" s="162" t="str">
        <f t="shared" si="15"/>
        <v>029</v>
      </c>
      <c r="M116" s="166" t="e">
        <f>IF(J116='Ціни контур теплопостачання'!$B$123,L116*'Ціни контур теплопостачання'!$C$123*'Ціни контур теплопостачання'!$E$123*'Ціни контур теплопостачання'!$F$123+'Ціни контур теплопостачання'!$D$123,IF(J116='Ціни контур теплопостачання'!$B$124,L116*'Ціни контур теплопостачання'!$C$124*'Ціни контур теплопостачання'!$E$124*'Ціни контур теплопостачання'!$F$124+'Ціни контур теплопостачання'!$D$124,IF(J116='Ціни контур теплопостачання'!$B$125,L116*'Ціни контур теплопостачання'!$C$125*'Ціни контур теплопостачання'!$E$125*'Ціни контур теплопостачання'!$F$125+'Ціни контур теплопостачання'!$D$125,IF(J116='Ціни контур теплопостачання'!$B$126,L116*'Ціни контур теплопостачання'!$C$126*'Ціни контур теплопостачання'!$E$126*'Ціни контур теплопостачання'!$F$126+'Ціни контур теплопостачання'!$D$126,IF(J116='Ціни контур теплопостачання'!$B$127,L116*'Ціни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7" spans="1:13">
      <c r="A117" s="168" t="s">
        <v>482</v>
      </c>
      <c r="B117" s="162" t="str">
        <f t="shared" si="8"/>
        <v xml:space="preserve">16+049A00HS-201  </v>
      </c>
      <c r="C117" s="162" t="str">
        <f t="shared" si="9"/>
        <v>16</v>
      </c>
      <c r="D117" s="162" t="str">
        <f t="shared" si="10"/>
        <v xml:space="preserve">049A00HS-201  </v>
      </c>
      <c r="E117" s="162" t="str">
        <f t="shared" si="11"/>
        <v>049</v>
      </c>
      <c r="F117" s="166" t="e">
        <f>IF(C117='Ціни контур теплопостачання'!$B$123,E117*'Ціни контур теплопостачання'!$C$123*'Ціни контур теплопостачання'!$E$123*'Ціни контур теплопостачання'!$F$123+'Ціни контур теплопостачання'!$D$123,IF(C117='Ціни контур теплопостачання'!$B$124,E117*'Ціни контур теплопостачання'!$C$124*'Ціни контур теплопостачання'!$E$124*'Ціни контур теплопостачання'!$F$124+'Ціни контур теплопостачання'!$D$124,IF(C117='Ціни контур теплопостачання'!$B$125,E117*'Ціни контур теплопостачання'!$C$125*'Ціни контур теплопостачання'!$E$125*'Ціни контур теплопостачання'!$F$125+'Ціни контур теплопостачання'!$D$125,IF(C117='Ціни контур теплопостачання'!$B$126,E117*'Ціни контур теплопостачання'!$C$126*'Ціни контур теплопостачання'!$E$126*'Ціни контур теплопостачання'!$F$126+'Ціни контур теплопостачання'!$D$126,IF(C117='Ціни контур теплопостачання'!$B$127,E117*'Ціни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7" s="170" t="s">
        <v>226</v>
      </c>
      <c r="I117" s="162" t="str">
        <f t="shared" si="12"/>
        <v xml:space="preserve">16+027M50HS-260 </v>
      </c>
      <c r="J117" s="162" t="str">
        <f t="shared" si="13"/>
        <v>16</v>
      </c>
      <c r="K117" s="162" t="str">
        <f t="shared" si="14"/>
        <v xml:space="preserve">027M50HS-260 </v>
      </c>
      <c r="L117" s="162" t="str">
        <f t="shared" si="15"/>
        <v>027</v>
      </c>
      <c r="M117" s="166" t="e">
        <f>IF(J117='Ціни контур теплопостачання'!$B$123,L117*'Ціни контур теплопостачання'!$C$123*'Ціни контур теплопостачання'!$E$123*'Ціни контур теплопостачання'!$F$123+'Ціни контур теплопостачання'!$D$123,IF(J117='Ціни контур теплопостачання'!$B$124,L117*'Ціни контур теплопостачання'!$C$124*'Ціни контур теплопостачання'!$E$124*'Ціни контур теплопостачання'!$F$124+'Ціни контур теплопостачання'!$D$124,IF(J117='Ціни контур теплопостачання'!$B$125,L117*'Ціни контур теплопостачання'!$C$125*'Ціни контур теплопостачання'!$E$125*'Ціни контур теплопостачання'!$F$125+'Ціни контур теплопостачання'!$D$125,IF(J117='Ціни контур теплопостачання'!$B$126,L117*'Ціни контур теплопостачання'!$C$126*'Ціни контур теплопостачання'!$E$126*'Ціни контур теплопостачання'!$F$126+'Ціни контур теплопостачання'!$D$126,IF(J117='Ціни контур теплопостачання'!$B$127,L117*'Ціни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8" spans="1:13">
      <c r="A118" s="168" t="s">
        <v>483</v>
      </c>
      <c r="B118" s="162" t="str">
        <f t="shared" si="8"/>
        <v xml:space="preserve">16+087A00HS-359  </v>
      </c>
      <c r="C118" s="162" t="str">
        <f t="shared" si="9"/>
        <v>16</v>
      </c>
      <c r="D118" s="162" t="str">
        <f t="shared" si="10"/>
        <v xml:space="preserve">087A00HS-359  </v>
      </c>
      <c r="E118" s="162" t="str">
        <f t="shared" si="11"/>
        <v>087</v>
      </c>
      <c r="F118" s="166" t="e">
        <f>IF(C118='Ціни контур теплопостачання'!$B$123,E118*'Ціни контур теплопостачання'!$C$123*'Ціни контур теплопостачання'!$E$123*'Ціни контур теплопостачання'!$F$123+'Ціни контур теплопостачання'!$D$123,IF(C118='Ціни контур теплопостачання'!$B$124,E118*'Ціни контур теплопостачання'!$C$124*'Ціни контур теплопостачання'!$E$124*'Ціни контур теплопостачання'!$F$124+'Ціни контур теплопостачання'!$D$124,IF(C118='Ціни контур теплопостачання'!$B$125,E118*'Ціни контур теплопостачання'!$C$125*'Ціни контур теплопостачання'!$E$125*'Ціни контур теплопостачання'!$F$125+'Ціни контур теплопостачання'!$D$125,IF(C118='Ціни контур теплопостачання'!$B$126,E118*'Ціни контур теплопостачання'!$C$126*'Ціни контур теплопостачання'!$E$126*'Ціни контур теплопостачання'!$F$126+'Ціни контур теплопостачання'!$D$126,IF(C118='Ціни контур теплопостачання'!$B$127,E118*'Ціни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8" s="170" t="s">
        <v>227</v>
      </c>
      <c r="I118" s="162" t="str">
        <f t="shared" si="12"/>
        <v xml:space="preserve">16+031M50HS-308 </v>
      </c>
      <c r="J118" s="162" t="str">
        <f t="shared" si="13"/>
        <v>16</v>
      </c>
      <c r="K118" s="162" t="str">
        <f t="shared" si="14"/>
        <v xml:space="preserve">031M50HS-308 </v>
      </c>
      <c r="L118" s="162" t="str">
        <f t="shared" si="15"/>
        <v>031</v>
      </c>
      <c r="M118" s="166" t="e">
        <f>IF(J118='Ціни контур теплопостачання'!$B$123,L118*'Ціни контур теплопостачання'!$C$123*'Ціни контур теплопостачання'!$E$123*'Ціни контур теплопостачання'!$F$123+'Ціни контур теплопостачання'!$D$123,IF(J118='Ціни контур теплопостачання'!$B$124,L118*'Ціни контур теплопостачання'!$C$124*'Ціни контур теплопостачання'!$E$124*'Ціни контур теплопостачання'!$F$124+'Ціни контур теплопостачання'!$D$124,IF(J118='Ціни контур теплопостачання'!$B$125,L118*'Ціни контур теплопостачання'!$C$125*'Ціни контур теплопостачання'!$E$125*'Ціни контур теплопостачання'!$F$125+'Ціни контур теплопостачання'!$D$125,IF(J118='Ціни контур теплопостачання'!$B$126,L118*'Ціни контур теплопостачання'!$C$126*'Ціни контур теплопостачання'!$E$126*'Ціни контур теплопостачання'!$F$126+'Ціни контур теплопостачання'!$D$126,IF(J118='Ціни контур теплопостачання'!$B$127,L118*'Ціни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19" spans="1:13">
      <c r="A119" s="168" t="s">
        <v>484</v>
      </c>
      <c r="B119" s="162" t="str">
        <f t="shared" si="8"/>
        <v xml:space="preserve">16+067A00HS-270  </v>
      </c>
      <c r="C119" s="162" t="str">
        <f t="shared" si="9"/>
        <v>16</v>
      </c>
      <c r="D119" s="162" t="str">
        <f t="shared" si="10"/>
        <v xml:space="preserve">067A00HS-270  </v>
      </c>
      <c r="E119" s="162" t="str">
        <f t="shared" si="11"/>
        <v>067</v>
      </c>
      <c r="F119" s="166" t="e">
        <f>IF(C119='Ціни контур теплопостачання'!$B$123,E119*'Ціни контур теплопостачання'!$C$123*'Ціни контур теплопостачання'!$E$123*'Ціни контур теплопостачання'!$F$123+'Ціни контур теплопостачання'!$D$123,IF(C119='Ціни контур теплопостачання'!$B$124,E119*'Ціни контур теплопостачання'!$C$124*'Ціни контур теплопостачання'!$E$124*'Ціни контур теплопостачання'!$F$124+'Ціни контур теплопостачання'!$D$124,IF(C119='Ціни контур теплопостачання'!$B$125,E119*'Ціни контур теплопостачання'!$C$125*'Ціни контур теплопостачання'!$E$125*'Ціни контур теплопостачання'!$F$125+'Ціни контур теплопостачання'!$D$125,IF(C119='Ціни контур теплопостачання'!$B$126,E119*'Ціни контур теплопостачання'!$C$126*'Ціни контур теплопостачання'!$E$126*'Ціни контур теплопостачання'!$F$126+'Ціни контур теплопостачання'!$D$126,IF(C119='Ціни контур теплопостачання'!$B$127,E119*'Ціни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19" s="170" t="s">
        <v>228</v>
      </c>
      <c r="I119" s="162" t="str">
        <f t="shared" si="12"/>
        <v xml:space="preserve">08+039A00HS-231 </v>
      </c>
      <c r="J119" s="162" t="str">
        <f t="shared" si="13"/>
        <v>08</v>
      </c>
      <c r="K119" s="162" t="str">
        <f t="shared" si="14"/>
        <v xml:space="preserve">039A00HS-231 </v>
      </c>
      <c r="L119" s="162" t="str">
        <f t="shared" si="15"/>
        <v>039</v>
      </c>
      <c r="M119" s="166" t="e">
        <f>IF(J119='Ціни контур теплопостачання'!$B$123,L119*'Ціни контур теплопостачання'!$C$123*'Ціни контур теплопостачання'!$E$123*'Ціни контур теплопостачання'!$F$123+'Ціни контур теплопостачання'!$D$123,IF(J119='Ціни контур теплопостачання'!$B$124,L119*'Ціни контур теплопостачання'!$C$124*'Ціни контур теплопостачання'!$E$124*'Ціни контур теплопостачання'!$F$124+'Ціни контур теплопостачання'!$D$124,IF(J119='Ціни контур теплопостачання'!$B$125,L119*'Ціни контур теплопостачання'!$C$125*'Ціни контур теплопостачання'!$E$125*'Ціни контур теплопостачання'!$F$125+'Ціни контур теплопостачання'!$D$125,IF(J119='Ціни контур теплопостачання'!$B$126,L119*'Ціни контур теплопостачання'!$C$126*'Ціни контур теплопостачання'!$E$126*'Ціни контур теплопостачання'!$F$126+'Ціни контур теплопостачання'!$D$126,IF(J119='Ціни контур теплопостачання'!$B$127,L119*'Ціни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0" spans="1:13">
      <c r="A120" s="168" t="s">
        <v>485</v>
      </c>
      <c r="B120" s="162" t="str">
        <f t="shared" si="8"/>
        <v xml:space="preserve">16+071A00HS-294  </v>
      </c>
      <c r="C120" s="162" t="str">
        <f t="shared" si="9"/>
        <v>16</v>
      </c>
      <c r="D120" s="162" t="str">
        <f t="shared" si="10"/>
        <v xml:space="preserve">071A00HS-294  </v>
      </c>
      <c r="E120" s="162" t="str">
        <f t="shared" si="11"/>
        <v>071</v>
      </c>
      <c r="F120" s="166" t="e">
        <f>IF(C120='Ціни контур теплопостачання'!$B$123,E120*'Ціни контур теплопостачання'!$C$123*'Ціни контур теплопостачання'!$E$123*'Ціни контур теплопостачання'!$F$123+'Ціни контур теплопостачання'!$D$123,IF(C120='Ціни контур теплопостачання'!$B$124,E120*'Ціни контур теплопостачання'!$C$124*'Ціни контур теплопостачання'!$E$124*'Ціни контур теплопостачання'!$F$124+'Ціни контур теплопостачання'!$D$124,IF(C120='Ціни контур теплопостачання'!$B$125,E120*'Ціни контур теплопостачання'!$C$125*'Ціни контур теплопостачання'!$E$125*'Ціни контур теплопостачання'!$F$125+'Ціни контур теплопостачання'!$D$125,IF(C120='Ціни контур теплопостачання'!$B$126,E120*'Ціни контур теплопостачання'!$C$126*'Ціни контур теплопостачання'!$E$126*'Ціни контур теплопостачання'!$F$126+'Ціни контур теплопостачання'!$D$126,IF(C120='Ціни контур теплопостачання'!$B$127,E120*'Ціни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0" s="170" t="s">
        <v>204</v>
      </c>
      <c r="I120" s="162" t="str">
        <f t="shared" si="12"/>
        <v xml:space="preserve">16+029M50HS-254 </v>
      </c>
      <c r="J120" s="162" t="str">
        <f t="shared" si="13"/>
        <v>16</v>
      </c>
      <c r="K120" s="162" t="str">
        <f t="shared" si="14"/>
        <v xml:space="preserve">029M50HS-254 </v>
      </c>
      <c r="L120" s="162" t="str">
        <f t="shared" si="15"/>
        <v>029</v>
      </c>
      <c r="M120" s="166" t="e">
        <f>IF(J120='Ціни контур теплопостачання'!$B$123,L120*'Ціни контур теплопостачання'!$C$123*'Ціни контур теплопостачання'!$E$123*'Ціни контур теплопостачання'!$F$123+'Ціни контур теплопостачання'!$D$123,IF(J120='Ціни контур теплопостачання'!$B$124,L120*'Ціни контур теплопостачання'!$C$124*'Ціни контур теплопостачання'!$E$124*'Ціни контур теплопостачання'!$F$124+'Ціни контур теплопостачання'!$D$124,IF(J120='Ціни контур теплопостачання'!$B$125,L120*'Ціни контур теплопостачання'!$C$125*'Ціни контур теплопостачання'!$E$125*'Ціни контур теплопостачання'!$F$125+'Ціни контур теплопостачання'!$D$125,IF(J120='Ціни контур теплопостачання'!$B$126,L120*'Ціни контур теплопостачання'!$C$126*'Ціни контур теплопостачання'!$E$126*'Ціни контур теплопостачання'!$F$126+'Ціни контур теплопостачання'!$D$126,IF(J120='Ціни контур теплопостачання'!$B$127,L120*'Ціни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1" spans="1:13">
      <c r="A121" s="168" t="s">
        <v>486</v>
      </c>
      <c r="B121" s="162" t="str">
        <f t="shared" si="8"/>
        <v xml:space="preserve">16+115A00HS-491 </v>
      </c>
      <c r="C121" s="162" t="str">
        <f t="shared" si="9"/>
        <v>16</v>
      </c>
      <c r="D121" s="162" t="str">
        <f t="shared" si="10"/>
        <v xml:space="preserve">115A00HS-491 </v>
      </c>
      <c r="E121" s="162" t="str">
        <f t="shared" si="11"/>
        <v>115</v>
      </c>
      <c r="F121" s="166" t="e">
        <f>IF(C121='Ціни контур теплопостачання'!$B$123,E121*'Ціни контур теплопостачання'!$C$123*'Ціни контур теплопостачання'!$E$123*'Ціни контур теплопостачання'!$F$123+'Ціни контур теплопостачання'!$D$123,IF(C121='Ціни контур теплопостачання'!$B$124,E121*'Ціни контур теплопостачання'!$C$124*'Ціни контур теплопостачання'!$E$124*'Ціни контур теплопостачання'!$F$124+'Ціни контур теплопостачання'!$D$124,IF(C121='Ціни контур теплопостачання'!$B$125,E121*'Ціни контур теплопостачання'!$C$125*'Ціни контур теплопостачання'!$E$125*'Ціни контур теплопостачання'!$F$125+'Ціни контур теплопостачання'!$D$125,IF(C121='Ціни контур теплопостачання'!$B$126,E121*'Ціни контур теплопостачання'!$C$126*'Ціни контур теплопостачання'!$E$126*'Ціни контур теплопостачання'!$F$126+'Ціни контур теплопостачання'!$D$126,IF(C121='Ціни контур теплопостачання'!$B$127,E121*'Ціни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1" s="170" t="s">
        <v>182</v>
      </c>
      <c r="I121" s="162" t="str">
        <f t="shared" si="12"/>
        <v xml:space="preserve">16+043M50HS-423 </v>
      </c>
      <c r="J121" s="162" t="str">
        <f t="shared" si="13"/>
        <v>16</v>
      </c>
      <c r="K121" s="162" t="str">
        <f t="shared" si="14"/>
        <v xml:space="preserve">043M50HS-423 </v>
      </c>
      <c r="L121" s="162" t="str">
        <f t="shared" si="15"/>
        <v>043</v>
      </c>
      <c r="M121" s="166" t="e">
        <f>IF(J121='Ціни контур теплопостачання'!$B$123,L121*'Ціни контур теплопостачання'!$C$123*'Ціни контур теплопостачання'!$E$123*'Ціни контур теплопостачання'!$F$123+'Ціни контур теплопостачання'!$D$123,IF(J121='Ціни контур теплопостачання'!$B$124,L121*'Ціни контур теплопостачання'!$C$124*'Ціни контур теплопостачання'!$E$124*'Ціни контур теплопостачання'!$F$124+'Ціни контур теплопостачання'!$D$124,IF(J121='Ціни контур теплопостачання'!$B$125,L121*'Ціни контур теплопостачання'!$C$125*'Ціни контур теплопостачання'!$E$125*'Ціни контур теплопостачання'!$F$125+'Ціни контур теплопостачання'!$D$125,IF(J121='Ціни контур теплопостачання'!$B$126,L121*'Ціни контур теплопостачання'!$C$126*'Ціни контур теплопостачання'!$E$126*'Ціни контур теплопостачання'!$F$126+'Ціни контур теплопостачання'!$D$126,IF(J121='Ціни контур теплопостачання'!$B$127,L121*'Ціни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2" spans="1:13">
      <c r="A122" s="168" t="s">
        <v>458</v>
      </c>
      <c r="B122" s="162" t="str">
        <f t="shared" si="8"/>
        <v xml:space="preserve">16+063A00HS-256  </v>
      </c>
      <c r="C122" s="162" t="str">
        <f t="shared" si="9"/>
        <v>16</v>
      </c>
      <c r="D122" s="162" t="str">
        <f t="shared" si="10"/>
        <v xml:space="preserve">063A00HS-256  </v>
      </c>
      <c r="E122" s="162" t="str">
        <f t="shared" si="11"/>
        <v>063</v>
      </c>
      <c r="F122" s="166" t="e">
        <f>IF(C122='Ціни контур теплопостачання'!$B$123,E122*'Ціни контур теплопостачання'!$C$123*'Ціни контур теплопостачання'!$E$123*'Ціни контур теплопостачання'!$F$123+'Ціни контур теплопостачання'!$D$123,IF(C122='Ціни контур теплопостачання'!$B$124,E122*'Ціни контур теплопостачання'!$C$124*'Ціни контур теплопостачання'!$E$124*'Ціни контур теплопостачання'!$F$124+'Ціни контур теплопостачання'!$D$124,IF(C122='Ціни контур теплопостачання'!$B$125,E122*'Ціни контур теплопостачання'!$C$125*'Ціни контур теплопостачання'!$E$125*'Ціни контур теплопостачання'!$F$125+'Ціни контур теплопостачання'!$D$125,IF(C122='Ціни контур теплопостачання'!$B$126,E122*'Ціни контур теплопостачання'!$C$126*'Ціни контур теплопостачання'!$E$126*'Ціни контур теплопостачання'!$F$126+'Ціни контур теплопостачання'!$D$126,IF(C122='Ціни контур теплопостачання'!$B$127,E122*'Ціни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2" s="170" t="s">
        <v>168</v>
      </c>
      <c r="I122" s="162" t="str">
        <f t="shared" si="12"/>
        <v xml:space="preserve">08+039A00HS-229 </v>
      </c>
      <c r="J122" s="162" t="str">
        <f t="shared" si="13"/>
        <v>08</v>
      </c>
      <c r="K122" s="162" t="str">
        <f t="shared" si="14"/>
        <v xml:space="preserve">039A00HS-229 </v>
      </c>
      <c r="L122" s="162" t="str">
        <f t="shared" si="15"/>
        <v>039</v>
      </c>
      <c r="M122" s="166" t="e">
        <f>IF(J122='Ціни контур теплопостачання'!$B$123,L122*'Ціни контур теплопостачання'!$C$123*'Ціни контур теплопостачання'!$E$123*'Ціни контур теплопостачання'!$F$123+'Ціни контур теплопостачання'!$D$123,IF(J122='Ціни контур теплопостачання'!$B$124,L122*'Ціни контур теплопостачання'!$C$124*'Ціни контур теплопостачання'!$E$124*'Ціни контур теплопостачання'!$F$124+'Ціни контур теплопостачання'!$D$124,IF(J122='Ціни контур теплопостачання'!$B$125,L122*'Ціни контур теплопостачання'!$C$125*'Ціни контур теплопостачання'!$E$125*'Ціни контур теплопостачання'!$F$125+'Ціни контур теплопостачання'!$D$125,IF(J122='Ціни контур теплопостачання'!$B$126,L122*'Ціни контур теплопостачання'!$C$126*'Ціни контур теплопостачання'!$E$126*'Ціни контур теплопостачання'!$F$126+'Ціни контур теплопостачання'!$D$126,IF(J122='Ціни контур теплопостачання'!$B$127,L122*'Ціни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3" spans="1:13">
      <c r="A123" s="168" t="s">
        <v>487</v>
      </c>
      <c r="B123" s="162" t="str">
        <f t="shared" si="8"/>
        <v xml:space="preserve">16+083A00HS-341  </v>
      </c>
      <c r="C123" s="162" t="str">
        <f t="shared" si="9"/>
        <v>16</v>
      </c>
      <c r="D123" s="162" t="str">
        <f t="shared" si="10"/>
        <v xml:space="preserve">083A00HS-341  </v>
      </c>
      <c r="E123" s="162" t="str">
        <f t="shared" si="11"/>
        <v>083</v>
      </c>
      <c r="F123" s="166" t="e">
        <f>IF(C123='Ціни контур теплопостачання'!$B$123,E123*'Ціни контур теплопостачання'!$C$123*'Ціни контур теплопостачання'!$E$123*'Ціни контур теплопостачання'!$F$123+'Ціни контур теплопостачання'!$D$123,IF(C123='Ціни контур теплопостачання'!$B$124,E123*'Ціни контур теплопостачання'!$C$124*'Ціни контур теплопостачання'!$E$124*'Ціни контур теплопостачання'!$F$124+'Ціни контур теплопостачання'!$D$124,IF(C123='Ціни контур теплопостачання'!$B$125,E123*'Ціни контур теплопостачання'!$C$125*'Ціни контур теплопостачання'!$E$125*'Ціни контур теплопостачання'!$F$125+'Ціни контур теплопостачання'!$D$125,IF(C123='Ціни контур теплопостачання'!$B$126,E123*'Ціни контур теплопостачання'!$C$126*'Ціни контур теплопостачання'!$E$126*'Ціни контур теплопостачання'!$F$126+'Ціни контур теплопостачання'!$D$126,IF(C123='Ціни контур теплопостачання'!$B$127,E123*'Ціни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3" s="170" t="s">
        <v>229</v>
      </c>
      <c r="I123" s="162" t="str">
        <f t="shared" si="12"/>
        <v xml:space="preserve">16+031M50HS-306 </v>
      </c>
      <c r="J123" s="162" t="str">
        <f t="shared" si="13"/>
        <v>16</v>
      </c>
      <c r="K123" s="162" t="str">
        <f t="shared" si="14"/>
        <v xml:space="preserve">031M50HS-306 </v>
      </c>
      <c r="L123" s="162" t="str">
        <f t="shared" si="15"/>
        <v>031</v>
      </c>
      <c r="M123" s="166" t="e">
        <f>IF(J123='Ціни контур теплопостачання'!$B$123,L123*'Ціни контур теплопостачання'!$C$123*'Ціни контур теплопостачання'!$E$123*'Ціни контур теплопостачання'!$F$123+'Ціни контур теплопостачання'!$D$123,IF(J123='Ціни контур теплопостачання'!$B$124,L123*'Ціни контур теплопостачання'!$C$124*'Ціни контур теплопостачання'!$E$124*'Ціни контур теплопостачання'!$F$124+'Ціни контур теплопостачання'!$D$124,IF(J123='Ціни контур теплопостачання'!$B$125,L123*'Ціни контур теплопостачання'!$C$125*'Ціни контур теплопостачання'!$E$125*'Ціни контур теплопостачання'!$F$125+'Ціни контур теплопостачання'!$D$125,IF(J123='Ціни контур теплопостачання'!$B$126,L123*'Ціни контур теплопостачання'!$C$126*'Ціни контур теплопостачання'!$E$126*'Ціни контур теплопостачання'!$F$126+'Ціни контур теплопостачання'!$D$126,IF(J123='Ціни контур теплопостачання'!$B$127,L123*'Ціни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4" spans="1:13">
      <c r="A124" s="168" t="s">
        <v>488</v>
      </c>
      <c r="B124" s="162" t="str">
        <f t="shared" si="8"/>
        <v xml:space="preserve">16+039A00HS-158  </v>
      </c>
      <c r="C124" s="162" t="str">
        <f t="shared" si="9"/>
        <v>16</v>
      </c>
      <c r="D124" s="162" t="str">
        <f t="shared" si="10"/>
        <v xml:space="preserve">039A00HS-158  </v>
      </c>
      <c r="E124" s="162" t="str">
        <f t="shared" si="11"/>
        <v>039</v>
      </c>
      <c r="F124" s="166" t="e">
        <f>IF(C124='Ціни контур теплопостачання'!$B$123,E124*'Ціни контур теплопостачання'!$C$123*'Ціни контур теплопостачання'!$E$123*'Ціни контур теплопостачання'!$F$123+'Ціни контур теплопостачання'!$D$123,IF(C124='Ціни контур теплопостачання'!$B$124,E124*'Ціни контур теплопостачання'!$C$124*'Ціни контур теплопостачання'!$E$124*'Ціни контур теплопостачання'!$F$124+'Ціни контур теплопостачання'!$D$124,IF(C124='Ціни контур теплопостачання'!$B$125,E124*'Ціни контур теплопостачання'!$C$125*'Ціни контур теплопостачання'!$E$125*'Ціни контур теплопостачання'!$F$125+'Ціни контур теплопостачання'!$D$125,IF(C124='Ціни контур теплопостачання'!$B$126,E124*'Ціни контур теплопостачання'!$C$126*'Ціни контур теплопостачання'!$E$126*'Ціни контур теплопостачання'!$F$126+'Ціни контур теплопостачання'!$D$126,IF(C124='Ціни контур теплопостачання'!$B$127,E124*'Ціни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4" s="170" t="s">
        <v>136</v>
      </c>
      <c r="I124" s="162" t="str">
        <f t="shared" si="12"/>
        <v xml:space="preserve">08+023A00HS-133 </v>
      </c>
      <c r="J124" s="162" t="str">
        <f t="shared" si="13"/>
        <v>08</v>
      </c>
      <c r="K124" s="162" t="str">
        <f t="shared" si="14"/>
        <v xml:space="preserve">023A00HS-133 </v>
      </c>
      <c r="L124" s="162" t="str">
        <f t="shared" si="15"/>
        <v>023</v>
      </c>
      <c r="M124" s="166" t="e">
        <f>IF(J124='Ціни контур теплопостачання'!$B$123,L124*'Ціни контур теплопостачання'!$C$123*'Ціни контур теплопостачання'!$E$123*'Ціни контур теплопостачання'!$F$123+'Ціни контур теплопостачання'!$D$123,IF(J124='Ціни контур теплопостачання'!$B$124,L124*'Ціни контур теплопостачання'!$C$124*'Ціни контур теплопостачання'!$E$124*'Ціни контур теплопостачання'!$F$124+'Ціни контур теплопостачання'!$D$124,IF(J124='Ціни контур теплопостачання'!$B$125,L124*'Ціни контур теплопостачання'!$C$125*'Ціни контур теплопостачання'!$E$125*'Ціни контур теплопостачання'!$F$125+'Ціни контур теплопостачання'!$D$125,IF(J124='Ціни контур теплопостачання'!$B$126,L124*'Ціни контур теплопостачання'!$C$126*'Ціни контур теплопостачання'!$E$126*'Ціни контур теплопостачання'!$F$126+'Ціни контур теплопостачання'!$D$126,IF(J124='Ціни контур теплопостачання'!$B$127,L124*'Ціни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5" spans="1:13">
      <c r="A125" s="168" t="s">
        <v>469</v>
      </c>
      <c r="B125" s="162" t="str">
        <f t="shared" si="8"/>
        <v xml:space="preserve">16+057A00HS-237  </v>
      </c>
      <c r="C125" s="162" t="str">
        <f t="shared" si="9"/>
        <v>16</v>
      </c>
      <c r="D125" s="162" t="str">
        <f t="shared" si="10"/>
        <v xml:space="preserve">057A00HS-237  </v>
      </c>
      <c r="E125" s="162" t="str">
        <f t="shared" si="11"/>
        <v>057</v>
      </c>
      <c r="F125" s="166" t="e">
        <f>IF(C125='Ціни контур теплопостачання'!$B$123,E125*'Ціни контур теплопостачання'!$C$123*'Ціни контур теплопостачання'!$E$123*'Ціни контур теплопостачання'!$F$123+'Ціни контур теплопостачання'!$D$123,IF(C125='Ціни контур теплопостачання'!$B$124,E125*'Ціни контур теплопостачання'!$C$124*'Ціни контур теплопостачання'!$E$124*'Ціни контур теплопостачання'!$F$124+'Ціни контур теплопостачання'!$D$124,IF(C125='Ціни контур теплопостачання'!$B$125,E125*'Ціни контур теплопостачання'!$C$125*'Ціни контур теплопостачання'!$E$125*'Ціни контур теплопостачання'!$F$125+'Ціни контур теплопостачання'!$D$125,IF(C125='Ціни контур теплопостачання'!$B$126,E125*'Ціни контур теплопостачання'!$C$126*'Ціни контур теплопостачання'!$E$126*'Ціни контур теплопостачання'!$F$126+'Ціни контур теплопостачання'!$D$126,IF(C125='Ціни контур теплопостачання'!$B$127,E125*'Ціни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5" s="170" t="s">
        <v>230</v>
      </c>
      <c r="I125" s="162" t="str">
        <f t="shared" si="12"/>
        <v xml:space="preserve">08+035A00HS-200 </v>
      </c>
      <c r="J125" s="162" t="str">
        <f t="shared" si="13"/>
        <v>08</v>
      </c>
      <c r="K125" s="162" t="str">
        <f t="shared" si="14"/>
        <v xml:space="preserve">035A00HS-200 </v>
      </c>
      <c r="L125" s="162" t="str">
        <f t="shared" si="15"/>
        <v>035</v>
      </c>
      <c r="M125" s="166" t="e">
        <f>IF(J125='Ціни контур теплопостачання'!$B$123,L125*'Ціни контур теплопостачання'!$C$123*'Ціни контур теплопостачання'!$E$123*'Ціни контур теплопостачання'!$F$123+'Ціни контур теплопостачання'!$D$123,IF(J125='Ціни контур теплопостачання'!$B$124,L125*'Ціни контур теплопостачання'!$C$124*'Ціни контур теплопостачання'!$E$124*'Ціни контур теплопостачання'!$F$124+'Ціни контур теплопостачання'!$D$124,IF(J125='Ціни контур теплопостачання'!$B$125,L125*'Ціни контур теплопостачання'!$C$125*'Ціни контур теплопостачання'!$E$125*'Ціни контур теплопостачання'!$F$125+'Ціни контур теплопостачання'!$D$125,IF(J125='Ціни контур теплопостачання'!$B$126,L125*'Ціни контур теплопостачання'!$C$126*'Ціни контур теплопостачання'!$E$126*'Ціни контур теплопостачання'!$F$126+'Ціни контур теплопостачання'!$D$126,IF(J125='Ціни контур теплопостачання'!$B$127,L125*'Ціни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6" spans="1:13">
      <c r="A126" s="168" t="s">
        <v>467</v>
      </c>
      <c r="B126" s="162" t="str">
        <f t="shared" si="8"/>
        <v xml:space="preserve">16+077A00HS-316  </v>
      </c>
      <c r="C126" s="162" t="str">
        <f t="shared" si="9"/>
        <v>16</v>
      </c>
      <c r="D126" s="162" t="str">
        <f t="shared" si="10"/>
        <v xml:space="preserve">077A00HS-316  </v>
      </c>
      <c r="E126" s="162" t="str">
        <f t="shared" si="11"/>
        <v>077</v>
      </c>
      <c r="F126" s="166" t="e">
        <f>IF(C126='Ціни контур теплопостачання'!$B$123,E126*'Ціни контур теплопостачання'!$C$123*'Ціни контур теплопостачання'!$E$123*'Ціни контур теплопостачання'!$F$123+'Ціни контур теплопостачання'!$D$123,IF(C126='Ціни контур теплопостачання'!$B$124,E126*'Ціни контур теплопостачання'!$C$124*'Ціни контур теплопостачання'!$E$124*'Ціни контур теплопостачання'!$F$124+'Ціни контур теплопостачання'!$D$124,IF(C126='Ціни контур теплопостачання'!$B$125,E126*'Ціни контур теплопостачання'!$C$125*'Ціни контур теплопостачання'!$E$125*'Ціни контур теплопостачання'!$F$125+'Ціни контур теплопостачання'!$D$125,IF(C126='Ціни контур теплопостачання'!$B$126,E126*'Ціни контур теплопостачання'!$C$126*'Ціни контур теплопостачання'!$E$126*'Ціни контур теплопостачання'!$F$126+'Ціни контур теплопостачання'!$D$126,IF(C126='Ціни контур теплопостачання'!$B$127,E126*'Ціни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6" s="170" t="s">
        <v>135</v>
      </c>
      <c r="I126" s="162" t="str">
        <f t="shared" si="12"/>
        <v xml:space="preserve">16+027M50HS-267 </v>
      </c>
      <c r="J126" s="162" t="str">
        <f t="shared" si="13"/>
        <v>16</v>
      </c>
      <c r="K126" s="162" t="str">
        <f t="shared" si="14"/>
        <v xml:space="preserve">027M50HS-267 </v>
      </c>
      <c r="L126" s="162" t="str">
        <f t="shared" si="15"/>
        <v>027</v>
      </c>
      <c r="M126" s="166" t="e">
        <f>IF(J126='Ціни контур теплопостачання'!$B$123,L126*'Ціни контур теплопостачання'!$C$123*'Ціни контур теплопостачання'!$E$123*'Ціни контур теплопостачання'!$F$123+'Ціни контур теплопостачання'!$D$123,IF(J126='Ціни контур теплопостачання'!$B$124,L126*'Ціни контур теплопостачання'!$C$124*'Ціни контур теплопостачання'!$E$124*'Ціни контур теплопостачання'!$F$124+'Ціни контур теплопостачання'!$D$124,IF(J126='Ціни контур теплопостачання'!$B$125,L126*'Ціни контур теплопостачання'!$C$125*'Ціни контур теплопостачання'!$E$125*'Ціни контур теплопостачання'!$F$125+'Ціни контур теплопостачання'!$D$125,IF(J126='Ціни контур теплопостачання'!$B$126,L126*'Ціни контур теплопостачання'!$C$126*'Ціни контур теплопостачання'!$E$126*'Ціни контур теплопостачання'!$F$126+'Ціни контур теплопостачання'!$D$126,IF(J126='Ціни контур теплопостачання'!$B$127,L126*'Ціни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7" spans="1:13">
      <c r="A127" s="168" t="s">
        <v>489</v>
      </c>
      <c r="B127" s="162" t="str">
        <f t="shared" si="8"/>
        <v xml:space="preserve">16+037A00HS-145  </v>
      </c>
      <c r="C127" s="162" t="str">
        <f t="shared" si="9"/>
        <v>16</v>
      </c>
      <c r="D127" s="162" t="str">
        <f t="shared" si="10"/>
        <v xml:space="preserve">037A00HS-145  </v>
      </c>
      <c r="E127" s="162" t="str">
        <f t="shared" si="11"/>
        <v>037</v>
      </c>
      <c r="F127" s="166" t="e">
        <f>IF(C127='Ціни контур теплопостачання'!$B$123,E127*'Ціни контур теплопостачання'!$C$123*'Ціни контур теплопостачання'!$E$123*'Ціни контур теплопостачання'!$F$123+'Ціни контур теплопостачання'!$D$123,IF(C127='Ціни контур теплопостачання'!$B$124,E127*'Ціни контур теплопостачання'!$C$124*'Ціни контур теплопостачання'!$E$124*'Ціни контур теплопостачання'!$F$124+'Ціни контур теплопостачання'!$D$124,IF(C127='Ціни контур теплопостачання'!$B$125,E127*'Ціни контур теплопостачання'!$C$125*'Ціни контур теплопостачання'!$E$125*'Ціни контур теплопостачання'!$F$125+'Ціни контур теплопостачання'!$D$125,IF(C127='Ціни контур теплопостачання'!$B$126,E127*'Ціни контур теплопостачання'!$C$126*'Ціни контур теплопостачання'!$E$126*'Ціни контур теплопостачання'!$F$126+'Ціни контур теплопостачання'!$D$126,IF(C127='Ціни контур теплопостачання'!$B$127,E127*'Ціни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7" s="170" t="s">
        <v>231</v>
      </c>
      <c r="I127" s="162" t="str">
        <f t="shared" si="12"/>
        <v xml:space="preserve">08+037A00HS-218 </v>
      </c>
      <c r="J127" s="162" t="str">
        <f t="shared" si="13"/>
        <v>08</v>
      </c>
      <c r="K127" s="162" t="str">
        <f t="shared" si="14"/>
        <v xml:space="preserve">037A00HS-218 </v>
      </c>
      <c r="L127" s="162" t="str">
        <f t="shared" si="15"/>
        <v>037</v>
      </c>
      <c r="M127" s="166" t="e">
        <f>IF(J127='Ціни контур теплопостачання'!$B$123,L127*'Ціни контур теплопостачання'!$C$123*'Ціни контур теплопостачання'!$E$123*'Ціни контур теплопостачання'!$F$123+'Ціни контур теплопостачання'!$D$123,IF(J127='Ціни контур теплопостачання'!$B$124,L127*'Ціни контур теплопостачання'!$C$124*'Ціни контур теплопостачання'!$E$124*'Ціни контур теплопостачання'!$F$124+'Ціни контур теплопостачання'!$D$124,IF(J127='Ціни контур теплопостачання'!$B$125,L127*'Ціни контур теплопостачання'!$C$125*'Ціни контур теплопостачання'!$E$125*'Ціни контур теплопостачання'!$F$125+'Ціни контур теплопостачання'!$D$125,IF(J127='Ціни контур теплопостачання'!$B$126,L127*'Ціни контур теплопостачання'!$C$126*'Ціни контур теплопостачання'!$E$126*'Ціни контур теплопостачання'!$F$126+'Ціни контур теплопостачання'!$D$126,IF(J127='Ціни контур теплопостачання'!$B$127,L127*'Ціни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8" spans="1:13">
      <c r="A128" s="168" t="s">
        <v>490</v>
      </c>
      <c r="B128" s="162" t="str">
        <f t="shared" si="8"/>
        <v xml:space="preserve">16+057A00HS-227 </v>
      </c>
      <c r="C128" s="162" t="str">
        <f t="shared" si="9"/>
        <v>16</v>
      </c>
      <c r="D128" s="162" t="str">
        <f t="shared" si="10"/>
        <v xml:space="preserve">057A00HS-227 </v>
      </c>
      <c r="E128" s="162" t="str">
        <f t="shared" si="11"/>
        <v>057</v>
      </c>
      <c r="F128" s="166" t="e">
        <f>IF(C128='Ціни контур теплопостачання'!$B$123,E128*'Ціни контур теплопостачання'!$C$123*'Ціни контур теплопостачання'!$E$123*'Ціни контур теплопостачання'!$F$123+'Ціни контур теплопостачання'!$D$123,IF(C128='Ціни контур теплопостачання'!$B$124,E128*'Ціни контур теплопостачання'!$C$124*'Ціни контур теплопостачання'!$E$124*'Ціни контур теплопостачання'!$F$124+'Ціни контур теплопостачання'!$D$124,IF(C128='Ціни контур теплопостачання'!$B$125,E128*'Ціни контур теплопостачання'!$C$125*'Ціни контур теплопостачання'!$E$125*'Ціни контур теплопостачання'!$F$125+'Ціни контур теплопостачання'!$D$125,IF(C128='Ціни контур теплопостачання'!$B$126,E128*'Ціни контур теплопостачання'!$C$126*'Ціни контур теплопостачання'!$E$126*'Ціни контур теплопостачання'!$F$126+'Ціни контур теплопостачання'!$D$126,IF(C128='Ціни контур теплопостачання'!$B$127,E128*'Ціни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8" s="170" t="s">
        <v>232</v>
      </c>
      <c r="I128" s="162" t="str">
        <f t="shared" si="12"/>
        <v xml:space="preserve">16+031M50HS-299 </v>
      </c>
      <c r="J128" s="162" t="str">
        <f t="shared" si="13"/>
        <v>16</v>
      </c>
      <c r="K128" s="162" t="str">
        <f t="shared" si="14"/>
        <v xml:space="preserve">031M50HS-299 </v>
      </c>
      <c r="L128" s="162" t="str">
        <f t="shared" si="15"/>
        <v>031</v>
      </c>
      <c r="M128" s="166" t="e">
        <f>IF(J128='Ціни контур теплопостачання'!$B$123,L128*'Ціни контур теплопостачання'!$C$123*'Ціни контур теплопостачання'!$E$123*'Ціни контур теплопостачання'!$F$123+'Ціни контур теплопостачання'!$D$123,IF(J128='Ціни контур теплопостачання'!$B$124,L128*'Ціни контур теплопостачання'!$C$124*'Ціни контур теплопостачання'!$E$124*'Ціни контур теплопостачання'!$F$124+'Ціни контур теплопостачання'!$D$124,IF(J128='Ціни контур теплопостачання'!$B$125,L128*'Ціни контур теплопостачання'!$C$125*'Ціни контур теплопостачання'!$E$125*'Ціни контур теплопостачання'!$F$125+'Ціни контур теплопостачання'!$D$125,IF(J128='Ціни контур теплопостачання'!$B$126,L128*'Ціни контур теплопостачання'!$C$126*'Ціни контур теплопостачання'!$E$126*'Ціни контур теплопостачання'!$F$126+'Ціни контур теплопостачання'!$D$126,IF(J128='Ціни контур теплопостачання'!$B$127,L128*'Ціни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29" spans="1:13">
      <c r="A129" s="168" t="s">
        <v>491</v>
      </c>
      <c r="B129" s="162" t="str">
        <f t="shared" si="8"/>
        <v xml:space="preserve">16+023A00HS-86  </v>
      </c>
      <c r="C129" s="162" t="str">
        <f t="shared" si="9"/>
        <v>16</v>
      </c>
      <c r="D129" s="162" t="str">
        <f t="shared" si="10"/>
        <v xml:space="preserve">023A00HS-86  </v>
      </c>
      <c r="E129" s="162" t="str">
        <f t="shared" si="11"/>
        <v>023</v>
      </c>
      <c r="F129" s="166" t="e">
        <f>IF(C129='Ціни контур теплопостачання'!$B$123,E129*'Ціни контур теплопостачання'!$C$123*'Ціни контур теплопостачання'!$E$123*'Ціни контур теплопостачання'!$F$123+'Ціни контур теплопостачання'!$D$123,IF(C129='Ціни контур теплопостачання'!$B$124,E129*'Ціни контур теплопостачання'!$C$124*'Ціни контур теплопостачання'!$E$124*'Ціни контур теплопостачання'!$F$124+'Ціни контур теплопостачання'!$D$124,IF(C129='Ціни контур теплопостачання'!$B$125,E129*'Ціни контур теплопостачання'!$C$125*'Ціни контур теплопостачання'!$E$125*'Ціни контур теплопостачання'!$F$125+'Ціни контур теплопостачання'!$D$125,IF(C129='Ціни контур теплопостачання'!$B$126,E129*'Ціни контур теплопостачання'!$C$126*'Ціни контур теплопостачання'!$E$126*'Ціни контур теплопостачання'!$F$126+'Ціни контур теплопостачання'!$D$126,IF(C129='Ціни контур теплопостачання'!$B$127,E129*'Ціни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29" s="170" t="s">
        <v>233</v>
      </c>
      <c r="I129" s="162" t="str">
        <f t="shared" si="12"/>
        <v xml:space="preserve">08+025A00HS-142 </v>
      </c>
      <c r="J129" s="162" t="str">
        <f t="shared" si="13"/>
        <v>08</v>
      </c>
      <c r="K129" s="162" t="str">
        <f t="shared" si="14"/>
        <v xml:space="preserve">025A00HS-142 </v>
      </c>
      <c r="L129" s="162" t="str">
        <f t="shared" si="15"/>
        <v>025</v>
      </c>
      <c r="M129" s="166" t="e">
        <f>IF(J129='Ціни контур теплопостачання'!$B$123,L129*'Ціни контур теплопостачання'!$C$123*'Ціни контур теплопостачання'!$E$123*'Ціни контур теплопостачання'!$F$123+'Ціни контур теплопостачання'!$D$123,IF(J129='Ціни контур теплопостачання'!$B$124,L129*'Ціни контур теплопостачання'!$C$124*'Ціни контур теплопостачання'!$E$124*'Ціни контур теплопостачання'!$F$124+'Ціни контур теплопостачання'!$D$124,IF(J129='Ціни контур теплопостачання'!$B$125,L129*'Ціни контур теплопостачання'!$C$125*'Ціни контур теплопостачання'!$E$125*'Ціни контур теплопостачання'!$F$125+'Ціни контур теплопостачання'!$D$125,IF(J129='Ціни контур теплопостачання'!$B$126,L129*'Ціни контур теплопостачання'!$C$126*'Ціни контур теплопостачання'!$E$126*'Ціни контур теплопостачання'!$F$126+'Ціни контур теплопостачання'!$D$126,IF(J129='Ціни контур теплопостачання'!$B$127,L129*'Ціни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0" spans="1:13">
      <c r="A130" s="168" t="s">
        <v>492</v>
      </c>
      <c r="B130" s="162" t="str">
        <f t="shared" si="8"/>
        <v xml:space="preserve">16+039A00HS-154  </v>
      </c>
      <c r="C130" s="162" t="str">
        <f t="shared" si="9"/>
        <v>16</v>
      </c>
      <c r="D130" s="162" t="str">
        <f t="shared" si="10"/>
        <v xml:space="preserve">039A00HS-154  </v>
      </c>
      <c r="E130" s="162" t="str">
        <f t="shared" si="11"/>
        <v>039</v>
      </c>
      <c r="F130" s="166" t="e">
        <f>IF(C130='Ціни контур теплопостачання'!$B$123,E130*'Ціни контур теплопостачання'!$C$123*'Ціни контур теплопостачання'!$E$123*'Ціни контур теплопостачання'!$F$123+'Ціни контур теплопостачання'!$D$123,IF(C130='Ціни контур теплопостачання'!$B$124,E130*'Ціни контур теплопостачання'!$C$124*'Ціни контур теплопостачання'!$E$124*'Ціни контур теплопостачання'!$F$124+'Ціни контур теплопостачання'!$D$124,IF(C130='Ціни контур теплопостачання'!$B$125,E130*'Ціни контур теплопостачання'!$C$125*'Ціни контур теплопостачання'!$E$125*'Ціни контур теплопостачання'!$F$125+'Ціни контур теплопостачання'!$D$125,IF(C130='Ціни контур теплопостачання'!$B$126,E130*'Ціни контур теплопостачання'!$C$126*'Ціни контур теплопостачання'!$E$126*'Ціни контур теплопостачання'!$F$126+'Ціни контур теплопостачання'!$D$126,IF(C130='Ціни контур теплопостачання'!$B$127,E130*'Ціни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0" s="170" t="s">
        <v>234</v>
      </c>
      <c r="I130" s="162" t="str">
        <f t="shared" si="12"/>
        <v xml:space="preserve">08+035A00HS-209 </v>
      </c>
      <c r="J130" s="162" t="str">
        <f t="shared" si="13"/>
        <v>08</v>
      </c>
      <c r="K130" s="162" t="str">
        <f t="shared" si="14"/>
        <v xml:space="preserve">035A00HS-209 </v>
      </c>
      <c r="L130" s="162" t="str">
        <f t="shared" si="15"/>
        <v>035</v>
      </c>
      <c r="M130" s="166" t="e">
        <f>IF(J130='Ціни контур теплопостачання'!$B$123,L130*'Ціни контур теплопостачання'!$C$123*'Ціни контур теплопостачання'!$E$123*'Ціни контур теплопостачання'!$F$123+'Ціни контур теплопостачання'!$D$123,IF(J130='Ціни контур теплопостачання'!$B$124,L130*'Ціни контур теплопостачання'!$C$124*'Ціни контур теплопостачання'!$E$124*'Ціни контур теплопостачання'!$F$124+'Ціни контур теплопостачання'!$D$124,IF(J130='Ціни контур теплопостачання'!$B$125,L130*'Ціни контур теплопостачання'!$C$125*'Ціни контур теплопостачання'!$E$125*'Ціни контур теплопостачання'!$F$125+'Ціни контур теплопостачання'!$D$125,IF(J130='Ціни контур теплопостачання'!$B$126,L130*'Ціни контур теплопостачання'!$C$126*'Ціни контур теплопостачання'!$E$126*'Ціни контур теплопостачання'!$F$126+'Ціни контур теплопостачання'!$D$126,IF(J130='Ціни контур теплопостачання'!$B$127,L130*'Ціни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1" spans="1:13">
      <c r="A131" s="168" t="s">
        <v>407</v>
      </c>
      <c r="B131" s="162" t="str">
        <f t="shared" ref="B131:B194" si="16">RIGHT(A131,LEN(A131)-6)</f>
        <v xml:space="preserve">16+055A00HS-218  </v>
      </c>
      <c r="C131" s="162" t="str">
        <f t="shared" ref="C131:C194" si="17">LEFT(B131,2)</f>
        <v>16</v>
      </c>
      <c r="D131" s="162" t="str">
        <f t="shared" ref="D131:D194" si="18">RIGHT(A131,LEN(A131)-9)</f>
        <v xml:space="preserve">055A00HS-218  </v>
      </c>
      <c r="E131" s="162" t="str">
        <f t="shared" ref="E131:E194" si="19">LEFT(D131,3)</f>
        <v>055</v>
      </c>
      <c r="F131" s="166" t="e">
        <f>IF(C131='Ціни контур теплопостачання'!$B$123,E131*'Ціни контур теплопостачання'!$C$123*'Ціни контур теплопостачання'!$E$123*'Ціни контур теплопостачання'!$F$123+'Ціни контур теплопостачання'!$D$123,IF(C131='Ціни контур теплопостачання'!$B$124,E131*'Ціни контур теплопостачання'!$C$124*'Ціни контур теплопостачання'!$E$124*'Ціни контур теплопостачання'!$F$124+'Ціни контур теплопостачання'!$D$124,IF(C131='Ціни контур теплопостачання'!$B$125,E131*'Ціни контур теплопостачання'!$C$125*'Ціни контур теплопостачання'!$E$125*'Ціни контур теплопостачання'!$F$125+'Ціни контур теплопостачання'!$D$125,IF(C131='Ціни контур теплопостачання'!$B$126,E131*'Ціни контур теплопостачання'!$C$126*'Ціни контур теплопостачання'!$E$126*'Ціни контур теплопостачання'!$F$126+'Ціни контур теплопостачання'!$D$126,IF(C131='Ціни контур теплопостачання'!$B$127,E131*'Ціни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1" s="170" t="s">
        <v>235</v>
      </c>
      <c r="I131" s="162" t="str">
        <f t="shared" ref="I131:I194" si="20">RIGHT(H131,LEN(H131)-6)</f>
        <v xml:space="preserve">16+029M50HS-295 </v>
      </c>
      <c r="J131" s="162" t="str">
        <f t="shared" ref="J131:J194" si="21">LEFT(I131,2)</f>
        <v>16</v>
      </c>
      <c r="K131" s="162" t="str">
        <f t="shared" ref="K131:K194" si="22">RIGHT(H131,LEN(H131)-9)</f>
        <v xml:space="preserve">029M50HS-295 </v>
      </c>
      <c r="L131" s="162" t="str">
        <f t="shared" ref="L131:L194" si="23">LEFT(K131,3)</f>
        <v>029</v>
      </c>
      <c r="M131" s="166" t="e">
        <f>IF(J131='Ціни контур теплопостачання'!$B$123,L131*'Ціни контур теплопостачання'!$C$123*'Ціни контур теплопостачання'!$E$123*'Ціни контур теплопостачання'!$F$123+'Ціни контур теплопостачання'!$D$123,IF(J131='Ціни контур теплопостачання'!$B$124,L131*'Ціни контур теплопостачання'!$C$124*'Ціни контур теплопостачання'!$E$124*'Ціни контур теплопостачання'!$F$124+'Ціни контур теплопостачання'!$D$124,IF(J131='Ціни контур теплопостачання'!$B$125,L131*'Ціни контур теплопостачання'!$C$125*'Ціни контур теплопостачання'!$E$125*'Ціни контур теплопостачання'!$F$125+'Ціни контур теплопостачання'!$D$125,IF(J131='Ціни контур теплопостачання'!$B$126,L131*'Ціни контур теплопостачання'!$C$126*'Ціни контур теплопостачання'!$E$126*'Ціни контур теплопостачання'!$F$126+'Ціни контур теплопостачання'!$D$126,IF(J131='Ціни контур теплопостачання'!$B$127,L131*'Ціни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2" spans="1:13">
      <c r="A132" s="168" t="s">
        <v>493</v>
      </c>
      <c r="B132" s="162" t="str">
        <f t="shared" si="16"/>
        <v xml:space="preserve">16+027A00HS-98  </v>
      </c>
      <c r="C132" s="162" t="str">
        <f t="shared" si="17"/>
        <v>16</v>
      </c>
      <c r="D132" s="162" t="str">
        <f t="shared" si="18"/>
        <v xml:space="preserve">027A00HS-98  </v>
      </c>
      <c r="E132" s="162" t="str">
        <f t="shared" si="19"/>
        <v>027</v>
      </c>
      <c r="F132" s="166" t="e">
        <f>IF(C132='Ціни контур теплопостачання'!$B$123,E132*'Ціни контур теплопостачання'!$C$123*'Ціни контур теплопостачання'!$E$123*'Ціни контур теплопостачання'!$F$123+'Ціни контур теплопостачання'!$D$123,IF(C132='Ціни контур теплопостачання'!$B$124,E132*'Ціни контур теплопостачання'!$C$124*'Ціни контур теплопостачання'!$E$124*'Ціни контур теплопостачання'!$F$124+'Ціни контур теплопостачання'!$D$124,IF(C132='Ціни контур теплопостачання'!$B$125,E132*'Ціни контур теплопостачання'!$C$125*'Ціни контур теплопостачання'!$E$125*'Ціни контур теплопостачання'!$F$125+'Ціни контур теплопостачання'!$D$125,IF(C132='Ціни контур теплопостачання'!$B$126,E132*'Ціни контур теплопостачання'!$C$126*'Ціни контур теплопостачання'!$E$126*'Ціни контур теплопостачання'!$F$126+'Ціни контур теплопостачання'!$D$126,IF(C132='Ціни контур теплопостачання'!$B$127,E132*'Ціни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2" s="170" t="s">
        <v>236</v>
      </c>
      <c r="I132" s="162" t="str">
        <f t="shared" si="20"/>
        <v xml:space="preserve">08+027A00HS-155 </v>
      </c>
      <c r="J132" s="162" t="str">
        <f t="shared" si="21"/>
        <v>08</v>
      </c>
      <c r="K132" s="162" t="str">
        <f t="shared" si="22"/>
        <v xml:space="preserve">027A00HS-155 </v>
      </c>
      <c r="L132" s="162" t="str">
        <f t="shared" si="23"/>
        <v>027</v>
      </c>
      <c r="M132" s="166" t="e">
        <f>IF(J132='Ціни контур теплопостачання'!$B$123,L132*'Ціни контур теплопостачання'!$C$123*'Ціни контур теплопостачання'!$E$123*'Ціни контур теплопостачання'!$F$123+'Ціни контур теплопостачання'!$D$123,IF(J132='Ціни контур теплопостачання'!$B$124,L132*'Ціни контур теплопостачання'!$C$124*'Ціни контур теплопостачання'!$E$124*'Ціни контур теплопостачання'!$F$124+'Ціни контур теплопостачання'!$D$124,IF(J132='Ціни контур теплопостачання'!$B$125,L132*'Ціни контур теплопостачання'!$C$125*'Ціни контур теплопостачання'!$E$125*'Ціни контур теплопостачання'!$F$125+'Ціни контур теплопостачання'!$D$125,IF(J132='Ціни контур теплопостачання'!$B$126,L132*'Ціни контур теплопостачання'!$C$126*'Ціни контур теплопостачання'!$E$126*'Ціни контур теплопостачання'!$F$126+'Ціни контур теплопостачання'!$D$126,IF(J132='Ціни контур теплопостачання'!$B$127,L132*'Ціни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3" spans="1:13">
      <c r="A133" s="168" t="s">
        <v>494</v>
      </c>
      <c r="B133" s="162" t="str">
        <f t="shared" si="16"/>
        <v xml:space="preserve">16+067A00HS-266  </v>
      </c>
      <c r="C133" s="162" t="str">
        <f t="shared" si="17"/>
        <v>16</v>
      </c>
      <c r="D133" s="162" t="str">
        <f t="shared" si="18"/>
        <v xml:space="preserve">067A00HS-266  </v>
      </c>
      <c r="E133" s="162" t="str">
        <f t="shared" si="19"/>
        <v>067</v>
      </c>
      <c r="F133" s="166" t="e">
        <f>IF(C133='Ціни контур теплопостачання'!$B$123,E133*'Ціни контур теплопостачання'!$C$123*'Ціни контур теплопостачання'!$E$123*'Ціни контур теплопостачання'!$F$123+'Ціни контур теплопостачання'!$D$123,IF(C133='Ціни контур теплопостачання'!$B$124,E133*'Ціни контур теплопостачання'!$C$124*'Ціни контур теплопостачання'!$E$124*'Ціни контур теплопостачання'!$F$124+'Ціни контур теплопостачання'!$D$124,IF(C133='Ціни контур теплопостачання'!$B$125,E133*'Ціни контур теплопостачання'!$C$125*'Ціни контур теплопостачання'!$E$125*'Ціни контур теплопостачання'!$F$125+'Ціни контур теплопостачання'!$D$125,IF(C133='Ціни контур теплопостачання'!$B$126,E133*'Ціни контур теплопостачання'!$C$126*'Ціни контур теплопостачання'!$E$126*'Ціни контур теплопостачання'!$F$126+'Ціни контур теплопостачання'!$D$126,IF(C133='Ціни контур теплопостачання'!$B$127,E133*'Ціни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3" s="170" t="s">
        <v>237</v>
      </c>
      <c r="I133" s="162" t="str">
        <f t="shared" si="20"/>
        <v xml:space="preserve">16+033M50HS-323 </v>
      </c>
      <c r="J133" s="162" t="str">
        <f t="shared" si="21"/>
        <v>16</v>
      </c>
      <c r="K133" s="162" t="str">
        <f t="shared" si="22"/>
        <v xml:space="preserve">033M50HS-323 </v>
      </c>
      <c r="L133" s="162" t="str">
        <f t="shared" si="23"/>
        <v>033</v>
      </c>
      <c r="M133" s="166" t="e">
        <f>IF(J133='Ціни контур теплопостачання'!$B$123,L133*'Ціни контур теплопостачання'!$C$123*'Ціни контур теплопостачання'!$E$123*'Ціни контур теплопостачання'!$F$123+'Ціни контур теплопостачання'!$D$123,IF(J133='Ціни контур теплопостачання'!$B$124,L133*'Ціни контур теплопостачання'!$C$124*'Ціни контур теплопостачання'!$E$124*'Ціни контур теплопостачання'!$F$124+'Ціни контур теплопостачання'!$D$124,IF(J133='Ціни контур теплопостачання'!$B$125,L133*'Ціни контур теплопостачання'!$C$125*'Ціни контур теплопостачання'!$E$125*'Ціни контур теплопостачання'!$F$125+'Ціни контур теплопостачання'!$D$125,IF(J133='Ціни контур теплопостачання'!$B$126,L133*'Ціни контур теплопостачання'!$C$126*'Ціни контур теплопостачання'!$E$126*'Ціни контур теплопостачання'!$F$126+'Ціни контур теплопостачання'!$D$126,IF(J133='Ціни контур теплопостачання'!$B$127,L133*'Ціни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4" spans="1:13">
      <c r="A134" s="168" t="s">
        <v>495</v>
      </c>
      <c r="B134" s="162" t="str">
        <f t="shared" si="16"/>
        <v xml:space="preserve">16+037A00HS-141  </v>
      </c>
      <c r="C134" s="162" t="str">
        <f t="shared" si="17"/>
        <v>16</v>
      </c>
      <c r="D134" s="162" t="str">
        <f t="shared" si="18"/>
        <v xml:space="preserve">037A00HS-141  </v>
      </c>
      <c r="E134" s="162" t="str">
        <f t="shared" si="19"/>
        <v>037</v>
      </c>
      <c r="F134" s="166" t="e">
        <f>IF(C134='Ціни контур теплопостачання'!$B$123,E134*'Ціни контур теплопостачання'!$C$123*'Ціни контур теплопостачання'!$E$123*'Ціни контур теплопостачання'!$F$123+'Ціни контур теплопостачання'!$D$123,IF(C134='Ціни контур теплопостачання'!$B$124,E134*'Ціни контур теплопостачання'!$C$124*'Ціни контур теплопостачання'!$E$124*'Ціни контур теплопостачання'!$F$124+'Ціни контур теплопостачання'!$D$124,IF(C134='Ціни контур теплопостачання'!$B$125,E134*'Ціни контур теплопостачання'!$C$125*'Ціни контур теплопостачання'!$E$125*'Ціни контур теплопостачання'!$F$125+'Ціни контур теплопостачання'!$D$125,IF(C134='Ціни контур теплопостачання'!$B$126,E134*'Ціни контур теплопостачання'!$C$126*'Ціни контур теплопостачання'!$E$126*'Ціни контур теплопостачання'!$F$126+'Ціни контур теплопостачання'!$D$126,IF(C134='Ціни контур теплопостачання'!$B$127,E134*'Ціни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4" s="170" t="s">
        <v>238</v>
      </c>
      <c r="I134" s="162" t="str">
        <f t="shared" si="20"/>
        <v xml:space="preserve">08+039A00HS-227 </v>
      </c>
      <c r="J134" s="162" t="str">
        <f t="shared" si="21"/>
        <v>08</v>
      </c>
      <c r="K134" s="162" t="str">
        <f t="shared" si="22"/>
        <v xml:space="preserve">039A00HS-227 </v>
      </c>
      <c r="L134" s="162" t="str">
        <f t="shared" si="23"/>
        <v>039</v>
      </c>
      <c r="M134" s="166" t="e">
        <f>IF(J134='Ціни контур теплопостачання'!$B$123,L134*'Ціни контур теплопостачання'!$C$123*'Ціни контур теплопостачання'!$E$123*'Ціни контур теплопостачання'!$F$123+'Ціни контур теплопостачання'!$D$123,IF(J134='Ціни контур теплопостачання'!$B$124,L134*'Ціни контур теплопостачання'!$C$124*'Ціни контур теплопостачання'!$E$124*'Ціни контур теплопостачання'!$F$124+'Ціни контур теплопостачання'!$D$124,IF(J134='Ціни контур теплопостачання'!$B$125,L134*'Ціни контур теплопостачання'!$C$125*'Ціни контур теплопостачання'!$E$125*'Ціни контур теплопостачання'!$F$125+'Ціни контур теплопостачання'!$D$125,IF(J134='Ціни контур теплопостачання'!$B$126,L134*'Ціни контур теплопостачання'!$C$126*'Ціни контур теплопостачання'!$E$126*'Ціни контур теплопостачання'!$F$126+'Ціни контур теплопостачання'!$D$126,IF(J134='Ціни контур теплопостачання'!$B$127,L134*'Ціни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5" spans="1:13">
      <c r="A135" s="168" t="s">
        <v>464</v>
      </c>
      <c r="B135" s="162" t="str">
        <f t="shared" si="16"/>
        <v xml:space="preserve">16+031A00HS-118  </v>
      </c>
      <c r="C135" s="162" t="str">
        <f t="shared" si="17"/>
        <v>16</v>
      </c>
      <c r="D135" s="162" t="str">
        <f t="shared" si="18"/>
        <v xml:space="preserve">031A00HS-118  </v>
      </c>
      <c r="E135" s="162" t="str">
        <f t="shared" si="19"/>
        <v>031</v>
      </c>
      <c r="F135" s="166" t="e">
        <f>IF(C135='Ціни контур теплопостачання'!$B$123,E135*'Ціни контур теплопостачання'!$C$123*'Ціни контур теплопостачання'!$E$123*'Ціни контур теплопостачання'!$F$123+'Ціни контур теплопостачання'!$D$123,IF(C135='Ціни контур теплопостачання'!$B$124,E135*'Ціни контур теплопостачання'!$C$124*'Ціни контур теплопостачання'!$E$124*'Ціни контур теплопостачання'!$F$124+'Ціни контур теплопостачання'!$D$124,IF(C135='Ціни контур теплопостачання'!$B$125,E135*'Ціни контур теплопостачання'!$C$125*'Ціни контур теплопостачання'!$E$125*'Ціни контур теплопостачання'!$F$125+'Ціни контур теплопостачання'!$D$125,IF(C135='Ціни контур теплопостачання'!$B$126,E135*'Ціни контур теплопостачання'!$C$126*'Ціни контур теплопостачання'!$E$126*'Ціни контур теплопостачання'!$F$126+'Ціни контур теплопостачання'!$D$126,IF(C135='Ціни контур теплопостачання'!$B$127,E135*'Ціни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5" s="170" t="s">
        <v>239</v>
      </c>
      <c r="I135" s="162" t="str">
        <f t="shared" si="20"/>
        <v xml:space="preserve">08+031A00HS-188 </v>
      </c>
      <c r="J135" s="162" t="str">
        <f t="shared" si="21"/>
        <v>08</v>
      </c>
      <c r="K135" s="162" t="str">
        <f t="shared" si="22"/>
        <v xml:space="preserve">031A00HS-188 </v>
      </c>
      <c r="L135" s="162" t="str">
        <f t="shared" si="23"/>
        <v>031</v>
      </c>
      <c r="M135" s="166" t="e">
        <f>IF(J135='Ціни контур теплопостачання'!$B$123,L135*'Ціни контур теплопостачання'!$C$123*'Ціни контур теплопостачання'!$E$123*'Ціни контур теплопостачання'!$F$123+'Ціни контур теплопостачання'!$D$123,IF(J135='Ціни контур теплопостачання'!$B$124,L135*'Ціни контур теплопостачання'!$C$124*'Ціни контур теплопостачання'!$E$124*'Ціни контур теплопостачання'!$F$124+'Ціни контур теплопостачання'!$D$124,IF(J135='Ціни контур теплопостачання'!$B$125,L135*'Ціни контур теплопостачання'!$C$125*'Ціни контур теплопостачання'!$E$125*'Ціни контур теплопостачання'!$F$125+'Ціни контур теплопостачання'!$D$125,IF(J135='Ціни контур теплопостачання'!$B$126,L135*'Ціни контур теплопостачання'!$C$126*'Ціни контур теплопостачання'!$E$126*'Ціни контур теплопостачання'!$F$126+'Ціни контур теплопостачання'!$D$126,IF(J135='Ціни контур теплопостачання'!$B$127,L135*'Ціни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6" spans="1:13">
      <c r="A136" s="168" t="s">
        <v>496</v>
      </c>
      <c r="B136" s="162" t="str">
        <f t="shared" si="16"/>
        <v xml:space="preserve">16+031A00HS-122  </v>
      </c>
      <c r="C136" s="162" t="str">
        <f t="shared" si="17"/>
        <v>16</v>
      </c>
      <c r="D136" s="162" t="str">
        <f t="shared" si="18"/>
        <v xml:space="preserve">031A00HS-122  </v>
      </c>
      <c r="E136" s="162" t="str">
        <f t="shared" si="19"/>
        <v>031</v>
      </c>
      <c r="F136" s="166" t="e">
        <f>IF(C136='Ціни контур теплопостачання'!$B$123,E136*'Ціни контур теплопостачання'!$C$123*'Ціни контур теплопостачання'!$E$123*'Ціни контур теплопостачання'!$F$123+'Ціни контур теплопостачання'!$D$123,IF(C136='Ціни контур теплопостачання'!$B$124,E136*'Ціни контур теплопостачання'!$C$124*'Ціни контур теплопостачання'!$E$124*'Ціни контур теплопостачання'!$F$124+'Ціни контур теплопостачання'!$D$124,IF(C136='Ціни контур теплопостачання'!$B$125,E136*'Ціни контур теплопостачання'!$C$125*'Ціни контур теплопостачання'!$E$125*'Ціни контур теплопостачання'!$F$125+'Ціни контур теплопостачання'!$D$125,IF(C136='Ціни контур теплопостачання'!$B$126,E136*'Ціни контур теплопостачання'!$C$126*'Ціни контур теплопостачання'!$E$126*'Ціни контур теплопостачання'!$F$126+'Ціни контур теплопостачання'!$D$126,IF(C136='Ціни контур теплопостачання'!$B$127,E136*'Ціни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6" s="170" t="s">
        <v>240</v>
      </c>
      <c r="I136" s="162" t="str">
        <f t="shared" si="20"/>
        <v xml:space="preserve">08+037A00HS-219 </v>
      </c>
      <c r="J136" s="162" t="str">
        <f t="shared" si="21"/>
        <v>08</v>
      </c>
      <c r="K136" s="162" t="str">
        <f t="shared" si="22"/>
        <v xml:space="preserve">037A00HS-219 </v>
      </c>
      <c r="L136" s="162" t="str">
        <f t="shared" si="23"/>
        <v>037</v>
      </c>
      <c r="M136" s="166" t="e">
        <f>IF(J136='Ціни контур теплопостачання'!$B$123,L136*'Ціни контур теплопостачання'!$C$123*'Ціни контур теплопостачання'!$E$123*'Ціни контур теплопостачання'!$F$123+'Ціни контур теплопостачання'!$D$123,IF(J136='Ціни контур теплопостачання'!$B$124,L136*'Ціни контур теплопостачання'!$C$124*'Ціни контур теплопостачання'!$E$124*'Ціни контур теплопостачання'!$F$124+'Ціни контур теплопостачання'!$D$124,IF(J136='Ціни контур теплопостачання'!$B$125,L136*'Ціни контур теплопостачання'!$C$125*'Ціни контур теплопостачання'!$E$125*'Ціни контур теплопостачання'!$F$125+'Ціни контур теплопостачання'!$D$125,IF(J136='Ціни контур теплопостачання'!$B$126,L136*'Ціни контур теплопостачання'!$C$126*'Ціни контур теплопостачання'!$E$126*'Ціни контур теплопостачання'!$F$126+'Ціни контур теплопостачання'!$D$126,IF(J136='Ціни контур теплопостачання'!$B$127,L136*'Ціни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7" spans="1:13">
      <c r="A137" s="168" t="s">
        <v>497</v>
      </c>
      <c r="B137" s="162" t="str">
        <f t="shared" si="16"/>
        <v xml:space="preserve">16+049A00HS-194  </v>
      </c>
      <c r="C137" s="162" t="str">
        <f t="shared" si="17"/>
        <v>16</v>
      </c>
      <c r="D137" s="162" t="str">
        <f t="shared" si="18"/>
        <v xml:space="preserve">049A00HS-194  </v>
      </c>
      <c r="E137" s="162" t="str">
        <f t="shared" si="19"/>
        <v>049</v>
      </c>
      <c r="F137" s="166" t="e">
        <f>IF(C137='Ціни контур теплопостачання'!$B$123,E137*'Ціни контур теплопостачання'!$C$123*'Ціни контур теплопостачання'!$E$123*'Ціни контур теплопостачання'!$F$123+'Ціни контур теплопостачання'!$D$123,IF(C137='Ціни контур теплопостачання'!$B$124,E137*'Ціни контур теплопостачання'!$C$124*'Ціни контур теплопостачання'!$E$124*'Ціни контур теплопостачання'!$F$124+'Ціни контур теплопостачання'!$D$124,IF(C137='Ціни контур теплопостачання'!$B$125,E137*'Ціни контур теплопостачання'!$C$125*'Ціни контур теплопостачання'!$E$125*'Ціни контур теплопостачання'!$F$125+'Ціни контур теплопостачання'!$D$125,IF(C137='Ціни контур теплопостачання'!$B$126,E137*'Ціни контур теплопостачання'!$C$126*'Ціни контур теплопостачання'!$E$126*'Ціни контур теплопостачання'!$F$126+'Ціни контур теплопостачання'!$D$126,IF(C137='Ціни контур теплопостачання'!$B$127,E137*'Ціни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7" s="170" t="s">
        <v>241</v>
      </c>
      <c r="I137" s="162" t="str">
        <f t="shared" si="20"/>
        <v xml:space="preserve">08+029A00HS-170 </v>
      </c>
      <c r="J137" s="162" t="str">
        <f t="shared" si="21"/>
        <v>08</v>
      </c>
      <c r="K137" s="162" t="str">
        <f t="shared" si="22"/>
        <v xml:space="preserve">029A00HS-170 </v>
      </c>
      <c r="L137" s="162" t="str">
        <f t="shared" si="23"/>
        <v>029</v>
      </c>
      <c r="M137" s="166" t="e">
        <f>IF(J137='Ціни контур теплопостачання'!$B$123,L137*'Ціни контур теплопостачання'!$C$123*'Ціни контур теплопостачання'!$E$123*'Ціни контур теплопостачання'!$F$123+'Ціни контур теплопостачання'!$D$123,IF(J137='Ціни контур теплопостачання'!$B$124,L137*'Ціни контур теплопостачання'!$C$124*'Ціни контур теплопостачання'!$E$124*'Ціни контур теплопостачання'!$F$124+'Ціни контур теплопостачання'!$D$124,IF(J137='Ціни контур теплопостачання'!$B$125,L137*'Ціни контур теплопостачання'!$C$125*'Ціни контур теплопостачання'!$E$125*'Ціни контур теплопостачання'!$F$125+'Ціни контур теплопостачання'!$D$125,IF(J137='Ціни контур теплопостачання'!$B$126,L137*'Ціни контур теплопостачання'!$C$126*'Ціни контур теплопостачання'!$E$126*'Ціни контур теплопостачання'!$F$126+'Ціни контур теплопостачання'!$D$126,IF(J137='Ціни контур теплопостачання'!$B$127,L137*'Ціни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8" spans="1:13">
      <c r="A138" s="168" t="s">
        <v>498</v>
      </c>
      <c r="B138" s="162" t="str">
        <f t="shared" si="16"/>
        <v xml:space="preserve">16+101A00HS-426   </v>
      </c>
      <c r="C138" s="162" t="str">
        <f t="shared" si="17"/>
        <v>16</v>
      </c>
      <c r="D138" s="162" t="str">
        <f t="shared" si="18"/>
        <v xml:space="preserve">101A00HS-426   </v>
      </c>
      <c r="E138" s="162" t="str">
        <f t="shared" si="19"/>
        <v>101</v>
      </c>
      <c r="F138" s="166" t="e">
        <f>IF(C138='Ціни контур теплопостачання'!$B$123,E138*'Ціни контур теплопостачання'!$C$123*'Ціни контур теплопостачання'!$E$123*'Ціни контур теплопостачання'!$F$123+'Ціни контур теплопостачання'!$D$123,IF(C138='Ціни контур теплопостачання'!$B$124,E138*'Ціни контур теплопостачання'!$C$124*'Ціни контур теплопостачання'!$E$124*'Ціни контур теплопостачання'!$F$124+'Ціни контур теплопостачання'!$D$124,IF(C138='Ціни контур теплопостачання'!$B$125,E138*'Ціни контур теплопостачання'!$C$125*'Ціни контур теплопостачання'!$E$125*'Ціни контур теплопостачання'!$F$125+'Ціни контур теплопостачання'!$D$125,IF(C138='Ціни контур теплопостачання'!$B$126,E138*'Ціни контур теплопостачання'!$C$126*'Ціни контур теплопостачання'!$E$126*'Ціни контур теплопостачання'!$F$126+'Ціни контур теплопостачання'!$D$126,IF(C138='Ціни контур теплопостачання'!$B$127,E138*'Ціни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8" s="170" t="s">
        <v>147</v>
      </c>
      <c r="I138" s="162" t="str">
        <f t="shared" si="20"/>
        <v xml:space="preserve">16+037M50HS-373 </v>
      </c>
      <c r="J138" s="162" t="str">
        <f t="shared" si="21"/>
        <v>16</v>
      </c>
      <c r="K138" s="162" t="str">
        <f t="shared" si="22"/>
        <v xml:space="preserve">037M50HS-373 </v>
      </c>
      <c r="L138" s="162" t="str">
        <f t="shared" si="23"/>
        <v>037</v>
      </c>
      <c r="M138" s="166" t="e">
        <f>IF(J138='Ціни контур теплопостачання'!$B$123,L138*'Ціни контур теплопостачання'!$C$123*'Ціни контур теплопостачання'!$E$123*'Ціни контур теплопостачання'!$F$123+'Ціни контур теплопостачання'!$D$123,IF(J138='Ціни контур теплопостачання'!$B$124,L138*'Ціни контур теплопостачання'!$C$124*'Ціни контур теплопостачання'!$E$124*'Ціни контур теплопостачання'!$F$124+'Ціни контур теплопостачання'!$D$124,IF(J138='Ціни контур теплопостачання'!$B$125,L138*'Ціни контур теплопостачання'!$C$125*'Ціни контур теплопостачання'!$E$125*'Ціни контур теплопостачання'!$F$125+'Ціни контур теплопостачання'!$D$125,IF(J138='Ціни контур теплопостачання'!$B$126,L138*'Ціни контур теплопостачання'!$C$126*'Ціни контур теплопостачання'!$E$126*'Ціни контур теплопостачання'!$F$126+'Ціни контур теплопостачання'!$D$126,IF(J138='Ціни контур теплопостачання'!$B$127,L138*'Ціни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39" spans="1:13">
      <c r="A139" s="168" t="s">
        <v>499</v>
      </c>
      <c r="B139" s="162" t="str">
        <f t="shared" si="16"/>
        <v xml:space="preserve">16+039A00HS-152  </v>
      </c>
      <c r="C139" s="162" t="str">
        <f t="shared" si="17"/>
        <v>16</v>
      </c>
      <c r="D139" s="162" t="str">
        <f t="shared" si="18"/>
        <v xml:space="preserve">039A00HS-152  </v>
      </c>
      <c r="E139" s="162" t="str">
        <f t="shared" si="19"/>
        <v>039</v>
      </c>
      <c r="F139" s="166" t="e">
        <f>IF(C139='Ціни контур теплопостачання'!$B$123,E139*'Ціни контур теплопостачання'!$C$123*'Ціни контур теплопостачання'!$E$123*'Ціни контур теплопостачання'!$F$123+'Ціни контур теплопостачання'!$D$123,IF(C139='Ціни контур теплопостачання'!$B$124,E139*'Ціни контур теплопостачання'!$C$124*'Ціни контур теплопостачання'!$E$124*'Ціни контур теплопостачання'!$F$124+'Ціни контур теплопостачання'!$D$124,IF(C139='Ціни контур теплопостачання'!$B$125,E139*'Ціни контур теплопостачання'!$C$125*'Ціни контур теплопостачання'!$E$125*'Ціни контур теплопостачання'!$F$125+'Ціни контур теплопостачання'!$D$125,IF(C139='Ціни контур теплопостачання'!$B$126,E139*'Ціни контур теплопостачання'!$C$126*'Ціни контур теплопостачання'!$E$126*'Ціни контур теплопостачання'!$F$126+'Ціни контур теплопостачання'!$D$126,IF(C139='Ціни контур теплопостачання'!$B$127,E139*'Ціни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39" s="170" t="s">
        <v>242</v>
      </c>
      <c r="I139" s="162" t="str">
        <f t="shared" si="20"/>
        <v xml:space="preserve">08+033A00HS-190 </v>
      </c>
      <c r="J139" s="162" t="str">
        <f t="shared" si="21"/>
        <v>08</v>
      </c>
      <c r="K139" s="162" t="str">
        <f t="shared" si="22"/>
        <v xml:space="preserve">033A00HS-190 </v>
      </c>
      <c r="L139" s="162" t="str">
        <f t="shared" si="23"/>
        <v>033</v>
      </c>
      <c r="M139" s="166" t="e">
        <f>IF(J139='Ціни контур теплопостачання'!$B$123,L139*'Ціни контур теплопостачання'!$C$123*'Ціни контур теплопостачання'!$E$123*'Ціни контур теплопостачання'!$F$123+'Ціни контур теплопостачання'!$D$123,IF(J139='Ціни контур теплопостачання'!$B$124,L139*'Ціни контур теплопостачання'!$C$124*'Ціни контур теплопостачання'!$E$124*'Ціни контур теплопостачання'!$F$124+'Ціни контур теплопостачання'!$D$124,IF(J139='Ціни контур теплопостачання'!$B$125,L139*'Ціни контур теплопостачання'!$C$125*'Ціни контур теплопостачання'!$E$125*'Ціни контур теплопостачання'!$F$125+'Ціни контур теплопостачання'!$D$125,IF(J139='Ціни контур теплопостачання'!$B$126,L139*'Ціни контур теплопостачання'!$C$126*'Ціни контур теплопостачання'!$E$126*'Ціни контур теплопостачання'!$F$126+'Ціни контур теплопостачання'!$D$126,IF(J139='Ціни контур теплопостачання'!$B$127,L139*'Ціни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0" spans="1:13">
      <c r="A140" s="168" t="s">
        <v>500</v>
      </c>
      <c r="B140" s="162" t="str">
        <f t="shared" si="16"/>
        <v xml:space="preserve">16+021A00HS-76 </v>
      </c>
      <c r="C140" s="162" t="str">
        <f t="shared" si="17"/>
        <v>16</v>
      </c>
      <c r="D140" s="162" t="str">
        <f t="shared" si="18"/>
        <v xml:space="preserve">021A00HS-76 </v>
      </c>
      <c r="E140" s="162" t="str">
        <f t="shared" si="19"/>
        <v>021</v>
      </c>
      <c r="F140" s="166" t="e">
        <f>IF(C140='Ціни контур теплопостачання'!$B$123,E140*'Ціни контур теплопостачання'!$C$123*'Ціни контур теплопостачання'!$E$123*'Ціни контур теплопостачання'!$F$123+'Ціни контур теплопостачання'!$D$123,IF(C140='Ціни контур теплопостачання'!$B$124,E140*'Ціни контур теплопостачання'!$C$124*'Ціни контур теплопостачання'!$E$124*'Ціни контур теплопостачання'!$F$124+'Ціни контур теплопостачання'!$D$124,IF(C140='Ціни контур теплопостачання'!$B$125,E140*'Ціни контур теплопостачання'!$C$125*'Ціни контур теплопостачання'!$E$125*'Ціни контур теплопостачання'!$F$125+'Ціни контур теплопостачання'!$D$125,IF(C140='Ціни контур теплопостачання'!$B$126,E140*'Ціни контур теплопостачання'!$C$126*'Ціни контур теплопостачання'!$E$126*'Ціни контур теплопостачання'!$F$126+'Ціни контур теплопостачання'!$D$126,IF(C140='Ціни контур теплопостачання'!$B$127,E140*'Ціни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0" s="170" t="s">
        <v>166</v>
      </c>
      <c r="I140" s="162" t="str">
        <f t="shared" si="20"/>
        <v xml:space="preserve">08+017A00HS-95 </v>
      </c>
      <c r="J140" s="162" t="str">
        <f t="shared" si="21"/>
        <v>08</v>
      </c>
      <c r="K140" s="162" t="str">
        <f t="shared" si="22"/>
        <v xml:space="preserve">017A00HS-95 </v>
      </c>
      <c r="L140" s="162" t="str">
        <f t="shared" si="23"/>
        <v>017</v>
      </c>
      <c r="M140" s="166" t="e">
        <f>IF(J140='Ціни контур теплопостачання'!$B$123,L140*'Ціни контур теплопостачання'!$C$123*'Ціни контур теплопостачання'!$E$123*'Ціни контур теплопостачання'!$F$123+'Ціни контур теплопостачання'!$D$123,IF(J140='Ціни контур теплопостачання'!$B$124,L140*'Ціни контур теплопостачання'!$C$124*'Ціни контур теплопостачання'!$E$124*'Ціни контур теплопостачання'!$F$124+'Ціни контур теплопостачання'!$D$124,IF(J140='Ціни контур теплопостачання'!$B$125,L140*'Ціни контур теплопостачання'!$C$125*'Ціни контур теплопостачання'!$E$125*'Ціни контур теплопостачання'!$F$125+'Ціни контур теплопостачання'!$D$125,IF(J140='Ціни контур теплопостачання'!$B$126,L140*'Ціни контур теплопостачання'!$C$126*'Ціни контур теплопостачання'!$E$126*'Ціни контур теплопостачання'!$F$126+'Ціни контур теплопостачання'!$D$126,IF(J140='Ціни контур теплопостачання'!$B$127,L140*'Ціни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1" spans="1:13">
      <c r="A141" s="168" t="s">
        <v>501</v>
      </c>
      <c r="B141" s="162" t="str">
        <f t="shared" si="16"/>
        <v xml:space="preserve">16+029A00HS-114  </v>
      </c>
      <c r="C141" s="162" t="str">
        <f t="shared" si="17"/>
        <v>16</v>
      </c>
      <c r="D141" s="162" t="str">
        <f t="shared" si="18"/>
        <v xml:space="preserve">029A00HS-114  </v>
      </c>
      <c r="E141" s="162" t="str">
        <f t="shared" si="19"/>
        <v>029</v>
      </c>
      <c r="F141" s="166" t="e">
        <f>IF(C141='Ціни контур теплопостачання'!$B$123,E141*'Ціни контур теплопостачання'!$C$123*'Ціни контур теплопостачання'!$E$123*'Ціни контур теплопостачання'!$F$123+'Ціни контур теплопостачання'!$D$123,IF(C141='Ціни контур теплопостачання'!$B$124,E141*'Ціни контур теплопостачання'!$C$124*'Ціни контур теплопостачання'!$E$124*'Ціни контур теплопостачання'!$F$124+'Ціни контур теплопостачання'!$D$124,IF(C141='Ціни контур теплопостачання'!$B$125,E141*'Ціни контур теплопостачання'!$C$125*'Ціни контур теплопостачання'!$E$125*'Ціни контур теплопостачання'!$F$125+'Ціни контур теплопостачання'!$D$125,IF(C141='Ціни контур теплопостачання'!$B$126,E141*'Ціни контур теплопостачання'!$C$126*'Ціни контур теплопостачання'!$E$126*'Ціни контур теплопостачання'!$F$126+'Ціни контур теплопостачання'!$D$126,IF(C141='Ціни контур теплопостачання'!$B$127,E141*'Ціни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1" s="170" t="s">
        <v>243</v>
      </c>
      <c r="I141" s="162" t="str">
        <f t="shared" si="20"/>
        <v xml:space="preserve">08+033A00HS-194 </v>
      </c>
      <c r="J141" s="162" t="str">
        <f t="shared" si="21"/>
        <v>08</v>
      </c>
      <c r="K141" s="162" t="str">
        <f t="shared" si="22"/>
        <v xml:space="preserve">033A00HS-194 </v>
      </c>
      <c r="L141" s="162" t="str">
        <f t="shared" si="23"/>
        <v>033</v>
      </c>
      <c r="M141" s="166" t="e">
        <f>IF(J141='Ціни контур теплопостачання'!$B$123,L141*'Ціни контур теплопостачання'!$C$123*'Ціни контур теплопостачання'!$E$123*'Ціни контур теплопостачання'!$F$123+'Ціни контур теплопостачання'!$D$123,IF(J141='Ціни контур теплопостачання'!$B$124,L141*'Ціни контур теплопостачання'!$C$124*'Ціни контур теплопостачання'!$E$124*'Ціни контур теплопостачання'!$F$124+'Ціни контур теплопостачання'!$D$124,IF(J141='Ціни контур теплопостачання'!$B$125,L141*'Ціни контур теплопостачання'!$C$125*'Ціни контур теплопостачання'!$E$125*'Ціни контур теплопостачання'!$F$125+'Ціни контур теплопостачання'!$D$125,IF(J141='Ціни контур теплопостачання'!$B$126,L141*'Ціни контур теплопостачання'!$C$126*'Ціни контур теплопостачання'!$E$126*'Ціни контур теплопостачання'!$F$126+'Ціни контур теплопостачання'!$D$126,IF(J141='Ціни контур теплопостачання'!$B$127,L141*'Ціни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2" spans="1:13">
      <c r="A142" s="168" t="s">
        <v>502</v>
      </c>
      <c r="B142" s="162" t="str">
        <f t="shared" si="16"/>
        <v xml:space="preserve">16+037A00HS-144  </v>
      </c>
      <c r="C142" s="162" t="str">
        <f t="shared" si="17"/>
        <v>16</v>
      </c>
      <c r="D142" s="162" t="str">
        <f t="shared" si="18"/>
        <v xml:space="preserve">037A00HS-144  </v>
      </c>
      <c r="E142" s="162" t="str">
        <f t="shared" si="19"/>
        <v>037</v>
      </c>
      <c r="F142" s="166" t="e">
        <f>IF(C142='Ціни контур теплопостачання'!$B$123,E142*'Ціни контур теплопостачання'!$C$123*'Ціни контур теплопостачання'!$E$123*'Ціни контур теплопостачання'!$F$123+'Ціни контур теплопостачання'!$D$123,IF(C142='Ціни контур теплопостачання'!$B$124,E142*'Ціни контур теплопостачання'!$C$124*'Ціни контур теплопостачання'!$E$124*'Ціни контур теплопостачання'!$F$124+'Ціни контур теплопостачання'!$D$124,IF(C142='Ціни контур теплопостачання'!$B$125,E142*'Ціни контур теплопостачання'!$C$125*'Ціни контур теплопостачання'!$E$125*'Ціни контур теплопостачання'!$F$125+'Ціни контур теплопостачання'!$D$125,IF(C142='Ціни контур теплопостачання'!$B$126,E142*'Ціни контур теплопостачання'!$C$126*'Ціни контур теплопостачання'!$E$126*'Ціни контур теплопостачання'!$F$126+'Ціни контур теплопостачання'!$D$126,IF(C142='Ціни контур теплопостачання'!$B$127,E142*'Ціни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2" s="170" t="s">
        <v>244</v>
      </c>
      <c r="I142" s="162" t="str">
        <f t="shared" si="20"/>
        <v xml:space="preserve">08+031A00HS-187 </v>
      </c>
      <c r="J142" s="162" t="str">
        <f t="shared" si="21"/>
        <v>08</v>
      </c>
      <c r="K142" s="162" t="str">
        <f t="shared" si="22"/>
        <v xml:space="preserve">031A00HS-187 </v>
      </c>
      <c r="L142" s="162" t="str">
        <f t="shared" si="23"/>
        <v>031</v>
      </c>
      <c r="M142" s="166" t="e">
        <f>IF(J142='Ціни контур теплопостачання'!$B$123,L142*'Ціни контур теплопостачання'!$C$123*'Ціни контур теплопостачання'!$E$123*'Ціни контур теплопостачання'!$F$123+'Ціни контур теплопостачання'!$D$123,IF(J142='Ціни контур теплопостачання'!$B$124,L142*'Ціни контур теплопостачання'!$C$124*'Ціни контур теплопостачання'!$E$124*'Ціни контур теплопостачання'!$F$124+'Ціни контур теплопостачання'!$D$124,IF(J142='Ціни контур теплопостачання'!$B$125,L142*'Ціни контур теплопостачання'!$C$125*'Ціни контур теплопостачання'!$E$125*'Ціни контур теплопостачання'!$F$125+'Ціни контур теплопостачання'!$D$125,IF(J142='Ціни контур теплопостачання'!$B$126,L142*'Ціни контур теплопостачання'!$C$126*'Ціни контур теплопостачання'!$E$126*'Ціни контур теплопостачання'!$F$126+'Ціни контур теплопостачання'!$D$126,IF(J142='Ціни контур теплопостачання'!$B$127,L142*'Ціни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3" spans="1:13">
      <c r="A143" s="168" t="s">
        <v>503</v>
      </c>
      <c r="B143" s="162" t="str">
        <f t="shared" si="16"/>
        <v xml:space="preserve">16+021A00HS-72  </v>
      </c>
      <c r="C143" s="162" t="str">
        <f t="shared" si="17"/>
        <v>16</v>
      </c>
      <c r="D143" s="162" t="str">
        <f t="shared" si="18"/>
        <v xml:space="preserve">021A00HS-72  </v>
      </c>
      <c r="E143" s="162" t="str">
        <f t="shared" si="19"/>
        <v>021</v>
      </c>
      <c r="F143" s="166" t="e">
        <f>IF(C143='Ціни контур теплопостачання'!$B$123,E143*'Ціни контур теплопостачання'!$C$123*'Ціни контур теплопостачання'!$E$123*'Ціни контур теплопостачання'!$F$123+'Ціни контур теплопостачання'!$D$123,IF(C143='Ціни контур теплопостачання'!$B$124,E143*'Ціни контур теплопостачання'!$C$124*'Ціни контур теплопостачання'!$E$124*'Ціни контур теплопостачання'!$F$124+'Ціни контур теплопостачання'!$D$124,IF(C143='Ціни контур теплопостачання'!$B$125,E143*'Ціни контур теплопостачання'!$C$125*'Ціни контур теплопостачання'!$E$125*'Ціни контур теплопостачання'!$F$125+'Ціни контур теплопостачання'!$D$125,IF(C143='Ціни контур теплопостачання'!$B$126,E143*'Ціни контур теплопостачання'!$C$126*'Ціни контур теплопостачання'!$E$126*'Ціни контур теплопостачання'!$F$126+'Ціни контур теплопостачання'!$D$126,IF(C143='Ціни контур теплопостачання'!$B$127,E143*'Ціни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3" s="170" t="s">
        <v>245</v>
      </c>
      <c r="I143" s="162" t="str">
        <f t="shared" si="20"/>
        <v xml:space="preserve">08+017A00HS-94 </v>
      </c>
      <c r="J143" s="162" t="str">
        <f t="shared" si="21"/>
        <v>08</v>
      </c>
      <c r="K143" s="162" t="str">
        <f t="shared" si="22"/>
        <v xml:space="preserve">017A00HS-94 </v>
      </c>
      <c r="L143" s="162" t="str">
        <f t="shared" si="23"/>
        <v>017</v>
      </c>
      <c r="M143" s="166" t="e">
        <f>IF(J143='Ціни контур теплопостачання'!$B$123,L143*'Ціни контур теплопостачання'!$C$123*'Ціни контур теплопостачання'!$E$123*'Ціни контур теплопостачання'!$F$123+'Ціни контур теплопостачання'!$D$123,IF(J143='Ціни контур теплопостачання'!$B$124,L143*'Ціни контур теплопостачання'!$C$124*'Ціни контур теплопостачання'!$E$124*'Ціни контур теплопостачання'!$F$124+'Ціни контур теплопостачання'!$D$124,IF(J143='Ціни контур теплопостачання'!$B$125,L143*'Ціни контур теплопостачання'!$C$125*'Ціни контур теплопостачання'!$E$125*'Ціни контур теплопостачання'!$F$125+'Ціни контур теплопостачання'!$D$125,IF(J143='Ціни контур теплопостачання'!$B$126,L143*'Ціни контур теплопостачання'!$C$126*'Ціни контур теплопостачання'!$E$126*'Ціни контур теплопостачання'!$F$126+'Ціни контур теплопостачання'!$D$126,IF(J143='Ціни контур теплопостачання'!$B$127,L143*'Ціни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4" spans="1:13">
      <c r="A144" s="168" t="s">
        <v>504</v>
      </c>
      <c r="B144" s="162" t="str">
        <f t="shared" si="16"/>
        <v xml:space="preserve">16+033A00HS-130  </v>
      </c>
      <c r="C144" s="162" t="str">
        <f t="shared" si="17"/>
        <v>16</v>
      </c>
      <c r="D144" s="162" t="str">
        <f t="shared" si="18"/>
        <v xml:space="preserve">033A00HS-130  </v>
      </c>
      <c r="E144" s="162" t="str">
        <f t="shared" si="19"/>
        <v>033</v>
      </c>
      <c r="F144" s="166" t="e">
        <f>IF(C144='Ціни контур теплопостачання'!$B$123,E144*'Ціни контур теплопостачання'!$C$123*'Ціни контур теплопостачання'!$E$123*'Ціни контур теплопостачання'!$F$123+'Ціни контур теплопостачання'!$D$123,IF(C144='Ціни контур теплопостачання'!$B$124,E144*'Ціни контур теплопостачання'!$C$124*'Ціни контур теплопостачання'!$E$124*'Ціни контур теплопостачання'!$F$124+'Ціни контур теплопостачання'!$D$124,IF(C144='Ціни контур теплопостачання'!$B$125,E144*'Ціни контур теплопостачання'!$C$125*'Ціни контур теплопостачання'!$E$125*'Ціни контур теплопостачання'!$F$125+'Ціни контур теплопостачання'!$D$125,IF(C144='Ціни контур теплопостачання'!$B$126,E144*'Ціни контур теплопостачання'!$C$126*'Ціни контур теплопостачання'!$E$126*'Ціни контур теплопостачання'!$F$126+'Ціни контур теплопостачання'!$D$126,IF(C144='Ціни контур теплопостачання'!$B$127,E144*'Ціни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4" s="170" t="s">
        <v>230</v>
      </c>
      <c r="I144" s="162" t="str">
        <f t="shared" si="20"/>
        <v xml:space="preserve">08+035A00HS-200 </v>
      </c>
      <c r="J144" s="162" t="str">
        <f t="shared" si="21"/>
        <v>08</v>
      </c>
      <c r="K144" s="162" t="str">
        <f t="shared" si="22"/>
        <v xml:space="preserve">035A00HS-200 </v>
      </c>
      <c r="L144" s="162" t="str">
        <f t="shared" si="23"/>
        <v>035</v>
      </c>
      <c r="M144" s="166" t="e">
        <f>IF(J144='Ціни контур теплопостачання'!$B$123,L144*'Ціни контур теплопостачання'!$C$123*'Ціни контур теплопостачання'!$E$123*'Ціни контур теплопостачання'!$F$123+'Ціни контур теплопостачання'!$D$123,IF(J144='Ціни контур теплопостачання'!$B$124,L144*'Ціни контур теплопостачання'!$C$124*'Ціни контур теплопостачання'!$E$124*'Ціни контур теплопостачання'!$F$124+'Ціни контур теплопостачання'!$D$124,IF(J144='Ціни контур теплопостачання'!$B$125,L144*'Ціни контур теплопостачання'!$C$125*'Ціни контур теплопостачання'!$E$125*'Ціни контур теплопостачання'!$F$125+'Ціни контур теплопостачання'!$D$125,IF(J144='Ціни контур теплопостачання'!$B$126,L144*'Ціни контур теплопостачання'!$C$126*'Ціни контур теплопостачання'!$E$126*'Ціни контур теплопостачання'!$F$126+'Ціни контур теплопостачання'!$D$126,IF(J144='Ціни контур теплопостачання'!$B$127,L144*'Ціни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5" spans="1:15">
      <c r="A145" s="168" t="s">
        <v>505</v>
      </c>
      <c r="B145" s="162" t="str">
        <f t="shared" si="16"/>
        <v xml:space="preserve">16+023A00HS-80 </v>
      </c>
      <c r="C145" s="162" t="str">
        <f t="shared" si="17"/>
        <v>16</v>
      </c>
      <c r="D145" s="162" t="str">
        <f t="shared" si="18"/>
        <v xml:space="preserve">023A00HS-80 </v>
      </c>
      <c r="E145" s="162" t="str">
        <f t="shared" si="19"/>
        <v>023</v>
      </c>
      <c r="F145" s="166" t="e">
        <f>IF(C145='Ціни контур теплопостачання'!$B$123,E145*'Ціни контур теплопостачання'!$C$123*'Ціни контур теплопостачання'!$E$123*'Ціни контур теплопостачання'!$F$123+'Ціни контур теплопостачання'!$D$123,IF(C145='Ціни контур теплопостачання'!$B$124,E145*'Ціни контур теплопостачання'!$C$124*'Ціни контур теплопостачання'!$E$124*'Ціни контур теплопостачання'!$F$124+'Ціни контур теплопостачання'!$D$124,IF(C145='Ціни контур теплопостачання'!$B$125,E145*'Ціни контур теплопостачання'!$C$125*'Ціни контур теплопостачання'!$E$125*'Ціни контур теплопостачання'!$F$125+'Ціни контур теплопостачання'!$D$125,IF(C145='Ціни контур теплопостачання'!$B$126,E145*'Ціни контур теплопостачання'!$C$126*'Ціни контур теплопостачання'!$E$126*'Ціни контур теплопостачання'!$F$126+'Ціни контур теплопостачання'!$D$126,IF(C145='Ціни контур теплопостачання'!$B$127,E145*'Ціни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5" s="170" t="s">
        <v>246</v>
      </c>
      <c r="I145" s="162" t="str">
        <f t="shared" si="20"/>
        <v xml:space="preserve">08+023A00HS-134 </v>
      </c>
      <c r="J145" s="162" t="str">
        <f t="shared" si="21"/>
        <v>08</v>
      </c>
      <c r="K145" s="162" t="str">
        <f t="shared" si="22"/>
        <v xml:space="preserve">023A00HS-134 </v>
      </c>
      <c r="L145" s="162" t="str">
        <f t="shared" si="23"/>
        <v>023</v>
      </c>
      <c r="M145" s="166" t="e">
        <f>IF(J145='Ціни контур теплопостачання'!$B$123,L145*'Ціни контур теплопостачання'!$C$123*'Ціни контур теплопостачання'!$E$123*'Ціни контур теплопостачання'!$F$123+'Ціни контур теплопостачання'!$D$123,IF(J145='Ціни контур теплопостачання'!$B$124,L145*'Ціни контур теплопостачання'!$C$124*'Ціни контур теплопостачання'!$E$124*'Ціни контур теплопостачання'!$F$124+'Ціни контур теплопостачання'!$D$124,IF(J145='Ціни контур теплопостачання'!$B$125,L145*'Ціни контур теплопостачання'!$C$125*'Ціни контур теплопостачання'!$E$125*'Ціни контур теплопостачання'!$F$125+'Ціни контур теплопостачання'!$D$125,IF(J145='Ціни контур теплопостачання'!$B$126,L145*'Ціни контур теплопостачання'!$C$126*'Ціни контур теплопостачання'!$E$126*'Ціни контур теплопостачання'!$F$126+'Ціни контур теплопостачання'!$D$126,IF(J145='Ціни контур теплопостачання'!$B$127,L145*'Ціни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6" spans="1:15">
      <c r="A146" s="168" t="s">
        <v>506</v>
      </c>
      <c r="B146" s="162" t="str">
        <f t="shared" si="16"/>
        <v xml:space="preserve">16+041A00HS-159  </v>
      </c>
      <c r="C146" s="162" t="str">
        <f t="shared" si="17"/>
        <v>16</v>
      </c>
      <c r="D146" s="162" t="str">
        <f t="shared" si="18"/>
        <v xml:space="preserve">041A00HS-159  </v>
      </c>
      <c r="E146" s="162" t="str">
        <f t="shared" si="19"/>
        <v>041</v>
      </c>
      <c r="F146" s="166" t="e">
        <f>IF(C146='Ціни контур теплопостачання'!$B$123,E146*'Ціни контур теплопостачання'!$C$123*'Ціни контур теплопостачання'!$E$123*'Ціни контур теплопостачання'!$F$123+'Ціни контур теплопостачання'!$D$123,IF(C146='Ціни контур теплопостачання'!$B$124,E146*'Ціни контур теплопостачання'!$C$124*'Ціни контур теплопостачання'!$E$124*'Ціни контур теплопостачання'!$F$124+'Ціни контур теплопостачання'!$D$124,IF(C146='Ціни контур теплопостачання'!$B$125,E146*'Ціни контур теплопостачання'!$C$125*'Ціни контур теплопостачання'!$E$125*'Ціни контур теплопостачання'!$F$125+'Ціни контур теплопостачання'!$D$125,IF(C146='Ціни контур теплопостачання'!$B$126,E146*'Ціни контур теплопостачання'!$C$126*'Ціни контур теплопостачання'!$E$126*'Ціни контур теплопостачання'!$F$126+'Ціни контур теплопостачання'!$D$126,IF(C146='Ціни контур теплопостачання'!$B$127,E146*'Ціни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6" s="170" t="s">
        <v>247</v>
      </c>
      <c r="I146" s="162" t="str">
        <f t="shared" si="20"/>
        <v xml:space="preserve">08+033A00HS-192 </v>
      </c>
      <c r="J146" s="162" t="str">
        <f t="shared" si="21"/>
        <v>08</v>
      </c>
      <c r="K146" s="162" t="str">
        <f t="shared" si="22"/>
        <v xml:space="preserve">033A00HS-192 </v>
      </c>
      <c r="L146" s="162" t="str">
        <f t="shared" si="23"/>
        <v>033</v>
      </c>
      <c r="M146" s="166" t="e">
        <f>IF(J146='Ціни контур теплопостачання'!$B$123,L146*'Ціни контур теплопостачання'!$C$123*'Ціни контур теплопостачання'!$E$123*'Ціни контур теплопостачання'!$F$123+'Ціни контур теплопостачання'!$D$123,IF(J146='Ціни контур теплопостачання'!$B$124,L146*'Ціни контур теплопостачання'!$C$124*'Ціни контур теплопостачання'!$E$124*'Ціни контур теплопостачання'!$F$124+'Ціни контур теплопостачання'!$D$124,IF(J146='Ціни контур теплопостачання'!$B$125,L146*'Ціни контур теплопостачання'!$C$125*'Ціни контур теплопостачання'!$E$125*'Ціни контур теплопостачання'!$F$125+'Ціни контур теплопостачання'!$D$125,IF(J146='Ціни контур теплопостачання'!$B$126,L146*'Ціни контур теплопостачання'!$C$126*'Ціни контур теплопостачання'!$E$126*'Ціни контур теплопостачання'!$F$126+'Ціни контур теплопостачання'!$D$126,IF(J146='Ціни контур теплопостачання'!$B$127,L146*'Ціни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7" spans="1:15">
      <c r="A147" s="168" t="s">
        <v>507</v>
      </c>
      <c r="B147" s="162" t="str">
        <f t="shared" si="16"/>
        <v xml:space="preserve">16+063A00HS-261  </v>
      </c>
      <c r="C147" s="162" t="str">
        <f t="shared" si="17"/>
        <v>16</v>
      </c>
      <c r="D147" s="162" t="str">
        <f t="shared" si="18"/>
        <v xml:space="preserve">063A00HS-261  </v>
      </c>
      <c r="E147" s="162" t="str">
        <f t="shared" si="19"/>
        <v>063</v>
      </c>
      <c r="F147" s="166" t="e">
        <f>IF(C147='Ціни контур теплопостачання'!$B$123,E147*'Ціни контур теплопостачання'!$C$123*'Ціни контур теплопостачання'!$E$123*'Ціни контур теплопостачання'!$F$123+'Ціни контур теплопостачання'!$D$123,IF(C147='Ціни контур теплопостачання'!$B$124,E147*'Ціни контур теплопостачання'!$C$124*'Ціни контур теплопостачання'!$E$124*'Ціни контур теплопостачання'!$F$124+'Ціни контур теплопостачання'!$D$124,IF(C147='Ціни контур теплопостачання'!$B$125,E147*'Ціни контур теплопостачання'!$C$125*'Ціни контур теплопостачання'!$E$125*'Ціни контур теплопостачання'!$F$125+'Ціни контур теплопостачання'!$D$125,IF(C147='Ціни контур теплопостачання'!$B$126,E147*'Ціни контур теплопостачання'!$C$126*'Ціни контур теплопостачання'!$E$126*'Ціни контур теплопостачання'!$F$126+'Ціни контур теплопостачання'!$D$126,IF(C147='Ціни контур теплопостачання'!$B$127,E147*'Ціни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7" s="170" t="s">
        <v>248</v>
      </c>
      <c r="I147" s="162" t="str">
        <f t="shared" si="20"/>
        <v xml:space="preserve">16+039M50HS-382 </v>
      </c>
      <c r="J147" s="162" t="str">
        <f t="shared" si="21"/>
        <v>16</v>
      </c>
      <c r="K147" s="162" t="str">
        <f t="shared" si="22"/>
        <v xml:space="preserve">039M50HS-382 </v>
      </c>
      <c r="L147" s="162" t="str">
        <f t="shared" si="23"/>
        <v>039</v>
      </c>
      <c r="M147" s="166" t="e">
        <f>IF(J147='Ціни контур теплопостачання'!$B$123,L147*'Ціни контур теплопостачання'!$C$123*'Ціни контур теплопостачання'!$E$123*'Ціни контур теплопостачання'!$F$123+'Ціни контур теплопостачання'!$D$123,IF(J147='Ціни контур теплопостачання'!$B$124,L147*'Ціни контур теплопостачання'!$C$124*'Ціни контур теплопостачання'!$E$124*'Ціни контур теплопостачання'!$F$124+'Ціни контур теплопостачання'!$D$124,IF(J147='Ціни контур теплопостачання'!$B$125,L147*'Ціни контур теплопостачання'!$C$125*'Ціни контур теплопостачання'!$E$125*'Ціни контур теплопостачання'!$F$125+'Ціни контур теплопостачання'!$D$125,IF(J147='Ціни контур теплопостачання'!$B$126,L147*'Ціни контур теплопостачання'!$C$126*'Ціни контур теплопостачання'!$E$126*'Ціни контур теплопостачання'!$F$126+'Ціни контур теплопостачання'!$D$126,IF(J147='Ціни контур теплопостачання'!$B$127,L147*'Ціни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8" spans="1:15">
      <c r="A148" s="168" t="s">
        <v>508</v>
      </c>
      <c r="B148" s="162" t="str">
        <f t="shared" si="16"/>
        <v xml:space="preserve">16+039A00HS-156  </v>
      </c>
      <c r="C148" s="162" t="str">
        <f t="shared" si="17"/>
        <v>16</v>
      </c>
      <c r="D148" s="162" t="str">
        <f t="shared" si="18"/>
        <v xml:space="preserve">039A00HS-156  </v>
      </c>
      <c r="E148" s="162" t="str">
        <f t="shared" si="19"/>
        <v>039</v>
      </c>
      <c r="F148" s="166" t="e">
        <f>IF(C148='Ціни контур теплопостачання'!$B$123,E148*'Ціни контур теплопостачання'!$C$123*'Ціни контур теплопостачання'!$E$123*'Ціни контур теплопостачання'!$F$123+'Ціни контур теплопостачання'!$D$123,IF(C148='Ціни контур теплопостачання'!$B$124,E148*'Ціни контур теплопостачання'!$C$124*'Ціни контур теплопостачання'!$E$124*'Ціни контур теплопостачання'!$F$124+'Ціни контур теплопостачання'!$D$124,IF(C148='Ціни контур теплопостачання'!$B$125,E148*'Ціни контур теплопостачання'!$C$125*'Ціни контур теплопостачання'!$E$125*'Ціни контур теплопостачання'!$F$125+'Ціни контур теплопостачання'!$D$125,IF(C148='Ціни контур теплопостачання'!$B$126,E148*'Ціни контур теплопостачання'!$C$126*'Ціни контур теплопостачання'!$E$126*'Ціни контур теплопостачання'!$F$126+'Ціни контур теплопостачання'!$D$126,IF(C148='Ціни контур теплопостачання'!$B$127,E148*'Ціни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8" s="170" t="s">
        <v>249</v>
      </c>
      <c r="I148" s="162" t="str">
        <f t="shared" si="20"/>
        <v xml:space="preserve">08+023A00HS-138 </v>
      </c>
      <c r="J148" s="162" t="str">
        <f t="shared" si="21"/>
        <v>08</v>
      </c>
      <c r="K148" s="162" t="str">
        <f t="shared" si="22"/>
        <v xml:space="preserve">023A00HS-138 </v>
      </c>
      <c r="L148" s="162" t="str">
        <f t="shared" si="23"/>
        <v>023</v>
      </c>
      <c r="M148" s="166" t="e">
        <f>IF(J148='Ціни контур теплопостачання'!$B$123,L148*'Ціни контур теплопостачання'!$C$123*'Ціни контур теплопостачання'!$E$123*'Ціни контур теплопостачання'!$F$123+'Ціни контур теплопостачання'!$D$123,IF(J148='Ціни контур теплопостачання'!$B$124,L148*'Ціни контур теплопостачання'!$C$124*'Ціни контур теплопостачання'!$E$124*'Ціни контур теплопостачання'!$F$124+'Ціни контур теплопостачання'!$D$124,IF(J148='Ціни контур теплопостачання'!$B$125,L148*'Ціни контур теплопостачання'!$C$125*'Ціни контур теплопостачання'!$E$125*'Ціни контур теплопостачання'!$F$125+'Ціни контур теплопостачання'!$D$125,IF(J148='Ціни контур теплопостачання'!$B$126,L148*'Ціни контур теплопостачання'!$C$126*'Ціни контур теплопостачання'!$E$126*'Ціни контур теплопостачання'!$F$126+'Ціни контур теплопостачання'!$D$126,IF(J148='Ціни контур теплопостачання'!$B$127,L148*'Ціни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49" spans="1:15">
      <c r="A149" s="168" t="s">
        <v>509</v>
      </c>
      <c r="B149" s="162" t="str">
        <f t="shared" si="16"/>
        <v xml:space="preserve">16+113A00HS-468 </v>
      </c>
      <c r="C149" s="162" t="str">
        <f t="shared" si="17"/>
        <v>16</v>
      </c>
      <c r="D149" s="162" t="str">
        <f t="shared" si="18"/>
        <v xml:space="preserve">113A00HS-468 </v>
      </c>
      <c r="E149" s="162" t="str">
        <f t="shared" si="19"/>
        <v>113</v>
      </c>
      <c r="F149" s="166" t="e">
        <f>IF(C149='Ціни контур теплопостачання'!$B$123,E149*'Ціни контур теплопостачання'!$C$123*'Ціни контур теплопостачання'!$E$123*'Ціни контур теплопостачання'!$F$123+'Ціни контур теплопостачання'!$D$123,IF(C149='Ціни контур теплопостачання'!$B$124,E149*'Ціни контур теплопостачання'!$C$124*'Ціни контур теплопостачання'!$E$124*'Ціни контур теплопостачання'!$F$124+'Ціни контур теплопостачання'!$D$124,IF(C149='Ціни контур теплопостачання'!$B$125,E149*'Ціни контур теплопостачання'!$C$125*'Ціни контур теплопостачання'!$E$125*'Ціни контур теплопостачання'!$F$125+'Ціни контур теплопостачання'!$D$125,IF(C149='Ціни контур теплопостачання'!$B$126,E149*'Ціни контур теплопостачання'!$C$126*'Ціни контур теплопостачання'!$E$126*'Ціни контур теплопостачання'!$F$126+'Ціни контур теплопостачання'!$D$126,IF(C149='Ціни контур теплопостачання'!$B$127,E149*'Ціни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49" s="170" t="s">
        <v>250</v>
      </c>
      <c r="I149" s="162" t="str">
        <f t="shared" si="20"/>
        <v xml:space="preserve">16+043M50HS-414 </v>
      </c>
      <c r="J149" s="162" t="str">
        <f t="shared" si="21"/>
        <v>16</v>
      </c>
      <c r="K149" s="162" t="str">
        <f t="shared" si="22"/>
        <v xml:space="preserve">043M50HS-414 </v>
      </c>
      <c r="L149" s="162" t="str">
        <f t="shared" si="23"/>
        <v>043</v>
      </c>
      <c r="M149" s="166" t="e">
        <f>IF(J149='Ціни контур теплопостачання'!$B$123,L149*'Ціни контур теплопостачання'!$C$123*'Ціни контур теплопостачання'!$E$123*'Ціни контур теплопостачання'!$F$123+'Ціни контур теплопостачання'!$D$123,IF(J149='Ціни контур теплопостачання'!$B$124,L149*'Ціни контур теплопостачання'!$C$124*'Ціни контур теплопостачання'!$E$124*'Ціни контур теплопостачання'!$F$124+'Ціни контур теплопостачання'!$D$124,IF(J149='Ціни контур теплопостачання'!$B$125,L149*'Ціни контур теплопостачання'!$C$125*'Ціни контур теплопостачання'!$E$125*'Ціни контур теплопостачання'!$F$125+'Ціни контур теплопостачання'!$D$125,IF(J149='Ціни контур теплопостачання'!$B$126,L149*'Ціни контур теплопостачання'!$C$126*'Ціни контур теплопостачання'!$E$126*'Ціни контур теплопостачання'!$F$126+'Ціни контур теплопостачання'!$D$126,IF(J149='Ціни контур теплопостачання'!$B$127,L149*'Ціни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0" spans="1:15">
      <c r="A150" s="168" t="s">
        <v>510</v>
      </c>
      <c r="B150" s="162" t="str">
        <f t="shared" si="16"/>
        <v xml:space="preserve">16+039A00HS-158  </v>
      </c>
      <c r="C150" s="162" t="str">
        <f t="shared" si="17"/>
        <v>16</v>
      </c>
      <c r="D150" s="162" t="str">
        <f t="shared" si="18"/>
        <v xml:space="preserve">039A00HS-158  </v>
      </c>
      <c r="E150" s="162" t="str">
        <f t="shared" si="19"/>
        <v>039</v>
      </c>
      <c r="F150" s="166" t="e">
        <f>IF(C150='Ціни контур теплопостачання'!$B$123,E150*'Ціни контур теплопостачання'!$C$123*'Ціни контур теплопостачання'!$E$123*'Ціни контур теплопостачання'!$F$123+'Ціни контур теплопостачання'!$D$123,IF(C150='Ціни контур теплопостачання'!$B$124,E150*'Ціни контур теплопостачання'!$C$124*'Ціни контур теплопостачання'!$E$124*'Ціни контур теплопостачання'!$F$124+'Ціни контур теплопостачання'!$D$124,IF(C150='Ціни контур теплопостачання'!$B$125,E150*'Ціни контур теплопостачання'!$C$125*'Ціни контур теплопостачання'!$E$125*'Ціни контур теплопостачання'!$F$125+'Ціни контур теплопостачання'!$D$125,IF(C150='Ціни контур теплопостачання'!$B$126,E150*'Ціни контур теплопостачання'!$C$126*'Ціни контур теплопостачання'!$E$126*'Ціни контур теплопостачання'!$F$126+'Ціни контур теплопостачання'!$D$126,IF(C150='Ціни контур теплопостачання'!$B$127,E150*'Ціни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0" s="170" t="s">
        <v>151</v>
      </c>
      <c r="I150" s="162" t="str">
        <f t="shared" si="20"/>
        <v xml:space="preserve">08+023A00HS-137 </v>
      </c>
      <c r="J150" s="162" t="str">
        <f t="shared" si="21"/>
        <v>08</v>
      </c>
      <c r="K150" s="162" t="str">
        <f t="shared" si="22"/>
        <v xml:space="preserve">023A00HS-137 </v>
      </c>
      <c r="L150" s="162" t="str">
        <f t="shared" si="23"/>
        <v>023</v>
      </c>
      <c r="M150" s="166" t="e">
        <f>IF(J150='Ціни контур теплопостачання'!$B$123,L150*'Ціни контур теплопостачання'!$C$123*'Ціни контур теплопостачання'!$E$123*'Ціни контур теплопостачання'!$F$123+'Ціни контур теплопостачання'!$D$123,IF(J150='Ціни контур теплопостачання'!$B$124,L150*'Ціни контур теплопостачання'!$C$124*'Ціни контур теплопостачання'!$E$124*'Ціни контур теплопостачання'!$F$124+'Ціни контур теплопостачання'!$D$124,IF(J150='Ціни контур теплопостачання'!$B$125,L150*'Ціни контур теплопостачання'!$C$125*'Ціни контур теплопостачання'!$E$125*'Ціни контур теплопостачання'!$F$125+'Ціни контур теплопостачання'!$D$125,IF(J150='Ціни контур теплопостачання'!$B$126,L150*'Ціни контур теплопостачання'!$C$126*'Ціни контур теплопостачання'!$E$126*'Ціни контур теплопостачання'!$F$126+'Ціни контур теплопостачання'!$D$126,IF(J150='Ціни контур теплопостачання'!$B$127,L150*'Ціни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1" spans="1:15">
      <c r="A151" s="168" t="s">
        <v>511</v>
      </c>
      <c r="B151" s="162" t="str">
        <f t="shared" si="16"/>
        <v xml:space="preserve">16+113A00HS-475   </v>
      </c>
      <c r="C151" s="162" t="str">
        <f t="shared" si="17"/>
        <v>16</v>
      </c>
      <c r="D151" s="162" t="str">
        <f t="shared" si="18"/>
        <v xml:space="preserve">113A00HS-475   </v>
      </c>
      <c r="E151" s="162" t="str">
        <f t="shared" si="19"/>
        <v>113</v>
      </c>
      <c r="F151" s="166" t="e">
        <f>IF(C151='Ціни контур теплопостачання'!$B$123,E151*'Ціни контур теплопостачання'!$C$123*'Ціни контур теплопостачання'!$E$123*'Ціни контур теплопостачання'!$F$123+'Ціни контур теплопостачання'!$D$123,IF(C151='Ціни контур теплопостачання'!$B$124,E151*'Ціни контур теплопостачання'!$C$124*'Ціни контур теплопостачання'!$E$124*'Ціни контур теплопостачання'!$F$124+'Ціни контур теплопостачання'!$D$124,IF(C151='Ціни контур теплопостачання'!$B$125,E151*'Ціни контур теплопостачання'!$C$125*'Ціни контур теплопостачання'!$E$125*'Ціни контур теплопостачання'!$F$125+'Ціни контур теплопостачання'!$D$125,IF(C151='Ціни контур теплопостачання'!$B$126,E151*'Ціни контур теплопостачання'!$C$126*'Ціни контур теплопостачання'!$E$126*'Ціни контур теплопостачання'!$F$126+'Ціни контур теплопостачання'!$D$126,IF(C151='Ціни контур теплопостачання'!$B$127,E151*'Ціни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1" s="170" t="s">
        <v>251</v>
      </c>
      <c r="I151" s="162" t="str">
        <f t="shared" si="20"/>
        <v xml:space="preserve">16+041M50HS-410 </v>
      </c>
      <c r="J151" s="162" t="str">
        <f t="shared" si="21"/>
        <v>16</v>
      </c>
      <c r="K151" s="162" t="str">
        <f t="shared" si="22"/>
        <v xml:space="preserve">041M50HS-410 </v>
      </c>
      <c r="L151" s="162" t="str">
        <f t="shared" si="23"/>
        <v>041</v>
      </c>
      <c r="M151" s="166" t="e">
        <f>IF(J151='Ціни контур теплопостачання'!$B$123,L151*'Ціни контур теплопостачання'!$C$123*'Ціни контур теплопостачання'!$E$123*'Ціни контур теплопостачання'!$F$123+'Ціни контур теплопостачання'!$D$123,IF(J151='Ціни контур теплопостачання'!$B$124,L151*'Ціни контур теплопостачання'!$C$124*'Ціни контур теплопостачання'!$E$124*'Ціни контур теплопостачання'!$F$124+'Ціни контур теплопостачання'!$D$124,IF(J151='Ціни контур теплопостачання'!$B$125,L151*'Ціни контур теплопостачання'!$C$125*'Ціни контур теплопостачання'!$E$125*'Ціни контур теплопостачання'!$F$125+'Ціни контур теплопостачання'!$D$125,IF(J151='Ціни контур теплопостачання'!$B$126,L151*'Ціни контур теплопостачання'!$C$126*'Ціни контур теплопостачання'!$E$126*'Ціни контур теплопостачання'!$F$126+'Ціни контур теплопостачання'!$D$126,IF(J151='Ціни контур теплопостачання'!$B$127,L151*'Ціни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2" spans="1:15">
      <c r="A152" s="168" t="s">
        <v>512</v>
      </c>
      <c r="B152" s="162" t="str">
        <f t="shared" si="16"/>
        <v xml:space="preserve">16+051A00HS-207  </v>
      </c>
      <c r="C152" s="162" t="str">
        <f t="shared" si="17"/>
        <v>16</v>
      </c>
      <c r="D152" s="162" t="str">
        <f t="shared" si="18"/>
        <v xml:space="preserve">051A00HS-207  </v>
      </c>
      <c r="E152" s="162" t="str">
        <f t="shared" si="19"/>
        <v>051</v>
      </c>
      <c r="F152" s="166" t="e">
        <f>IF(C152='Ціни контур теплопостачання'!$B$123,E152*'Ціни контур теплопостачання'!$C$123*'Ціни контур теплопостачання'!$E$123*'Ціни контур теплопостачання'!$F$123+'Ціни контур теплопостачання'!$D$123,IF(C152='Ціни контур теплопостачання'!$B$124,E152*'Ціни контур теплопостачання'!$C$124*'Ціни контур теплопостачання'!$E$124*'Ціни контур теплопостачання'!$F$124+'Ціни контур теплопостачання'!$D$124,IF(C152='Ціни контур теплопостачання'!$B$125,E152*'Ціни контур теплопостачання'!$C$125*'Ціни контур теплопостачання'!$E$125*'Ціни контур теплопостачання'!$F$125+'Ціни контур теплопостачання'!$D$125,IF(C152='Ціни контур теплопостачання'!$B$126,E152*'Ціни контур теплопостачання'!$C$126*'Ціни контур теплопостачання'!$E$126*'Ціни контур теплопостачання'!$F$126+'Ціни контур теплопостачання'!$D$126,IF(C152='Ціни контур теплопостачання'!$B$127,E152*'Ціни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2" s="170" t="s">
        <v>252</v>
      </c>
      <c r="I152" s="162" t="str">
        <f t="shared" si="20"/>
        <v xml:space="preserve">08+031A00HS-183 </v>
      </c>
      <c r="J152" s="162" t="str">
        <f t="shared" si="21"/>
        <v>08</v>
      </c>
      <c r="K152" s="162" t="str">
        <f t="shared" si="22"/>
        <v xml:space="preserve">031A00HS-183 </v>
      </c>
      <c r="L152" s="162" t="str">
        <f t="shared" si="23"/>
        <v>031</v>
      </c>
      <c r="M152" s="166" t="e">
        <f>IF(J152='Ціни контур теплопостачання'!$B$123,L152*'Ціни контур теплопостачання'!$C$123*'Ціни контур теплопостачання'!$E$123*'Ціни контур теплопостачання'!$F$123+'Ціни контур теплопостачання'!$D$123,IF(J152='Ціни контур теплопостачання'!$B$124,L152*'Ціни контур теплопостачання'!$C$124*'Ціни контур теплопостачання'!$E$124*'Ціни контур теплопостачання'!$F$124+'Ціни контур теплопостачання'!$D$124,IF(J152='Ціни контур теплопостачання'!$B$125,L152*'Ціни контур теплопостачання'!$C$125*'Ціни контур теплопостачання'!$E$125*'Ціни контур теплопостачання'!$F$125+'Ціни контур теплопостачання'!$D$125,IF(J152='Ціни контур теплопостачання'!$B$126,L152*'Ціни контур теплопостачання'!$C$126*'Ціни контур теплопостачання'!$E$126*'Ціни контур теплопостачання'!$F$126+'Ціни контур теплопостачання'!$D$126,IF(J152='Ціни контур теплопостачання'!$B$127,L152*'Ціни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3" spans="1:15">
      <c r="A153" s="168" t="s">
        <v>513</v>
      </c>
      <c r="B153" s="162" t="str">
        <f t="shared" si="16"/>
        <v xml:space="preserve">26+081M55HS-537 </v>
      </c>
      <c r="C153" s="162" t="str">
        <f t="shared" si="17"/>
        <v>26</v>
      </c>
      <c r="D153" s="162" t="str">
        <f t="shared" si="18"/>
        <v xml:space="preserve">081M55HS-537 </v>
      </c>
      <c r="E153" s="162" t="str">
        <f t="shared" si="19"/>
        <v>081</v>
      </c>
      <c r="F153" s="166" t="e">
        <f>IF(C153='Ціни контур теплопостачання'!$B$123,E153*'Ціни контур теплопостачання'!$C$123*'Ціни контур теплопостачання'!$E$123*'Ціни контур теплопостачання'!$F$123+'Ціни контур теплопостачання'!$D$123,IF(C153='Ціни контур теплопостачання'!$B$124,E153*'Ціни контур теплопостачання'!$C$124*'Ціни контур теплопостачання'!$E$124*'Ціни контур теплопостачання'!$F$124+'Ціни контур теплопостачання'!$D$124,IF(C153='Ціни контур теплопостачання'!$B$125,E153*'Ціни контур теплопостачання'!$C$125*'Ціни контур теплопостачання'!$E$125*'Ціни контур теплопостачання'!$F$125+'Ціни контур теплопостачання'!$D$125,IF(C153='Ціни контур теплопостачання'!$B$126,E153*'Ціни контур теплопостачання'!$C$126*'Ціни контур теплопостачання'!$E$126*'Ціни контур теплопостачання'!$F$126+'Ціни контур теплопостачання'!$D$126,IF(C153='Ціни контур теплопостачання'!$B$127,E153*'Ціни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3" s="170" t="s">
        <v>253</v>
      </c>
      <c r="I153" s="162" t="str">
        <f t="shared" si="20"/>
        <v xml:space="preserve">16+049M50HS-475 </v>
      </c>
      <c r="J153" s="162" t="str">
        <f t="shared" si="21"/>
        <v>16</v>
      </c>
      <c r="K153" s="162" t="str">
        <f t="shared" si="22"/>
        <v xml:space="preserve">049M50HS-475 </v>
      </c>
      <c r="L153" s="162" t="str">
        <f t="shared" si="23"/>
        <v>049</v>
      </c>
      <c r="M153" s="166" t="e">
        <f>IF(J153='Ціни контур теплопостачання'!$B$123,L153*'Ціни контур теплопостачання'!$C$123*'Ціни контур теплопостачання'!$E$123*'Ціни контур теплопостачання'!$F$123+'Ціни контур теплопостачання'!$D$123,IF(J153='Ціни контур теплопостачання'!$B$124,L153*'Ціни контур теплопостачання'!$C$124*'Ціни контур теплопостачання'!$E$124*'Ціни контур теплопостачання'!$F$124+'Ціни контур теплопостачання'!$D$124,IF(J153='Ціни контур теплопостачання'!$B$125,L153*'Ціни контур теплопостачання'!$C$125*'Ціни контур теплопостачання'!$E$125*'Ціни контур теплопостачання'!$F$125+'Ціни контур теплопостачання'!$D$125,IF(J153='Ціни контур теплопостачання'!$B$126,L153*'Ціни контур теплопостачання'!$C$126*'Ціни контур теплопостачання'!$E$126*'Ціни контур теплопостачання'!$F$126+'Ціни контур теплопостачання'!$D$126,IF(J153='Ціни контур теплопостачання'!$B$127,L153*'Ціни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4" spans="1:15">
      <c r="A154" s="168" t="s">
        <v>514</v>
      </c>
      <c r="B154" s="162" t="str">
        <f t="shared" si="16"/>
        <v xml:space="preserve">16+073A00HS-305  </v>
      </c>
      <c r="C154" s="162" t="str">
        <f t="shared" si="17"/>
        <v>16</v>
      </c>
      <c r="D154" s="162" t="str">
        <f t="shared" si="18"/>
        <v xml:space="preserve">073A00HS-305  </v>
      </c>
      <c r="E154" s="162" t="str">
        <f t="shared" si="19"/>
        <v>073</v>
      </c>
      <c r="F154" s="166" t="e">
        <f>IF(C154='Ціни контур теплопостачання'!$B$123,E154*'Ціни контур теплопостачання'!$C$123*'Ціни контур теплопостачання'!$E$123*'Ціни контур теплопостачання'!$F$123+'Ціни контур теплопостачання'!$D$123,IF(C154='Ціни контур теплопостачання'!$B$124,E154*'Ціни контур теплопостачання'!$C$124*'Ціни контур теплопостачання'!$E$124*'Ціни контур теплопостачання'!$F$124+'Ціни контур теплопостачання'!$D$124,IF(C154='Ціни контур теплопостачання'!$B$125,E154*'Ціни контур теплопостачання'!$C$125*'Ціни контур теплопостачання'!$E$125*'Ціни контур теплопостачання'!$F$125+'Ціни контур теплопостачання'!$D$125,IF(C154='Ціни контур теплопостачання'!$B$126,E154*'Ціни контур теплопостачання'!$C$126*'Ціни контур теплопостачання'!$E$126*'Ціни контур теплопостачання'!$F$126+'Ціни контур теплопостачання'!$D$126,IF(C154='Ціни контур теплопостачання'!$B$127,E154*'Ціни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4" s="170" t="s">
        <v>254</v>
      </c>
      <c r="I154" s="162" t="str">
        <f t="shared" si="20"/>
        <v xml:space="preserve">16+037M50HS-364 </v>
      </c>
      <c r="J154" s="162" t="str">
        <f t="shared" si="21"/>
        <v>16</v>
      </c>
      <c r="K154" s="162" t="str">
        <f t="shared" si="22"/>
        <v xml:space="preserve">037M50HS-364 </v>
      </c>
      <c r="L154" s="162" t="str">
        <f t="shared" si="23"/>
        <v>037</v>
      </c>
      <c r="M154" s="166" t="e">
        <f>IF(J154='Ціни контур теплопостачання'!$B$123,L154*'Ціни контур теплопостачання'!$C$123*'Ціни контур теплопостачання'!$E$123*'Ціни контур теплопостачання'!$F$123+'Ціни контур теплопостачання'!$D$123,IF(J154='Ціни контур теплопостачання'!$B$124,L154*'Ціни контур теплопостачання'!$C$124*'Ціни контур теплопостачання'!$E$124*'Ціни контур теплопостачання'!$F$124+'Ціни контур теплопостачання'!$D$124,IF(J154='Ціни контур теплопостачання'!$B$125,L154*'Ціни контур теплопостачання'!$C$125*'Ціни контур теплопостачання'!$E$125*'Ціни контур теплопостачання'!$F$125+'Ціни контур теплопостачання'!$D$125,IF(J154='Ціни контур теплопостачання'!$B$126,L154*'Ціни контур теплопостачання'!$C$126*'Ціни контур теплопостачання'!$E$126*'Ціни контур теплопостачання'!$F$126+'Ціни контур теплопостачання'!$D$126,IF(J154='Ціни контур теплопостачання'!$B$127,L154*'Ціни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5" spans="1:15">
      <c r="A155" s="168" t="s">
        <v>515</v>
      </c>
      <c r="B155" s="162" t="str">
        <f t="shared" si="16"/>
        <v xml:space="preserve">26+089M55HS-579 </v>
      </c>
      <c r="C155" s="162" t="str">
        <f t="shared" si="17"/>
        <v>26</v>
      </c>
      <c r="D155" s="162" t="str">
        <f t="shared" si="18"/>
        <v xml:space="preserve">089M55HS-579 </v>
      </c>
      <c r="E155" s="162" t="str">
        <f t="shared" si="19"/>
        <v>089</v>
      </c>
      <c r="F155" s="166" t="e">
        <f>IF(C155='Ціни контур теплопостачання'!$B$123,E155*'Ціни контур теплопостачання'!$C$123*'Ціни контур теплопостачання'!$E$123*'Ціни контур теплопостачання'!$F$123+'Ціни контур теплопостачання'!$D$123,IF(C155='Ціни контур теплопостачання'!$B$124,E155*'Ціни контур теплопостачання'!$C$124*'Ціни контур теплопостачання'!$E$124*'Ціни контур теплопостачання'!$F$124+'Ціни контур теплопостачання'!$D$124,IF(C155='Ціни контур теплопостачання'!$B$125,E155*'Ціни контур теплопостачання'!$C$125*'Ціни контур теплопостачання'!$E$125*'Ціни контур теплопостачання'!$F$125+'Ціни контур теплопостачання'!$D$125,IF(C155='Ціни контур теплопостачання'!$B$126,E155*'Ціни контур теплопостачання'!$C$126*'Ціни контур теплопостачання'!$E$126*'Ціни контур теплопостачання'!$F$126+'Ціни контур теплопостачання'!$D$126,IF(C155='Ціни контур теплопостачання'!$B$127,E155*'Ціни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5" s="170" t="s">
        <v>255</v>
      </c>
      <c r="I155" s="162" t="str">
        <f t="shared" si="20"/>
        <v xml:space="preserve">16+051M50HS-493 </v>
      </c>
      <c r="J155" s="162" t="str">
        <f t="shared" si="21"/>
        <v>16</v>
      </c>
      <c r="K155" s="162" t="str">
        <f t="shared" si="22"/>
        <v xml:space="preserve">051M50HS-493 </v>
      </c>
      <c r="L155" s="162" t="str">
        <f t="shared" si="23"/>
        <v>051</v>
      </c>
      <c r="M155" s="166" t="e">
        <f>IF(J155='Ціни контур теплопостачання'!$B$123,L155*'Ціни контур теплопостачання'!$C$123*'Ціни контур теплопостачання'!$E$123*'Ціни контур теплопостачання'!$F$123+'Ціни контур теплопостачання'!$D$123,IF(J155='Ціни контур теплопостачання'!$B$124,L155*'Ціни контур теплопостачання'!$C$124*'Ціни контур теплопостачання'!$E$124*'Ціни контур теплопостачання'!$F$124+'Ціни контур теплопостачання'!$D$124,IF(J155='Ціни контур теплопостачання'!$B$125,L155*'Ціни контур теплопостачання'!$C$125*'Ціни контур теплопостачання'!$E$125*'Ціни контур теплопостачання'!$F$125+'Ціни контур теплопостачання'!$D$125,IF(J155='Ціни контур теплопостачання'!$B$126,L155*'Ціни контур теплопостачання'!$C$126*'Ціни контур теплопостачання'!$E$126*'Ціни контур теплопостачання'!$F$126+'Ціни контур теплопостачання'!$D$126,IF(J155='Ціни контур теплопостачання'!$B$127,L155*'Ціни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56" spans="1:15">
      <c r="A156" s="168" t="s">
        <v>516</v>
      </c>
      <c r="B156" s="162" t="str">
        <f t="shared" si="16"/>
        <v xml:space="preserve">26+109M50HS-697 </v>
      </c>
      <c r="C156" s="162" t="str">
        <f t="shared" si="17"/>
        <v>26</v>
      </c>
      <c r="D156" s="162" t="str">
        <f t="shared" si="18"/>
        <v xml:space="preserve">109M50HS-697 </v>
      </c>
      <c r="E156" s="162" t="str">
        <f t="shared" si="19"/>
        <v>109</v>
      </c>
      <c r="F156" s="166" t="e">
        <f>IF(C156='Ціни контур теплопостачання'!$B$123,E156*'Ціни контур теплопостачання'!$C$123*'Ціни контур теплопостачання'!$E$123*'Ціни контур теплопостачання'!$F$123+'Ціни контур теплопостачання'!$D$123,IF(C156='Ціни контур теплопостачання'!$B$124,E156*'Ціни контур теплопостачання'!$C$124*'Ціни контур теплопостачання'!$E$124*'Ціни контур теплопостачання'!$F$124+'Ціни контур теплопостачання'!$D$124,IF(C156='Ціни контур теплопостачання'!$B$125,E156*'Ціни контур теплопостачання'!$C$125*'Ціни контур теплопостачання'!$E$125*'Ціни контур теплопостачання'!$F$125+'Ціни контур теплопостачання'!$D$125,IF(C156='Ціни контур теплопостачання'!$B$126,E156*'Ціни контур теплопостачання'!$C$126*'Ціни контур теплопостачання'!$E$126*'Ціни контур теплопостачання'!$F$126+'Ціни контур теплопостачання'!$D$126,IF(C156='Ціни контур теплопостачання'!$B$127,E156*'Ціни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6" s="170" t="s">
        <v>256</v>
      </c>
      <c r="I156" s="162" t="str">
        <f t="shared" si="20"/>
        <v xml:space="preserve">30+041A00HS-584 </v>
      </c>
      <c r="J156" s="162" t="str">
        <f t="shared" si="21"/>
        <v>30</v>
      </c>
      <c r="K156" s="162" t="str">
        <f t="shared" si="22"/>
        <v xml:space="preserve">041A00HS-584 </v>
      </c>
      <c r="L156" s="162" t="str">
        <f t="shared" si="23"/>
        <v>041</v>
      </c>
      <c r="M156" s="166" t="e">
        <f>IF(J156='Ціни контур теплопостачання'!$B$123,L156*'Ціни контур теплопостачання'!$C$123*'Ціни контур теплопостачання'!$E$123*'Ціни контур теплопостачання'!$F$123+'Ціни контур теплопостачання'!$D$123,IF(J156='Ціни контур теплопостачання'!$B$124,L156*'Ціни контур теплопостачання'!$C$124*'Ціни контур теплопостачання'!$E$124*'Ціни контур теплопостачання'!$F$124+'Ціни контур теплопостачання'!$D$124,IF(J156='Ціни контур теплопостачання'!$B$125,L156*'Ціни контур теплопостачання'!$C$125*'Ціни контур теплопостачання'!$E$125*'Ціни контур теплопостачання'!$F$125+'Ціни контур теплопостачання'!$D$125,IF(J156='Ціни контур теплопостачання'!$B$126,L156*'Ціни контур теплопостачання'!$C$126*'Ціни контур теплопостачання'!$E$126*'Ціни контур теплопостачання'!$F$126+'Ціни контур теплопостачання'!$D$126,IF(J156='Ціни контур теплопостачання'!$B$127,L156*'Ціни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O156" s="62"/>
    </row>
    <row r="157" spans="1:15">
      <c r="A157" s="168" t="s">
        <v>517</v>
      </c>
      <c r="B157" s="162" t="str">
        <f t="shared" si="16"/>
        <v xml:space="preserve">26+109M50HS-692 </v>
      </c>
      <c r="C157" s="162" t="str">
        <f t="shared" si="17"/>
        <v>26</v>
      </c>
      <c r="D157" s="162" t="str">
        <f t="shared" si="18"/>
        <v xml:space="preserve">109M50HS-692 </v>
      </c>
      <c r="E157" s="162" t="str">
        <f t="shared" si="19"/>
        <v>109</v>
      </c>
      <c r="F157" s="166" t="e">
        <f>IF(C157='Ціни контур теплопостачання'!$B$123,E157*'Ціни контур теплопостачання'!$C$123*'Ціни контур теплопостачання'!$E$123*'Ціни контур теплопостачання'!$F$123+'Ціни контур теплопостачання'!$D$123,IF(C157='Ціни контур теплопостачання'!$B$124,E157*'Ціни контур теплопостачання'!$C$124*'Ціни контур теплопостачання'!$E$124*'Ціни контур теплопостачання'!$F$124+'Ціни контур теплопостачання'!$D$124,IF(C157='Ціни контур теплопостачання'!$B$125,E157*'Ціни контур теплопостачання'!$C$125*'Ціни контур теплопостачання'!$E$125*'Ціни контур теплопостачання'!$F$125+'Ціни контур теплопостачання'!$D$125,IF(C157='Ціни контур теплопостачання'!$B$126,E157*'Ціни контур теплопостачання'!$C$126*'Ціни контур теплопостачання'!$E$126*'Ціни контур теплопостачання'!$F$126+'Ціни контур теплопостачання'!$D$126,IF(C157='Ціни контур теплопостачання'!$B$127,E157*'Ціни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7" s="170" t="s">
        <v>257</v>
      </c>
      <c r="I157" s="162" t="str">
        <f t="shared" si="20"/>
        <v xml:space="preserve">30+041A00HS-601 </v>
      </c>
      <c r="J157" s="162" t="str">
        <f t="shared" si="21"/>
        <v>30</v>
      </c>
      <c r="K157" s="162" t="str">
        <f t="shared" si="22"/>
        <v xml:space="preserve">041A00HS-601 </v>
      </c>
      <c r="L157" s="162" t="str">
        <f t="shared" si="23"/>
        <v>041</v>
      </c>
      <c r="M157" s="166" t="e">
        <f>IF(J157='Ціни контур теплопостачання'!$B$123,L157*'Ціни контур теплопостачання'!$C$123*'Ціни контур теплопостачання'!$E$123*'Ціни контур теплопостачання'!$F$123+'Ціни контур теплопостачання'!$D$123,IF(J157='Ціни контур теплопостачання'!$B$124,L157*'Ціни контур теплопостачання'!$C$124*'Ціни контур теплопостачання'!$E$124*'Ціни контур теплопостачання'!$F$124+'Ціни контур теплопостачання'!$D$124,IF(J157='Ціни контур теплопостачання'!$B$125,L157*'Ціни контур теплопостачання'!$C$125*'Ціни контур теплопостачання'!$E$125*'Ціни контур теплопостачання'!$F$125+'Ціни контур теплопостачання'!$D$125,IF(J157='Ціни контур теплопостачання'!$B$126,L157*'Ціни контур теплопостачання'!$C$126*'Ціни контур теплопостачання'!$E$126*'Ціни контур теплопостачання'!$F$126+'Ціни контур теплопостачання'!$D$126,IF(J157='Ціни контур теплопостачання'!$B$127,L157*'Ціни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O157" s="62">
        <v>2</v>
      </c>
    </row>
    <row r="158" spans="1:15">
      <c r="A158" s="168" t="s">
        <v>518</v>
      </c>
      <c r="B158" s="162" t="str">
        <f t="shared" si="16"/>
        <v xml:space="preserve">26+093M55HS-608 </v>
      </c>
      <c r="C158" s="162" t="str">
        <f t="shared" si="17"/>
        <v>26</v>
      </c>
      <c r="D158" s="162" t="str">
        <f t="shared" si="18"/>
        <v xml:space="preserve">093M55HS-608 </v>
      </c>
      <c r="E158" s="162" t="str">
        <f t="shared" si="19"/>
        <v>093</v>
      </c>
      <c r="F158" s="166" t="e">
        <f>IF(C158='Ціни контур теплопостачання'!$B$123,E158*'Ціни контур теплопостачання'!$C$123*'Ціни контур теплопостачання'!$E$123*'Ціни контур теплопостачання'!$F$123+'Ціни контур теплопостачання'!$D$123,IF(C158='Ціни контур теплопостачання'!$B$124,E158*'Ціни контур теплопостачання'!$C$124*'Ціни контур теплопостачання'!$E$124*'Ціни контур теплопостачання'!$F$124+'Ціни контур теплопостачання'!$D$124,IF(C158='Ціни контур теплопостачання'!$B$125,E158*'Ціни контур теплопостачання'!$C$125*'Ціни контур теплопостачання'!$E$125*'Ціни контур теплопостачання'!$F$125+'Ціни контур теплопостачання'!$D$125,IF(C158='Ціни контур теплопостачання'!$B$126,E158*'Ціни контур теплопостачання'!$C$126*'Ціни контур теплопостачання'!$E$126*'Ціни контур теплопостачання'!$F$126+'Ціни контур теплопостачання'!$D$126,IF(C158='Ціни контур теплопостачання'!$B$127,E158*'Ціни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8" s="170" t="s">
        <v>258</v>
      </c>
      <c r="I158" s="162" t="str">
        <f t="shared" si="20"/>
        <v xml:space="preserve">16+049M50HS-472 </v>
      </c>
      <c r="J158" s="162" t="str">
        <f t="shared" si="21"/>
        <v>16</v>
      </c>
      <c r="K158" s="162" t="str">
        <f t="shared" si="22"/>
        <v xml:space="preserve">049M50HS-472 </v>
      </c>
      <c r="L158" s="162" t="str">
        <f t="shared" si="23"/>
        <v>049</v>
      </c>
      <c r="M158" s="166" t="e">
        <f>IF(J158='Ціни контур теплопостачання'!$B$123,L158*'Ціни контур теплопостачання'!$C$123*'Ціни контур теплопостачання'!$E$123*'Ціни контур теплопостачання'!$F$123+'Ціни контур теплопостачання'!$D$123,IF(J158='Ціни контур теплопостачання'!$B$124,L158*'Ціни контур теплопостачання'!$C$124*'Ціни контур теплопостачання'!$E$124*'Ціни контур теплопостачання'!$F$124+'Ціни контур теплопостачання'!$D$124,IF(J158='Ціни контур теплопостачання'!$B$125,L158*'Ціни контур теплопостачання'!$C$125*'Ціни контур теплопостачання'!$E$125*'Ціни контур теплопостачання'!$F$125+'Ціни контур теплопостачання'!$D$125,IF(J158='Ціни контур теплопостачання'!$B$126,L158*'Ціни контур теплопостачання'!$C$126*'Ціни контур теплопостачання'!$E$126*'Ціни контур теплопостачання'!$F$126+'Ціни контур теплопостачання'!$D$126,IF(J158='Ціни контур теплопостачання'!$B$127,L158*'Ціни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O158" s="62"/>
    </row>
    <row r="159" spans="1:15">
      <c r="A159" s="168" t="s">
        <v>519</v>
      </c>
      <c r="B159" s="162" t="str">
        <f t="shared" si="16"/>
        <v xml:space="preserve">16+081A00HS-336  </v>
      </c>
      <c r="C159" s="162" t="str">
        <f t="shared" si="17"/>
        <v>16</v>
      </c>
      <c r="D159" s="162" t="str">
        <f t="shared" si="18"/>
        <v xml:space="preserve">081A00HS-336  </v>
      </c>
      <c r="E159" s="162" t="str">
        <f t="shared" si="19"/>
        <v>081</v>
      </c>
      <c r="F159" s="166" t="e">
        <f>IF(C159='Ціни контур теплопостачання'!$B$123,E159*'Ціни контур теплопостачання'!$C$123*'Ціни контур теплопостачання'!$E$123*'Ціни контур теплопостачання'!$F$123+'Ціни контур теплопостачання'!$D$123,IF(C159='Ціни контур теплопостачання'!$B$124,E159*'Ціни контур теплопостачання'!$C$124*'Ціни контур теплопостачання'!$E$124*'Ціни контур теплопостачання'!$F$124+'Ціни контур теплопостачання'!$D$124,IF(C159='Ціни контур теплопостачання'!$B$125,E159*'Ціни контур теплопостачання'!$C$125*'Ціни контур теплопостачання'!$E$125*'Ціни контур теплопостачання'!$F$125+'Ціни контур теплопостачання'!$D$125,IF(C159='Ціни контур теплопостачання'!$B$126,E159*'Ціни контур теплопостачання'!$C$126*'Ціни контур теплопостачання'!$E$126*'Ціни контур теплопостачання'!$F$126+'Ціни контур теплопостачання'!$D$126,IF(C159='Ціни контур теплопостачання'!$B$127,E159*'Ціни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59" s="170" t="s">
        <v>147</v>
      </c>
      <c r="I159" s="162" t="str">
        <f t="shared" si="20"/>
        <v xml:space="preserve">16+037M50HS-373 </v>
      </c>
      <c r="J159" s="162" t="str">
        <f t="shared" si="21"/>
        <v>16</v>
      </c>
      <c r="K159" s="162" t="str">
        <f t="shared" si="22"/>
        <v xml:space="preserve">037M50HS-373 </v>
      </c>
      <c r="L159" s="162" t="str">
        <f t="shared" si="23"/>
        <v>037</v>
      </c>
      <c r="M159" s="166" t="e">
        <f>IF(J159='Ціни контур теплопостачання'!$B$123,L159*'Ціни контур теплопостачання'!$C$123*'Ціни контур теплопостачання'!$E$123*'Ціни контур теплопостачання'!$F$123+'Ціни контур теплопостачання'!$D$123,IF(J159='Ціни контур теплопостачання'!$B$124,L159*'Ціни контур теплопостачання'!$C$124*'Ціни контур теплопостачання'!$E$124*'Ціни контур теплопостачання'!$F$124+'Ціни контур теплопостачання'!$D$124,IF(J159='Ціни контур теплопостачання'!$B$125,L159*'Ціни контур теплопостачання'!$C$125*'Ціни контур теплопостачання'!$E$125*'Ціни контур теплопостачання'!$F$125+'Ціни контур теплопостачання'!$D$125,IF(J159='Ціни контур теплопостачання'!$B$126,L159*'Ціни контур теплопостачання'!$C$126*'Ціни контур теплопостачання'!$E$126*'Ціни контур теплопостачання'!$F$126+'Ціни контур теплопостачання'!$D$126,IF(J159='Ціни контур теплопостачання'!$B$127,L159*'Ціни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0" spans="1:15">
      <c r="A160" s="168" t="s">
        <v>520</v>
      </c>
      <c r="B160" s="162" t="str">
        <f t="shared" si="16"/>
        <v xml:space="preserve">16+103A00HS-430 </v>
      </c>
      <c r="C160" s="162" t="str">
        <f t="shared" si="17"/>
        <v>16</v>
      </c>
      <c r="D160" s="162" t="str">
        <f t="shared" si="18"/>
        <v xml:space="preserve">103A00HS-430 </v>
      </c>
      <c r="E160" s="162" t="str">
        <f t="shared" si="19"/>
        <v>103</v>
      </c>
      <c r="F160" s="166" t="e">
        <f>IF(C160='Ціни контур теплопостачання'!$B$123,E160*'Ціни контур теплопостачання'!$C$123*'Ціни контур теплопостачання'!$E$123*'Ціни контур теплопостачання'!$F$123+'Ціни контур теплопостачання'!$D$123,IF(C160='Ціни контур теплопостачання'!$B$124,E160*'Ціни контур теплопостачання'!$C$124*'Ціни контур теплопостачання'!$E$124*'Ціни контур теплопостачання'!$F$124+'Ціни контур теплопостачання'!$D$124,IF(C160='Ціни контур теплопостачання'!$B$125,E160*'Ціни контур теплопостачання'!$C$125*'Ціни контур теплопостачання'!$E$125*'Ціни контур теплопостачання'!$F$125+'Ціни контур теплопостачання'!$D$125,IF(C160='Ціни контур теплопостачання'!$B$126,E160*'Ціни контур теплопостачання'!$C$126*'Ціни контур теплопостачання'!$E$126*'Ціни контур теплопостачання'!$F$126+'Ціни контур теплопостачання'!$D$126,IF(C160='Ціни контур теплопостачання'!$B$127,E160*'Ціни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0" s="170" t="s">
        <v>259</v>
      </c>
      <c r="I160" s="162" t="str">
        <f t="shared" si="20"/>
        <v xml:space="preserve">16+047M50HS-459 </v>
      </c>
      <c r="J160" s="162" t="str">
        <f t="shared" si="21"/>
        <v>16</v>
      </c>
      <c r="K160" s="162" t="str">
        <f t="shared" si="22"/>
        <v xml:space="preserve">047M50HS-459 </v>
      </c>
      <c r="L160" s="162" t="str">
        <f t="shared" si="23"/>
        <v>047</v>
      </c>
      <c r="M160" s="166" t="e">
        <f>IF(J160='Ціни контур теплопостачання'!$B$123,L160*'Ціни контур теплопостачання'!$C$123*'Ціни контур теплопостачання'!$E$123*'Ціни контур теплопостачання'!$F$123+'Ціни контур теплопостачання'!$D$123,IF(J160='Ціни контур теплопостачання'!$B$124,L160*'Ціни контур теплопостачання'!$C$124*'Ціни контур теплопостачання'!$E$124*'Ціни контур теплопостачання'!$F$124+'Ціни контур теплопостачання'!$D$124,IF(J160='Ціни контур теплопостачання'!$B$125,L160*'Ціни контур теплопостачання'!$C$125*'Ціни контур теплопостачання'!$E$125*'Ціни контур теплопостачання'!$F$125+'Ціни контур теплопостачання'!$D$125,IF(J160='Ціни контур теплопостачання'!$B$126,L160*'Ціни контур теплопостачання'!$C$126*'Ціни контур теплопостачання'!$E$126*'Ціни контур теплопостачання'!$F$126+'Ціни контур теплопостачання'!$D$126,IF(J160='Ціни контур теплопостачання'!$B$127,L160*'Ціни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1" spans="1:13">
      <c r="A161" s="168" t="s">
        <v>521</v>
      </c>
      <c r="B161" s="162" t="str">
        <f t="shared" si="16"/>
        <v xml:space="preserve">16+071A00HS-290  </v>
      </c>
      <c r="C161" s="162" t="str">
        <f t="shared" si="17"/>
        <v>16</v>
      </c>
      <c r="D161" s="162" t="str">
        <f t="shared" si="18"/>
        <v xml:space="preserve">071A00HS-290  </v>
      </c>
      <c r="E161" s="162" t="str">
        <f t="shared" si="19"/>
        <v>071</v>
      </c>
      <c r="F161" s="166" t="e">
        <f>IF(C161='Ціни контур теплопостачання'!$B$123,E161*'Ціни контур теплопостачання'!$C$123*'Ціни контур теплопостачання'!$E$123*'Ціни контур теплопостачання'!$F$123+'Ціни контур теплопостачання'!$D$123,IF(C161='Ціни контур теплопостачання'!$B$124,E161*'Ціни контур теплопостачання'!$C$124*'Ціни контур теплопостачання'!$E$124*'Ціни контур теплопостачання'!$F$124+'Ціни контур теплопостачання'!$D$124,IF(C161='Ціни контур теплопостачання'!$B$125,E161*'Ціни контур теплопостачання'!$C$125*'Ціни контур теплопостачання'!$E$125*'Ціни контур теплопостачання'!$F$125+'Ціни контур теплопостачання'!$D$125,IF(C161='Ціни контур теплопостачання'!$B$126,E161*'Ціни контур теплопостачання'!$C$126*'Ціни контур теплопостачання'!$E$126*'Ціни контур теплопостачання'!$F$126+'Ціни контур теплопостачання'!$D$126,IF(C161='Ціни контур теплопостачання'!$B$127,E161*'Ціни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1" s="170" t="s">
        <v>260</v>
      </c>
      <c r="I161" s="162" t="str">
        <f t="shared" si="20"/>
        <v xml:space="preserve">08+037A00HS-215 </v>
      </c>
      <c r="J161" s="162" t="str">
        <f t="shared" si="21"/>
        <v>08</v>
      </c>
      <c r="K161" s="162" t="str">
        <f t="shared" si="22"/>
        <v xml:space="preserve">037A00HS-215 </v>
      </c>
      <c r="L161" s="162" t="str">
        <f t="shared" si="23"/>
        <v>037</v>
      </c>
      <c r="M161" s="166" t="e">
        <f>IF(J161='Ціни контур теплопостачання'!$B$123,L161*'Ціни контур теплопостачання'!$C$123*'Ціни контур теплопостачання'!$E$123*'Ціни контур теплопостачання'!$F$123+'Ціни контур теплопостачання'!$D$123,IF(J161='Ціни контур теплопостачання'!$B$124,L161*'Ціни контур теплопостачання'!$C$124*'Ціни контур теплопостачання'!$E$124*'Ціни контур теплопостачання'!$F$124+'Ціни контур теплопостачання'!$D$124,IF(J161='Ціни контур теплопостачання'!$B$125,L161*'Ціни контур теплопостачання'!$C$125*'Ціни контур теплопостачання'!$E$125*'Ціни контур теплопостачання'!$F$125+'Ціни контур теплопостачання'!$D$125,IF(J161='Ціни контур теплопостачання'!$B$126,L161*'Ціни контур теплопостачання'!$C$126*'Ціни контур теплопостачання'!$E$126*'Ціни контур теплопостачання'!$F$126+'Ціни контур теплопостачання'!$D$126,IF(J161='Ціни контур теплопостачання'!$B$127,L161*'Ціни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2" spans="1:13">
      <c r="A162" s="168" t="s">
        <v>522</v>
      </c>
      <c r="B162" s="162" t="str">
        <f t="shared" si="16"/>
        <v xml:space="preserve">26+089M55HS-581   </v>
      </c>
      <c r="C162" s="162" t="str">
        <f t="shared" si="17"/>
        <v>26</v>
      </c>
      <c r="D162" s="162" t="str">
        <f t="shared" si="18"/>
        <v xml:space="preserve">089M55HS-581   </v>
      </c>
      <c r="E162" s="162" t="str">
        <f t="shared" si="19"/>
        <v>089</v>
      </c>
      <c r="F162" s="166" t="e">
        <f>IF(C162='Ціни контур теплопостачання'!$B$123,E162*'Ціни контур теплопостачання'!$C$123*'Ціни контур теплопостачання'!$E$123*'Ціни контур теплопостачання'!$F$123+'Ціни контур теплопостачання'!$D$123,IF(C162='Ціни контур теплопостачання'!$B$124,E162*'Ціни контур теплопостачання'!$C$124*'Ціни контур теплопостачання'!$E$124*'Ціни контур теплопостачання'!$F$124+'Ціни контур теплопостачання'!$D$124,IF(C162='Ціни контур теплопостачання'!$B$125,E162*'Ціни контур теплопостачання'!$C$125*'Ціни контур теплопостачання'!$E$125*'Ціни контур теплопостачання'!$F$125+'Ціни контур теплопостачання'!$D$125,IF(C162='Ціни контур теплопостачання'!$B$126,E162*'Ціни контур теплопостачання'!$C$126*'Ціни контур теплопостачання'!$E$126*'Ціни контур теплопостачання'!$F$126+'Ціни контур теплопостачання'!$D$126,IF(C162='Ціни контур теплопостачання'!$B$127,E162*'Ціни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G162" s="154">
        <v>6</v>
      </c>
      <c r="H162" s="170" t="s">
        <v>261</v>
      </c>
      <c r="I162" s="162" t="str">
        <f t="shared" si="20"/>
        <v xml:space="preserve">16+043M50HS-429 </v>
      </c>
      <c r="J162" s="162" t="str">
        <f t="shared" si="21"/>
        <v>16</v>
      </c>
      <c r="K162" s="162" t="str">
        <f t="shared" si="22"/>
        <v xml:space="preserve">043M50HS-429 </v>
      </c>
      <c r="L162" s="162" t="str">
        <f t="shared" si="23"/>
        <v>043</v>
      </c>
      <c r="M162" s="166" t="e">
        <f>IF(J162='Ціни контур теплопостачання'!$B$123,L162*'Ціни контур теплопостачання'!$C$123*'Ціни контур теплопостачання'!$E$123*'Ціни контур теплопостачання'!$F$123+'Ціни контур теплопостачання'!$D$123,IF(J162='Ціни контур теплопостачання'!$B$124,L162*'Ціни контур теплопостачання'!$C$124*'Ціни контур теплопостачання'!$E$124*'Ціни контур теплопостачання'!$F$124+'Ціни контур теплопостачання'!$D$124,IF(J162='Ціни контур теплопостачання'!$B$125,L162*'Ціни контур теплопостачання'!$C$125*'Ціни контур теплопостачання'!$E$125*'Ціни контур теплопостачання'!$F$125+'Ціни контур теплопостачання'!$D$125,IF(J162='Ціни контур теплопостачання'!$B$126,L162*'Ціни контур теплопостачання'!$C$126*'Ціни контур теплопостачання'!$E$126*'Ціни контур теплопостачання'!$F$126+'Ціни контур теплопостачання'!$D$126,IF(J162='Ціни контур теплопостачання'!$B$127,L162*'Ціни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3" spans="1:13">
      <c r="A163" s="168" t="s">
        <v>523</v>
      </c>
      <c r="B163" s="162" t="str">
        <f t="shared" si="16"/>
        <v xml:space="preserve">16+057A00HS-234 </v>
      </c>
      <c r="C163" s="162" t="str">
        <f t="shared" si="17"/>
        <v>16</v>
      </c>
      <c r="D163" s="162" t="str">
        <f t="shared" si="18"/>
        <v xml:space="preserve">057A00HS-234 </v>
      </c>
      <c r="E163" s="162" t="str">
        <f t="shared" si="19"/>
        <v>057</v>
      </c>
      <c r="F163" s="166" t="e">
        <f>IF(C163='Ціни контур теплопостачання'!$B$123,E163*'Ціни контур теплопостачання'!$C$123*'Ціни контур теплопостачання'!$E$123*'Ціни контур теплопостачання'!$F$123+'Ціни контур теплопостачання'!$D$123,IF(C163='Ціни контур теплопостачання'!$B$124,E163*'Ціни контур теплопостачання'!$C$124*'Ціни контур теплопостачання'!$E$124*'Ціни контур теплопостачання'!$F$124+'Ціни контур теплопостачання'!$D$124,IF(C163='Ціни контур теплопостачання'!$B$125,E163*'Ціни контур теплопостачання'!$C$125*'Ціни контур теплопостачання'!$E$125*'Ціни контур теплопостачання'!$F$125+'Ціни контур теплопостачання'!$D$125,IF(C163='Ціни контур теплопостачання'!$B$126,E163*'Ціни контур теплопостачання'!$C$126*'Ціни контур теплопостачання'!$E$126*'Ціни контур теплопостачання'!$F$126+'Ціни контур теплопостачання'!$D$126,IF(C163='Ціни контур теплопостачання'!$B$127,E163*'Ціни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3" s="170" t="s">
        <v>262</v>
      </c>
      <c r="I163" s="162" t="str">
        <f t="shared" si="20"/>
        <v xml:space="preserve">16+029M50HS-291 </v>
      </c>
      <c r="J163" s="162" t="str">
        <f t="shared" si="21"/>
        <v>16</v>
      </c>
      <c r="K163" s="162" t="str">
        <f t="shared" si="22"/>
        <v xml:space="preserve">029M50HS-291 </v>
      </c>
      <c r="L163" s="162" t="str">
        <f t="shared" si="23"/>
        <v>029</v>
      </c>
      <c r="M163" s="166" t="e">
        <f>IF(J163='Ціни контур теплопостачання'!$B$123,L163*'Ціни контур теплопостачання'!$C$123*'Ціни контур теплопостачання'!$E$123*'Ціни контур теплопостачання'!$F$123+'Ціни контур теплопостачання'!$D$123,IF(J163='Ціни контур теплопостачання'!$B$124,L163*'Ціни контур теплопостачання'!$C$124*'Ціни контур теплопостачання'!$E$124*'Ціни контур теплопостачання'!$F$124+'Ціни контур теплопостачання'!$D$124,IF(J163='Ціни контур теплопостачання'!$B$125,L163*'Ціни контур теплопостачання'!$C$125*'Ціни контур теплопостачання'!$E$125*'Ціни контур теплопостачання'!$F$125+'Ціни контур теплопостачання'!$D$125,IF(J163='Ціни контур теплопостачання'!$B$126,L163*'Ціни контур теплопостачання'!$C$126*'Ціни контур теплопостачання'!$E$126*'Ціни контур теплопостачання'!$F$126+'Ціни контур теплопостачання'!$D$126,IF(J163='Ціни контур теплопостачання'!$B$127,L163*'Ціни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4" spans="1:13">
      <c r="A164" s="168" t="s">
        <v>524</v>
      </c>
      <c r="B164" s="162" t="str">
        <f t="shared" si="16"/>
        <v xml:space="preserve">16+073A00HS-293  </v>
      </c>
      <c r="C164" s="162" t="str">
        <f t="shared" si="17"/>
        <v>16</v>
      </c>
      <c r="D164" s="162" t="str">
        <f t="shared" si="18"/>
        <v xml:space="preserve">073A00HS-293  </v>
      </c>
      <c r="E164" s="162" t="str">
        <f t="shared" si="19"/>
        <v>073</v>
      </c>
      <c r="F164" s="166" t="e">
        <f>IF(C164='Ціни контур теплопостачання'!$B$123,E164*'Ціни контур теплопостачання'!$C$123*'Ціни контур теплопостачання'!$E$123*'Ціни контур теплопостачання'!$F$123+'Ціни контур теплопостачання'!$D$123,IF(C164='Ціни контур теплопостачання'!$B$124,E164*'Ціни контур теплопостачання'!$C$124*'Ціни контур теплопостачання'!$E$124*'Ціни контур теплопостачання'!$F$124+'Ціни контур теплопостачання'!$D$124,IF(C164='Ціни контур теплопостачання'!$B$125,E164*'Ціни контур теплопостачання'!$C$125*'Ціни контур теплопостачання'!$E$125*'Ціни контур теплопостачання'!$F$125+'Ціни контур теплопостачання'!$D$125,IF(C164='Ціни контур теплопостачання'!$B$126,E164*'Ціни контур теплопостачання'!$C$126*'Ціни контур теплопостачання'!$E$126*'Ціни контур теплопостачання'!$F$126+'Ціни контур теплопостачання'!$D$126,IF(C164='Ціни контур теплопостачання'!$B$127,E164*'Ціни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4" s="170" t="s">
        <v>263</v>
      </c>
      <c r="I164" s="162" t="str">
        <f t="shared" si="20"/>
        <v xml:space="preserve">16+035M50HS-312 </v>
      </c>
      <c r="J164" s="162" t="str">
        <f t="shared" si="21"/>
        <v>16</v>
      </c>
      <c r="K164" s="162" t="str">
        <f t="shared" si="22"/>
        <v xml:space="preserve">035M50HS-312 </v>
      </c>
      <c r="L164" s="162" t="str">
        <f t="shared" si="23"/>
        <v>035</v>
      </c>
      <c r="M164" s="166" t="e">
        <f>IF(J164='Ціни контур теплопостачання'!$B$123,L164*'Ціни контур теплопостачання'!$C$123*'Ціни контур теплопостачання'!$E$123*'Ціни контур теплопостачання'!$F$123+'Ціни контур теплопостачання'!$D$123,IF(J164='Ціни контур теплопостачання'!$B$124,L164*'Ціни контур теплопостачання'!$C$124*'Ціни контур теплопостачання'!$E$124*'Ціни контур теплопостачання'!$F$124+'Ціни контур теплопостачання'!$D$124,IF(J164='Ціни контур теплопостачання'!$B$125,L164*'Ціни контур теплопостачання'!$C$125*'Ціни контур теплопостачання'!$E$125*'Ціни контур теплопостачання'!$F$125+'Ціни контур теплопостачання'!$D$125,IF(J164='Ціни контур теплопостачання'!$B$126,L164*'Ціни контур теплопостачання'!$C$126*'Ціни контур теплопостачання'!$E$126*'Ціни контур теплопостачання'!$F$126+'Ціни контур теплопостачання'!$D$126,IF(J164='Ціни контур теплопостачання'!$B$127,L164*'Ціни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5" spans="1:13">
      <c r="A165" s="168" t="s">
        <v>525</v>
      </c>
      <c r="B165" s="162" t="str">
        <f t="shared" si="16"/>
        <v xml:space="preserve">16+059A00HS-242  </v>
      </c>
      <c r="C165" s="162" t="str">
        <f t="shared" si="17"/>
        <v>16</v>
      </c>
      <c r="D165" s="162" t="str">
        <f t="shared" si="18"/>
        <v xml:space="preserve">059A00HS-242  </v>
      </c>
      <c r="E165" s="162" t="str">
        <f t="shared" si="19"/>
        <v>059</v>
      </c>
      <c r="F165" s="166" t="e">
        <f>IF(C165='Ціни контур теплопостачання'!$B$123,E165*'Ціни контур теплопостачання'!$C$123*'Ціни контур теплопостачання'!$E$123*'Ціни контур теплопостачання'!$F$123+'Ціни контур теплопостачання'!$D$123,IF(C165='Ціни контур теплопостачання'!$B$124,E165*'Ціни контур теплопостачання'!$C$124*'Ціни контур теплопостачання'!$E$124*'Ціни контур теплопостачання'!$F$124+'Ціни контур теплопостачання'!$D$124,IF(C165='Ціни контур теплопостачання'!$B$125,E165*'Ціни контур теплопостачання'!$C$125*'Ціни контур теплопостачання'!$E$125*'Ціни контур теплопостачання'!$F$125+'Ціни контур теплопостачання'!$D$125,IF(C165='Ціни контур теплопостачання'!$B$126,E165*'Ціни контур теплопостачання'!$C$126*'Ціни контур теплопостачання'!$E$126*'Ціни контур теплопостачання'!$F$126+'Ціни контур теплопостачання'!$D$126,IF(C165='Ціни контур теплопостачання'!$B$127,E165*'Ціни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5" s="170" t="s">
        <v>264</v>
      </c>
      <c r="I165" s="162" t="str">
        <f t="shared" si="20"/>
        <v xml:space="preserve">16+029M50HS-250 </v>
      </c>
      <c r="J165" s="162" t="str">
        <f t="shared" si="21"/>
        <v>16</v>
      </c>
      <c r="K165" s="162" t="str">
        <f t="shared" si="22"/>
        <v xml:space="preserve">029M50HS-250 </v>
      </c>
      <c r="L165" s="162" t="str">
        <f t="shared" si="23"/>
        <v>029</v>
      </c>
      <c r="M165" s="166" t="e">
        <f>IF(J165='Ціни контур теплопостачання'!$B$123,L165*'Ціни контур теплопостачання'!$C$123*'Ціни контур теплопостачання'!$E$123*'Ціни контур теплопостачання'!$F$123+'Ціни контур теплопостачання'!$D$123,IF(J165='Ціни контур теплопостачання'!$B$124,L165*'Ціни контур теплопостачання'!$C$124*'Ціни контур теплопостачання'!$E$124*'Ціни контур теплопостачання'!$F$124+'Ціни контур теплопостачання'!$D$124,IF(J165='Ціни контур теплопостачання'!$B$125,L165*'Ціни контур теплопостачання'!$C$125*'Ціни контур теплопостачання'!$E$125*'Ціни контур теплопостачання'!$F$125+'Ціни контур теплопостачання'!$D$125,IF(J165='Ціни контур теплопостачання'!$B$126,L165*'Ціни контур теплопостачання'!$C$126*'Ціни контур теплопостачання'!$E$126*'Ціни контур теплопостачання'!$F$126+'Ціни контур теплопостачання'!$D$126,IF(J165='Ціни контур теплопостачання'!$B$127,L165*'Ціни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6" spans="1:13">
      <c r="A166" s="168" t="s">
        <v>526</v>
      </c>
      <c r="B166" s="162" t="str">
        <f t="shared" si="16"/>
        <v xml:space="preserve">16+055A00HS-218  </v>
      </c>
      <c r="C166" s="162" t="str">
        <f t="shared" si="17"/>
        <v>16</v>
      </c>
      <c r="D166" s="162" t="str">
        <f t="shared" si="18"/>
        <v xml:space="preserve">055A00HS-218  </v>
      </c>
      <c r="E166" s="162" t="str">
        <f t="shared" si="19"/>
        <v>055</v>
      </c>
      <c r="F166" s="166" t="e">
        <f>IF(C166='Ціни контур теплопостачання'!$B$123,E166*'Ціни контур теплопостачання'!$C$123*'Ціни контур теплопостачання'!$E$123*'Ціни контур теплопостачання'!$F$123+'Ціни контур теплопостачання'!$D$123,IF(C166='Ціни контур теплопостачання'!$B$124,E166*'Ціни контур теплопостачання'!$C$124*'Ціни контур теплопостачання'!$E$124*'Ціни контур теплопостачання'!$F$124+'Ціни контур теплопостачання'!$D$124,IF(C166='Ціни контур теплопостачання'!$B$125,E166*'Ціни контур теплопостачання'!$C$125*'Ціни контур теплопостачання'!$E$125*'Ціни контур теплопостачання'!$F$125+'Ціни контур теплопостачання'!$D$125,IF(C166='Ціни контур теплопостачання'!$B$126,E166*'Ціни контур теплопостачання'!$C$126*'Ціни контур теплопостачання'!$E$126*'Ціни контур теплопостачання'!$F$126+'Ціни контур теплопостачання'!$D$126,IF(C166='Ціни контур теплопостачання'!$B$127,E166*'Ціни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6" s="170" t="s">
        <v>265</v>
      </c>
      <c r="I166" s="162" t="str">
        <f t="shared" si="20"/>
        <v xml:space="preserve">16+029M50HS-277 </v>
      </c>
      <c r="J166" s="162" t="str">
        <f t="shared" si="21"/>
        <v>16</v>
      </c>
      <c r="K166" s="162" t="str">
        <f t="shared" si="22"/>
        <v xml:space="preserve">029M50HS-277 </v>
      </c>
      <c r="L166" s="162" t="str">
        <f t="shared" si="23"/>
        <v>029</v>
      </c>
      <c r="M166" s="166" t="e">
        <f>IF(J166='Ціни контур теплопостачання'!$B$123,L166*'Ціни контур теплопостачання'!$C$123*'Ціни контур теплопостачання'!$E$123*'Ціни контур теплопостачання'!$F$123+'Ціни контур теплопостачання'!$D$123,IF(J166='Ціни контур теплопостачання'!$B$124,L166*'Ціни контур теплопостачання'!$C$124*'Ціни контур теплопостачання'!$E$124*'Ціни контур теплопостачання'!$F$124+'Ціни контур теплопостачання'!$D$124,IF(J166='Ціни контур теплопостачання'!$B$125,L166*'Ціни контур теплопостачання'!$C$125*'Ціни контур теплопостачання'!$E$125*'Ціни контур теплопостачання'!$F$125+'Ціни контур теплопостачання'!$D$125,IF(J166='Ціни контур теплопостачання'!$B$126,L166*'Ціни контур теплопостачання'!$C$126*'Ціни контур теплопостачання'!$E$126*'Ціни контур теплопостачання'!$F$126+'Ціни контур теплопостачання'!$D$126,IF(J166='Ціни контур теплопостачання'!$B$127,L166*'Ціни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7" spans="1:13">
      <c r="A167" s="168" t="s">
        <v>527</v>
      </c>
      <c r="B167" s="162" t="str">
        <f t="shared" si="16"/>
        <v xml:space="preserve">16+089A00HS-379 </v>
      </c>
      <c r="C167" s="162" t="str">
        <f t="shared" si="17"/>
        <v>16</v>
      </c>
      <c r="D167" s="162" t="str">
        <f t="shared" si="18"/>
        <v xml:space="preserve">089A00HS-379 </v>
      </c>
      <c r="E167" s="162" t="str">
        <f t="shared" si="19"/>
        <v>089</v>
      </c>
      <c r="F167" s="166" t="e">
        <f>IF(C167='Ціни контур теплопостачання'!$B$123,E167*'Ціни контур теплопостачання'!$C$123*'Ціни контур теплопостачання'!$E$123*'Ціни контур теплопостачання'!$F$123+'Ціни контур теплопостачання'!$D$123,IF(C167='Ціни контур теплопостачання'!$B$124,E167*'Ціни контур теплопостачання'!$C$124*'Ціни контур теплопостачання'!$E$124*'Ціни контур теплопостачання'!$F$124+'Ціни контур теплопостачання'!$D$124,IF(C167='Ціни контур теплопостачання'!$B$125,E167*'Ціни контур теплопостачання'!$C$125*'Ціни контур теплопостачання'!$E$125*'Ціни контур теплопостачання'!$F$125+'Ціни контур теплопостачання'!$D$125,IF(C167='Ціни контур теплопостачання'!$B$126,E167*'Ціни контур теплопостачання'!$C$126*'Ціни контур теплопостачання'!$E$126*'Ціни контур теплопостачання'!$F$126+'Ціни контур теплопостачання'!$D$126,IF(C167='Ціни контур теплопостачання'!$B$127,E167*'Ціни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7" s="170" t="s">
        <v>266</v>
      </c>
      <c r="I167" s="162" t="str">
        <f t="shared" si="20"/>
        <v xml:space="preserve">16+039M50HS-377 </v>
      </c>
      <c r="J167" s="162" t="str">
        <f t="shared" si="21"/>
        <v>16</v>
      </c>
      <c r="K167" s="162" t="str">
        <f t="shared" si="22"/>
        <v xml:space="preserve">039M50HS-377 </v>
      </c>
      <c r="L167" s="162" t="str">
        <f t="shared" si="23"/>
        <v>039</v>
      </c>
      <c r="M167" s="166" t="e">
        <f>IF(J167='Ціни контур теплопостачання'!$B$123,L167*'Ціни контур теплопостачання'!$C$123*'Ціни контур теплопостачання'!$E$123*'Ціни контур теплопостачання'!$F$123+'Ціни контур теплопостачання'!$D$123,IF(J167='Ціни контур теплопостачання'!$B$124,L167*'Ціни контур теплопостачання'!$C$124*'Ціни контур теплопостачання'!$E$124*'Ціни контур теплопостачання'!$F$124+'Ціни контур теплопостачання'!$D$124,IF(J167='Ціни контур теплопостачання'!$B$125,L167*'Ціни контур теплопостачання'!$C$125*'Ціни контур теплопостачання'!$E$125*'Ціни контур теплопостачання'!$F$125+'Ціни контур теплопостачання'!$D$125,IF(J167='Ціни контур теплопостачання'!$B$126,L167*'Ціни контур теплопостачання'!$C$126*'Ціни контур теплопостачання'!$E$126*'Ціни контур теплопостачання'!$F$126+'Ціни контур теплопостачання'!$D$126,IF(J167='Ціни контур теплопостачання'!$B$127,L167*'Ціни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8" spans="1:13">
      <c r="A168" s="168" t="s">
        <v>499</v>
      </c>
      <c r="B168" s="162" t="str">
        <f t="shared" si="16"/>
        <v xml:space="preserve">16+039A00HS-152  </v>
      </c>
      <c r="C168" s="162" t="str">
        <f t="shared" si="17"/>
        <v>16</v>
      </c>
      <c r="D168" s="162" t="str">
        <f t="shared" si="18"/>
        <v xml:space="preserve">039A00HS-152  </v>
      </c>
      <c r="E168" s="162" t="str">
        <f t="shared" si="19"/>
        <v>039</v>
      </c>
      <c r="F168" s="166" t="e">
        <f>IF(C168='Ціни контур теплопостачання'!$B$123,E168*'Ціни контур теплопостачання'!$C$123*'Ціни контур теплопостачання'!$E$123*'Ціни контур теплопостачання'!$F$123+'Ціни контур теплопостачання'!$D$123,IF(C168='Ціни контур теплопостачання'!$B$124,E168*'Ціни контур теплопостачання'!$C$124*'Ціни контур теплопостачання'!$E$124*'Ціни контур теплопостачання'!$F$124+'Ціни контур теплопостачання'!$D$124,IF(C168='Ціни контур теплопостачання'!$B$125,E168*'Ціни контур теплопостачання'!$C$125*'Ціни контур теплопостачання'!$E$125*'Ціни контур теплопостачання'!$F$125+'Ціни контур теплопостачання'!$D$125,IF(C168='Ціни контур теплопостачання'!$B$126,E168*'Ціни контур теплопостачання'!$C$126*'Ціни контур теплопостачання'!$E$126*'Ціни контур теплопостачання'!$F$126+'Ціни контур теплопостачання'!$D$126,IF(C168='Ціни контур теплопостачання'!$B$127,E168*'Ціни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8" s="170" t="s">
        <v>267</v>
      </c>
      <c r="I168" s="162" t="str">
        <f t="shared" si="20"/>
        <v>08+025A00HS-151</v>
      </c>
      <c r="J168" s="162" t="str">
        <f t="shared" si="21"/>
        <v>08</v>
      </c>
      <c r="K168" s="162" t="str">
        <f t="shared" si="22"/>
        <v>025A00HS-151</v>
      </c>
      <c r="L168" s="162" t="str">
        <f t="shared" si="23"/>
        <v>025</v>
      </c>
      <c r="M168" s="166" t="e">
        <f>IF(J168='Ціни контур теплопостачання'!$B$123,L168*'Ціни контур теплопостачання'!$C$123*'Ціни контур теплопостачання'!$E$123*'Ціни контур теплопостачання'!$F$123+'Ціни контур теплопостачання'!$D$123,IF(J168='Ціни контур теплопостачання'!$B$124,L168*'Ціни контур теплопостачання'!$C$124*'Ціни контур теплопостачання'!$E$124*'Ціни контур теплопостачання'!$F$124+'Ціни контур теплопостачання'!$D$124,IF(J168='Ціни контур теплопостачання'!$B$125,L168*'Ціни контур теплопостачання'!$C$125*'Ціни контур теплопостачання'!$E$125*'Ціни контур теплопостачання'!$F$125+'Ціни контур теплопостачання'!$D$125,IF(J168='Ціни контур теплопостачання'!$B$126,L168*'Ціни контур теплопостачання'!$C$126*'Ціни контур теплопостачання'!$E$126*'Ціни контур теплопостачання'!$F$126+'Ціни контур теплопостачання'!$D$126,IF(J168='Ціни контур теплопостачання'!$B$127,L168*'Ціни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69" spans="1:13">
      <c r="A169" s="168" t="s">
        <v>528</v>
      </c>
      <c r="B169" s="162" t="str">
        <f t="shared" si="16"/>
        <v xml:space="preserve">16+103A00HS-439 </v>
      </c>
      <c r="C169" s="162" t="str">
        <f t="shared" si="17"/>
        <v>16</v>
      </c>
      <c r="D169" s="162" t="str">
        <f t="shared" si="18"/>
        <v xml:space="preserve">103A00HS-439 </v>
      </c>
      <c r="E169" s="162" t="str">
        <f t="shared" si="19"/>
        <v>103</v>
      </c>
      <c r="F169" s="166" t="e">
        <f>IF(C169='Ціни контур теплопостачання'!$B$123,E169*'Ціни контур теплопостачання'!$C$123*'Ціни контур теплопостачання'!$E$123*'Ціни контур теплопостачання'!$F$123+'Ціни контур теплопостачання'!$D$123,IF(C169='Ціни контур теплопостачання'!$B$124,E169*'Ціни контур теплопостачання'!$C$124*'Ціни контур теплопостачання'!$E$124*'Ціни контур теплопостачання'!$F$124+'Ціни контур теплопостачання'!$D$124,IF(C169='Ціни контур теплопостачання'!$B$125,E169*'Ціни контур теплопостачання'!$C$125*'Ціни контур теплопостачання'!$E$125*'Ціни контур теплопостачання'!$F$125+'Ціни контур теплопостачання'!$D$125,IF(C169='Ціни контур теплопостачання'!$B$126,E169*'Ціни контур теплопостачання'!$C$126*'Ціни контур теплопостачання'!$E$126*'Ціни контур теплопостачання'!$F$126+'Ціни контур теплопостачання'!$D$126,IF(C169='Ціни контур теплопостачання'!$B$127,E169*'Ціни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69" s="170" t="s">
        <v>142</v>
      </c>
      <c r="I169" s="162" t="str">
        <f t="shared" si="20"/>
        <v xml:space="preserve">16+035M50HS-341 </v>
      </c>
      <c r="J169" s="162" t="str">
        <f t="shared" si="21"/>
        <v>16</v>
      </c>
      <c r="K169" s="162" t="str">
        <f t="shared" si="22"/>
        <v xml:space="preserve">035M50HS-341 </v>
      </c>
      <c r="L169" s="162" t="str">
        <f t="shared" si="23"/>
        <v>035</v>
      </c>
      <c r="M169" s="166" t="e">
        <f>IF(J169='Ціни контур теплопостачання'!$B$123,L169*'Ціни контур теплопостачання'!$C$123*'Ціни контур теплопостачання'!$E$123*'Ціни контур теплопостачання'!$F$123+'Ціни контур теплопостачання'!$D$123,IF(J169='Ціни контур теплопостачання'!$B$124,L169*'Ціни контур теплопостачання'!$C$124*'Ціни контур теплопостачання'!$E$124*'Ціни контур теплопостачання'!$F$124+'Ціни контур теплопостачання'!$D$124,IF(J169='Ціни контур теплопостачання'!$B$125,L169*'Ціни контур теплопостачання'!$C$125*'Ціни контур теплопостачання'!$E$125*'Ціни контур теплопостачання'!$F$125+'Ціни контур теплопостачання'!$D$125,IF(J169='Ціни контур теплопостачання'!$B$126,L169*'Ціни контур теплопостачання'!$C$126*'Ціни контур теплопостачання'!$E$126*'Ціни контур теплопостачання'!$F$126+'Ціни контур теплопостачання'!$D$126,IF(J169='Ціни контур теплопостачання'!$B$127,L169*'Ціни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0" spans="1:13">
      <c r="A170" s="168" t="s">
        <v>529</v>
      </c>
      <c r="B170" s="162" t="str">
        <f t="shared" si="16"/>
        <v xml:space="preserve">16+067A00HS-272 </v>
      </c>
      <c r="C170" s="162" t="str">
        <f t="shared" si="17"/>
        <v>16</v>
      </c>
      <c r="D170" s="162" t="str">
        <f t="shared" si="18"/>
        <v xml:space="preserve">067A00HS-272 </v>
      </c>
      <c r="E170" s="162" t="str">
        <f t="shared" si="19"/>
        <v>067</v>
      </c>
      <c r="F170" s="166" t="e">
        <f>IF(C170='Ціни контур теплопостачання'!$B$123,E170*'Ціни контур теплопостачання'!$C$123*'Ціни контур теплопостачання'!$E$123*'Ціни контур теплопостачання'!$F$123+'Ціни контур теплопостачання'!$D$123,IF(C170='Ціни контур теплопостачання'!$B$124,E170*'Ціни контур теплопостачання'!$C$124*'Ціни контур теплопостачання'!$E$124*'Ціни контур теплопостачання'!$F$124+'Ціни контур теплопостачання'!$D$124,IF(C170='Ціни контур теплопостачання'!$B$125,E170*'Ціни контур теплопостачання'!$C$125*'Ціни контур теплопостачання'!$E$125*'Ціни контур теплопостачання'!$F$125+'Ціни контур теплопостачання'!$D$125,IF(C170='Ціни контур теплопостачання'!$B$126,E170*'Ціни контур теплопостачання'!$C$126*'Ціни контур теплопостачання'!$E$126*'Ціни контур теплопостачання'!$F$126+'Ціни контур теплопостачання'!$D$126,IF(C170='Ціни контур теплопостачання'!$B$127,E170*'Ціни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0" s="170" t="s">
        <v>268</v>
      </c>
      <c r="I170" s="162" t="str">
        <f t="shared" si="20"/>
        <v xml:space="preserve">16+031M50HS-270 </v>
      </c>
      <c r="J170" s="162" t="str">
        <f t="shared" si="21"/>
        <v>16</v>
      </c>
      <c r="K170" s="162" t="str">
        <f t="shared" si="22"/>
        <v xml:space="preserve">031M50HS-270 </v>
      </c>
      <c r="L170" s="162" t="str">
        <f t="shared" si="23"/>
        <v>031</v>
      </c>
      <c r="M170" s="166" t="e">
        <f>IF(J170='Ціни контур теплопостачання'!$B$123,L170*'Ціни контур теплопостачання'!$C$123*'Ціни контур теплопостачання'!$E$123*'Ціни контур теплопостачання'!$F$123+'Ціни контур теплопостачання'!$D$123,IF(J170='Ціни контур теплопостачання'!$B$124,L170*'Ціни контур теплопостачання'!$C$124*'Ціни контур теплопостачання'!$E$124*'Ціни контур теплопостачання'!$F$124+'Ціни контур теплопостачання'!$D$124,IF(J170='Ціни контур теплопостачання'!$B$125,L170*'Ціни контур теплопостачання'!$C$125*'Ціни контур теплопостачання'!$E$125*'Ціни контур теплопостачання'!$F$125+'Ціни контур теплопостачання'!$D$125,IF(J170='Ціни контур теплопостачання'!$B$126,L170*'Ціни контур теплопостачання'!$C$126*'Ціни контур теплопостачання'!$E$126*'Ціни контур теплопостачання'!$F$126+'Ціни контур теплопостачання'!$D$126,IF(J170='Ціни контур теплопостачання'!$B$127,L170*'Ціни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1" spans="1:13">
      <c r="A171" s="168" t="s">
        <v>530</v>
      </c>
      <c r="B171" s="162" t="str">
        <f t="shared" si="16"/>
        <v xml:space="preserve">16+033A00HS-127  </v>
      </c>
      <c r="C171" s="162" t="str">
        <f t="shared" si="17"/>
        <v>16</v>
      </c>
      <c r="D171" s="162" t="str">
        <f t="shared" si="18"/>
        <v xml:space="preserve">033A00HS-127  </v>
      </c>
      <c r="E171" s="162" t="str">
        <f t="shared" si="19"/>
        <v>033</v>
      </c>
      <c r="F171" s="166" t="e">
        <f>IF(C171='Ціни контур теплопостачання'!$B$123,E171*'Ціни контур теплопостачання'!$C$123*'Ціни контур теплопостачання'!$E$123*'Ціни контур теплопостачання'!$F$123+'Ціни контур теплопостачання'!$D$123,IF(C171='Ціни контур теплопостачання'!$B$124,E171*'Ціни контур теплопостачання'!$C$124*'Ціни контур теплопостачання'!$E$124*'Ціни контур теплопостачання'!$F$124+'Ціни контур теплопостачання'!$D$124,IF(C171='Ціни контур теплопостачання'!$B$125,E171*'Ціни контур теплопостачання'!$C$125*'Ціни контур теплопостачання'!$E$125*'Ціни контур теплопостачання'!$F$125+'Ціни контур теплопостачання'!$D$125,IF(C171='Ціни контур теплопостачання'!$B$126,E171*'Ціни контур теплопостачання'!$C$126*'Ціни контур теплопостачання'!$E$126*'Ціни контур теплопостачання'!$F$126+'Ціни контур теплопостачання'!$D$126,IF(C171='Ціни контур теплопостачання'!$B$127,E171*'Ціни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1" s="170" t="s">
        <v>269</v>
      </c>
      <c r="I171" s="162" t="str">
        <f t="shared" si="20"/>
        <v xml:space="preserve">08+029A00HS-165 </v>
      </c>
      <c r="J171" s="162" t="str">
        <f t="shared" si="21"/>
        <v>08</v>
      </c>
      <c r="K171" s="162" t="str">
        <f t="shared" si="22"/>
        <v xml:space="preserve">029A00HS-165 </v>
      </c>
      <c r="L171" s="162" t="str">
        <f t="shared" si="23"/>
        <v>029</v>
      </c>
      <c r="M171" s="166" t="e">
        <f>IF(J171='Ціни контур теплопостачання'!$B$123,L171*'Ціни контур теплопостачання'!$C$123*'Ціни контур теплопостачання'!$E$123*'Ціни контур теплопостачання'!$F$123+'Ціни контур теплопостачання'!$D$123,IF(J171='Ціни контур теплопостачання'!$B$124,L171*'Ціни контур теплопостачання'!$C$124*'Ціни контур теплопостачання'!$E$124*'Ціни контур теплопостачання'!$F$124+'Ціни контур теплопостачання'!$D$124,IF(J171='Ціни контур теплопостачання'!$B$125,L171*'Ціни контур теплопостачання'!$C$125*'Ціни контур теплопостачання'!$E$125*'Ціни контур теплопостачання'!$F$125+'Ціни контур теплопостачання'!$D$125,IF(J171='Ціни контур теплопостачання'!$B$126,L171*'Ціни контур теплопостачання'!$C$126*'Ціни контур теплопостачання'!$E$126*'Ціни контур теплопостачання'!$F$126+'Ціни контур теплопостачання'!$D$126,IF(J171='Ціни контур теплопостачання'!$B$127,L171*'Ціни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2" spans="1:13">
      <c r="A172" s="168" t="s">
        <v>531</v>
      </c>
      <c r="B172" s="162" t="str">
        <f t="shared" si="16"/>
        <v xml:space="preserve">16+089A00HS-378  </v>
      </c>
      <c r="C172" s="162" t="str">
        <f t="shared" si="17"/>
        <v>16</v>
      </c>
      <c r="D172" s="162" t="str">
        <f t="shared" si="18"/>
        <v xml:space="preserve">089A00HS-378  </v>
      </c>
      <c r="E172" s="162" t="str">
        <f t="shared" si="19"/>
        <v>089</v>
      </c>
      <c r="F172" s="166" t="e">
        <f>IF(C172='Ціни контур теплопостачання'!$B$123,E172*'Ціни контур теплопостачання'!$C$123*'Ціни контур теплопостачання'!$E$123*'Ціни контур теплопостачання'!$F$123+'Ціни контур теплопостачання'!$D$123,IF(C172='Ціни контур теплопостачання'!$B$124,E172*'Ціни контур теплопостачання'!$C$124*'Ціни контур теплопостачання'!$E$124*'Ціни контур теплопостачання'!$F$124+'Ціни контур теплопостачання'!$D$124,IF(C172='Ціни контур теплопостачання'!$B$125,E172*'Ціни контур теплопостачання'!$C$125*'Ціни контур теплопостачання'!$E$125*'Ціни контур теплопостачання'!$F$125+'Ціни контур теплопостачання'!$D$125,IF(C172='Ціни контур теплопостачання'!$B$126,E172*'Ціни контур теплопостачання'!$C$126*'Ціни контур теплопостачання'!$E$126*'Ціни контур теплопостачання'!$F$126+'Ціни контур теплопостачання'!$D$126,IF(C172='Ціни контур теплопостачання'!$B$127,E172*'Ціни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2" s="170" t="s">
        <v>270</v>
      </c>
      <c r="I172" s="162" t="str">
        <f t="shared" si="20"/>
        <v xml:space="preserve">16+029M50HS-252 </v>
      </c>
      <c r="J172" s="162" t="str">
        <f t="shared" si="21"/>
        <v>16</v>
      </c>
      <c r="K172" s="162" t="str">
        <f t="shared" si="22"/>
        <v xml:space="preserve">029M50HS-252 </v>
      </c>
      <c r="L172" s="162" t="str">
        <f t="shared" si="23"/>
        <v>029</v>
      </c>
      <c r="M172" s="166" t="e">
        <f>IF(J172='Ціни контур теплопостачання'!$B$123,L172*'Ціни контур теплопостачання'!$C$123*'Ціни контур теплопостачання'!$E$123*'Ціни контур теплопостачання'!$F$123+'Ціни контур теплопостачання'!$D$123,IF(J172='Ціни контур теплопостачання'!$B$124,L172*'Ціни контур теплопостачання'!$C$124*'Ціни контур теплопостачання'!$E$124*'Ціни контур теплопостачання'!$F$124+'Ціни контур теплопостачання'!$D$124,IF(J172='Ціни контур теплопостачання'!$B$125,L172*'Ціни контур теплопостачання'!$C$125*'Ціни контур теплопостачання'!$E$125*'Ціни контур теплопостачання'!$F$125+'Ціни контур теплопостачання'!$D$125,IF(J172='Ціни контур теплопостачання'!$B$126,L172*'Ціни контур теплопостачання'!$C$126*'Ціни контур теплопостачання'!$E$126*'Ціни контур теплопостачання'!$F$126+'Ціни контур теплопостачання'!$D$126,IF(J172='Ціни контур теплопостачання'!$B$127,L172*'Ціни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3" spans="1:13">
      <c r="A173" s="168" t="s">
        <v>532</v>
      </c>
      <c r="B173" s="162" t="str">
        <f t="shared" si="16"/>
        <v xml:space="preserve">16+113A00HS-473   </v>
      </c>
      <c r="C173" s="162" t="str">
        <f t="shared" si="17"/>
        <v>16</v>
      </c>
      <c r="D173" s="162" t="str">
        <f t="shared" si="18"/>
        <v xml:space="preserve">113A00HS-473   </v>
      </c>
      <c r="E173" s="162" t="str">
        <f t="shared" si="19"/>
        <v>113</v>
      </c>
      <c r="F173" s="166" t="e">
        <f>IF(C173='Ціни контур теплопостачання'!$B$123,E173*'Ціни контур теплопостачання'!$C$123*'Ціни контур теплопостачання'!$E$123*'Ціни контур теплопостачання'!$F$123+'Ціни контур теплопостачання'!$D$123,IF(C173='Ціни контур теплопостачання'!$B$124,E173*'Ціни контур теплопостачання'!$C$124*'Ціни контур теплопостачання'!$E$124*'Ціни контур теплопостачання'!$F$124+'Ціни контур теплопостачання'!$D$124,IF(C173='Ціни контур теплопостачання'!$B$125,E173*'Ціни контур теплопостачання'!$C$125*'Ціни контур теплопостачання'!$E$125*'Ціни контур теплопостачання'!$F$125+'Ціни контур теплопостачання'!$D$125,IF(C173='Ціни контур теплопостачання'!$B$126,E173*'Ціни контур теплопостачання'!$C$126*'Ціни контур теплопостачання'!$E$126*'Ціни контур теплопостачання'!$F$126+'Ціни контур теплопостачання'!$D$126,IF(C173='Ціни контур теплопостачання'!$B$127,E173*'Ціни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3" s="170" t="s">
        <v>271</v>
      </c>
      <c r="I173" s="162" t="str">
        <f t="shared" si="20"/>
        <v xml:space="preserve">16+033M50HS-316 </v>
      </c>
      <c r="J173" s="162" t="str">
        <f t="shared" si="21"/>
        <v>16</v>
      </c>
      <c r="K173" s="162" t="str">
        <f t="shared" si="22"/>
        <v xml:space="preserve">033M50HS-316 </v>
      </c>
      <c r="L173" s="162" t="str">
        <f t="shared" si="23"/>
        <v>033</v>
      </c>
      <c r="M173" s="166" t="e">
        <f>IF(J173='Ціни контур теплопостачання'!$B$123,L173*'Ціни контур теплопостачання'!$C$123*'Ціни контур теплопостачання'!$E$123*'Ціни контур теплопостачання'!$F$123+'Ціни контур теплопостачання'!$D$123,IF(J173='Ціни контур теплопостачання'!$B$124,L173*'Ціни контур теплопостачання'!$C$124*'Ціни контур теплопостачання'!$E$124*'Ціни контур теплопостачання'!$F$124+'Ціни контур теплопостачання'!$D$124,IF(J173='Ціни контур теплопостачання'!$B$125,L173*'Ціни контур теплопостачання'!$C$125*'Ціни контур теплопостачання'!$E$125*'Ціни контур теплопостачання'!$F$125+'Ціни контур теплопостачання'!$D$125,IF(J173='Ціни контур теплопостачання'!$B$126,L173*'Ціни контур теплопостачання'!$C$126*'Ціни контур теплопостачання'!$E$126*'Ціни контур теплопостачання'!$F$126+'Ціни контур теплопостачання'!$D$126,IF(J173='Ціни контур теплопостачання'!$B$127,L173*'Ціни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4" spans="1:13">
      <c r="A174" s="168" t="s">
        <v>533</v>
      </c>
      <c r="B174" s="162" t="str">
        <f t="shared" si="16"/>
        <v xml:space="preserve">16+067A00HS-279  </v>
      </c>
      <c r="C174" s="162" t="str">
        <f t="shared" si="17"/>
        <v>16</v>
      </c>
      <c r="D174" s="162" t="str">
        <f t="shared" si="18"/>
        <v xml:space="preserve">067A00HS-279  </v>
      </c>
      <c r="E174" s="162" t="str">
        <f t="shared" si="19"/>
        <v>067</v>
      </c>
      <c r="F174" s="166" t="e">
        <f>IF(C174='Ціни контур теплопостачання'!$B$123,E174*'Ціни контур теплопостачання'!$C$123*'Ціни контур теплопостачання'!$E$123*'Ціни контур теплопостачання'!$F$123+'Ціни контур теплопостачання'!$D$123,IF(C174='Ціни контур теплопостачання'!$B$124,E174*'Ціни контур теплопостачання'!$C$124*'Ціни контур теплопостачання'!$E$124*'Ціни контур теплопостачання'!$F$124+'Ціни контур теплопостачання'!$D$124,IF(C174='Ціни контур теплопостачання'!$B$125,E174*'Ціни контур теплопостачання'!$C$125*'Ціни контур теплопостачання'!$E$125*'Ціни контур теплопостачання'!$F$125+'Ціни контур теплопостачання'!$D$125,IF(C174='Ціни контур теплопостачання'!$B$126,E174*'Ціни контур теплопостачання'!$C$126*'Ціни контур теплопостачання'!$E$126*'Ціни контур теплопостачання'!$F$126+'Ціни контур теплопостачання'!$D$126,IF(C174='Ціни контур теплопостачання'!$B$127,E174*'Ціни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4" s="170" t="s">
        <v>272</v>
      </c>
      <c r="I174" s="162" t="str">
        <f t="shared" si="20"/>
        <v xml:space="preserve">16+033M50HS-315 </v>
      </c>
      <c r="J174" s="162" t="str">
        <f t="shared" si="21"/>
        <v>16</v>
      </c>
      <c r="K174" s="162" t="str">
        <f t="shared" si="22"/>
        <v xml:space="preserve">033M50HS-315 </v>
      </c>
      <c r="L174" s="162" t="str">
        <f t="shared" si="23"/>
        <v>033</v>
      </c>
      <c r="M174" s="166" t="e">
        <f>IF(J174='Ціни контур теплопостачання'!$B$123,L174*'Ціни контур теплопостачання'!$C$123*'Ціни контур теплопостачання'!$E$123*'Ціни контур теплопостачання'!$F$123+'Ціни контур теплопостачання'!$D$123,IF(J174='Ціни контур теплопостачання'!$B$124,L174*'Ціни контур теплопостачання'!$C$124*'Ціни контур теплопостачання'!$E$124*'Ціни контур теплопостачання'!$F$124+'Ціни контур теплопостачання'!$D$124,IF(J174='Ціни контур теплопостачання'!$B$125,L174*'Ціни контур теплопостачання'!$C$125*'Ціни контур теплопостачання'!$E$125*'Ціни контур теплопостачання'!$F$125+'Ціни контур теплопостачання'!$D$125,IF(J174='Ціни контур теплопостачання'!$B$126,L174*'Ціни контур теплопостачання'!$C$126*'Ціни контур теплопостачання'!$E$126*'Ціни контур теплопостачання'!$F$126+'Ціни контур теплопостачання'!$D$126,IF(J174='Ціни контур теплопостачання'!$B$127,L174*'Ціни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5" spans="1:13">
      <c r="A175" s="168" t="s">
        <v>510</v>
      </c>
      <c r="B175" s="162" t="str">
        <f t="shared" si="16"/>
        <v xml:space="preserve">16+039A00HS-158  </v>
      </c>
      <c r="C175" s="162" t="str">
        <f t="shared" si="17"/>
        <v>16</v>
      </c>
      <c r="D175" s="162" t="str">
        <f t="shared" si="18"/>
        <v xml:space="preserve">039A00HS-158  </v>
      </c>
      <c r="E175" s="162" t="str">
        <f t="shared" si="19"/>
        <v>039</v>
      </c>
      <c r="F175" s="166" t="e">
        <f>IF(C175='Ціни контур теплопостачання'!$B$123,E175*'Ціни контур теплопостачання'!$C$123*'Ціни контур теплопостачання'!$E$123*'Ціни контур теплопостачання'!$F$123+'Ціни контур теплопостачання'!$D$123,IF(C175='Ціни контур теплопостачання'!$B$124,E175*'Ціни контур теплопостачання'!$C$124*'Ціни контур теплопостачання'!$E$124*'Ціни контур теплопостачання'!$F$124+'Ціни контур теплопостачання'!$D$124,IF(C175='Ціни контур теплопостачання'!$B$125,E175*'Ціни контур теплопостачання'!$C$125*'Ціни контур теплопостачання'!$E$125*'Ціни контур теплопостачання'!$F$125+'Ціни контур теплопостачання'!$D$125,IF(C175='Ціни контур теплопостачання'!$B$126,E175*'Ціни контур теплопостачання'!$C$126*'Ціни контур теплопостачання'!$E$126*'Ціни контур теплопостачання'!$F$126+'Ціни контур теплопостачання'!$D$126,IF(C175='Ціни контур теплопостачання'!$B$127,E175*'Ціни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5" s="170" t="s">
        <v>273</v>
      </c>
      <c r="I175" s="162" t="str">
        <f t="shared" si="20"/>
        <v xml:space="preserve">08+031A00HS-180 </v>
      </c>
      <c r="J175" s="162" t="str">
        <f t="shared" si="21"/>
        <v>08</v>
      </c>
      <c r="K175" s="162" t="str">
        <f t="shared" si="22"/>
        <v xml:space="preserve">031A00HS-180 </v>
      </c>
      <c r="L175" s="162" t="str">
        <f t="shared" si="23"/>
        <v>031</v>
      </c>
      <c r="M175" s="166" t="e">
        <f>IF(J175='Ціни контур теплопостачання'!$B$123,L175*'Ціни контур теплопостачання'!$C$123*'Ціни контур теплопостачання'!$E$123*'Ціни контур теплопостачання'!$F$123+'Ціни контур теплопостачання'!$D$123,IF(J175='Ціни контур теплопостачання'!$B$124,L175*'Ціни контур теплопостачання'!$C$124*'Ціни контур теплопостачання'!$E$124*'Ціни контур теплопостачання'!$F$124+'Ціни контур теплопостачання'!$D$124,IF(J175='Ціни контур теплопостачання'!$B$125,L175*'Ціни контур теплопостачання'!$C$125*'Ціни контур теплопостачання'!$E$125*'Ціни контур теплопостачання'!$F$125+'Ціни контур теплопостачання'!$D$125,IF(J175='Ціни контур теплопостачання'!$B$126,L175*'Ціни контур теплопостачання'!$C$126*'Ціни контур теплопостачання'!$E$126*'Ціни контур теплопостачання'!$F$126+'Ціни контур теплопостачання'!$D$126,IF(J175='Ціни контур теплопостачання'!$B$127,L175*'Ціни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6" spans="1:13">
      <c r="A176" s="168" t="s">
        <v>534</v>
      </c>
      <c r="B176" s="162" t="str">
        <f t="shared" si="16"/>
        <v xml:space="preserve">16+063A00HS-255  </v>
      </c>
      <c r="C176" s="162" t="str">
        <f t="shared" si="17"/>
        <v>16</v>
      </c>
      <c r="D176" s="162" t="str">
        <f t="shared" si="18"/>
        <v xml:space="preserve">063A00HS-255  </v>
      </c>
      <c r="E176" s="162" t="str">
        <f t="shared" si="19"/>
        <v>063</v>
      </c>
      <c r="F176" s="166" t="e">
        <f>IF(C176='Ціни контур теплопостачання'!$B$123,E176*'Ціни контур теплопостачання'!$C$123*'Ціни контур теплопостачання'!$E$123*'Ціни контур теплопостачання'!$F$123+'Ціни контур теплопостачання'!$D$123,IF(C176='Ціни контур теплопостачання'!$B$124,E176*'Ціни контур теплопостачання'!$C$124*'Ціни контур теплопостачання'!$E$124*'Ціни контур теплопостачання'!$F$124+'Ціни контур теплопостачання'!$D$124,IF(C176='Ціни контур теплопостачання'!$B$125,E176*'Ціни контур теплопостачання'!$C$125*'Ціни контур теплопостачання'!$E$125*'Ціни контур теплопостачання'!$F$125+'Ціни контур теплопостачання'!$D$125,IF(C176='Ціни контур теплопостачання'!$B$126,E176*'Ціни контур теплопостачання'!$C$126*'Ціни контур теплопостачання'!$E$126*'Ціни контур теплопостачання'!$F$126+'Ціни контур теплопостачання'!$D$126,IF(C176='Ціни контур теплопостачання'!$B$127,E176*'Ціни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6" s="170" t="s">
        <v>248</v>
      </c>
      <c r="I176" s="162" t="str">
        <f t="shared" si="20"/>
        <v xml:space="preserve">16+039M50HS-382 </v>
      </c>
      <c r="J176" s="162" t="str">
        <f t="shared" si="21"/>
        <v>16</v>
      </c>
      <c r="K176" s="162" t="str">
        <f t="shared" si="22"/>
        <v xml:space="preserve">039M50HS-382 </v>
      </c>
      <c r="L176" s="162" t="str">
        <f t="shared" si="23"/>
        <v>039</v>
      </c>
      <c r="M176" s="166" t="e">
        <f>IF(J176='Ціни контур теплопостачання'!$B$123,L176*'Ціни контур теплопостачання'!$C$123*'Ціни контур теплопостачання'!$E$123*'Ціни контур теплопостачання'!$F$123+'Ціни контур теплопостачання'!$D$123,IF(J176='Ціни контур теплопостачання'!$B$124,L176*'Ціни контур теплопостачання'!$C$124*'Ціни контур теплопостачання'!$E$124*'Ціни контур теплопостачання'!$F$124+'Ціни контур теплопостачання'!$D$124,IF(J176='Ціни контур теплопостачання'!$B$125,L176*'Ціни контур теплопостачання'!$C$125*'Ціни контур теплопостачання'!$E$125*'Ціни контур теплопостачання'!$F$125+'Ціни контур теплопостачання'!$D$125,IF(J176='Ціни контур теплопостачання'!$B$126,L176*'Ціни контур теплопостачання'!$C$126*'Ціни контур теплопостачання'!$E$126*'Ціни контур теплопостачання'!$F$126+'Ціни контур теплопостачання'!$D$126,IF(J176='Ціни контур теплопостачання'!$B$127,L176*'Ціни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7" spans="1:13">
      <c r="A177" s="168" t="s">
        <v>535</v>
      </c>
      <c r="B177" s="162" t="str">
        <f t="shared" si="16"/>
        <v xml:space="preserve">16+063A00HS-264 </v>
      </c>
      <c r="C177" s="162" t="str">
        <f t="shared" si="17"/>
        <v>16</v>
      </c>
      <c r="D177" s="162" t="str">
        <f t="shared" si="18"/>
        <v xml:space="preserve">063A00HS-264 </v>
      </c>
      <c r="E177" s="162" t="str">
        <f t="shared" si="19"/>
        <v>063</v>
      </c>
      <c r="F177" s="166" t="e">
        <f>IF(C177='Ціни контур теплопостачання'!$B$123,E177*'Ціни контур теплопостачання'!$C$123*'Ціни контур теплопостачання'!$E$123*'Ціни контур теплопостачання'!$F$123+'Ціни контур теплопостачання'!$D$123,IF(C177='Ціни контур теплопостачання'!$B$124,E177*'Ціни контур теплопостачання'!$C$124*'Ціни контур теплопостачання'!$E$124*'Ціни контур теплопостачання'!$F$124+'Ціни контур теплопостачання'!$D$124,IF(C177='Ціни контур теплопостачання'!$B$125,E177*'Ціни контур теплопостачання'!$C$125*'Ціни контур теплопостачання'!$E$125*'Ціни контур теплопостачання'!$F$125+'Ціни контур теплопостачання'!$D$125,IF(C177='Ціни контур теплопостачання'!$B$126,E177*'Ціни контур теплопостачання'!$C$126*'Ціни контур теплопостачання'!$E$126*'Ціни контур теплопостачання'!$F$126+'Ціни контур теплопостачання'!$D$126,IF(C177='Ціни контур теплопостачання'!$B$127,E177*'Ціни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7" s="170" t="s">
        <v>274</v>
      </c>
      <c r="I177" s="162" t="str">
        <f t="shared" si="20"/>
        <v xml:space="preserve">16+039M50HS-379 </v>
      </c>
      <c r="J177" s="162" t="str">
        <f t="shared" si="21"/>
        <v>16</v>
      </c>
      <c r="K177" s="162" t="str">
        <f t="shared" si="22"/>
        <v xml:space="preserve">039M50HS-379 </v>
      </c>
      <c r="L177" s="162" t="str">
        <f t="shared" si="23"/>
        <v>039</v>
      </c>
      <c r="M177" s="166" t="e">
        <f>IF(J177='Ціни контур теплопостачання'!$B$123,L177*'Ціни контур теплопостачання'!$C$123*'Ціни контур теплопостачання'!$E$123*'Ціни контур теплопостачання'!$F$123+'Ціни контур теплопостачання'!$D$123,IF(J177='Ціни контур теплопостачання'!$B$124,L177*'Ціни контур теплопостачання'!$C$124*'Ціни контур теплопостачання'!$E$124*'Ціни контур теплопостачання'!$F$124+'Ціни контур теплопостачання'!$D$124,IF(J177='Ціни контур теплопостачання'!$B$125,L177*'Ціни контур теплопостачання'!$C$125*'Ціни контур теплопостачання'!$E$125*'Ціни контур теплопостачання'!$F$125+'Ціни контур теплопостачання'!$D$125,IF(J177='Ціни контур теплопостачання'!$B$126,L177*'Ціни контур теплопостачання'!$C$126*'Ціни контур теплопостачання'!$E$126*'Ціни контур теплопостачання'!$F$126+'Ціни контур теплопостачання'!$D$126,IF(J177='Ціни контур теплопостачання'!$B$127,L177*'Ціни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8" spans="1:13">
      <c r="A178" s="168" t="s">
        <v>536</v>
      </c>
      <c r="B178" s="162" t="str">
        <f t="shared" si="16"/>
        <v xml:space="preserve">16+043A00HS-174  </v>
      </c>
      <c r="C178" s="162" t="str">
        <f t="shared" si="17"/>
        <v>16</v>
      </c>
      <c r="D178" s="162" t="str">
        <f t="shared" si="18"/>
        <v xml:space="preserve">043A00HS-174  </v>
      </c>
      <c r="E178" s="162" t="str">
        <f t="shared" si="19"/>
        <v>043</v>
      </c>
      <c r="F178" s="166" t="e">
        <f>IF(C178='Ціни контур теплопостачання'!$B$123,E178*'Ціни контур теплопостачання'!$C$123*'Ціни контур теплопостачання'!$E$123*'Ціни контур теплопостачання'!$F$123+'Ціни контур теплопостачання'!$D$123,IF(C178='Ціни контур теплопостачання'!$B$124,E178*'Ціни контур теплопостачання'!$C$124*'Ціни контур теплопостачання'!$E$124*'Ціни контур теплопостачання'!$F$124+'Ціни контур теплопостачання'!$D$124,IF(C178='Ціни контур теплопостачання'!$B$125,E178*'Ціни контур теплопостачання'!$C$125*'Ціни контур теплопостачання'!$E$125*'Ціни контур теплопостачання'!$F$125+'Ціни контур теплопостачання'!$D$125,IF(C178='Ціни контур теплопостачання'!$B$126,E178*'Ціни контур теплопостачання'!$C$126*'Ціни контур теплопостачання'!$E$126*'Ціни контур теплопостачання'!$F$126+'Ціни контур теплопостачання'!$D$126,IF(C178='Ціни контур теплопостачання'!$B$127,E178*'Ціни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8" s="170" t="s">
        <v>275</v>
      </c>
      <c r="I178" s="162" t="str">
        <f t="shared" si="20"/>
        <v xml:space="preserve">08+035A00HS-201 </v>
      </c>
      <c r="J178" s="162" t="str">
        <f t="shared" si="21"/>
        <v>08</v>
      </c>
      <c r="K178" s="162" t="str">
        <f t="shared" si="22"/>
        <v xml:space="preserve">035A00HS-201 </v>
      </c>
      <c r="L178" s="162" t="str">
        <f t="shared" si="23"/>
        <v>035</v>
      </c>
      <c r="M178" s="166" t="e">
        <f>IF(J178='Ціни контур теплопостачання'!$B$123,L178*'Ціни контур теплопостачання'!$C$123*'Ціни контур теплопостачання'!$E$123*'Ціни контур теплопостачання'!$F$123+'Ціни контур теплопостачання'!$D$123,IF(J178='Ціни контур теплопостачання'!$B$124,L178*'Ціни контур теплопостачання'!$C$124*'Ціни контур теплопостачання'!$E$124*'Ціни контур теплопостачання'!$F$124+'Ціни контур теплопостачання'!$D$124,IF(J178='Ціни контур теплопостачання'!$B$125,L178*'Ціни контур теплопостачання'!$C$125*'Ціни контур теплопостачання'!$E$125*'Ціни контур теплопостачання'!$F$125+'Ціни контур теплопостачання'!$D$125,IF(J178='Ціни контур теплопостачання'!$B$126,L178*'Ціни контур теплопостачання'!$C$126*'Ціни контур теплопостачання'!$E$126*'Ціни контур теплопостачання'!$F$126+'Ціни контур теплопостачання'!$D$126,IF(J178='Ціни контур теплопостачання'!$B$127,L178*'Ціни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79" spans="1:13">
      <c r="A179" s="168" t="s">
        <v>537</v>
      </c>
      <c r="B179" s="162" t="str">
        <f t="shared" si="16"/>
        <v xml:space="preserve">16+057A00HS-223  </v>
      </c>
      <c r="C179" s="162" t="str">
        <f t="shared" si="17"/>
        <v>16</v>
      </c>
      <c r="D179" s="162" t="str">
        <f t="shared" si="18"/>
        <v xml:space="preserve">057A00HS-223  </v>
      </c>
      <c r="E179" s="162" t="str">
        <f t="shared" si="19"/>
        <v>057</v>
      </c>
      <c r="F179" s="166" t="e">
        <f>IF(C179='Ціни контур теплопостачання'!$B$123,E179*'Ціни контур теплопостачання'!$C$123*'Ціни контур теплопостачання'!$E$123*'Ціни контур теплопостачання'!$F$123+'Ціни контур теплопостачання'!$D$123,IF(C179='Ціни контур теплопостачання'!$B$124,E179*'Ціни контур теплопостачання'!$C$124*'Ціни контур теплопостачання'!$E$124*'Ціни контур теплопостачання'!$F$124+'Ціни контур теплопостачання'!$D$124,IF(C179='Ціни контур теплопостачання'!$B$125,E179*'Ціни контур теплопостачання'!$C$125*'Ціни контур теплопостачання'!$E$125*'Ціни контур теплопостачання'!$F$125+'Ціни контур теплопостачання'!$D$125,IF(C179='Ціни контур теплопостачання'!$B$126,E179*'Ціни контур теплопостачання'!$C$126*'Ціни контур теплопостачання'!$E$126*'Ціни контур теплопостачання'!$F$126+'Ціни контур теплопостачання'!$D$126,IF(C179='Ціни контур теплопостачання'!$B$127,E179*'Ціни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79" s="170" t="s">
        <v>276</v>
      </c>
      <c r="I179" s="162" t="str">
        <f t="shared" si="20"/>
        <v xml:space="preserve">16+039M50HS-376 </v>
      </c>
      <c r="J179" s="162" t="str">
        <f t="shared" si="21"/>
        <v>16</v>
      </c>
      <c r="K179" s="162" t="str">
        <f t="shared" si="22"/>
        <v xml:space="preserve">039M50HS-376 </v>
      </c>
      <c r="L179" s="162" t="str">
        <f t="shared" si="23"/>
        <v>039</v>
      </c>
      <c r="M179" s="166" t="e">
        <f>IF(J179='Ціни контур теплопостачання'!$B$123,L179*'Ціни контур теплопостачання'!$C$123*'Ціни контур теплопостачання'!$E$123*'Ціни контур теплопостачання'!$F$123+'Ціни контур теплопостачання'!$D$123,IF(J179='Ціни контур теплопостачання'!$B$124,L179*'Ціни контур теплопостачання'!$C$124*'Ціни контур теплопостачання'!$E$124*'Ціни контур теплопостачання'!$F$124+'Ціни контур теплопостачання'!$D$124,IF(J179='Ціни контур теплопостачання'!$B$125,L179*'Ціни контур теплопостачання'!$C$125*'Ціни контур теплопостачання'!$E$125*'Ціни контур теплопостачання'!$F$125+'Ціни контур теплопостачання'!$D$125,IF(J179='Ціни контур теплопостачання'!$B$126,L179*'Ціни контур теплопостачання'!$C$126*'Ціни контур теплопостачання'!$E$126*'Ціни контур теплопостачання'!$F$126+'Ціни контур теплопостачання'!$D$126,IF(J179='Ціни контур теплопостачання'!$B$127,L179*'Ціни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0" spans="1:13">
      <c r="A180" s="168" t="s">
        <v>538</v>
      </c>
      <c r="B180" s="162" t="str">
        <f t="shared" si="16"/>
        <v xml:space="preserve">16+071A00HS-292  </v>
      </c>
      <c r="C180" s="162" t="str">
        <f t="shared" si="17"/>
        <v>16</v>
      </c>
      <c r="D180" s="162" t="str">
        <f t="shared" si="18"/>
        <v xml:space="preserve">071A00HS-292  </v>
      </c>
      <c r="E180" s="162" t="str">
        <f t="shared" si="19"/>
        <v>071</v>
      </c>
      <c r="F180" s="166" t="e">
        <f>IF(C180='Ціни контур теплопостачання'!$B$123,E180*'Ціни контур теплопостачання'!$C$123*'Ціни контур теплопостачання'!$E$123*'Ціни контур теплопостачання'!$F$123+'Ціни контур теплопостачання'!$D$123,IF(C180='Ціни контур теплопостачання'!$B$124,E180*'Ціни контур теплопостачання'!$C$124*'Ціни контур теплопостачання'!$E$124*'Ціни контур теплопостачання'!$F$124+'Ціни контур теплопостачання'!$D$124,IF(C180='Ціни контур теплопостачання'!$B$125,E180*'Ціни контур теплопостачання'!$C$125*'Ціни контур теплопостачання'!$E$125*'Ціни контур теплопостачання'!$F$125+'Ціни контур теплопостачання'!$D$125,IF(C180='Ціни контур теплопостачання'!$B$126,E180*'Ціни контур теплопостачання'!$C$126*'Ціни контур теплопостачання'!$E$126*'Ціни контур теплопостачання'!$F$126+'Ціни контур теплопостачання'!$D$126,IF(C180='Ціни контур теплопостачання'!$B$127,E180*'Ціни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0" s="170" t="s">
        <v>220</v>
      </c>
      <c r="I180" s="162" t="str">
        <f t="shared" si="20"/>
        <v xml:space="preserve">16+031M50HS-302 </v>
      </c>
      <c r="J180" s="162" t="str">
        <f t="shared" si="21"/>
        <v>16</v>
      </c>
      <c r="K180" s="162" t="str">
        <f t="shared" si="22"/>
        <v xml:space="preserve">031M50HS-302 </v>
      </c>
      <c r="L180" s="162" t="str">
        <f t="shared" si="23"/>
        <v>031</v>
      </c>
      <c r="M180" s="166" t="e">
        <f>IF(J180='Ціни контур теплопостачання'!$B$123,L180*'Ціни контур теплопостачання'!$C$123*'Ціни контур теплопостачання'!$E$123*'Ціни контур теплопостачання'!$F$123+'Ціни контур теплопостачання'!$D$123,IF(J180='Ціни контур теплопостачання'!$B$124,L180*'Ціни контур теплопостачання'!$C$124*'Ціни контур теплопостачання'!$E$124*'Ціни контур теплопостачання'!$F$124+'Ціни контур теплопостачання'!$D$124,IF(J180='Ціни контур теплопостачання'!$B$125,L180*'Ціни контур теплопостачання'!$C$125*'Ціни контур теплопостачання'!$E$125*'Ціни контур теплопостачання'!$F$125+'Ціни контур теплопостачання'!$D$125,IF(J180='Ціни контур теплопостачання'!$B$126,L180*'Ціни контур теплопостачання'!$C$126*'Ціни контур теплопостачання'!$E$126*'Ціни контур теплопостачання'!$F$126+'Ціни контур теплопостачання'!$D$126,IF(J180='Ціни контур теплопостачання'!$B$127,L180*'Ціни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1" spans="1:13">
      <c r="A181" s="168" t="s">
        <v>539</v>
      </c>
      <c r="B181" s="162" t="str">
        <f t="shared" si="16"/>
        <v xml:space="preserve">16+041A00HS-162  </v>
      </c>
      <c r="C181" s="162" t="str">
        <f t="shared" si="17"/>
        <v>16</v>
      </c>
      <c r="D181" s="162" t="str">
        <f t="shared" si="18"/>
        <v xml:space="preserve">041A00HS-162  </v>
      </c>
      <c r="E181" s="162" t="str">
        <f t="shared" si="19"/>
        <v>041</v>
      </c>
      <c r="F181" s="166" t="e">
        <f>IF(C181='Ціни контур теплопостачання'!$B$123,E181*'Ціни контур теплопостачання'!$C$123*'Ціни контур теплопостачання'!$E$123*'Ціни контур теплопостачання'!$F$123+'Ціни контур теплопостачання'!$D$123,IF(C181='Ціни контур теплопостачання'!$B$124,E181*'Ціни контур теплопостачання'!$C$124*'Ціни контур теплопостачання'!$E$124*'Ціни контур теплопостачання'!$F$124+'Ціни контур теплопостачання'!$D$124,IF(C181='Ціни контур теплопостачання'!$B$125,E181*'Ціни контур теплопостачання'!$C$125*'Ціни контур теплопостачання'!$E$125*'Ціни контур теплопостачання'!$F$125+'Ціни контур теплопостачання'!$D$125,IF(C181='Ціни контур теплопостачання'!$B$126,E181*'Ціни контур теплопостачання'!$C$126*'Ціни контур теплопостачання'!$E$126*'Ціни контур теплопостачання'!$F$126+'Ціни контур теплопостачання'!$D$126,IF(C181='Ціни контур теплопостачання'!$B$127,E181*'Ціни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1" s="170" t="s">
        <v>277</v>
      </c>
      <c r="I181" s="162" t="str">
        <f t="shared" si="20"/>
        <v>08+033A00HS-190</v>
      </c>
      <c r="J181" s="162" t="str">
        <f t="shared" si="21"/>
        <v>08</v>
      </c>
      <c r="K181" s="162" t="str">
        <f t="shared" si="22"/>
        <v>033A00HS-190</v>
      </c>
      <c r="L181" s="162" t="str">
        <f t="shared" si="23"/>
        <v>033</v>
      </c>
      <c r="M181" s="166" t="e">
        <f>IF(J181='Ціни контур теплопостачання'!$B$123,L181*'Ціни контур теплопостачання'!$C$123*'Ціни контур теплопостачання'!$E$123*'Ціни контур теплопостачання'!$F$123+'Ціни контур теплопостачання'!$D$123,IF(J181='Ціни контур теплопостачання'!$B$124,L181*'Ціни контур теплопостачання'!$C$124*'Ціни контур теплопостачання'!$E$124*'Ціни контур теплопостачання'!$F$124+'Ціни контур теплопостачання'!$D$124,IF(J181='Ціни контур теплопостачання'!$B$125,L181*'Ціни контур теплопостачання'!$C$125*'Ціни контур теплопостачання'!$E$125*'Ціни контур теплопостачання'!$F$125+'Ціни контур теплопостачання'!$D$125,IF(J181='Ціни контур теплопостачання'!$B$126,L181*'Ціни контур теплопостачання'!$C$126*'Ціни контур теплопостачання'!$E$126*'Ціни контур теплопостачання'!$F$126+'Ціни контур теплопостачання'!$D$126,IF(J181='Ціни контур теплопостачання'!$B$127,L181*'Ціни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2" spans="1:13">
      <c r="A182" s="168" t="s">
        <v>540</v>
      </c>
      <c r="B182" s="162" t="str">
        <f t="shared" si="16"/>
        <v xml:space="preserve">16+071A00HS-288  </v>
      </c>
      <c r="C182" s="162" t="str">
        <f t="shared" si="17"/>
        <v>16</v>
      </c>
      <c r="D182" s="162" t="str">
        <f t="shared" si="18"/>
        <v xml:space="preserve">071A00HS-288  </v>
      </c>
      <c r="E182" s="162" t="str">
        <f t="shared" si="19"/>
        <v>071</v>
      </c>
      <c r="F182" s="166" t="e">
        <f>IF(C182='Ціни контур теплопостачання'!$B$123,E182*'Ціни контур теплопостачання'!$C$123*'Ціни контур теплопостачання'!$E$123*'Ціни контур теплопостачання'!$F$123+'Ціни контур теплопостачання'!$D$123,IF(C182='Ціни контур теплопостачання'!$B$124,E182*'Ціни контур теплопостачання'!$C$124*'Ціни контур теплопостачання'!$E$124*'Ціни контур теплопостачання'!$F$124+'Ціни контур теплопостачання'!$D$124,IF(C182='Ціни контур теплопостачання'!$B$125,E182*'Ціни контур теплопостачання'!$C$125*'Ціни контур теплопостачання'!$E$125*'Ціни контур теплопостачання'!$F$125+'Ціни контур теплопостачання'!$D$125,IF(C182='Ціни контур теплопостачання'!$B$126,E182*'Ціни контур теплопостачання'!$C$126*'Ціни контур теплопостачання'!$E$126*'Ціни контур теплопостачання'!$F$126+'Ціни контур теплопостачання'!$D$126,IF(C182='Ціни контур теплопостачання'!$B$127,E182*'Ціни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2" s="170" t="s">
        <v>278</v>
      </c>
      <c r="I182" s="162" t="str">
        <f t="shared" si="20"/>
        <v xml:space="preserve">16+031M50HS-294 </v>
      </c>
      <c r="J182" s="162" t="str">
        <f t="shared" si="21"/>
        <v>16</v>
      </c>
      <c r="K182" s="162" t="str">
        <f t="shared" si="22"/>
        <v xml:space="preserve">031M50HS-294 </v>
      </c>
      <c r="L182" s="162" t="str">
        <f t="shared" si="23"/>
        <v>031</v>
      </c>
      <c r="M182" s="166" t="e">
        <f>IF(J182='Ціни контур теплопостачання'!$B$123,L182*'Ціни контур теплопостачання'!$C$123*'Ціни контур теплопостачання'!$E$123*'Ціни контур теплопостачання'!$F$123+'Ціни контур теплопостачання'!$D$123,IF(J182='Ціни контур теплопостачання'!$B$124,L182*'Ціни контур теплопостачання'!$C$124*'Ціни контур теплопостачання'!$E$124*'Ціни контур теплопостачання'!$F$124+'Ціни контур теплопостачання'!$D$124,IF(J182='Ціни контур теплопостачання'!$B$125,L182*'Ціни контур теплопостачання'!$C$125*'Ціни контур теплопостачання'!$E$125*'Ціни контур теплопостачання'!$F$125+'Ціни контур теплопостачання'!$D$125,IF(J182='Ціни контур теплопостачання'!$B$126,L182*'Ціни контур теплопостачання'!$C$126*'Ціни контур теплопостачання'!$E$126*'Ціни контур теплопостачання'!$F$126+'Ціни контур теплопостачання'!$D$126,IF(J182='Ціни контур теплопостачання'!$B$127,L182*'Ціни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3" spans="1:13">
      <c r="A183" s="168" t="s">
        <v>541</v>
      </c>
      <c r="B183" s="162" t="str">
        <f t="shared" si="16"/>
        <v xml:space="preserve">16+055A00HS-219  </v>
      </c>
      <c r="C183" s="162" t="str">
        <f t="shared" si="17"/>
        <v>16</v>
      </c>
      <c r="D183" s="162" t="str">
        <f t="shared" si="18"/>
        <v xml:space="preserve">055A00HS-219  </v>
      </c>
      <c r="E183" s="162" t="str">
        <f t="shared" si="19"/>
        <v>055</v>
      </c>
      <c r="F183" s="166" t="e">
        <f>IF(C183='Ціни контур теплопостачання'!$B$123,E183*'Ціни контур теплопостачання'!$C$123*'Ціни контур теплопостачання'!$E$123*'Ціни контур теплопостачання'!$F$123+'Ціни контур теплопостачання'!$D$123,IF(C183='Ціни контур теплопостачання'!$B$124,E183*'Ціни контур теплопостачання'!$C$124*'Ціни контур теплопостачання'!$E$124*'Ціни контур теплопостачання'!$F$124+'Ціни контур теплопостачання'!$D$124,IF(C183='Ціни контур теплопостачання'!$B$125,E183*'Ціни контур теплопостачання'!$C$125*'Ціни контур теплопостачання'!$E$125*'Ціни контур теплопостачання'!$F$125+'Ціни контур теплопостачання'!$D$125,IF(C183='Ціни контур теплопостачання'!$B$126,E183*'Ціни контур теплопостачання'!$C$126*'Ціни контур теплопостачання'!$E$126*'Ціни контур теплопостачання'!$F$126+'Ціни контур теплопостачання'!$D$126,IF(C183='Ціни контур теплопостачання'!$B$127,E183*'Ціни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3" s="170" t="s">
        <v>279</v>
      </c>
      <c r="I183" s="162" t="str">
        <f t="shared" si="20"/>
        <v xml:space="preserve">08+039A00HS-230 </v>
      </c>
      <c r="J183" s="162" t="str">
        <f t="shared" si="21"/>
        <v>08</v>
      </c>
      <c r="K183" s="162" t="str">
        <f t="shared" si="22"/>
        <v xml:space="preserve">039A00HS-230 </v>
      </c>
      <c r="L183" s="162" t="str">
        <f t="shared" si="23"/>
        <v>039</v>
      </c>
      <c r="M183" s="166" t="e">
        <f>IF(J183='Ціни контур теплопостачання'!$B$123,L183*'Ціни контур теплопостачання'!$C$123*'Ціни контур теплопостачання'!$E$123*'Ціни контур теплопостачання'!$F$123+'Ціни контур теплопостачання'!$D$123,IF(J183='Ціни контур теплопостачання'!$B$124,L183*'Ціни контур теплопостачання'!$C$124*'Ціни контур теплопостачання'!$E$124*'Ціни контур теплопостачання'!$F$124+'Ціни контур теплопостачання'!$D$124,IF(J183='Ціни контур теплопостачання'!$B$125,L183*'Ціни контур теплопостачання'!$C$125*'Ціни контур теплопостачання'!$E$125*'Ціни контур теплопостачання'!$F$125+'Ціни контур теплопостачання'!$D$125,IF(J183='Ціни контур теплопостачання'!$B$126,L183*'Ціни контур теплопостачання'!$C$126*'Ціни контур теплопостачання'!$E$126*'Ціни контур теплопостачання'!$F$126+'Ціни контур теплопостачання'!$D$126,IF(J183='Ціни контур теплопостачання'!$B$127,L183*'Ціни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4" spans="1:13">
      <c r="A184" s="168" t="s">
        <v>542</v>
      </c>
      <c r="B184" s="162" t="str">
        <f t="shared" si="16"/>
        <v xml:space="preserve">16+079A00HS-328  </v>
      </c>
      <c r="C184" s="162" t="str">
        <f t="shared" si="17"/>
        <v>16</v>
      </c>
      <c r="D184" s="162" t="str">
        <f t="shared" si="18"/>
        <v xml:space="preserve">079A00HS-328  </v>
      </c>
      <c r="E184" s="162" t="str">
        <f t="shared" si="19"/>
        <v>079</v>
      </c>
      <c r="F184" s="166" t="e">
        <f>IF(C184='Ціни контур теплопостачання'!$B$123,E184*'Ціни контур теплопостачання'!$C$123*'Ціни контур теплопостачання'!$E$123*'Ціни контур теплопостачання'!$F$123+'Ціни контур теплопостачання'!$D$123,IF(C184='Ціни контур теплопостачання'!$B$124,E184*'Ціни контур теплопостачання'!$C$124*'Ціни контур теплопостачання'!$E$124*'Ціни контур теплопостачання'!$F$124+'Ціни контур теплопостачання'!$D$124,IF(C184='Ціни контур теплопостачання'!$B$125,E184*'Ціни контур теплопостачання'!$C$125*'Ціни контур теплопостачання'!$E$125*'Ціни контур теплопостачання'!$F$125+'Ціни контур теплопостачання'!$D$125,IF(C184='Ціни контур теплопостачання'!$B$126,E184*'Ціни контур теплопостачання'!$C$126*'Ціни контур теплопостачання'!$E$126*'Ціни контур теплопостачання'!$F$126+'Ціни контур теплопостачання'!$D$126,IF(C184='Ціни контур теплопостачання'!$B$127,E184*'Ціни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4" s="170" t="s">
        <v>280</v>
      </c>
      <c r="I184" s="162" t="str">
        <f t="shared" si="20"/>
        <v xml:space="preserve">16+037M50HS-356 </v>
      </c>
      <c r="J184" s="162" t="str">
        <f t="shared" si="21"/>
        <v>16</v>
      </c>
      <c r="K184" s="162" t="str">
        <f t="shared" si="22"/>
        <v xml:space="preserve">037M50HS-356 </v>
      </c>
      <c r="L184" s="162" t="str">
        <f t="shared" si="23"/>
        <v>037</v>
      </c>
      <c r="M184" s="166" t="e">
        <f>IF(J184='Ціни контур теплопостачання'!$B$123,L184*'Ціни контур теплопостачання'!$C$123*'Ціни контур теплопостачання'!$E$123*'Ціни контур теплопостачання'!$F$123+'Ціни контур теплопостачання'!$D$123,IF(J184='Ціни контур теплопостачання'!$B$124,L184*'Ціни контур теплопостачання'!$C$124*'Ціни контур теплопостачання'!$E$124*'Ціни контур теплопостачання'!$F$124+'Ціни контур теплопостачання'!$D$124,IF(J184='Ціни контур теплопостачання'!$B$125,L184*'Ціни контур теплопостачання'!$C$125*'Ціни контур теплопостачання'!$E$125*'Ціни контур теплопостачання'!$F$125+'Ціни контур теплопостачання'!$D$125,IF(J184='Ціни контур теплопостачання'!$B$126,L184*'Ціни контур теплопостачання'!$C$126*'Ціни контур теплопостачання'!$E$126*'Ціни контур теплопостачання'!$F$126+'Ціни контур теплопостачання'!$D$126,IF(J184='Ціни контур теплопостачання'!$B$127,L184*'Ціни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5" spans="1:13">
      <c r="A185" s="168" t="s">
        <v>525</v>
      </c>
      <c r="B185" s="162" t="str">
        <f t="shared" si="16"/>
        <v xml:space="preserve">16+059A00HS-242  </v>
      </c>
      <c r="C185" s="162" t="str">
        <f t="shared" si="17"/>
        <v>16</v>
      </c>
      <c r="D185" s="162" t="str">
        <f t="shared" si="18"/>
        <v xml:space="preserve">059A00HS-242  </v>
      </c>
      <c r="E185" s="162" t="str">
        <f t="shared" si="19"/>
        <v>059</v>
      </c>
      <c r="F185" s="166" t="e">
        <f>IF(C185='Ціни контур теплопостачання'!$B$123,E185*'Ціни контур теплопостачання'!$C$123*'Ціни контур теплопостачання'!$E$123*'Ціни контур теплопостачання'!$F$123+'Ціни контур теплопостачання'!$D$123,IF(C185='Ціни контур теплопостачання'!$B$124,E185*'Ціни контур теплопостачання'!$C$124*'Ціни контур теплопостачання'!$E$124*'Ціни контур теплопостачання'!$F$124+'Ціни контур теплопостачання'!$D$124,IF(C185='Ціни контур теплопостачання'!$B$125,E185*'Ціни контур теплопостачання'!$C$125*'Ціни контур теплопостачання'!$E$125*'Ціни контур теплопостачання'!$F$125+'Ціни контур теплопостачання'!$D$125,IF(C185='Ціни контур теплопостачання'!$B$126,E185*'Ціни контур теплопостачання'!$C$126*'Ціни контур теплопостачання'!$E$126*'Ціни контур теплопостачання'!$F$126+'Ціни контур теплопостачання'!$D$126,IF(C185='Ціни контур теплопостачання'!$B$127,E185*'Ціни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5" s="170" t="s">
        <v>281</v>
      </c>
      <c r="I185" s="162" t="str">
        <f t="shared" si="20"/>
        <v xml:space="preserve">16+029M50HS-285 </v>
      </c>
      <c r="J185" s="162" t="str">
        <f t="shared" si="21"/>
        <v>16</v>
      </c>
      <c r="K185" s="162" t="str">
        <f t="shared" si="22"/>
        <v xml:space="preserve">029M50HS-285 </v>
      </c>
      <c r="L185" s="162" t="str">
        <f t="shared" si="23"/>
        <v>029</v>
      </c>
      <c r="M185" s="166" t="e">
        <f>IF(J185='Ціни контур теплопостачання'!$B$123,L185*'Ціни контур теплопостачання'!$C$123*'Ціни контур теплопостачання'!$E$123*'Ціни контур теплопостачання'!$F$123+'Ціни контур теплопостачання'!$D$123,IF(J185='Ціни контур теплопостачання'!$B$124,L185*'Ціни контур теплопостачання'!$C$124*'Ціни контур теплопостачання'!$E$124*'Ціни контур теплопостачання'!$F$124+'Ціни контур теплопостачання'!$D$124,IF(J185='Ціни контур теплопостачання'!$B$125,L185*'Ціни контур теплопостачання'!$C$125*'Ціни контур теплопостачання'!$E$125*'Ціни контур теплопостачання'!$F$125+'Ціни контур теплопостачання'!$D$125,IF(J185='Ціни контур теплопостачання'!$B$126,L185*'Ціни контур теплопостачання'!$C$126*'Ціни контур теплопостачання'!$E$126*'Ціни контур теплопостачання'!$F$126+'Ціни контур теплопостачання'!$D$126,IF(J185='Ціни контур теплопостачання'!$B$127,L185*'Ціни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6" spans="1:13">
      <c r="A186" s="168" t="s">
        <v>543</v>
      </c>
      <c r="B186" s="162" t="str">
        <f t="shared" si="16"/>
        <v xml:space="preserve">16+077A00HS-310 </v>
      </c>
      <c r="C186" s="162" t="str">
        <f t="shared" si="17"/>
        <v>16</v>
      </c>
      <c r="D186" s="162" t="str">
        <f t="shared" si="18"/>
        <v xml:space="preserve">077A00HS-310 </v>
      </c>
      <c r="E186" s="162" t="str">
        <f t="shared" si="19"/>
        <v>077</v>
      </c>
      <c r="F186" s="166" t="e">
        <f>IF(C186='Ціни контур теплопостачання'!$B$123,E186*'Ціни контур теплопостачання'!$C$123*'Ціни контур теплопостачання'!$E$123*'Ціни контур теплопостачання'!$F$123+'Ціни контур теплопостачання'!$D$123,IF(C186='Ціни контур теплопостачання'!$B$124,E186*'Ціни контур теплопостачання'!$C$124*'Ціни контур теплопостачання'!$E$124*'Ціни контур теплопостачання'!$F$124+'Ціни контур теплопостачання'!$D$124,IF(C186='Ціни контур теплопостачання'!$B$125,E186*'Ціни контур теплопостачання'!$C$125*'Ціни контур теплопостачання'!$E$125*'Ціни контур теплопостачання'!$F$125+'Ціни контур теплопостачання'!$D$125,IF(C186='Ціни контур теплопостачання'!$B$126,E186*'Ціни контур теплопостачання'!$C$126*'Ціни контур теплопостачання'!$E$126*'Ціни контур теплопостачання'!$F$126+'Ціни контур теплопостачання'!$D$126,IF(C186='Ціни контур теплопостачання'!$B$127,E186*'Ціни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6" s="170" t="s">
        <v>282</v>
      </c>
      <c r="I186" s="162" t="str">
        <f t="shared" si="20"/>
        <v xml:space="preserve">16+031M50HS-310 </v>
      </c>
      <c r="J186" s="162" t="str">
        <f t="shared" si="21"/>
        <v>16</v>
      </c>
      <c r="K186" s="162" t="str">
        <f t="shared" si="22"/>
        <v xml:space="preserve">031M50HS-310 </v>
      </c>
      <c r="L186" s="162" t="str">
        <f t="shared" si="23"/>
        <v>031</v>
      </c>
      <c r="M186" s="166" t="e">
        <f>IF(J186='Ціни контур теплопостачання'!$B$123,L186*'Ціни контур теплопостачання'!$C$123*'Ціни контур теплопостачання'!$E$123*'Ціни контур теплопостачання'!$F$123+'Ціни контур теплопостачання'!$D$123,IF(J186='Ціни контур теплопостачання'!$B$124,L186*'Ціни контур теплопостачання'!$C$124*'Ціни контур теплопостачання'!$E$124*'Ціни контур теплопостачання'!$F$124+'Ціни контур теплопостачання'!$D$124,IF(J186='Ціни контур теплопостачання'!$B$125,L186*'Ціни контур теплопостачання'!$C$125*'Ціни контур теплопостачання'!$E$125*'Ціни контур теплопостачання'!$F$125+'Ціни контур теплопостачання'!$D$125,IF(J186='Ціни контур теплопостачання'!$B$126,L186*'Ціни контур теплопостачання'!$C$126*'Ціни контур теплопостачання'!$E$126*'Ціни контур теплопостачання'!$F$126+'Ціни контур теплопостачання'!$D$126,IF(J186='Ціни контур теплопостачання'!$B$127,L186*'Ціни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7" spans="1:13">
      <c r="A187" s="168" t="s">
        <v>544</v>
      </c>
      <c r="B187" s="162" t="str">
        <f t="shared" si="16"/>
        <v xml:space="preserve">16+025A00HS-94  </v>
      </c>
      <c r="C187" s="162" t="str">
        <f t="shared" si="17"/>
        <v>16</v>
      </c>
      <c r="D187" s="162" t="str">
        <f t="shared" si="18"/>
        <v xml:space="preserve">025A00HS-94  </v>
      </c>
      <c r="E187" s="162" t="str">
        <f t="shared" si="19"/>
        <v>025</v>
      </c>
      <c r="F187" s="166" t="e">
        <f>IF(C187='Ціни контур теплопостачання'!$B$123,E187*'Ціни контур теплопостачання'!$C$123*'Ціни контур теплопостачання'!$E$123*'Ціни контур теплопостачання'!$F$123+'Ціни контур теплопостачання'!$D$123,IF(C187='Ціни контур теплопостачання'!$B$124,E187*'Ціни контур теплопостачання'!$C$124*'Ціни контур теплопостачання'!$E$124*'Ціни контур теплопостачання'!$F$124+'Ціни контур теплопостачання'!$D$124,IF(C187='Ціни контур теплопостачання'!$B$125,E187*'Ціни контур теплопостачання'!$C$125*'Ціни контур теплопостачання'!$E$125*'Ціни контур теплопостачання'!$F$125+'Ціни контур теплопостачання'!$D$125,IF(C187='Ціни контур теплопостачання'!$B$126,E187*'Ціни контур теплопостачання'!$C$126*'Ціни контур теплопостачання'!$E$126*'Ціни контур теплопостачання'!$F$126+'Ціни контур теплопостачання'!$D$126,IF(C187='Ціни контур теплопостачання'!$B$127,E187*'Ціни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7" s="170" t="s">
        <v>283</v>
      </c>
      <c r="I187" s="162" t="str">
        <f t="shared" si="20"/>
        <v xml:space="preserve">08+029A00HS-164 </v>
      </c>
      <c r="J187" s="162" t="str">
        <f t="shared" si="21"/>
        <v>08</v>
      </c>
      <c r="K187" s="162" t="str">
        <f t="shared" si="22"/>
        <v xml:space="preserve">029A00HS-164 </v>
      </c>
      <c r="L187" s="162" t="str">
        <f t="shared" si="23"/>
        <v>029</v>
      </c>
      <c r="M187" s="166" t="e">
        <f>IF(J187='Ціни контур теплопостачання'!$B$123,L187*'Ціни контур теплопостачання'!$C$123*'Ціни контур теплопостачання'!$E$123*'Ціни контур теплопостачання'!$F$123+'Ціни контур теплопостачання'!$D$123,IF(J187='Ціни контур теплопостачання'!$B$124,L187*'Ціни контур теплопостачання'!$C$124*'Ціни контур теплопостачання'!$E$124*'Ціни контур теплопостачання'!$F$124+'Ціни контур теплопостачання'!$D$124,IF(J187='Ціни контур теплопостачання'!$B$125,L187*'Ціни контур теплопостачання'!$C$125*'Ціни контур теплопостачання'!$E$125*'Ціни контур теплопостачання'!$F$125+'Ціни контур теплопостачання'!$D$125,IF(J187='Ціни контур теплопостачання'!$B$126,L187*'Ціни контур теплопостачання'!$C$126*'Ціни контур теплопостачання'!$E$126*'Ціни контур теплопостачання'!$F$126+'Ціни контур теплопостачання'!$D$126,IF(J187='Ціни контур теплопостачання'!$B$127,L187*'Ціни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8" spans="1:13">
      <c r="A188" s="168" t="s">
        <v>545</v>
      </c>
      <c r="B188" s="162" t="str">
        <f t="shared" si="16"/>
        <v xml:space="preserve">16+023A00HS-86  </v>
      </c>
      <c r="C188" s="162" t="str">
        <f t="shared" si="17"/>
        <v>16</v>
      </c>
      <c r="D188" s="162" t="str">
        <f t="shared" si="18"/>
        <v xml:space="preserve">023A00HS-86  </v>
      </c>
      <c r="E188" s="162" t="str">
        <f t="shared" si="19"/>
        <v>023</v>
      </c>
      <c r="F188" s="166" t="e">
        <f>IF(C188='Ціни контур теплопостачання'!$B$123,E188*'Ціни контур теплопостачання'!$C$123*'Ціни контур теплопостачання'!$E$123*'Ціни контур теплопостачання'!$F$123+'Ціни контур теплопостачання'!$D$123,IF(C188='Ціни контур теплопостачання'!$B$124,E188*'Ціни контур теплопостачання'!$C$124*'Ціни контур теплопостачання'!$E$124*'Ціни контур теплопостачання'!$F$124+'Ціни контур теплопостачання'!$D$124,IF(C188='Ціни контур теплопостачання'!$B$125,E188*'Ціни контур теплопостачання'!$C$125*'Ціни контур теплопостачання'!$E$125*'Ціни контур теплопостачання'!$F$125+'Ціни контур теплопостачання'!$D$125,IF(C188='Ціни контур теплопостачання'!$B$126,E188*'Ціни контур теплопостачання'!$C$126*'Ціни контур теплопостачання'!$E$126*'Ціни контур теплопостачання'!$F$126+'Ціни контур теплопостачання'!$D$126,IF(C188='Ціни контур теплопостачання'!$B$127,E188*'Ціни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8" s="170" t="s">
        <v>156</v>
      </c>
      <c r="I188" s="162" t="str">
        <f t="shared" si="20"/>
        <v xml:space="preserve">08+023A00HS-131 </v>
      </c>
      <c r="J188" s="162" t="str">
        <f t="shared" si="21"/>
        <v>08</v>
      </c>
      <c r="K188" s="162" t="str">
        <f t="shared" si="22"/>
        <v xml:space="preserve">023A00HS-131 </v>
      </c>
      <c r="L188" s="162" t="str">
        <f t="shared" si="23"/>
        <v>023</v>
      </c>
      <c r="M188" s="166" t="e">
        <f>IF(J188='Ціни контур теплопостачання'!$B$123,L188*'Ціни контур теплопостачання'!$C$123*'Ціни контур теплопостачання'!$E$123*'Ціни контур теплопостачання'!$F$123+'Ціни контур теплопостачання'!$D$123,IF(J188='Ціни контур теплопостачання'!$B$124,L188*'Ціни контур теплопостачання'!$C$124*'Ціни контур теплопостачання'!$E$124*'Ціни контур теплопостачання'!$F$124+'Ціни контур теплопостачання'!$D$124,IF(J188='Ціни контур теплопостачання'!$B$125,L188*'Ціни контур теплопостачання'!$C$125*'Ціни контур теплопостачання'!$E$125*'Ціни контур теплопостачання'!$F$125+'Ціни контур теплопостачання'!$D$125,IF(J188='Ціни контур теплопостачання'!$B$126,L188*'Ціни контур теплопостачання'!$C$126*'Ціни контур теплопостачання'!$E$126*'Ціни контур теплопостачання'!$F$126+'Ціни контур теплопостачання'!$D$126,IF(J188='Ціни контур теплопостачання'!$B$127,L188*'Ціни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89" spans="1:13">
      <c r="A189" s="168" t="s">
        <v>546</v>
      </c>
      <c r="B189" s="162" t="str">
        <f t="shared" si="16"/>
        <v xml:space="preserve">16+029A00HS-111  </v>
      </c>
      <c r="C189" s="162" t="str">
        <f t="shared" si="17"/>
        <v>16</v>
      </c>
      <c r="D189" s="162" t="str">
        <f t="shared" si="18"/>
        <v xml:space="preserve">029A00HS-111  </v>
      </c>
      <c r="E189" s="162" t="str">
        <f t="shared" si="19"/>
        <v>029</v>
      </c>
      <c r="F189" s="166" t="e">
        <f>IF(C189='Ціни контур теплопостачання'!$B$123,E189*'Ціни контур теплопостачання'!$C$123*'Ціни контур теплопостачання'!$E$123*'Ціни контур теплопостачання'!$F$123+'Ціни контур теплопостачання'!$D$123,IF(C189='Ціни контур теплопостачання'!$B$124,E189*'Ціни контур теплопостачання'!$C$124*'Ціни контур теплопостачання'!$E$124*'Ціни контур теплопостачання'!$F$124+'Ціни контур теплопостачання'!$D$124,IF(C189='Ціни контур теплопостачання'!$B$125,E189*'Ціни контур теплопостачання'!$C$125*'Ціни контур теплопостачання'!$E$125*'Ціни контур теплопостачання'!$F$125+'Ціни контур теплопостачання'!$D$125,IF(C189='Ціни контур теплопостачання'!$B$126,E189*'Ціни контур теплопостачання'!$C$126*'Ціни контур теплопостачання'!$E$126*'Ціни контур теплопостачання'!$F$126+'Ціни контур теплопостачання'!$D$126,IF(C189='Ціни контур теплопостачання'!$B$127,E189*'Ціни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89" s="170" t="s">
        <v>284</v>
      </c>
      <c r="I189" s="162" t="str">
        <f t="shared" si="20"/>
        <v xml:space="preserve">08+023A00HS-135 </v>
      </c>
      <c r="J189" s="162" t="str">
        <f t="shared" si="21"/>
        <v>08</v>
      </c>
      <c r="K189" s="162" t="str">
        <f t="shared" si="22"/>
        <v xml:space="preserve">023A00HS-135 </v>
      </c>
      <c r="L189" s="162" t="str">
        <f t="shared" si="23"/>
        <v>023</v>
      </c>
      <c r="M189" s="166" t="e">
        <f>IF(J189='Ціни контур теплопостачання'!$B$123,L189*'Ціни контур теплопостачання'!$C$123*'Ціни контур теплопостачання'!$E$123*'Ціни контур теплопостачання'!$F$123+'Ціни контур теплопостачання'!$D$123,IF(J189='Ціни контур теплопостачання'!$B$124,L189*'Ціни контур теплопостачання'!$C$124*'Ціни контур теплопостачання'!$E$124*'Ціни контур теплопостачання'!$F$124+'Ціни контур теплопостачання'!$D$124,IF(J189='Ціни контур теплопостачання'!$B$125,L189*'Ціни контур теплопостачання'!$C$125*'Ціни контур теплопостачання'!$E$125*'Ціни контур теплопостачання'!$F$125+'Ціни контур теплопостачання'!$D$125,IF(J189='Ціни контур теплопостачання'!$B$126,L189*'Ціни контур теплопостачання'!$C$126*'Ціни контур теплопостачання'!$E$126*'Ціни контур теплопостачання'!$F$126+'Ціни контур теплопостачання'!$D$126,IF(J189='Ціни контур теплопостачання'!$B$127,L189*'Ціни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0" spans="1:13">
      <c r="A190" s="168" t="s">
        <v>547</v>
      </c>
      <c r="B190" s="162" t="str">
        <f t="shared" si="16"/>
        <v xml:space="preserve">16+037A00HS-148  </v>
      </c>
      <c r="C190" s="162" t="str">
        <f t="shared" si="17"/>
        <v>16</v>
      </c>
      <c r="D190" s="162" t="str">
        <f t="shared" si="18"/>
        <v xml:space="preserve">037A00HS-148  </v>
      </c>
      <c r="E190" s="162" t="str">
        <f t="shared" si="19"/>
        <v>037</v>
      </c>
      <c r="F190" s="166" t="e">
        <f>IF(C190='Ціни контур теплопостачання'!$B$123,E190*'Ціни контур теплопостачання'!$C$123*'Ціни контур теплопостачання'!$E$123*'Ціни контур теплопостачання'!$F$123+'Ціни контур теплопостачання'!$D$123,IF(C190='Ціни контур теплопостачання'!$B$124,E190*'Ціни контур теплопостачання'!$C$124*'Ціни контур теплопостачання'!$E$124*'Ціни контур теплопостачання'!$F$124+'Ціни контур теплопостачання'!$D$124,IF(C190='Ціни контур теплопостачання'!$B$125,E190*'Ціни контур теплопостачання'!$C$125*'Ціни контур теплопостачання'!$E$125*'Ціни контур теплопостачання'!$F$125+'Ціни контур теплопостачання'!$D$125,IF(C190='Ціни контур теплопостачання'!$B$126,E190*'Ціни контур теплопостачання'!$C$126*'Ціни контур теплопостачання'!$E$126*'Ціни контур теплопостачання'!$F$126+'Ціни контур теплопостачання'!$D$126,IF(C190='Ціни контур теплопостачання'!$B$127,E190*'Ціни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0" s="170" t="s">
        <v>273</v>
      </c>
      <c r="I190" s="162" t="str">
        <f t="shared" si="20"/>
        <v xml:space="preserve">08+031A00HS-180 </v>
      </c>
      <c r="J190" s="162" t="str">
        <f t="shared" si="21"/>
        <v>08</v>
      </c>
      <c r="K190" s="162" t="str">
        <f t="shared" si="22"/>
        <v xml:space="preserve">031A00HS-180 </v>
      </c>
      <c r="L190" s="162" t="str">
        <f t="shared" si="23"/>
        <v>031</v>
      </c>
      <c r="M190" s="166" t="e">
        <f>IF(J190='Ціни контур теплопостачання'!$B$123,L190*'Ціни контур теплопостачання'!$C$123*'Ціни контур теплопостачання'!$E$123*'Ціни контур теплопостачання'!$F$123+'Ціни контур теплопостачання'!$D$123,IF(J190='Ціни контур теплопостачання'!$B$124,L190*'Ціни контур теплопостачання'!$C$124*'Ціни контур теплопостачання'!$E$124*'Ціни контур теплопостачання'!$F$124+'Ціни контур теплопостачання'!$D$124,IF(J190='Ціни контур теплопостачання'!$B$125,L190*'Ціни контур теплопостачання'!$C$125*'Ціни контур теплопостачання'!$E$125*'Ціни контур теплопостачання'!$F$125+'Ціни контур теплопостачання'!$D$125,IF(J190='Ціни контур теплопостачання'!$B$126,L190*'Ціни контур теплопостачання'!$C$126*'Ціни контур теплопостачання'!$E$126*'Ціни контур теплопостачання'!$F$126+'Ціни контур теплопостачання'!$D$126,IF(J190='Ціни контур теплопостачання'!$B$127,L190*'Ціни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1" spans="1:13">
      <c r="A191" s="168" t="s">
        <v>548</v>
      </c>
      <c r="B191" s="162" t="str">
        <f t="shared" si="16"/>
        <v xml:space="preserve">16+021A00HS-78  </v>
      </c>
      <c r="C191" s="162" t="str">
        <f t="shared" si="17"/>
        <v>16</v>
      </c>
      <c r="D191" s="162" t="str">
        <f t="shared" si="18"/>
        <v xml:space="preserve">021A00HS-78  </v>
      </c>
      <c r="E191" s="162" t="str">
        <f t="shared" si="19"/>
        <v>021</v>
      </c>
      <c r="F191" s="166" t="e">
        <f>IF(C191='Ціни контур теплопостачання'!$B$123,E191*'Ціни контур теплопостачання'!$C$123*'Ціни контур теплопостачання'!$E$123*'Ціни контур теплопостачання'!$F$123+'Ціни контур теплопостачання'!$D$123,IF(C191='Ціни контур теплопостачання'!$B$124,E191*'Ціни контур теплопостачання'!$C$124*'Ціни контур теплопостачання'!$E$124*'Ціни контур теплопостачання'!$F$124+'Ціни контур теплопостачання'!$D$124,IF(C191='Ціни контур теплопостачання'!$B$125,E191*'Ціни контур теплопостачання'!$C$125*'Ціни контур теплопостачання'!$E$125*'Ціни контур теплопостачання'!$F$125+'Ціни контур теплопостачання'!$D$125,IF(C191='Ціни контур теплопостачання'!$B$126,E191*'Ціни контур теплопостачання'!$C$126*'Ціни контур теплопостачання'!$E$126*'Ціни контур теплопостачання'!$F$126+'Ціни контур теплопостачання'!$D$126,IF(C191='Ціни контур теплопостачання'!$B$127,E191*'Ціни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1" s="170" t="s">
        <v>285</v>
      </c>
      <c r="I191" s="162" t="str">
        <f t="shared" si="20"/>
        <v xml:space="preserve">08+027A00HS-162 </v>
      </c>
      <c r="J191" s="162" t="str">
        <f t="shared" si="21"/>
        <v>08</v>
      </c>
      <c r="K191" s="162" t="str">
        <f t="shared" si="22"/>
        <v xml:space="preserve">027A00HS-162 </v>
      </c>
      <c r="L191" s="162" t="str">
        <f t="shared" si="23"/>
        <v>027</v>
      </c>
      <c r="M191" s="166" t="e">
        <f>IF(J191='Ціни контур теплопостачання'!$B$123,L191*'Ціни контур теплопостачання'!$C$123*'Ціни контур теплопостачання'!$E$123*'Ціни контур теплопостачання'!$F$123+'Ціни контур теплопостачання'!$D$123,IF(J191='Ціни контур теплопостачання'!$B$124,L191*'Ціни контур теплопостачання'!$C$124*'Ціни контур теплопостачання'!$E$124*'Ціни контур теплопостачання'!$F$124+'Ціни контур теплопостачання'!$D$124,IF(J191='Ціни контур теплопостачання'!$B$125,L191*'Ціни контур теплопостачання'!$C$125*'Ціни контур теплопостачання'!$E$125*'Ціни контур теплопостачання'!$F$125+'Ціни контур теплопостачання'!$D$125,IF(J191='Ціни контур теплопостачання'!$B$126,L191*'Ціни контур теплопостачання'!$C$126*'Ціни контур теплопостачання'!$E$126*'Ціни контур теплопостачання'!$F$126+'Ціни контур теплопостачання'!$D$126,IF(J191='Ціни контур теплопостачання'!$B$127,L191*'Ціни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2" spans="1:13">
      <c r="A192" s="168" t="s">
        <v>504</v>
      </c>
      <c r="B192" s="162" t="str">
        <f t="shared" si="16"/>
        <v xml:space="preserve">16+033A00HS-130  </v>
      </c>
      <c r="C192" s="162" t="str">
        <f t="shared" si="17"/>
        <v>16</v>
      </c>
      <c r="D192" s="162" t="str">
        <f t="shared" si="18"/>
        <v xml:space="preserve">033A00HS-130  </v>
      </c>
      <c r="E192" s="162" t="str">
        <f t="shared" si="19"/>
        <v>033</v>
      </c>
      <c r="F192" s="166" t="e">
        <f>IF(C192='Ціни контур теплопостачання'!$B$123,E192*'Ціни контур теплопостачання'!$C$123*'Ціни контур теплопостачання'!$E$123*'Ціни контур теплопостачання'!$F$123+'Ціни контур теплопостачання'!$D$123,IF(C192='Ціни контур теплопостачання'!$B$124,E192*'Ціни контур теплопостачання'!$C$124*'Ціни контур теплопостачання'!$E$124*'Ціни контур теплопостачання'!$F$124+'Ціни контур теплопостачання'!$D$124,IF(C192='Ціни контур теплопостачання'!$B$125,E192*'Ціни контур теплопостачання'!$C$125*'Ціни контур теплопостачання'!$E$125*'Ціни контур теплопостачання'!$F$125+'Ціни контур теплопостачання'!$D$125,IF(C192='Ціни контур теплопостачання'!$B$126,E192*'Ціни контур теплопостачання'!$C$126*'Ціни контур теплопостачання'!$E$126*'Ціни контур теплопостачання'!$F$126+'Ціни контур теплопостачання'!$D$126,IF(C192='Ціни контур теплопостачання'!$B$127,E192*'Ціни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2" s="170" t="s">
        <v>286</v>
      </c>
      <c r="I192" s="162" t="str">
        <f t="shared" si="20"/>
        <v xml:space="preserve">08+031A00HS-186 </v>
      </c>
      <c r="J192" s="162" t="str">
        <f t="shared" si="21"/>
        <v>08</v>
      </c>
      <c r="K192" s="162" t="str">
        <f t="shared" si="22"/>
        <v xml:space="preserve">031A00HS-186 </v>
      </c>
      <c r="L192" s="162" t="str">
        <f t="shared" si="23"/>
        <v>031</v>
      </c>
      <c r="M192" s="166" t="e">
        <f>IF(J192='Ціни контур теплопостачання'!$B$123,L192*'Ціни контур теплопостачання'!$C$123*'Ціни контур теплопостачання'!$E$123*'Ціни контур теплопостачання'!$F$123+'Ціни контур теплопостачання'!$D$123,IF(J192='Ціни контур теплопостачання'!$B$124,L192*'Ціни контур теплопостачання'!$C$124*'Ціни контур теплопостачання'!$E$124*'Ціни контур теплопостачання'!$F$124+'Ціни контур теплопостачання'!$D$124,IF(J192='Ціни контур теплопостачання'!$B$125,L192*'Ціни контур теплопостачання'!$C$125*'Ціни контур теплопостачання'!$E$125*'Ціни контур теплопостачання'!$F$125+'Ціни контур теплопостачання'!$D$125,IF(J192='Ціни контур теплопостачання'!$B$126,L192*'Ціни контур теплопостачання'!$C$126*'Ціни контур теплопостачання'!$E$126*'Ціни контур теплопостачання'!$F$126+'Ціни контур теплопостачання'!$D$126,IF(J192='Ціни контур теплопостачання'!$B$127,L192*'Ціни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3" spans="1:13">
      <c r="A193" s="168" t="s">
        <v>549</v>
      </c>
      <c r="B193" s="162" t="str">
        <f t="shared" si="16"/>
        <v>16+025A00HS-90</v>
      </c>
      <c r="C193" s="162" t="str">
        <f t="shared" si="17"/>
        <v>16</v>
      </c>
      <c r="D193" s="162" t="str">
        <f t="shared" si="18"/>
        <v>025A00HS-90</v>
      </c>
      <c r="E193" s="162" t="str">
        <f t="shared" si="19"/>
        <v>025</v>
      </c>
      <c r="F193" s="166" t="e">
        <f>IF(C193='Ціни контур теплопостачання'!$B$123,E193*'Ціни контур теплопостачання'!$C$123*'Ціни контур теплопостачання'!$E$123*'Ціни контур теплопостачання'!$F$123+'Ціни контур теплопостачання'!$D$123,IF(C193='Ціни контур теплопостачання'!$B$124,E193*'Ціни контур теплопостачання'!$C$124*'Ціни контур теплопостачання'!$E$124*'Ціни контур теплопостачання'!$F$124+'Ціни контур теплопостачання'!$D$124,IF(C193='Ціни контур теплопостачання'!$B$125,E193*'Ціни контур теплопостачання'!$C$125*'Ціни контур теплопостачання'!$E$125*'Ціни контур теплопостачання'!$F$125+'Ціни контур теплопостачання'!$D$125,IF(C193='Ціни контур теплопостачання'!$B$126,E193*'Ціни контур теплопостачання'!$C$126*'Ціни контур теплопостачання'!$E$126*'Ціни контур теплопостачання'!$F$126+'Ціни контур теплопостачання'!$D$126,IF(C193='Ціни контур теплопостачання'!$B$127,E193*'Ціни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3" s="170" t="s">
        <v>133</v>
      </c>
      <c r="I193" s="162" t="str">
        <f t="shared" si="20"/>
        <v xml:space="preserve">08+019A00HS-105 </v>
      </c>
      <c r="J193" s="162" t="str">
        <f t="shared" si="21"/>
        <v>08</v>
      </c>
      <c r="K193" s="162" t="str">
        <f t="shared" si="22"/>
        <v xml:space="preserve">019A00HS-105 </v>
      </c>
      <c r="L193" s="162" t="str">
        <f t="shared" si="23"/>
        <v>019</v>
      </c>
      <c r="M193" s="166" t="e">
        <f>IF(J193='Ціни контур теплопостачання'!$B$123,L193*'Ціни контур теплопостачання'!$C$123*'Ціни контур теплопостачання'!$E$123*'Ціни контур теплопостачання'!$F$123+'Ціни контур теплопостачання'!$D$123,IF(J193='Ціни контур теплопостачання'!$B$124,L193*'Ціни контур теплопостачання'!$C$124*'Ціни контур теплопостачання'!$E$124*'Ціни контур теплопостачання'!$F$124+'Ціни контур теплопостачання'!$D$124,IF(J193='Ціни контур теплопостачання'!$B$125,L193*'Ціни контур теплопостачання'!$C$125*'Ціни контур теплопостачання'!$E$125*'Ціни контур теплопостачання'!$F$125+'Ціни контур теплопостачання'!$D$125,IF(J193='Ціни контур теплопостачання'!$B$126,L193*'Ціни контур теплопостачання'!$C$126*'Ціни контур теплопостачання'!$E$126*'Ціни контур теплопостачання'!$F$126+'Ціни контур теплопостачання'!$D$126,IF(J193='Ціни контур теплопостачання'!$B$127,L193*'Ціни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4" spans="1:13">
      <c r="A194" s="168" t="s">
        <v>625</v>
      </c>
      <c r="B194" s="162" t="str">
        <f t="shared" si="16"/>
        <v xml:space="preserve">16+033A00HS-128 </v>
      </c>
      <c r="C194" s="162" t="str">
        <f t="shared" si="17"/>
        <v>16</v>
      </c>
      <c r="D194" s="162" t="str">
        <f t="shared" si="18"/>
        <v xml:space="preserve">033A00HS-128 </v>
      </c>
      <c r="E194" s="162" t="str">
        <f t="shared" si="19"/>
        <v>033</v>
      </c>
      <c r="F194" s="166" t="e">
        <f>IF(C194='Ціни контур теплопостачання'!$B$123,E194*'Ціни контур теплопостачання'!$C$123*'Ціни контур теплопостачання'!$E$123*'Ціни контур теплопостачання'!$F$123+'Ціни контур теплопостачання'!$D$123,IF(C194='Ціни контур теплопостачання'!$B$124,E194*'Ціни контур теплопостачання'!$C$124*'Ціни контур теплопостачання'!$E$124*'Ціни контур теплопостачання'!$F$124+'Ціни контур теплопостачання'!$D$124,IF(C194='Ціни контур теплопостачання'!$B$125,E194*'Ціни контур теплопостачання'!$C$125*'Ціни контур теплопостачання'!$E$125*'Ціни контур теплопостачання'!$F$125+'Ціни контур теплопостачання'!$D$125,IF(C194='Ціни контур теплопостачання'!$B$126,E194*'Ціни контур теплопостачання'!$C$126*'Ціни контур теплопостачання'!$E$126*'Ціни контур теплопостачання'!$F$126+'Ціни контур теплопостачання'!$D$126,IF(C194='Ціни контур теплопостачання'!$B$127,E194*'Ціни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4" s="170" t="s">
        <v>287</v>
      </c>
      <c r="I194" s="162" t="str">
        <f t="shared" si="20"/>
        <v xml:space="preserve">08+023A00HS-140 </v>
      </c>
      <c r="J194" s="162" t="str">
        <f t="shared" si="21"/>
        <v>08</v>
      </c>
      <c r="K194" s="162" t="str">
        <f t="shared" si="22"/>
        <v xml:space="preserve">023A00HS-140 </v>
      </c>
      <c r="L194" s="162" t="str">
        <f t="shared" si="23"/>
        <v>023</v>
      </c>
      <c r="M194" s="166" t="e">
        <f>IF(J194='Ціни контур теплопостачання'!$B$123,L194*'Ціни контур теплопостачання'!$C$123*'Ціни контур теплопостачання'!$E$123*'Ціни контур теплопостачання'!$F$123+'Ціни контур теплопостачання'!$D$123,IF(J194='Ціни контур теплопостачання'!$B$124,L194*'Ціни контур теплопостачання'!$C$124*'Ціни контур теплопостачання'!$E$124*'Ціни контур теплопостачання'!$F$124+'Ціни контур теплопостачання'!$D$124,IF(J194='Ціни контур теплопостачання'!$B$125,L194*'Ціни контур теплопостачання'!$C$125*'Ціни контур теплопостачання'!$E$125*'Ціни контур теплопостачання'!$F$125+'Ціни контур теплопостачання'!$D$125,IF(J194='Ціни контур теплопостачання'!$B$126,L194*'Ціни контур теплопостачання'!$C$126*'Ціни контур теплопостачання'!$E$126*'Ціни контур теплопостачання'!$F$126+'Ціни контур теплопостачання'!$D$126,IF(J194='Ціни контур теплопостачання'!$B$127,L194*'Ціни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5" spans="1:13">
      <c r="A195" s="168" t="s">
        <v>550</v>
      </c>
      <c r="B195" s="162" t="str">
        <f t="shared" ref="B195:B258" si="24">RIGHT(A195,LEN(A195)-6)</f>
        <v xml:space="preserve">16+025A00HS-93  </v>
      </c>
      <c r="C195" s="162" t="str">
        <f t="shared" ref="C195:C258" si="25">LEFT(B195,2)</f>
        <v>16</v>
      </c>
      <c r="D195" s="162" t="str">
        <f t="shared" ref="D195:D258" si="26">RIGHT(A195,LEN(A195)-9)</f>
        <v xml:space="preserve">025A00HS-93  </v>
      </c>
      <c r="E195" s="162" t="str">
        <f t="shared" ref="E195:E258" si="27">LEFT(D195,3)</f>
        <v>025</v>
      </c>
      <c r="F195" s="166" t="e">
        <f>IF(C195='Ціни контур теплопостачання'!$B$123,E195*'Ціни контур теплопостачання'!$C$123*'Ціни контур теплопостачання'!$E$123*'Ціни контур теплопостачання'!$F$123+'Ціни контур теплопостачання'!$D$123,IF(C195='Ціни контур теплопостачання'!$B$124,E195*'Ціни контур теплопостачання'!$C$124*'Ціни контур теплопостачання'!$E$124*'Ціни контур теплопостачання'!$F$124+'Ціни контур теплопостачання'!$D$124,IF(C195='Ціни контур теплопостачання'!$B$125,E195*'Ціни контур теплопостачання'!$C$125*'Ціни контур теплопостачання'!$E$125*'Ціни контур теплопостачання'!$F$125+'Ціни контур теплопостачання'!$D$125,IF(C195='Ціни контур теплопостачання'!$B$126,E195*'Ціни контур теплопостачання'!$C$126*'Ціни контур теплопостачання'!$E$126*'Ціни контур теплопостачання'!$F$126+'Ціни контур теплопостачання'!$D$126,IF(C195='Ціни контур теплопостачання'!$B$127,E195*'Ціни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5" s="170" t="s">
        <v>156</v>
      </c>
      <c r="I195" s="162" t="str">
        <f t="shared" ref="I195:I258" si="28">RIGHT(H195,LEN(H195)-6)</f>
        <v xml:space="preserve">08+023A00HS-131 </v>
      </c>
      <c r="J195" s="162" t="str">
        <f t="shared" ref="J195:J258" si="29">LEFT(I195,2)</f>
        <v>08</v>
      </c>
      <c r="K195" s="162" t="str">
        <f t="shared" ref="K195:K258" si="30">RIGHT(H195,LEN(H195)-9)</f>
        <v xml:space="preserve">023A00HS-131 </v>
      </c>
      <c r="L195" s="162" t="str">
        <f t="shared" ref="L195:L258" si="31">LEFT(K195,3)</f>
        <v>023</v>
      </c>
      <c r="M195" s="166" t="e">
        <f>IF(J195='Ціни контур теплопостачання'!$B$123,L195*'Ціни контур теплопостачання'!$C$123*'Ціни контур теплопостачання'!$E$123*'Ціни контур теплопостачання'!$F$123+'Ціни контур теплопостачання'!$D$123,IF(J195='Ціни контур теплопостачання'!$B$124,L195*'Ціни контур теплопостачання'!$C$124*'Ціни контур теплопостачання'!$E$124*'Ціни контур теплопостачання'!$F$124+'Ціни контур теплопостачання'!$D$124,IF(J195='Ціни контур теплопостачання'!$B$125,L195*'Ціни контур теплопостачання'!$C$125*'Ціни контур теплопостачання'!$E$125*'Ціни контур теплопостачання'!$F$125+'Ціни контур теплопостачання'!$D$125,IF(J195='Ціни контур теплопостачання'!$B$126,L195*'Ціни контур теплопостачання'!$C$126*'Ціни контур теплопостачання'!$E$126*'Ціни контур теплопостачання'!$F$126+'Ціни контур теплопостачання'!$D$126,IF(J195='Ціни контур теплопостачання'!$B$127,L195*'Ціни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6" spans="1:13">
      <c r="A196" s="168" t="s">
        <v>551</v>
      </c>
      <c r="B196" s="162" t="str">
        <f t="shared" si="24"/>
        <v xml:space="preserve">16+073A00HS-301  </v>
      </c>
      <c r="C196" s="162" t="str">
        <f t="shared" si="25"/>
        <v>16</v>
      </c>
      <c r="D196" s="162" t="str">
        <f t="shared" si="26"/>
        <v xml:space="preserve">073A00HS-301  </v>
      </c>
      <c r="E196" s="162" t="str">
        <f t="shared" si="27"/>
        <v>073</v>
      </c>
      <c r="F196" s="166" t="e">
        <f>IF(C196='Ціни контур теплопостачання'!$B$123,E196*'Ціни контур теплопостачання'!$C$123*'Ціни контур теплопостачання'!$E$123*'Ціни контур теплопостачання'!$F$123+'Ціни контур теплопостачання'!$D$123,IF(C196='Ціни контур теплопостачання'!$B$124,E196*'Ціни контур теплопостачання'!$C$124*'Ціни контур теплопостачання'!$E$124*'Ціни контур теплопостачання'!$F$124+'Ціни контур теплопостачання'!$D$124,IF(C196='Ціни контур теплопостачання'!$B$125,E196*'Ціни контур теплопостачання'!$C$125*'Ціни контур теплопостачання'!$E$125*'Ціни контур теплопостачання'!$F$125+'Ціни контур теплопостачання'!$D$125,IF(C196='Ціни контур теплопостачання'!$B$126,E196*'Ціни контур теплопостачання'!$C$126*'Ціни контур теплопостачання'!$E$126*'Ціни контур теплопостачання'!$F$126+'Ціни контур теплопостачання'!$D$126,IF(C196='Ціни контур теплопостачання'!$B$127,E196*'Ціни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6" s="170" t="s">
        <v>288</v>
      </c>
      <c r="I196" s="162" t="str">
        <f t="shared" si="28"/>
        <v xml:space="preserve">16+047A00HS-442 </v>
      </c>
      <c r="J196" s="162" t="str">
        <f t="shared" si="29"/>
        <v>16</v>
      </c>
      <c r="K196" s="162" t="str">
        <f t="shared" si="30"/>
        <v xml:space="preserve">047A00HS-442 </v>
      </c>
      <c r="L196" s="162" t="str">
        <f t="shared" si="31"/>
        <v>047</v>
      </c>
      <c r="M196" s="166" t="e">
        <f>IF(J196='Ціни контур теплопостачання'!$B$123,L196*'Ціни контур теплопостачання'!$C$123*'Ціни контур теплопостачання'!$E$123*'Ціни контур теплопостачання'!$F$123+'Ціни контур теплопостачання'!$D$123,IF(J196='Ціни контур теплопостачання'!$B$124,L196*'Ціни контур теплопостачання'!$C$124*'Ціни контур теплопостачання'!$E$124*'Ціни контур теплопостачання'!$F$124+'Ціни контур теплопостачання'!$D$124,IF(J196='Ціни контур теплопостачання'!$B$125,L196*'Ціни контур теплопостачання'!$C$125*'Ціни контур теплопостачання'!$E$125*'Ціни контур теплопостачання'!$F$125+'Ціни контур теплопостачання'!$D$125,IF(J196='Ціни контур теплопостачання'!$B$126,L196*'Ціни контур теплопостачання'!$C$126*'Ціни контур теплопостачання'!$E$126*'Ціни контур теплопостачання'!$F$126+'Ціни контур теплопостачання'!$D$126,IF(J196='Ціни контур теплопостачання'!$B$127,L196*'Ціни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7" spans="1:13">
      <c r="A197" s="168" t="s">
        <v>552</v>
      </c>
      <c r="B197" s="162" t="str">
        <f t="shared" si="24"/>
        <v xml:space="preserve">16+039A00HS-153  </v>
      </c>
      <c r="C197" s="162" t="str">
        <f t="shared" si="25"/>
        <v>16</v>
      </c>
      <c r="D197" s="162" t="str">
        <f t="shared" si="26"/>
        <v xml:space="preserve">039A00HS-153  </v>
      </c>
      <c r="E197" s="162" t="str">
        <f t="shared" si="27"/>
        <v>039</v>
      </c>
      <c r="F197" s="166" t="e">
        <f>IF(C197='Ціни контур теплопостачання'!$B$123,E197*'Ціни контур теплопостачання'!$C$123*'Ціни контур теплопостачання'!$E$123*'Ціни контур теплопостачання'!$F$123+'Ціни контур теплопостачання'!$D$123,IF(C197='Ціни контур теплопостачання'!$B$124,E197*'Ціни контур теплопостачання'!$C$124*'Ціни контур теплопостачання'!$E$124*'Ціни контур теплопостачання'!$F$124+'Ціни контур теплопостачання'!$D$124,IF(C197='Ціни контур теплопостачання'!$B$125,E197*'Ціни контур теплопостачання'!$C$125*'Ціни контур теплопостачання'!$E$125*'Ціни контур теплопостачання'!$F$125+'Ціни контур теплопостачання'!$D$125,IF(C197='Ціни контур теплопостачання'!$B$126,E197*'Ціни контур теплопостачання'!$C$126*'Ціни контур теплопостачання'!$E$126*'Ціни контур теплопостачання'!$F$126+'Ціни контур теплопостачання'!$D$126,IF(C197='Ціни контур теплопостачання'!$B$127,E197*'Ціни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7" s="170" t="s">
        <v>187</v>
      </c>
      <c r="I197" s="162" t="str">
        <f t="shared" si="28"/>
        <v xml:space="preserve">16+029M50HS-279 </v>
      </c>
      <c r="J197" s="162" t="str">
        <f t="shared" si="29"/>
        <v>16</v>
      </c>
      <c r="K197" s="162" t="str">
        <f t="shared" si="30"/>
        <v xml:space="preserve">029M50HS-279 </v>
      </c>
      <c r="L197" s="162" t="str">
        <f t="shared" si="31"/>
        <v>029</v>
      </c>
      <c r="M197" s="166" t="e">
        <f>IF(J197='Ціни контур теплопостачання'!$B$123,L197*'Ціни контур теплопостачання'!$C$123*'Ціни контур теплопостачання'!$E$123*'Ціни контур теплопостачання'!$F$123+'Ціни контур теплопостачання'!$D$123,IF(J197='Ціни контур теплопостачання'!$B$124,L197*'Ціни контур теплопостачання'!$C$124*'Ціни контур теплопостачання'!$E$124*'Ціни контур теплопостачання'!$F$124+'Ціни контур теплопостачання'!$D$124,IF(J197='Ціни контур теплопостачання'!$B$125,L197*'Ціни контур теплопостачання'!$C$125*'Ціни контур теплопостачання'!$E$125*'Ціни контур теплопостачання'!$F$125+'Ціни контур теплопостачання'!$D$125,IF(J197='Ціни контур теплопостачання'!$B$126,L197*'Ціни контур теплопостачання'!$C$126*'Ціни контур теплопостачання'!$E$126*'Ціни контур теплопостачання'!$F$126+'Ціни контур теплопостачання'!$D$126,IF(J197='Ціни контур теплопостачання'!$B$127,L197*'Ціни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8" spans="1:13">
      <c r="A198" s="168" t="s">
        <v>553</v>
      </c>
      <c r="B198" s="162" t="str">
        <f t="shared" si="24"/>
        <v xml:space="preserve">16+043A00HS-175  </v>
      </c>
      <c r="C198" s="162" t="str">
        <f t="shared" si="25"/>
        <v>16</v>
      </c>
      <c r="D198" s="162" t="str">
        <f t="shared" si="26"/>
        <v xml:space="preserve">043A00HS-175  </v>
      </c>
      <c r="E198" s="162" t="str">
        <f t="shared" si="27"/>
        <v>043</v>
      </c>
      <c r="F198" s="166" t="e">
        <f>IF(C198='Ціни контур теплопостачання'!$B$123,E198*'Ціни контур теплопостачання'!$C$123*'Ціни контур теплопостачання'!$E$123*'Ціни контур теплопостачання'!$F$123+'Ціни контур теплопостачання'!$D$123,IF(C198='Ціни контур теплопостачання'!$B$124,E198*'Ціни контур теплопостачання'!$C$124*'Ціни контур теплопостачання'!$E$124*'Ціни контур теплопостачання'!$F$124+'Ціни контур теплопостачання'!$D$124,IF(C198='Ціни контур теплопостачання'!$B$125,E198*'Ціни контур теплопостачання'!$C$125*'Ціни контур теплопостачання'!$E$125*'Ціни контур теплопостачання'!$F$125+'Ціни контур теплопостачання'!$D$125,IF(C198='Ціни контур теплопостачання'!$B$126,E198*'Ціни контур теплопостачання'!$C$126*'Ціни контур теплопостачання'!$E$126*'Ціни контур теплопостачання'!$F$126+'Ціни контур теплопостачання'!$D$126,IF(C198='Ціни контур теплопостачання'!$B$127,E198*'Ціни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8" s="170" t="s">
        <v>289</v>
      </c>
      <c r="I198" s="162" t="str">
        <f t="shared" si="28"/>
        <v xml:space="preserve">16+027M50HS-245 </v>
      </c>
      <c r="J198" s="162" t="str">
        <f t="shared" si="29"/>
        <v>16</v>
      </c>
      <c r="K198" s="162" t="str">
        <f t="shared" si="30"/>
        <v xml:space="preserve">027M50HS-245 </v>
      </c>
      <c r="L198" s="162" t="str">
        <f t="shared" si="31"/>
        <v>027</v>
      </c>
      <c r="M198" s="166" t="e">
        <f>IF(J198='Ціни контур теплопостачання'!$B$123,L198*'Ціни контур теплопостачання'!$C$123*'Ціни контур теплопостачання'!$E$123*'Ціни контур теплопостачання'!$F$123+'Ціни контур теплопостачання'!$D$123,IF(J198='Ціни контур теплопостачання'!$B$124,L198*'Ціни контур теплопостачання'!$C$124*'Ціни контур теплопостачання'!$E$124*'Ціни контур теплопостачання'!$F$124+'Ціни контур теплопостачання'!$D$124,IF(J198='Ціни контур теплопостачання'!$B$125,L198*'Ціни контур теплопостачання'!$C$125*'Ціни контур теплопостачання'!$E$125*'Ціни контур теплопостачання'!$F$125+'Ціни контур теплопостачання'!$D$125,IF(J198='Ціни контур теплопостачання'!$B$126,L198*'Ціни контур теплопостачання'!$C$126*'Ціни контур теплопостачання'!$E$126*'Ціни контур теплопостачання'!$F$126+'Ціни контур теплопостачання'!$D$126,IF(J198='Ціни контур теплопостачання'!$B$127,L198*'Ціни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199" spans="1:13">
      <c r="A199" s="168" t="s">
        <v>624</v>
      </c>
      <c r="B199" s="162" t="str">
        <f t="shared" si="24"/>
        <v xml:space="preserve">16+045A00HS-183 </v>
      </c>
      <c r="C199" s="162" t="str">
        <f t="shared" si="25"/>
        <v>16</v>
      </c>
      <c r="D199" s="162" t="str">
        <f t="shared" si="26"/>
        <v xml:space="preserve">045A00HS-183 </v>
      </c>
      <c r="E199" s="162" t="str">
        <f t="shared" si="27"/>
        <v>045</v>
      </c>
      <c r="F199" s="166" t="e">
        <f>IF(C199='Ціни контур теплопостачання'!$B$123,E199*'Ціни контур теплопостачання'!$C$123*'Ціни контур теплопостачання'!$E$123*'Ціни контур теплопостачання'!$F$123+'Ціни контур теплопостачання'!$D$123,IF(C199='Ціни контур теплопостачання'!$B$124,E199*'Ціни контур теплопостачання'!$C$124*'Ціни контур теплопостачання'!$E$124*'Ціни контур теплопостачання'!$F$124+'Ціни контур теплопостачання'!$D$124,IF(C199='Ціни контур теплопостачання'!$B$125,E199*'Ціни контур теплопостачання'!$C$125*'Ціни контур теплопостачання'!$E$125*'Ціни контур теплопостачання'!$F$125+'Ціни контур теплопостачання'!$D$125,IF(C199='Ціни контур теплопостачання'!$B$126,E199*'Ціни контур теплопостачання'!$C$126*'Ціни контур теплопостачання'!$E$126*'Ціни контур теплопостачання'!$F$126+'Ціни контур теплопостачання'!$D$126,IF(C199='Ціни контур теплопостачання'!$B$127,E199*'Ціни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199" s="170" t="s">
        <v>290</v>
      </c>
      <c r="I199" s="162" t="str">
        <f t="shared" si="28"/>
        <v xml:space="preserve">16+027M50HS-265 </v>
      </c>
      <c r="J199" s="162" t="str">
        <f t="shared" si="29"/>
        <v>16</v>
      </c>
      <c r="K199" s="162" t="str">
        <f t="shared" si="30"/>
        <v xml:space="preserve">027M50HS-265 </v>
      </c>
      <c r="L199" s="162" t="str">
        <f t="shared" si="31"/>
        <v>027</v>
      </c>
      <c r="M199" s="166" t="e">
        <f>IF(J199='Ціни контур теплопостачання'!$B$123,L199*'Ціни контур теплопостачання'!$C$123*'Ціни контур теплопостачання'!$E$123*'Ціни контур теплопостачання'!$F$123+'Ціни контур теплопостачання'!$D$123,IF(J199='Ціни контур теплопостачання'!$B$124,L199*'Ціни контур теплопостачання'!$C$124*'Ціни контур теплопостачання'!$E$124*'Ціни контур теплопостачання'!$F$124+'Ціни контур теплопостачання'!$D$124,IF(J199='Ціни контур теплопостачання'!$B$125,L199*'Ціни контур теплопостачання'!$C$125*'Ціни контур теплопостачання'!$E$125*'Ціни контур теплопостачання'!$F$125+'Ціни контур теплопостачання'!$D$125,IF(J199='Ціни контур теплопостачання'!$B$126,L199*'Ціни контур теплопостачання'!$C$126*'Ціни контур теплопостачання'!$E$126*'Ціни контур теплопостачання'!$F$126+'Ціни контур теплопостачання'!$D$126,IF(J199='Ціни контур теплопостачання'!$B$127,L199*'Ціни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0" spans="1:13">
      <c r="A200" s="168" t="s">
        <v>554</v>
      </c>
      <c r="B200" s="162" t="str">
        <f t="shared" si="24"/>
        <v xml:space="preserve">16+081A00HS-339  </v>
      </c>
      <c r="C200" s="162" t="str">
        <f t="shared" si="25"/>
        <v>16</v>
      </c>
      <c r="D200" s="162" t="str">
        <f t="shared" si="26"/>
        <v xml:space="preserve">081A00HS-339  </v>
      </c>
      <c r="E200" s="162" t="str">
        <f t="shared" si="27"/>
        <v>081</v>
      </c>
      <c r="F200" s="166" t="e">
        <f>IF(C200='Ціни контур теплопостачання'!$B$123,E200*'Ціни контур теплопостачання'!$C$123*'Ціни контур теплопостачання'!$E$123*'Ціни контур теплопостачання'!$F$123+'Ціни контур теплопостачання'!$D$123,IF(C200='Ціни контур теплопостачання'!$B$124,E200*'Ціни контур теплопостачання'!$C$124*'Ціни контур теплопостачання'!$E$124*'Ціни контур теплопостачання'!$F$124+'Ціни контур теплопостачання'!$D$124,IF(C200='Ціни контур теплопостачання'!$B$125,E200*'Ціни контур теплопостачання'!$C$125*'Ціни контур теплопостачання'!$E$125*'Ціни контур теплопостачання'!$F$125+'Ціни контур теплопостачання'!$D$125,IF(C200='Ціни контур теплопостачання'!$B$126,E200*'Ціни контур теплопостачання'!$C$126*'Ціни контур теплопостачання'!$E$126*'Ціни контур теплопостачання'!$F$126+'Ціни контур теплопостачання'!$D$126,IF(C200='Ціни контур теплопостачання'!$B$127,E200*'Ціни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0" s="170" t="s">
        <v>291</v>
      </c>
      <c r="I200" s="162" t="str">
        <f t="shared" si="28"/>
        <v>16+033M50HS-321</v>
      </c>
      <c r="J200" s="162" t="str">
        <f t="shared" si="29"/>
        <v>16</v>
      </c>
      <c r="K200" s="162" t="str">
        <f t="shared" si="30"/>
        <v>033M50HS-321</v>
      </c>
      <c r="L200" s="162" t="str">
        <f t="shared" si="31"/>
        <v>033</v>
      </c>
      <c r="M200" s="166" t="e">
        <f>IF(J200='Ціни контур теплопостачання'!$B$123,L200*'Ціни контур теплопостачання'!$C$123*'Ціни контур теплопостачання'!$E$123*'Ціни контур теплопостачання'!$F$123+'Ціни контур теплопостачання'!$D$123,IF(J200='Ціни контур теплопостачання'!$B$124,L200*'Ціни контур теплопостачання'!$C$124*'Ціни контур теплопостачання'!$E$124*'Ціни контур теплопостачання'!$F$124+'Ціни контур теплопостачання'!$D$124,IF(J200='Ціни контур теплопостачання'!$B$125,L200*'Ціни контур теплопостачання'!$C$125*'Ціни контур теплопостачання'!$E$125*'Ціни контур теплопостачання'!$F$125+'Ціни контур теплопостачання'!$D$125,IF(J200='Ціни контур теплопостачання'!$B$126,L200*'Ціни контур теплопостачання'!$C$126*'Ціни контур теплопостачання'!$E$126*'Ціни контур теплопостачання'!$F$126+'Ціни контур теплопостачання'!$D$126,IF(J200='Ціни контур теплопостачання'!$B$127,L200*'Ціни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1" spans="1:13">
      <c r="A201" s="168" t="s">
        <v>623</v>
      </c>
      <c r="B201" s="162" t="str">
        <f t="shared" si="24"/>
        <v>16+019A00HS-68</v>
      </c>
      <c r="C201" s="162" t="str">
        <f t="shared" si="25"/>
        <v>16</v>
      </c>
      <c r="D201" s="162" t="str">
        <f t="shared" si="26"/>
        <v>019A00HS-68</v>
      </c>
      <c r="E201" s="162" t="str">
        <f t="shared" si="27"/>
        <v>019</v>
      </c>
      <c r="F201" s="166" t="e">
        <f>IF(C201='Ціни контур теплопостачання'!$B$123,E201*'Ціни контур теплопостачання'!$C$123*'Ціни контур теплопостачання'!$E$123*'Ціни контур теплопостачання'!$F$123+'Ціни контур теплопостачання'!$D$123,IF(C201='Ціни контур теплопостачання'!$B$124,E201*'Ціни контур теплопостачання'!$C$124*'Ціни контур теплопостачання'!$E$124*'Ціни контур теплопостачання'!$F$124+'Ціни контур теплопостачання'!$D$124,IF(C201='Ціни контур теплопостачання'!$B$125,E201*'Ціни контур теплопостачання'!$C$125*'Ціни контур теплопостачання'!$E$125*'Ціни контур теплопостачання'!$F$125+'Ціни контур теплопостачання'!$D$125,IF(C201='Ціни контур теплопостачання'!$B$126,E201*'Ціни контур теплопостачання'!$C$126*'Ціни контур теплопостачання'!$E$126*'Ціни контур теплопостачання'!$F$126+'Ціни контур теплопостачання'!$D$126,IF(C201='Ціни контур теплопостачання'!$B$127,E201*'Ціни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1" s="170" t="s">
        <v>292</v>
      </c>
      <c r="I201" s="162" t="str">
        <f t="shared" si="28"/>
        <v xml:space="preserve">08+015A00HS-89 </v>
      </c>
      <c r="J201" s="162" t="str">
        <f t="shared" si="29"/>
        <v>08</v>
      </c>
      <c r="K201" s="162" t="str">
        <f t="shared" si="30"/>
        <v xml:space="preserve">015A00HS-89 </v>
      </c>
      <c r="L201" s="162" t="str">
        <f t="shared" si="31"/>
        <v>015</v>
      </c>
      <c r="M201" s="166" t="e">
        <f>IF(J201='Ціни контур теплопостачання'!$B$123,L201*'Ціни контур теплопостачання'!$C$123*'Ціни контур теплопостачання'!$E$123*'Ціни контур теплопостачання'!$F$123+'Ціни контур теплопостачання'!$D$123,IF(J201='Ціни контур теплопостачання'!$B$124,L201*'Ціни контур теплопостачання'!$C$124*'Ціни контур теплопостачання'!$E$124*'Ціни контур теплопостачання'!$F$124+'Ціни контур теплопостачання'!$D$124,IF(J201='Ціни контур теплопостачання'!$B$125,L201*'Ціни контур теплопостачання'!$C$125*'Ціни контур теплопостачання'!$E$125*'Ціни контур теплопостачання'!$F$125+'Ціни контур теплопостачання'!$D$125,IF(J201='Ціни контур теплопостачання'!$B$126,L201*'Ціни контур теплопостачання'!$C$126*'Ціни контур теплопостачання'!$E$126*'Ціни контур теплопостачання'!$F$126+'Ціни контур теплопостачання'!$D$126,IF(J201='Ціни контур теплопостачання'!$B$127,L201*'Ціни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2" spans="1:13">
      <c r="A202" s="168" t="s">
        <v>555</v>
      </c>
      <c r="B202" s="162" t="str">
        <f t="shared" si="24"/>
        <v xml:space="preserve">16+095A00HS-402   </v>
      </c>
      <c r="C202" s="162" t="str">
        <f t="shared" si="25"/>
        <v>16</v>
      </c>
      <c r="D202" s="162" t="str">
        <f t="shared" si="26"/>
        <v xml:space="preserve">095A00HS-402   </v>
      </c>
      <c r="E202" s="162" t="str">
        <f t="shared" si="27"/>
        <v>095</v>
      </c>
      <c r="F202" s="166" t="e">
        <f>IF(C202='Ціни контур теплопостачання'!$B$123,E202*'Ціни контур теплопостачання'!$C$123*'Ціни контур теплопостачання'!$E$123*'Ціни контур теплопостачання'!$F$123+'Ціни контур теплопостачання'!$D$123,IF(C202='Ціни контур теплопостачання'!$B$124,E202*'Ціни контур теплопостачання'!$C$124*'Ціни контур теплопостачання'!$E$124*'Ціни контур теплопостачання'!$F$124+'Ціни контур теплопостачання'!$D$124,IF(C202='Ціни контур теплопостачання'!$B$125,E202*'Ціни контур теплопостачання'!$C$125*'Ціни контур теплопостачання'!$E$125*'Ціни контур теплопостачання'!$F$125+'Ціни контур теплопостачання'!$D$125,IF(C202='Ціни контур теплопостачання'!$B$126,E202*'Ціни контур теплопостачання'!$C$126*'Ціни контур теплопостачання'!$E$126*'Ціни контур теплопостачання'!$F$126+'Ціни контур теплопостачання'!$D$126,IF(C202='Ціни контур теплопостачання'!$B$127,E202*'Ціни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2" s="170" t="s">
        <v>293</v>
      </c>
      <c r="I202" s="162" t="str">
        <f t="shared" si="28"/>
        <v xml:space="preserve">16+041M50HS-409 </v>
      </c>
      <c r="J202" s="162" t="str">
        <f t="shared" si="29"/>
        <v>16</v>
      </c>
      <c r="K202" s="162" t="str">
        <f t="shared" si="30"/>
        <v xml:space="preserve">041M50HS-409 </v>
      </c>
      <c r="L202" s="162" t="str">
        <f t="shared" si="31"/>
        <v>041</v>
      </c>
      <c r="M202" s="166" t="e">
        <f>IF(J202='Ціни контур теплопостачання'!$B$123,L202*'Ціни контур теплопостачання'!$C$123*'Ціни контур теплопостачання'!$E$123*'Ціни контур теплопостачання'!$F$123+'Ціни контур теплопостачання'!$D$123,IF(J202='Ціни контур теплопостачання'!$B$124,L202*'Ціни контур теплопостачання'!$C$124*'Ціни контур теплопостачання'!$E$124*'Ціни контур теплопостачання'!$F$124+'Ціни контур теплопостачання'!$D$124,IF(J202='Ціни контур теплопостачання'!$B$125,L202*'Ціни контур теплопостачання'!$C$125*'Ціни контур теплопостачання'!$E$125*'Ціни контур теплопостачання'!$F$125+'Ціни контур теплопостачання'!$D$125,IF(J202='Ціни контур теплопостачання'!$B$126,L202*'Ціни контур теплопостачання'!$C$126*'Ціни контур теплопостачання'!$E$126*'Ціни контур теплопостачання'!$F$126+'Ціни контур теплопостачання'!$D$126,IF(J202='Ціни контур теплопостачання'!$B$127,L202*'Ціни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3" spans="1:13">
      <c r="A203" s="168" t="s">
        <v>556</v>
      </c>
      <c r="B203" s="162" t="str">
        <f t="shared" si="24"/>
        <v xml:space="preserve">16+051A00HS-204  </v>
      </c>
      <c r="C203" s="162" t="str">
        <f t="shared" si="25"/>
        <v>16</v>
      </c>
      <c r="D203" s="162" t="str">
        <f t="shared" si="26"/>
        <v xml:space="preserve">051A00HS-204  </v>
      </c>
      <c r="E203" s="162" t="str">
        <f t="shared" si="27"/>
        <v>051</v>
      </c>
      <c r="F203" s="166" t="e">
        <f>IF(C203='Ціни контур теплопостачання'!$B$123,E203*'Ціни контур теплопостачання'!$C$123*'Ціни контур теплопостачання'!$E$123*'Ціни контур теплопостачання'!$F$123+'Ціни контур теплопостачання'!$D$123,IF(C203='Ціни контур теплопостачання'!$B$124,E203*'Ціни контур теплопостачання'!$C$124*'Ціни контур теплопостачання'!$E$124*'Ціни контур теплопостачання'!$F$124+'Ціни контур теплопостачання'!$D$124,IF(C203='Ціни контур теплопостачання'!$B$125,E203*'Ціни контур теплопостачання'!$C$125*'Ціни контур теплопостачання'!$E$125*'Ціни контур теплопостачання'!$F$125+'Ціни контур теплопостачання'!$D$125,IF(C203='Ціни контур теплопостачання'!$B$126,E203*'Ціни контур теплопостачання'!$C$126*'Ціни контур теплопостачання'!$E$126*'Ціни контур теплопостачання'!$F$126+'Ціни контур теплопостачання'!$D$126,IF(C203='Ціни контур теплопостачання'!$B$127,E203*'Ціни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3" s="170" t="s">
        <v>294</v>
      </c>
      <c r="I203" s="162" t="str">
        <f t="shared" si="28"/>
        <v xml:space="preserve">16+025M50HS-238 </v>
      </c>
      <c r="J203" s="162" t="str">
        <f t="shared" si="29"/>
        <v>16</v>
      </c>
      <c r="K203" s="162" t="str">
        <f t="shared" si="30"/>
        <v xml:space="preserve">025M50HS-238 </v>
      </c>
      <c r="L203" s="162" t="str">
        <f t="shared" si="31"/>
        <v>025</v>
      </c>
      <c r="M203" s="166" t="e">
        <f>IF(J203='Ціни контур теплопостачання'!$B$123,L203*'Ціни контур теплопостачання'!$C$123*'Ціни контур теплопостачання'!$E$123*'Ціни контур теплопостачання'!$F$123+'Ціни контур теплопостачання'!$D$123,IF(J203='Ціни контур теплопостачання'!$B$124,L203*'Ціни контур теплопостачання'!$C$124*'Ціни контур теплопостачання'!$E$124*'Ціни контур теплопостачання'!$F$124+'Ціни контур теплопостачання'!$D$124,IF(J203='Ціни контур теплопостачання'!$B$125,L203*'Ціни контур теплопостачання'!$C$125*'Ціни контур теплопостачання'!$E$125*'Ціни контур теплопостачання'!$F$125+'Ціни контур теплопостачання'!$D$125,IF(J203='Ціни контур теплопостачання'!$B$126,L203*'Ціни контур теплопостачання'!$C$126*'Ціни контур теплопостачання'!$E$126*'Ціни контур теплопостачання'!$F$126+'Ціни контур теплопостачання'!$D$126,IF(J203='Ціни контур теплопостачання'!$B$127,L203*'Ціни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4" spans="1:13">
      <c r="A204" s="168" t="s">
        <v>557</v>
      </c>
      <c r="B204" s="162" t="str">
        <f t="shared" si="24"/>
        <v xml:space="preserve">16+101A00HS-419   </v>
      </c>
      <c r="C204" s="162" t="str">
        <f t="shared" si="25"/>
        <v>16</v>
      </c>
      <c r="D204" s="162" t="str">
        <f t="shared" si="26"/>
        <v xml:space="preserve">101A00HS-419   </v>
      </c>
      <c r="E204" s="162" t="str">
        <f t="shared" si="27"/>
        <v>101</v>
      </c>
      <c r="F204" s="166" t="e">
        <f>IF(C204='Ціни контур теплопостачання'!$B$123,E204*'Ціни контур теплопостачання'!$C$123*'Ціни контур теплопостачання'!$E$123*'Ціни контур теплопостачання'!$F$123+'Ціни контур теплопостачання'!$D$123,IF(C204='Ціни контур теплопостачання'!$B$124,E204*'Ціни контур теплопостачання'!$C$124*'Ціни контур теплопостачання'!$E$124*'Ціни контур теплопостачання'!$F$124+'Ціни контур теплопостачання'!$D$124,IF(C204='Ціни контур теплопостачання'!$B$125,E204*'Ціни контур теплопостачання'!$C$125*'Ціни контур теплопостачання'!$E$125*'Ціни контур теплопостачання'!$F$125+'Ціни контур теплопостачання'!$D$125,IF(C204='Ціни контур теплопостачання'!$B$126,E204*'Ціни контур теплопостачання'!$C$126*'Ціни контур теплопостачання'!$E$126*'Ціни контур теплопостачання'!$F$126+'Ціни контур теплопостачання'!$D$126,IF(C204='Ціни контур теплопостачання'!$B$127,E204*'Ціни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4" s="170" t="s">
        <v>295</v>
      </c>
      <c r="I204" s="162" t="str">
        <f t="shared" si="28"/>
        <v xml:space="preserve">160+047M50HS-455 </v>
      </c>
      <c r="J204" s="162" t="str">
        <f t="shared" si="29"/>
        <v>16</v>
      </c>
      <c r="K204" s="162" t="str">
        <f t="shared" si="30"/>
        <v xml:space="preserve">+047M50HS-455 </v>
      </c>
      <c r="L204" s="162" t="str">
        <f t="shared" si="31"/>
        <v>+04</v>
      </c>
      <c r="M204" s="166" t="e">
        <f>IF(J204='Ціни контур теплопостачання'!$B$123,L204*'Ціни контур теплопостачання'!$C$123*'Ціни контур теплопостачання'!$E$123*'Ціни контур теплопостачання'!$F$123+'Ціни контур теплопостачання'!$D$123,IF(J204='Ціни контур теплопостачання'!$B$124,L204*'Ціни контур теплопостачання'!$C$124*'Ціни контур теплопостачання'!$E$124*'Ціни контур теплопостачання'!$F$124+'Ціни контур теплопостачання'!$D$124,IF(J204='Ціни контур теплопостачання'!$B$125,L204*'Ціни контур теплопостачання'!$C$125*'Ціни контур теплопостачання'!$E$125*'Ціни контур теплопостачання'!$F$125+'Ціни контур теплопостачання'!$D$125,IF(J204='Ціни контур теплопостачання'!$B$126,L204*'Ціни контур теплопостачання'!$C$126*'Ціни контур теплопостачання'!$E$126*'Ціни контур теплопостачання'!$F$126+'Ціни контур теплопостачання'!$D$126,IF(J204='Ціни контур теплопостачання'!$B$127,L204*'Ціни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5" spans="1:13">
      <c r="A205" s="168" t="s">
        <v>558</v>
      </c>
      <c r="B205" s="162" t="str">
        <f t="shared" si="24"/>
        <v xml:space="preserve">16+073A00HS-308  </v>
      </c>
      <c r="C205" s="162" t="str">
        <f t="shared" si="25"/>
        <v>16</v>
      </c>
      <c r="D205" s="162" t="str">
        <f t="shared" si="26"/>
        <v xml:space="preserve">073A00HS-308  </v>
      </c>
      <c r="E205" s="162" t="str">
        <f t="shared" si="27"/>
        <v>073</v>
      </c>
      <c r="F205" s="166" t="e">
        <f>IF(C205='Ціни контур теплопостачання'!$B$123,E205*'Ціни контур теплопостачання'!$C$123*'Ціни контур теплопостачання'!$E$123*'Ціни контур теплопостачання'!$F$123+'Ціни контур теплопостачання'!$D$123,IF(C205='Ціни контур теплопостачання'!$B$124,E205*'Ціни контур теплопостачання'!$C$124*'Ціни контур теплопостачання'!$E$124*'Ціни контур теплопостачання'!$F$124+'Ціни контур теплопостачання'!$D$124,IF(C205='Ціни контур теплопостачання'!$B$125,E205*'Ціни контур теплопостачання'!$C$125*'Ціни контур теплопостачання'!$E$125*'Ціни контур теплопостачання'!$F$125+'Ціни контур теплопостачання'!$D$125,IF(C205='Ціни контур теплопостачання'!$B$126,E205*'Ціни контур теплопостачання'!$C$126*'Ціни контур теплопостачання'!$E$126*'Ціни контур теплопостачання'!$F$126+'Ціни контур теплопостачання'!$D$126,IF(C205='Ціни контур теплопостачання'!$B$127,E205*'Ціни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5" s="170" t="s">
        <v>296</v>
      </c>
      <c r="I205" s="162" t="str">
        <f t="shared" si="28"/>
        <v xml:space="preserve">16+029M50HS-273 </v>
      </c>
      <c r="J205" s="162" t="str">
        <f t="shared" si="29"/>
        <v>16</v>
      </c>
      <c r="K205" s="162" t="str">
        <f t="shared" si="30"/>
        <v xml:space="preserve">029M50HS-273 </v>
      </c>
      <c r="L205" s="162" t="str">
        <f t="shared" si="31"/>
        <v>029</v>
      </c>
      <c r="M205" s="166" t="e">
        <f>IF(J205='Ціни контур теплопостачання'!$B$123,L205*'Ціни контур теплопостачання'!$C$123*'Ціни контур теплопостачання'!$E$123*'Ціни контур теплопостачання'!$F$123+'Ціни контур теплопостачання'!$D$123,IF(J205='Ціни контур теплопостачання'!$B$124,L205*'Ціни контур теплопостачання'!$C$124*'Ціни контур теплопостачання'!$E$124*'Ціни контур теплопостачання'!$F$124+'Ціни контур теплопостачання'!$D$124,IF(J205='Ціни контур теплопостачання'!$B$125,L205*'Ціни контур теплопостачання'!$C$125*'Ціни контур теплопостачання'!$E$125*'Ціни контур теплопостачання'!$F$125+'Ціни контур теплопостачання'!$D$125,IF(J205='Ціни контур теплопостачання'!$B$126,L205*'Ціни контур теплопостачання'!$C$126*'Ціни контур теплопостачання'!$E$126*'Ціни контур теплопостачання'!$F$126+'Ціни контур теплопостачання'!$D$126,IF(J205='Ціни контур теплопостачання'!$B$127,L205*'Ціни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6" spans="1:13">
      <c r="A206" s="168" t="s">
        <v>622</v>
      </c>
      <c r="B206" s="162" t="str">
        <f t="shared" si="24"/>
        <v xml:space="preserve">16+103A00HS-433  </v>
      </c>
      <c r="C206" s="162" t="str">
        <f t="shared" si="25"/>
        <v>16</v>
      </c>
      <c r="D206" s="162" t="str">
        <f t="shared" si="26"/>
        <v xml:space="preserve">103A00HS-433  </v>
      </c>
      <c r="E206" s="162" t="str">
        <f t="shared" si="27"/>
        <v>103</v>
      </c>
      <c r="F206" s="166" t="e">
        <f>IF(C206='Ціни контур теплопостачання'!$B$123,E206*'Ціни контур теплопостачання'!$C$123*'Ціни контур теплопостачання'!$E$123*'Ціни контур теплопостачання'!$F$123+'Ціни контур теплопостачання'!$D$123,IF(C206='Ціни контур теплопостачання'!$B$124,E206*'Ціни контур теплопостачання'!$C$124*'Ціни контур теплопостачання'!$E$124*'Ціни контур теплопостачання'!$F$124+'Ціни контур теплопостачання'!$D$124,IF(C206='Ціни контур теплопостачання'!$B$125,E206*'Ціни контур теплопостачання'!$C$125*'Ціни контур теплопостачання'!$E$125*'Ціни контур теплопостачання'!$F$125+'Ціни контур теплопостачання'!$D$125,IF(C206='Ціни контур теплопостачання'!$B$126,E206*'Ціни контур теплопостачання'!$C$126*'Ціни контур теплопостачання'!$E$126*'Ціни контур теплопостачання'!$F$126+'Ціни контур теплопостачання'!$D$126,IF(C206='Ціни контур теплопостачання'!$B$127,E206*'Ціни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6" s="170" t="s">
        <v>297</v>
      </c>
      <c r="I206" s="162" t="str">
        <f t="shared" si="28"/>
        <v xml:space="preserve">16+043M50HS-430 </v>
      </c>
      <c r="J206" s="162" t="str">
        <f t="shared" si="29"/>
        <v>16</v>
      </c>
      <c r="K206" s="162" t="str">
        <f t="shared" si="30"/>
        <v xml:space="preserve">043M50HS-430 </v>
      </c>
      <c r="L206" s="162" t="str">
        <f t="shared" si="31"/>
        <v>043</v>
      </c>
      <c r="M206" s="166" t="e">
        <f>IF(J206='Ціни контур теплопостачання'!$B$123,L206*'Ціни контур теплопостачання'!$C$123*'Ціни контур теплопостачання'!$E$123*'Ціни контур теплопостачання'!$F$123+'Ціни контур теплопостачання'!$D$123,IF(J206='Ціни контур теплопостачання'!$B$124,L206*'Ціни контур теплопостачання'!$C$124*'Ціни контур теплопостачання'!$E$124*'Ціни контур теплопостачання'!$F$124+'Ціни контур теплопостачання'!$D$124,IF(J206='Ціни контур теплопостачання'!$B$125,L206*'Ціни контур теплопостачання'!$C$125*'Ціни контур теплопостачання'!$E$125*'Ціни контур теплопостачання'!$F$125+'Ціни контур теплопостачання'!$D$125,IF(J206='Ціни контур теплопостачання'!$B$126,L206*'Ціни контур теплопостачання'!$C$126*'Ціни контур теплопостачання'!$E$126*'Ціни контур теплопостачання'!$F$126+'Ціни контур теплопостачання'!$D$126,IF(J206='Ціни контур теплопостачання'!$B$127,L206*'Ціни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7" spans="1:13">
      <c r="A207" s="168" t="s">
        <v>551</v>
      </c>
      <c r="B207" s="162" t="str">
        <f t="shared" si="24"/>
        <v xml:space="preserve">16+073A00HS-301  </v>
      </c>
      <c r="C207" s="162" t="str">
        <f t="shared" si="25"/>
        <v>16</v>
      </c>
      <c r="D207" s="162" t="str">
        <f t="shared" si="26"/>
        <v xml:space="preserve">073A00HS-301  </v>
      </c>
      <c r="E207" s="162" t="str">
        <f t="shared" si="27"/>
        <v>073</v>
      </c>
      <c r="F207" s="166" t="e">
        <f>IF(C207='Ціни контур теплопостачання'!$B$123,E207*'Ціни контур теплопостачання'!$C$123*'Ціни контур теплопостачання'!$E$123*'Ціни контур теплопостачання'!$F$123+'Ціни контур теплопостачання'!$D$123,IF(C207='Ціни контур теплопостачання'!$B$124,E207*'Ціни контур теплопостачання'!$C$124*'Ціни контур теплопостачання'!$E$124*'Ціни контур теплопостачання'!$F$124+'Ціни контур теплопостачання'!$D$124,IF(C207='Ціни контур теплопостачання'!$B$125,E207*'Ціни контур теплопостачання'!$C$125*'Ціни контур теплопостачання'!$E$125*'Ціни контур теплопостачання'!$F$125+'Ціни контур теплопостачання'!$D$125,IF(C207='Ціни контур теплопостачання'!$B$126,E207*'Ціни контур теплопостачання'!$C$126*'Ціни контур теплопостачання'!$E$126*'Ціни контур теплопостачання'!$F$126+'Ціни контур теплопостачання'!$D$126,IF(C207='Ціни контур теплопостачання'!$B$127,E207*'Ціни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7" s="170" t="s">
        <v>298</v>
      </c>
      <c r="I207" s="162" t="str">
        <f t="shared" si="28"/>
        <v xml:space="preserve">16+033M50HS-322 </v>
      </c>
      <c r="J207" s="162" t="str">
        <f t="shared" si="29"/>
        <v>16</v>
      </c>
      <c r="K207" s="162" t="str">
        <f t="shared" si="30"/>
        <v xml:space="preserve">033M50HS-322 </v>
      </c>
      <c r="L207" s="162" t="str">
        <f t="shared" si="31"/>
        <v>033</v>
      </c>
      <c r="M207" s="166" t="e">
        <f>IF(J207='Ціни контур теплопостачання'!$B$123,L207*'Ціни контур теплопостачання'!$C$123*'Ціни контур теплопостачання'!$E$123*'Ціни контур теплопостачання'!$F$123+'Ціни контур теплопостачання'!$D$123,IF(J207='Ціни контур теплопостачання'!$B$124,L207*'Ціни контур теплопостачання'!$C$124*'Ціни контур теплопостачання'!$E$124*'Ціни контур теплопостачання'!$F$124+'Ціни контур теплопостачання'!$D$124,IF(J207='Ціни контур теплопостачання'!$B$125,L207*'Ціни контур теплопостачання'!$C$125*'Ціни контур теплопостачання'!$E$125*'Ціни контур теплопостачання'!$F$125+'Ціни контур теплопостачання'!$D$125,IF(J207='Ціни контур теплопостачання'!$B$126,L207*'Ціни контур теплопостачання'!$C$126*'Ціни контур теплопостачання'!$E$126*'Ціни контур теплопостачання'!$F$126+'Ціни контур теплопостачання'!$D$126,IF(J207='Ціни контур теплопостачання'!$B$127,L207*'Ціни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8" spans="1:13">
      <c r="A208" s="168" t="s">
        <v>559</v>
      </c>
      <c r="B208" s="162" t="str">
        <f t="shared" si="24"/>
        <v xml:space="preserve">16+085A00HS-354  </v>
      </c>
      <c r="C208" s="162" t="str">
        <f t="shared" si="25"/>
        <v>16</v>
      </c>
      <c r="D208" s="162" t="str">
        <f t="shared" si="26"/>
        <v xml:space="preserve">085A00HS-354  </v>
      </c>
      <c r="E208" s="162" t="str">
        <f t="shared" si="27"/>
        <v>085</v>
      </c>
      <c r="F208" s="166" t="e">
        <f>IF(C208='Ціни контур теплопостачання'!$B$123,E208*'Ціни контур теплопостачання'!$C$123*'Ціни контур теплопостачання'!$E$123*'Ціни контур теплопостачання'!$F$123+'Ціни контур теплопостачання'!$D$123,IF(C208='Ціни контур теплопостачання'!$B$124,E208*'Ціни контур теплопостачання'!$C$124*'Ціни контур теплопостачання'!$E$124*'Ціни контур теплопостачання'!$F$124+'Ціни контур теплопостачання'!$D$124,IF(C208='Ціни контур теплопостачання'!$B$125,E208*'Ціни контур теплопостачання'!$C$125*'Ціни контур теплопостачання'!$E$125*'Ціни контур теплопостачання'!$F$125+'Ціни контур теплопостачання'!$D$125,IF(C208='Ціни контур теплопостачання'!$B$126,E208*'Ціни контур теплопостачання'!$C$126*'Ціни контур теплопостачання'!$E$126*'Ціни контур теплопостачання'!$F$126+'Ціни контур теплопостачання'!$D$126,IF(C208='Ціни контур теплопостачання'!$B$127,E208*'Ціни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8" s="170" t="s">
        <v>299</v>
      </c>
      <c r="I208" s="162" t="str">
        <f t="shared" si="28"/>
        <v xml:space="preserve">16+037M50HS-365 </v>
      </c>
      <c r="J208" s="162" t="str">
        <f t="shared" si="29"/>
        <v>16</v>
      </c>
      <c r="K208" s="162" t="str">
        <f t="shared" si="30"/>
        <v xml:space="preserve">037M50HS-365 </v>
      </c>
      <c r="L208" s="162" t="str">
        <f t="shared" si="31"/>
        <v>037</v>
      </c>
      <c r="M208" s="166" t="e">
        <f>IF(J208='Ціни контур теплопостачання'!$B$123,L208*'Ціни контур теплопостачання'!$C$123*'Ціни контур теплопостачання'!$E$123*'Ціни контур теплопостачання'!$F$123+'Ціни контур теплопостачання'!$D$123,IF(J208='Ціни контур теплопостачання'!$B$124,L208*'Ціни контур теплопостачання'!$C$124*'Ціни контур теплопостачання'!$E$124*'Ціни контур теплопостачання'!$F$124+'Ціни контур теплопостачання'!$D$124,IF(J208='Ціни контур теплопостачання'!$B$125,L208*'Ціни контур теплопостачання'!$C$125*'Ціни контур теплопостачання'!$E$125*'Ціни контур теплопостачання'!$F$125+'Ціни контур теплопостачання'!$D$125,IF(J208='Ціни контур теплопостачання'!$B$126,L208*'Ціни контур теплопостачання'!$C$126*'Ціни контур теплопостачання'!$E$126*'Ціни контур теплопостачання'!$F$126+'Ціни контур теплопостачання'!$D$126,IF(J208='Ціни контур теплопостачання'!$B$127,L208*'Ціни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09" spans="1:13">
      <c r="A209" s="168" t="s">
        <v>560</v>
      </c>
      <c r="B209" s="162" t="str">
        <f t="shared" si="24"/>
        <v xml:space="preserve">16+063A00HS-257  </v>
      </c>
      <c r="C209" s="162" t="str">
        <f t="shared" si="25"/>
        <v>16</v>
      </c>
      <c r="D209" s="162" t="str">
        <f t="shared" si="26"/>
        <v xml:space="preserve">063A00HS-257  </v>
      </c>
      <c r="E209" s="162" t="str">
        <f t="shared" si="27"/>
        <v>063</v>
      </c>
      <c r="F209" s="166" t="e">
        <f>IF(C209='Ціни контур теплопостачання'!$B$123,E209*'Ціни контур теплопостачання'!$C$123*'Ціни контур теплопостачання'!$E$123*'Ціни контур теплопостачання'!$F$123+'Ціни контур теплопостачання'!$D$123,IF(C209='Ціни контур теплопостачання'!$B$124,E209*'Ціни контур теплопостачання'!$C$124*'Ціни контур теплопостачання'!$E$124*'Ціни контур теплопостачання'!$F$124+'Ціни контур теплопостачання'!$D$124,IF(C209='Ціни контур теплопостачання'!$B$125,E209*'Ціни контур теплопостачання'!$C$125*'Ціни контур теплопостачання'!$E$125*'Ціни контур теплопостачання'!$F$125+'Ціни контур теплопостачання'!$D$125,IF(C209='Ціни контур теплопостачання'!$B$126,E209*'Ціни контур теплопостачання'!$C$126*'Ціни контур теплопостачання'!$E$126*'Ціни контур теплопостачання'!$F$126+'Ціни контур теплопостачання'!$D$126,IF(C209='Ціни контур теплопостачання'!$B$127,E209*'Ціни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09" s="170" t="s">
        <v>148</v>
      </c>
      <c r="I209" s="162" t="str">
        <f t="shared" si="28"/>
        <v xml:space="preserve">16+035M50HS-353 </v>
      </c>
      <c r="J209" s="162" t="str">
        <f t="shared" si="29"/>
        <v>16</v>
      </c>
      <c r="K209" s="162" t="str">
        <f t="shared" si="30"/>
        <v xml:space="preserve">035M50HS-353 </v>
      </c>
      <c r="L209" s="162" t="str">
        <f t="shared" si="31"/>
        <v>035</v>
      </c>
      <c r="M209" s="166" t="e">
        <f>IF(J209='Ціни контур теплопостачання'!$B$123,L209*'Ціни контур теплопостачання'!$C$123*'Ціни контур теплопостачання'!$E$123*'Ціни контур теплопостачання'!$F$123+'Ціни контур теплопостачання'!$D$123,IF(J209='Ціни контур теплопостачання'!$B$124,L209*'Ціни контур теплопостачання'!$C$124*'Ціни контур теплопостачання'!$E$124*'Ціни контур теплопостачання'!$F$124+'Ціни контур теплопостачання'!$D$124,IF(J209='Ціни контур теплопостачання'!$B$125,L209*'Ціни контур теплопостачання'!$C$125*'Ціни контур теплопостачання'!$E$125*'Ціни контур теплопостачання'!$F$125+'Ціни контур теплопостачання'!$D$125,IF(J209='Ціни контур теплопостачання'!$B$126,L209*'Ціни контур теплопостачання'!$C$126*'Ціни контур теплопостачання'!$E$126*'Ціни контур теплопостачання'!$F$126+'Ціни контур теплопостачання'!$D$126,IF(J209='Ціни контур теплопостачання'!$B$127,L209*'Ціни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0" spans="1:13">
      <c r="A210" s="168" t="s">
        <v>561</v>
      </c>
      <c r="B210" s="162" t="str">
        <f t="shared" si="24"/>
        <v xml:space="preserve">16+069A00HS-280  </v>
      </c>
      <c r="C210" s="162" t="str">
        <f t="shared" si="25"/>
        <v>16</v>
      </c>
      <c r="D210" s="162" t="str">
        <f t="shared" si="26"/>
        <v xml:space="preserve">069A00HS-280  </v>
      </c>
      <c r="E210" s="162" t="str">
        <f t="shared" si="27"/>
        <v>069</v>
      </c>
      <c r="F210" s="166" t="e">
        <f>IF(C210='Ціни контур теплопостачання'!$B$123,E210*'Ціни контур теплопостачання'!$C$123*'Ціни контур теплопостачання'!$E$123*'Ціни контур теплопостачання'!$F$123+'Ціни контур теплопостачання'!$D$123,IF(C210='Ціни контур теплопостачання'!$B$124,E210*'Ціни контур теплопостачання'!$C$124*'Ціни контур теплопостачання'!$E$124*'Ціни контур теплопостачання'!$F$124+'Ціни контур теплопостачання'!$D$124,IF(C210='Ціни контур теплопостачання'!$B$125,E210*'Ціни контур теплопостачання'!$C$125*'Ціни контур теплопостачання'!$E$125*'Ціни контур теплопостачання'!$F$125+'Ціни контур теплопостачання'!$D$125,IF(C210='Ціни контур теплопостачання'!$B$126,E210*'Ціни контур теплопостачання'!$C$126*'Ціни контур теплопостачання'!$E$126*'Ціни контур теплопостачання'!$F$126+'Ціни контур теплопостачання'!$D$126,IF(C210='Ціни контур теплопостачання'!$B$127,E210*'Ціни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0" s="170" t="s">
        <v>300</v>
      </c>
      <c r="I210" s="162" t="str">
        <f t="shared" si="28"/>
        <v xml:space="preserve">16+029M50HS-283 </v>
      </c>
      <c r="J210" s="162" t="str">
        <f t="shared" si="29"/>
        <v>16</v>
      </c>
      <c r="K210" s="162" t="str">
        <f t="shared" si="30"/>
        <v xml:space="preserve">029M50HS-283 </v>
      </c>
      <c r="L210" s="162" t="str">
        <f t="shared" si="31"/>
        <v>029</v>
      </c>
      <c r="M210" s="166" t="e">
        <f>IF(J210='Ціни контур теплопостачання'!$B$123,L210*'Ціни контур теплопостачання'!$C$123*'Ціни контур теплопостачання'!$E$123*'Ціни контур теплопостачання'!$F$123+'Ціни контур теплопостачання'!$D$123,IF(J210='Ціни контур теплопостачання'!$B$124,L210*'Ціни контур теплопостачання'!$C$124*'Ціни контур теплопостачання'!$E$124*'Ціни контур теплопостачання'!$F$124+'Ціни контур теплопостачання'!$D$124,IF(J210='Ціни контур теплопостачання'!$B$125,L210*'Ціни контур теплопостачання'!$C$125*'Ціни контур теплопостачання'!$E$125*'Ціни контур теплопостачання'!$F$125+'Ціни контур теплопостачання'!$D$125,IF(J210='Ціни контур теплопостачання'!$B$126,L210*'Ціни контур теплопостачання'!$C$126*'Ціни контур теплопостачання'!$E$126*'Ціни контур теплопостачання'!$F$126+'Ціни контур теплопостачання'!$D$126,IF(J210='Ціни контур теплопостачання'!$B$127,L210*'Ціни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1" spans="1:13">
      <c r="A211" s="168" t="s">
        <v>562</v>
      </c>
      <c r="B211" s="162" t="str">
        <f t="shared" si="24"/>
        <v xml:space="preserve">16+055A00HS-222  </v>
      </c>
      <c r="C211" s="162" t="str">
        <f t="shared" si="25"/>
        <v>16</v>
      </c>
      <c r="D211" s="162" t="str">
        <f t="shared" si="26"/>
        <v xml:space="preserve">055A00HS-222  </v>
      </c>
      <c r="E211" s="162" t="str">
        <f t="shared" si="27"/>
        <v>055</v>
      </c>
      <c r="F211" s="166" t="e">
        <f>IF(C211='Ціни контур теплопостачання'!$B$123,E211*'Ціни контур теплопостачання'!$C$123*'Ціни контур теплопостачання'!$E$123*'Ціни контур теплопостачання'!$F$123+'Ціни контур теплопостачання'!$D$123,IF(C211='Ціни контур теплопостачання'!$B$124,E211*'Ціни контур теплопостачання'!$C$124*'Ціни контур теплопостачання'!$E$124*'Ціни контур теплопостачання'!$F$124+'Ціни контур теплопостачання'!$D$124,IF(C211='Ціни контур теплопостачання'!$B$125,E211*'Ціни контур теплопостачання'!$C$125*'Ціни контур теплопостачання'!$E$125*'Ціни контур теплопостачання'!$F$125+'Ціни контур теплопостачання'!$D$125,IF(C211='Ціни контур теплопостачання'!$B$126,E211*'Ціни контур теплопостачання'!$C$126*'Ціни контур теплопостачання'!$E$126*'Ціни контур теплопостачання'!$F$126+'Ціни контур теплопостачання'!$D$126,IF(C211='Ціни контур теплопостачання'!$B$127,E211*'Ціни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1" s="170" t="s">
        <v>266</v>
      </c>
      <c r="I211" s="162" t="str">
        <f t="shared" si="28"/>
        <v xml:space="preserve">16+039M50HS-377 </v>
      </c>
      <c r="J211" s="162" t="str">
        <f t="shared" si="29"/>
        <v>16</v>
      </c>
      <c r="K211" s="162" t="str">
        <f t="shared" si="30"/>
        <v xml:space="preserve">039M50HS-377 </v>
      </c>
      <c r="L211" s="162" t="str">
        <f t="shared" si="31"/>
        <v>039</v>
      </c>
      <c r="M211" s="166" t="e">
        <f>IF(J211='Ціни контур теплопостачання'!$B$123,L211*'Ціни контур теплопостачання'!$C$123*'Ціни контур теплопостачання'!$E$123*'Ціни контур теплопостачання'!$F$123+'Ціни контур теплопостачання'!$D$123,IF(J211='Ціни контур теплопостачання'!$B$124,L211*'Ціни контур теплопостачання'!$C$124*'Ціни контур теплопостачання'!$E$124*'Ціни контур теплопостачання'!$F$124+'Ціни контур теплопостачання'!$D$124,IF(J211='Ціни контур теплопостачання'!$B$125,L211*'Ціни контур теплопостачання'!$C$125*'Ціни контур теплопостачання'!$E$125*'Ціни контур теплопостачання'!$F$125+'Ціни контур теплопостачання'!$D$125,IF(J211='Ціни контур теплопостачання'!$B$126,L211*'Ціни контур теплопостачання'!$C$126*'Ціни контур теплопостачання'!$E$126*'Ціни контур теплопостачання'!$F$126+'Ціни контур теплопостачання'!$D$126,IF(J211='Ціни контур теплопостачання'!$B$127,L211*'Ціни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2" spans="1:13">
      <c r="A212" s="168" t="s">
        <v>563</v>
      </c>
      <c r="B212" s="162" t="str">
        <f t="shared" si="24"/>
        <v xml:space="preserve">16+037A00HS-148  </v>
      </c>
      <c r="C212" s="162" t="str">
        <f t="shared" si="25"/>
        <v>16</v>
      </c>
      <c r="D212" s="162" t="str">
        <f t="shared" si="26"/>
        <v xml:space="preserve">037A00HS-148  </v>
      </c>
      <c r="E212" s="162" t="str">
        <f t="shared" si="27"/>
        <v>037</v>
      </c>
      <c r="F212" s="166" t="e">
        <f>IF(C212='Ціни контур теплопостачання'!$B$123,E212*'Ціни контур теплопостачання'!$C$123*'Ціни контур теплопостачання'!$E$123*'Ціни контур теплопостачання'!$F$123+'Ціни контур теплопостачання'!$D$123,IF(C212='Ціни контур теплопостачання'!$B$124,E212*'Ціни контур теплопостачання'!$C$124*'Ціни контур теплопостачання'!$E$124*'Ціни контур теплопостачання'!$F$124+'Ціни контур теплопостачання'!$D$124,IF(C212='Ціни контур теплопостачання'!$B$125,E212*'Ціни контур теплопостачання'!$C$125*'Ціни контур теплопостачання'!$E$125*'Ціни контур теплопостачання'!$F$125+'Ціни контур теплопостачання'!$D$125,IF(C212='Ціни контур теплопостачання'!$B$126,E212*'Ціни контур теплопостачання'!$C$126*'Ціни контур теплопостачання'!$E$126*'Ціни контур теплопостачання'!$F$126+'Ціни контур теплопостачання'!$D$126,IF(C212='Ціни контур теплопостачання'!$B$127,E212*'Ціни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2" s="170" t="s">
        <v>301</v>
      </c>
      <c r="I212" s="162" t="str">
        <f t="shared" si="28"/>
        <v xml:space="preserve">16+027M50HS-251 </v>
      </c>
      <c r="J212" s="162" t="str">
        <f t="shared" si="29"/>
        <v>16</v>
      </c>
      <c r="K212" s="162" t="str">
        <f t="shared" si="30"/>
        <v xml:space="preserve">027M50HS-251 </v>
      </c>
      <c r="L212" s="162" t="str">
        <f t="shared" si="31"/>
        <v>027</v>
      </c>
      <c r="M212" s="166" t="e">
        <f>IF(J212='Ціни контур теплопостачання'!$B$123,L212*'Ціни контур теплопостачання'!$C$123*'Ціни контур теплопостачання'!$E$123*'Ціни контур теплопостачання'!$F$123+'Ціни контур теплопостачання'!$D$123,IF(J212='Ціни контур теплопостачання'!$B$124,L212*'Ціни контур теплопостачання'!$C$124*'Ціни контур теплопостачання'!$E$124*'Ціни контур теплопостачання'!$F$124+'Ціни контур теплопостачання'!$D$124,IF(J212='Ціни контур теплопостачання'!$B$125,L212*'Ціни контур теплопостачання'!$C$125*'Ціни контур теплопостачання'!$E$125*'Ціни контур теплопостачання'!$F$125+'Ціни контур теплопостачання'!$D$125,IF(J212='Ціни контур теплопостачання'!$B$126,L212*'Ціни контур теплопостачання'!$C$126*'Ціни контур теплопостачання'!$E$126*'Ціни контур теплопостачання'!$F$126+'Ціни контур теплопостачання'!$D$126,IF(J212='Ціни контур теплопостачання'!$B$127,L212*'Ціни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3" spans="1:13">
      <c r="A213" s="168" t="s">
        <v>564</v>
      </c>
      <c r="B213" s="162" t="str">
        <f t="shared" si="24"/>
        <v xml:space="preserve">16+059A00HS-240 </v>
      </c>
      <c r="C213" s="162" t="str">
        <f t="shared" si="25"/>
        <v>16</v>
      </c>
      <c r="D213" s="162" t="str">
        <f t="shared" si="26"/>
        <v xml:space="preserve">059A00HS-240 </v>
      </c>
      <c r="E213" s="162" t="str">
        <f t="shared" si="27"/>
        <v>059</v>
      </c>
      <c r="F213" s="166" t="e">
        <f>IF(C213='Ціни контур теплопостачання'!$B$123,E213*'Ціни контур теплопостачання'!$C$123*'Ціни контур теплопостачання'!$E$123*'Ціни контур теплопостачання'!$F$123+'Ціни контур теплопостачання'!$D$123,IF(C213='Ціни контур теплопостачання'!$B$124,E213*'Ціни контур теплопостачання'!$C$124*'Ціни контур теплопостачання'!$E$124*'Ціни контур теплопостачання'!$F$124+'Ціни контур теплопостачання'!$D$124,IF(C213='Ціни контур теплопостачання'!$B$125,E213*'Ціни контур теплопостачання'!$C$125*'Ціни контур теплопостачання'!$E$125*'Ціни контур теплопостачання'!$F$125+'Ціни контур теплопостачання'!$D$125,IF(C213='Ціни контур теплопостачання'!$B$126,E213*'Ціни контур теплопостачання'!$C$126*'Ціни контур теплопостачання'!$E$126*'Ціни контур теплопостачання'!$F$126+'Ціни контур теплопостачання'!$D$126,IF(C213='Ціни контур теплопостачання'!$B$127,E213*'Ціни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3" s="170" t="s">
        <v>211</v>
      </c>
      <c r="I213" s="162" t="str">
        <f t="shared" si="28"/>
        <v xml:space="preserve">16+025M50HS-237 </v>
      </c>
      <c r="J213" s="162" t="str">
        <f t="shared" si="29"/>
        <v>16</v>
      </c>
      <c r="K213" s="162" t="str">
        <f t="shared" si="30"/>
        <v xml:space="preserve">025M50HS-237 </v>
      </c>
      <c r="L213" s="162" t="str">
        <f t="shared" si="31"/>
        <v>025</v>
      </c>
      <c r="M213" s="166" t="e">
        <f>IF(J213='Ціни контур теплопостачання'!$B$123,L213*'Ціни контур теплопостачання'!$C$123*'Ціни контур теплопостачання'!$E$123*'Ціни контур теплопостачання'!$F$123+'Ціни контур теплопостачання'!$D$123,IF(J213='Ціни контур теплопостачання'!$B$124,L213*'Ціни контур теплопостачання'!$C$124*'Ціни контур теплопостачання'!$E$124*'Ціни контур теплопостачання'!$F$124+'Ціни контур теплопостачання'!$D$124,IF(J213='Ціни контур теплопостачання'!$B$125,L213*'Ціни контур теплопостачання'!$C$125*'Ціни контур теплопостачання'!$E$125*'Ціни контур теплопостачання'!$F$125+'Ціни контур теплопостачання'!$D$125,IF(J213='Ціни контур теплопостачання'!$B$126,L213*'Ціни контур теплопостачання'!$C$126*'Ціни контур теплопостачання'!$E$126*'Ціни контур теплопостачання'!$F$126+'Ціни контур теплопостачання'!$D$126,IF(J213='Ціни контур теплопостачання'!$B$127,L213*'Ціни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4" spans="1:13">
      <c r="A214" s="168" t="s">
        <v>565</v>
      </c>
      <c r="B214" s="162" t="str">
        <f t="shared" si="24"/>
        <v xml:space="preserve">16+041A00HS-160  </v>
      </c>
      <c r="C214" s="162" t="str">
        <f t="shared" si="25"/>
        <v>16</v>
      </c>
      <c r="D214" s="162" t="str">
        <f t="shared" si="26"/>
        <v xml:space="preserve">041A00HS-160  </v>
      </c>
      <c r="E214" s="162" t="str">
        <f t="shared" si="27"/>
        <v>041</v>
      </c>
      <c r="F214" s="166" t="e">
        <f>IF(C214='Ціни контур теплопостачання'!$B$123,E214*'Ціни контур теплопостачання'!$C$123*'Ціни контур теплопостачання'!$E$123*'Ціни контур теплопостачання'!$F$123+'Ціни контур теплопостачання'!$D$123,IF(C214='Ціни контур теплопостачання'!$B$124,E214*'Ціни контур теплопостачання'!$C$124*'Ціни контур теплопостачання'!$E$124*'Ціни контур теплопостачання'!$F$124+'Ціни контур теплопостачання'!$D$124,IF(C214='Ціни контур теплопостачання'!$B$125,E214*'Ціни контур теплопостачання'!$C$125*'Ціни контур теплопостачання'!$E$125*'Ціни контур теплопостачання'!$F$125+'Ціни контур теплопостачання'!$D$125,IF(C214='Ціни контур теплопостачання'!$B$126,E214*'Ціни контур теплопостачання'!$C$126*'Ціни контур теплопостачання'!$E$126*'Ціни контур теплопостачання'!$F$126+'Ціни контур теплопостачання'!$D$126,IF(C214='Ціни контур теплопостачання'!$B$127,E214*'Ціни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4" s="170" t="s">
        <v>167</v>
      </c>
      <c r="I214" s="162" t="str">
        <f t="shared" si="28"/>
        <v xml:space="preserve">08+027A00HS-158 </v>
      </c>
      <c r="J214" s="162" t="str">
        <f t="shared" si="29"/>
        <v>08</v>
      </c>
      <c r="K214" s="162" t="str">
        <f t="shared" si="30"/>
        <v xml:space="preserve">027A00HS-158 </v>
      </c>
      <c r="L214" s="162" t="str">
        <f t="shared" si="31"/>
        <v>027</v>
      </c>
      <c r="M214" s="166" t="e">
        <f>IF(J214='Ціни контур теплопостачання'!$B$123,L214*'Ціни контур теплопостачання'!$C$123*'Ціни контур теплопостачання'!$E$123*'Ціни контур теплопостачання'!$F$123+'Ціни контур теплопостачання'!$D$123,IF(J214='Ціни контур теплопостачання'!$B$124,L214*'Ціни контур теплопостачання'!$C$124*'Ціни контур теплопостачання'!$E$124*'Ціни контур теплопостачання'!$F$124+'Ціни контур теплопостачання'!$D$124,IF(J214='Ціни контур теплопостачання'!$B$125,L214*'Ціни контур теплопостачання'!$C$125*'Ціни контур теплопостачання'!$E$125*'Ціни контур теплопостачання'!$F$125+'Ціни контур теплопостачання'!$D$125,IF(J214='Ціни контур теплопостачання'!$B$126,L214*'Ціни контур теплопостачання'!$C$126*'Ціни контур теплопостачання'!$E$126*'Ціни контур теплопостачання'!$F$126+'Ціни контур теплопостачання'!$D$126,IF(J214='Ціни контур теплопостачання'!$B$127,L214*'Ціни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5" spans="1:13">
      <c r="A215" s="168" t="s">
        <v>566</v>
      </c>
      <c r="B215" s="162" t="str">
        <f t="shared" si="24"/>
        <v xml:space="preserve">16+037A00HS-141  </v>
      </c>
      <c r="C215" s="162" t="str">
        <f t="shared" si="25"/>
        <v>16</v>
      </c>
      <c r="D215" s="162" t="str">
        <f t="shared" si="26"/>
        <v xml:space="preserve">037A00HS-141  </v>
      </c>
      <c r="E215" s="162" t="str">
        <f t="shared" si="27"/>
        <v>037</v>
      </c>
      <c r="F215" s="166" t="e">
        <f>IF(C215='Ціни контур теплопостачання'!$B$123,E215*'Ціни контур теплопостачання'!$C$123*'Ціни контур теплопостачання'!$E$123*'Ціни контур теплопостачання'!$F$123+'Ціни контур теплопостачання'!$D$123,IF(C215='Ціни контур теплопостачання'!$B$124,E215*'Ціни контур теплопостачання'!$C$124*'Ціни контур теплопостачання'!$E$124*'Ціни контур теплопостачання'!$F$124+'Ціни контур теплопостачання'!$D$124,IF(C215='Ціни контур теплопостачання'!$B$125,E215*'Ціни контур теплопостачання'!$C$125*'Ціни контур теплопостачання'!$E$125*'Ціни контур теплопостачання'!$F$125+'Ціни контур теплопостачання'!$D$125,IF(C215='Ціни контур теплопостачання'!$B$126,E215*'Ціни контур теплопостачання'!$C$126*'Ціни контур теплопостачання'!$E$126*'Ціни контур теплопостачання'!$F$126+'Ціни контур теплопостачання'!$D$126,IF(C215='Ціни контур теплопостачання'!$B$127,E215*'Ціни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5" s="170" t="s">
        <v>302</v>
      </c>
      <c r="I215" s="162" t="str">
        <f t="shared" si="28"/>
        <v xml:space="preserve">08+031A00HS-177 </v>
      </c>
      <c r="J215" s="162" t="str">
        <f t="shared" si="29"/>
        <v>08</v>
      </c>
      <c r="K215" s="162" t="str">
        <f t="shared" si="30"/>
        <v xml:space="preserve">031A00HS-177 </v>
      </c>
      <c r="L215" s="162" t="str">
        <f t="shared" si="31"/>
        <v>031</v>
      </c>
      <c r="M215" s="166" t="e">
        <f>IF(J215='Ціни контур теплопостачання'!$B$123,L215*'Ціни контур теплопостачання'!$C$123*'Ціни контур теплопостачання'!$E$123*'Ціни контур теплопостачання'!$F$123+'Ціни контур теплопостачання'!$D$123,IF(J215='Ціни контур теплопостачання'!$B$124,L215*'Ціни контур теплопостачання'!$C$124*'Ціни контур теплопостачання'!$E$124*'Ціни контур теплопостачання'!$F$124+'Ціни контур теплопостачання'!$D$124,IF(J215='Ціни контур теплопостачання'!$B$125,L215*'Ціни контур теплопостачання'!$C$125*'Ціни контур теплопостачання'!$E$125*'Ціни контур теплопостачання'!$F$125+'Ціни контур теплопостачання'!$D$125,IF(J215='Ціни контур теплопостачання'!$B$126,L215*'Ціни контур теплопостачання'!$C$126*'Ціни контур теплопостачання'!$E$126*'Ціни контур теплопостачання'!$F$126+'Ціни контур теплопостачання'!$D$126,IF(J215='Ціни контур теплопостачання'!$B$127,L215*'Ціни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6" spans="1:13">
      <c r="A216" s="168" t="s">
        <v>567</v>
      </c>
      <c r="B216" s="162" t="str">
        <f t="shared" si="24"/>
        <v xml:space="preserve">16+023A00HS-85  </v>
      </c>
      <c r="C216" s="162" t="str">
        <f t="shared" si="25"/>
        <v>16</v>
      </c>
      <c r="D216" s="162" t="str">
        <f t="shared" si="26"/>
        <v xml:space="preserve">023A00HS-85  </v>
      </c>
      <c r="E216" s="162" t="str">
        <f t="shared" si="27"/>
        <v>023</v>
      </c>
      <c r="F216" s="166" t="e">
        <f>IF(C216='Ціни контур теплопостачання'!$B$123,E216*'Ціни контур теплопостачання'!$C$123*'Ціни контур теплопостачання'!$E$123*'Ціни контур теплопостачання'!$F$123+'Ціни контур теплопостачання'!$D$123,IF(C216='Ціни контур теплопостачання'!$B$124,E216*'Ціни контур теплопостачання'!$C$124*'Ціни контур теплопостачання'!$E$124*'Ціни контур теплопостачання'!$F$124+'Ціни контур теплопостачання'!$D$124,IF(C216='Ціни контур теплопостачання'!$B$125,E216*'Ціни контур теплопостачання'!$C$125*'Ціни контур теплопостачання'!$E$125*'Ціни контур теплопостачання'!$F$125+'Ціни контур теплопостачання'!$D$125,IF(C216='Ціни контур теплопостачання'!$B$126,E216*'Ціни контур теплопостачання'!$C$126*'Ціни контур теплопостачання'!$E$126*'Ціни контур теплопостачання'!$F$126+'Ціни контур теплопостачання'!$D$126,IF(C216='Ціни контур теплопостачання'!$B$127,E216*'Ціни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6" s="170" t="s">
        <v>303</v>
      </c>
      <c r="I216" s="162" t="str">
        <f t="shared" si="28"/>
        <v xml:space="preserve">08+019A00HS-106 </v>
      </c>
      <c r="J216" s="162" t="str">
        <f t="shared" si="29"/>
        <v>08</v>
      </c>
      <c r="K216" s="162" t="str">
        <f t="shared" si="30"/>
        <v xml:space="preserve">019A00HS-106 </v>
      </c>
      <c r="L216" s="162" t="str">
        <f t="shared" si="31"/>
        <v>019</v>
      </c>
      <c r="M216" s="166" t="e">
        <f>IF(J216='Ціни контур теплопостачання'!$B$123,L216*'Ціни контур теплопостачання'!$C$123*'Ціни контур теплопостачання'!$E$123*'Ціни контур теплопостачання'!$F$123+'Ціни контур теплопостачання'!$D$123,IF(J216='Ціни контур теплопостачання'!$B$124,L216*'Ціни контур теплопостачання'!$C$124*'Ціни контур теплопостачання'!$E$124*'Ціни контур теплопостачання'!$F$124+'Ціни контур теплопостачання'!$D$124,IF(J216='Ціни контур теплопостачання'!$B$125,L216*'Ціни контур теплопостачання'!$C$125*'Ціни контур теплопостачання'!$E$125*'Ціни контур теплопостачання'!$F$125+'Ціни контур теплопостачання'!$D$125,IF(J216='Ціни контур теплопостачання'!$B$126,L216*'Ціни контур теплопостачання'!$C$126*'Ціни контур теплопостачання'!$E$126*'Ціни контур теплопостачання'!$F$126+'Ціни контур теплопостачання'!$D$126,IF(J216='Ціни контур теплопостачання'!$B$127,L216*'Ціни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7" spans="1:13">
      <c r="A217" s="168" t="s">
        <v>568</v>
      </c>
      <c r="B217" s="162" t="str">
        <f t="shared" si="24"/>
        <v xml:space="preserve">16+077A00HS-318  </v>
      </c>
      <c r="C217" s="162" t="str">
        <f t="shared" si="25"/>
        <v>16</v>
      </c>
      <c r="D217" s="162" t="str">
        <f t="shared" si="26"/>
        <v xml:space="preserve">077A00HS-318  </v>
      </c>
      <c r="E217" s="162" t="str">
        <f t="shared" si="27"/>
        <v>077</v>
      </c>
      <c r="F217" s="166" t="e">
        <f>IF(C217='Ціни контур теплопостачання'!$B$123,E217*'Ціни контур теплопостачання'!$C$123*'Ціни контур теплопостачання'!$E$123*'Ціни контур теплопостачання'!$F$123+'Ціни контур теплопостачання'!$D$123,IF(C217='Ціни контур теплопостачання'!$B$124,E217*'Ціни контур теплопостачання'!$C$124*'Ціни контур теплопостачання'!$E$124*'Ціни контур теплопостачання'!$F$124+'Ціни контур теплопостачання'!$D$124,IF(C217='Ціни контур теплопостачання'!$B$125,E217*'Ціни контур теплопостачання'!$C$125*'Ціни контур теплопостачання'!$E$125*'Ціни контур теплопостачання'!$F$125+'Ціни контур теплопостачання'!$D$125,IF(C217='Ціни контур теплопостачання'!$B$126,E217*'Ціни контур теплопостачання'!$C$126*'Ціни контур теплопостачання'!$E$126*'Ціни контур теплопостачання'!$F$126+'Ціни контур теплопостачання'!$D$126,IF(C217='Ціни контур теплопостачання'!$B$127,E217*'Ціни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7" s="170" t="s">
        <v>304</v>
      </c>
      <c r="I217" s="162" t="str">
        <f t="shared" si="28"/>
        <v>16+031M50HS-299</v>
      </c>
      <c r="J217" s="162" t="str">
        <f t="shared" si="29"/>
        <v>16</v>
      </c>
      <c r="K217" s="162" t="str">
        <f t="shared" si="30"/>
        <v>031M50HS-299</v>
      </c>
      <c r="L217" s="162" t="str">
        <f t="shared" si="31"/>
        <v>031</v>
      </c>
      <c r="M217" s="166" t="e">
        <f>IF(J217='Ціни контур теплопостачання'!$B$123,L217*'Ціни контур теплопостачання'!$C$123*'Ціни контур теплопостачання'!$E$123*'Ціни контур теплопостачання'!$F$123+'Ціни контур теплопостачання'!$D$123,IF(J217='Ціни контур теплопостачання'!$B$124,L217*'Ціни контур теплопостачання'!$C$124*'Ціни контур теплопостачання'!$E$124*'Ціни контур теплопостачання'!$F$124+'Ціни контур теплопостачання'!$D$124,IF(J217='Ціни контур теплопостачання'!$B$125,L217*'Ціни контур теплопостачання'!$C$125*'Ціни контур теплопостачання'!$E$125*'Ціни контур теплопостачання'!$F$125+'Ціни контур теплопостачання'!$D$125,IF(J217='Ціни контур теплопостачання'!$B$126,L217*'Ціни контур теплопостачання'!$C$126*'Ціни контур теплопостачання'!$E$126*'Ціни контур теплопостачання'!$F$126+'Ціни контур теплопостачання'!$D$126,IF(J217='Ціни контур теплопостачання'!$B$127,L217*'Ціни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8" spans="1:13">
      <c r="A218" s="168" t="s">
        <v>569</v>
      </c>
      <c r="B218" s="162" t="str">
        <f t="shared" si="24"/>
        <v xml:space="preserve">16+095A00HS-393  </v>
      </c>
      <c r="C218" s="162" t="str">
        <f t="shared" si="25"/>
        <v>16</v>
      </c>
      <c r="D218" s="162" t="str">
        <f t="shared" si="26"/>
        <v xml:space="preserve">095A00HS-393  </v>
      </c>
      <c r="E218" s="162" t="str">
        <f t="shared" si="27"/>
        <v>095</v>
      </c>
      <c r="F218" s="166" t="e">
        <f>IF(C218='Ціни контур теплопостачання'!$B$123,E218*'Ціни контур теплопостачання'!$C$123*'Ціни контур теплопостачання'!$E$123*'Ціни контур теплопостачання'!$F$123+'Ціни контур теплопостачання'!$D$123,IF(C218='Ціни контур теплопостачання'!$B$124,E218*'Ціни контур теплопостачання'!$C$124*'Ціни контур теплопостачання'!$E$124*'Ціни контур теплопостачання'!$F$124+'Ціни контур теплопостачання'!$D$124,IF(C218='Ціни контур теплопостачання'!$B$125,E218*'Ціни контур теплопостачання'!$C$125*'Ціни контур теплопостачання'!$E$125*'Ціни контур теплопостачання'!$F$125+'Ціни контур теплопостачання'!$D$125,IF(C218='Ціни контур теплопостачання'!$B$126,E218*'Ціни контур теплопостачання'!$C$126*'Ціни контур теплопостачання'!$E$126*'Ціни контур теплопостачання'!$F$126+'Ціни контур теплопостачання'!$D$126,IF(C218='Ціни контур теплопостачання'!$B$127,E218*'Ціни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8" s="170" t="s">
        <v>305</v>
      </c>
      <c r="I218" s="162" t="str">
        <f t="shared" si="28"/>
        <v xml:space="preserve">16+035M50HS-340 </v>
      </c>
      <c r="J218" s="162" t="str">
        <f t="shared" si="29"/>
        <v>16</v>
      </c>
      <c r="K218" s="162" t="str">
        <f t="shared" si="30"/>
        <v xml:space="preserve">035M50HS-340 </v>
      </c>
      <c r="L218" s="162" t="str">
        <f t="shared" si="31"/>
        <v>035</v>
      </c>
      <c r="M218" s="166" t="e">
        <f>IF(J218='Ціни контур теплопостачання'!$B$123,L218*'Ціни контур теплопостачання'!$C$123*'Ціни контур теплопостачання'!$E$123*'Ціни контур теплопостачання'!$F$123+'Ціни контур теплопостачання'!$D$123,IF(J218='Ціни контур теплопостачання'!$B$124,L218*'Ціни контур теплопостачання'!$C$124*'Ціни контур теплопостачання'!$E$124*'Ціни контур теплопостачання'!$F$124+'Ціни контур теплопостачання'!$D$124,IF(J218='Ціни контур теплопостачання'!$B$125,L218*'Ціни контур теплопостачання'!$C$125*'Ціни контур теплопостачання'!$E$125*'Ціни контур теплопостачання'!$F$125+'Ціни контур теплопостачання'!$D$125,IF(J218='Ціни контур теплопостачання'!$B$126,L218*'Ціни контур теплопостачання'!$C$126*'Ціни контур теплопостачання'!$E$126*'Ціни контур теплопостачання'!$F$126+'Ціни контур теплопостачання'!$D$126,IF(J218='Ціни контур теплопостачання'!$B$127,L218*'Ціни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19" spans="1:13">
      <c r="A219" s="168" t="s">
        <v>570</v>
      </c>
      <c r="B219" s="162" t="str">
        <f t="shared" si="24"/>
        <v xml:space="preserve">16+101A00HS-428 </v>
      </c>
      <c r="C219" s="162" t="str">
        <f t="shared" si="25"/>
        <v>16</v>
      </c>
      <c r="D219" s="162" t="str">
        <f t="shared" si="26"/>
        <v xml:space="preserve">101A00HS-428 </v>
      </c>
      <c r="E219" s="162" t="str">
        <f t="shared" si="27"/>
        <v>101</v>
      </c>
      <c r="F219" s="166" t="e">
        <f>IF(C219='Ціни контур теплопостачання'!$B$123,E219*'Ціни контур теплопостачання'!$C$123*'Ціни контур теплопостачання'!$E$123*'Ціни контур теплопостачання'!$F$123+'Ціни контур теплопостачання'!$D$123,IF(C219='Ціни контур теплопостачання'!$B$124,E219*'Ціни контур теплопостачання'!$C$124*'Ціни контур теплопостачання'!$E$124*'Ціни контур теплопостачання'!$F$124+'Ціни контур теплопостачання'!$D$124,IF(C219='Ціни контур теплопостачання'!$B$125,E219*'Ціни контур теплопостачання'!$C$125*'Ціни контур теплопостачання'!$E$125*'Ціни контур теплопостачання'!$F$125+'Ціни контур теплопостачання'!$D$125,IF(C219='Ціни контур теплопостачання'!$B$126,E219*'Ціни контур теплопостачання'!$C$126*'Ціни контур теплопостачання'!$E$126*'Ціни контур теплопостачання'!$F$126+'Ціни контур теплопостачання'!$D$126,IF(C219='Ціни контур теплопостачання'!$B$127,E219*'Ціни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19" s="170" t="s">
        <v>306</v>
      </c>
      <c r="I219" s="162" t="str">
        <f t="shared" si="28"/>
        <v xml:space="preserve">16+037M50HS-371 </v>
      </c>
      <c r="J219" s="162" t="str">
        <f t="shared" si="29"/>
        <v>16</v>
      </c>
      <c r="K219" s="162" t="str">
        <f t="shared" si="30"/>
        <v xml:space="preserve">037M50HS-371 </v>
      </c>
      <c r="L219" s="162" t="str">
        <f t="shared" si="31"/>
        <v>037</v>
      </c>
      <c r="M219" s="166" t="e">
        <f>IF(J219='Ціни контур теплопостачання'!$B$123,L219*'Ціни контур теплопостачання'!$C$123*'Ціни контур теплопостачання'!$E$123*'Ціни контур теплопостачання'!$F$123+'Ціни контур теплопостачання'!$D$123,IF(J219='Ціни контур теплопостачання'!$B$124,L219*'Ціни контур теплопостачання'!$C$124*'Ціни контур теплопостачання'!$E$124*'Ціни контур теплопостачання'!$F$124+'Ціни контур теплопостачання'!$D$124,IF(J219='Ціни контур теплопостачання'!$B$125,L219*'Ціни контур теплопостачання'!$C$125*'Ціни контур теплопостачання'!$E$125*'Ціни контур теплопостачання'!$F$125+'Ціни контур теплопостачання'!$D$125,IF(J219='Ціни контур теплопостачання'!$B$126,L219*'Ціни контур теплопостачання'!$C$126*'Ціни контур теплопостачання'!$E$126*'Ціни контур теплопостачання'!$F$126+'Ціни контур теплопостачання'!$D$126,IF(J219='Ціни контур теплопостачання'!$B$127,L219*'Ціни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0" spans="1:13">
      <c r="A220" s="168" t="s">
        <v>571</v>
      </c>
      <c r="B220" s="162" t="str">
        <f t="shared" si="24"/>
        <v xml:space="preserve">16+095A00HS-394   </v>
      </c>
      <c r="C220" s="162" t="str">
        <f t="shared" si="25"/>
        <v>16</v>
      </c>
      <c r="D220" s="162" t="str">
        <f t="shared" si="26"/>
        <v xml:space="preserve">095A00HS-394   </v>
      </c>
      <c r="E220" s="162" t="str">
        <f t="shared" si="27"/>
        <v>095</v>
      </c>
      <c r="F220" s="166" t="e">
        <f>IF(C220='Ціни контур теплопостачання'!$B$123,E220*'Ціни контур теплопостачання'!$C$123*'Ціни контур теплопостачання'!$E$123*'Ціни контур теплопостачання'!$F$123+'Ціни контур теплопостачання'!$D$123,IF(C220='Ціни контур теплопостачання'!$B$124,E220*'Ціни контур теплопостачання'!$C$124*'Ціни контур теплопостачання'!$E$124*'Ціни контур теплопостачання'!$F$124+'Ціни контур теплопостачання'!$D$124,IF(C220='Ціни контур теплопостачання'!$B$125,E220*'Ціни контур теплопостачання'!$C$125*'Ціни контур теплопостачання'!$E$125*'Ціни контур теплопостачання'!$F$125+'Ціни контур теплопостачання'!$D$125,IF(C220='Ціни контур теплопостачання'!$B$126,E220*'Ціни контур теплопостачання'!$C$126*'Ціни контур теплопостачання'!$E$126*'Ціни контур теплопостачання'!$F$126+'Ціни контур теплопостачання'!$D$126,IF(C220='Ціни контур теплопостачання'!$B$127,E220*'Ціни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0" s="170" t="s">
        <v>307</v>
      </c>
      <c r="I220" s="162" t="str">
        <f t="shared" si="28"/>
        <v xml:space="preserve">16+051M50HS-496 </v>
      </c>
      <c r="J220" s="162" t="str">
        <f t="shared" si="29"/>
        <v>16</v>
      </c>
      <c r="K220" s="162" t="str">
        <f t="shared" si="30"/>
        <v xml:space="preserve">051M50HS-496 </v>
      </c>
      <c r="L220" s="162" t="str">
        <f t="shared" si="31"/>
        <v>051</v>
      </c>
      <c r="M220" s="166" t="e">
        <f>IF(J220='Ціни контур теплопостачання'!$B$123,L220*'Ціни контур теплопостачання'!$C$123*'Ціни контур теплопостачання'!$E$123*'Ціни контур теплопостачання'!$F$123+'Ціни контур теплопостачання'!$D$123,IF(J220='Ціни контур теплопостачання'!$B$124,L220*'Ціни контур теплопостачання'!$C$124*'Ціни контур теплопостачання'!$E$124*'Ціни контур теплопостачання'!$F$124+'Ціни контур теплопостачання'!$D$124,IF(J220='Ціни контур теплопостачання'!$B$125,L220*'Ціни контур теплопостачання'!$C$125*'Ціни контур теплопостачання'!$E$125*'Ціни контур теплопостачання'!$F$125+'Ціни контур теплопостачання'!$D$125,IF(J220='Ціни контур теплопостачання'!$B$126,L220*'Ціни контур теплопостачання'!$C$126*'Ціни контур теплопостачання'!$E$126*'Ціни контур теплопостачання'!$F$126+'Ціни контур теплопостачання'!$D$126,IF(J220='Ціни контур теплопостачання'!$B$127,L220*'Ціни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1" spans="1:13">
      <c r="A221" s="168" t="s">
        <v>572</v>
      </c>
      <c r="B221" s="162" t="str">
        <f t="shared" si="24"/>
        <v xml:space="preserve">16+041A00HS-165 </v>
      </c>
      <c r="C221" s="162" t="str">
        <f t="shared" si="25"/>
        <v>16</v>
      </c>
      <c r="D221" s="162" t="str">
        <f t="shared" si="26"/>
        <v xml:space="preserve">041A00HS-165 </v>
      </c>
      <c r="E221" s="162" t="str">
        <f t="shared" si="27"/>
        <v>041</v>
      </c>
      <c r="F221" s="166" t="e">
        <f>IF(C221='Ціни контур теплопостачання'!$B$123,E221*'Ціни контур теплопостачання'!$C$123*'Ціни контур теплопостачання'!$E$123*'Ціни контур теплопостачання'!$F$123+'Ціни контур теплопостачання'!$D$123,IF(C221='Ціни контур теплопостачання'!$B$124,E221*'Ціни контур теплопостачання'!$C$124*'Ціни контур теплопостачання'!$E$124*'Ціни контур теплопостачання'!$F$124+'Ціни контур теплопостачання'!$D$124,IF(C221='Ціни контур теплопостачання'!$B$125,E221*'Ціни контур теплопостачання'!$C$125*'Ціни контур теплопостачання'!$E$125*'Ціни контур теплопостачання'!$F$125+'Ціни контур теплопостачання'!$D$125,IF(C221='Ціни контур теплопостачання'!$B$126,E221*'Ціни контур теплопостачання'!$C$126*'Ціни контур теплопостачання'!$E$126*'Ціни контур теплопостачання'!$F$126+'Ціни контур теплопостачання'!$D$126,IF(C221='Ціни контур теплопостачання'!$B$127,E221*'Ціни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1" s="170" t="s">
        <v>308</v>
      </c>
      <c r="I221" s="162" t="str">
        <f t="shared" si="28"/>
        <v xml:space="preserve">16+025M50HS-232 </v>
      </c>
      <c r="J221" s="162" t="str">
        <f t="shared" si="29"/>
        <v>16</v>
      </c>
      <c r="K221" s="162" t="str">
        <f t="shared" si="30"/>
        <v xml:space="preserve">025M50HS-232 </v>
      </c>
      <c r="L221" s="162" t="str">
        <f t="shared" si="31"/>
        <v>025</v>
      </c>
      <c r="M221" s="166" t="e">
        <f>IF(J221='Ціни контур теплопостачання'!$B$123,L221*'Ціни контур теплопостачання'!$C$123*'Ціни контур теплопостачання'!$E$123*'Ціни контур теплопостачання'!$F$123+'Ціни контур теплопостачання'!$D$123,IF(J221='Ціни контур теплопостачання'!$B$124,L221*'Ціни контур теплопостачання'!$C$124*'Ціни контур теплопостачання'!$E$124*'Ціни контур теплопостачання'!$F$124+'Ціни контур теплопостачання'!$D$124,IF(J221='Ціни контур теплопостачання'!$B$125,L221*'Ціни контур теплопостачання'!$C$125*'Ціни контур теплопостачання'!$E$125*'Ціни контур теплопостачання'!$F$125+'Ціни контур теплопостачання'!$D$125,IF(J221='Ціни контур теплопостачання'!$B$126,L221*'Ціни контур теплопостачання'!$C$126*'Ціни контур теплопостачання'!$E$126*'Ціни контур теплопостачання'!$F$126+'Ціни контур теплопостачання'!$D$126,IF(J221='Ціни контур теплопостачання'!$B$127,L221*'Ціни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2" spans="1:13">
      <c r="A222" s="168" t="s">
        <v>573</v>
      </c>
      <c r="B222" s="162" t="str">
        <f t="shared" si="24"/>
        <v xml:space="preserve">16+075A00HS-293  </v>
      </c>
      <c r="C222" s="162" t="str">
        <f t="shared" si="25"/>
        <v>16</v>
      </c>
      <c r="D222" s="162" t="str">
        <f t="shared" si="26"/>
        <v xml:space="preserve">075A00HS-293  </v>
      </c>
      <c r="E222" s="162" t="str">
        <f t="shared" si="27"/>
        <v>075</v>
      </c>
      <c r="F222" s="166" t="e">
        <f>IF(C222='Ціни контур теплопостачання'!$B$123,E222*'Ціни контур теплопостачання'!$C$123*'Ціни контур теплопостачання'!$E$123*'Ціни контур теплопостачання'!$F$123+'Ціни контур теплопостачання'!$D$123,IF(C222='Ціни контур теплопостачання'!$B$124,E222*'Ціни контур теплопостачання'!$C$124*'Ціни контур теплопостачання'!$E$124*'Ціни контур теплопостачання'!$F$124+'Ціни контур теплопостачання'!$D$124,IF(C222='Ціни контур теплопостачання'!$B$125,E222*'Ціни контур теплопостачання'!$C$125*'Ціни контур теплопостачання'!$E$125*'Ціни контур теплопостачання'!$F$125+'Ціни контур теплопостачання'!$D$125,IF(C222='Ціни контур теплопостачання'!$B$126,E222*'Ціни контур теплопостачання'!$C$126*'Ціни контур теплопостачання'!$E$126*'Ціни контур теплопостачання'!$F$126+'Ціни контур теплопостачання'!$D$126,IF(C222='Ціни контур теплопостачання'!$B$127,E222*'Ціни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2" s="170" t="s">
        <v>309</v>
      </c>
      <c r="I222" s="162" t="str">
        <f t="shared" si="28"/>
        <v xml:space="preserve">16+033M50HS-328 </v>
      </c>
      <c r="J222" s="162" t="str">
        <f t="shared" si="29"/>
        <v>16</v>
      </c>
      <c r="K222" s="162" t="str">
        <f t="shared" si="30"/>
        <v xml:space="preserve">033M50HS-328 </v>
      </c>
      <c r="L222" s="162" t="str">
        <f t="shared" si="31"/>
        <v>033</v>
      </c>
      <c r="M222" s="166" t="e">
        <f>IF(J222='Ціни контур теплопостачання'!$B$123,L222*'Ціни контур теплопостачання'!$C$123*'Ціни контур теплопостачання'!$E$123*'Ціни контур теплопостачання'!$F$123+'Ціни контур теплопостачання'!$D$123,IF(J222='Ціни контур теплопостачання'!$B$124,L222*'Ціни контур теплопостачання'!$C$124*'Ціни контур теплопостачання'!$E$124*'Ціни контур теплопостачання'!$F$124+'Ціни контур теплопостачання'!$D$124,IF(J222='Ціни контур теплопостачання'!$B$125,L222*'Ціни контур теплопостачання'!$C$125*'Ціни контур теплопостачання'!$E$125*'Ціни контур теплопостачання'!$F$125+'Ціни контур теплопостачання'!$D$125,IF(J222='Ціни контур теплопостачання'!$B$126,L222*'Ціни контур теплопостачання'!$C$126*'Ціни контур теплопостачання'!$E$126*'Ціни контур теплопостачання'!$F$126+'Ціни контур теплопостачання'!$D$126,IF(J222='Ціни контур теплопостачання'!$B$127,L222*'Ціни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3" spans="1:13">
      <c r="A223" s="168" t="s">
        <v>574</v>
      </c>
      <c r="B223" s="162" t="str">
        <f t="shared" si="24"/>
        <v xml:space="preserve">16+063A00HS-255   </v>
      </c>
      <c r="C223" s="162" t="str">
        <f t="shared" si="25"/>
        <v>16</v>
      </c>
      <c r="D223" s="162" t="str">
        <f t="shared" si="26"/>
        <v xml:space="preserve">063A00HS-255   </v>
      </c>
      <c r="E223" s="162" t="str">
        <f t="shared" si="27"/>
        <v>063</v>
      </c>
      <c r="F223" s="166" t="e">
        <f>IF(C223='Ціни контур теплопостачання'!$B$123,E223*'Ціни контур теплопостачання'!$C$123*'Ціни контур теплопостачання'!$E$123*'Ціни контур теплопостачання'!$F$123+'Ціни контур теплопостачання'!$D$123,IF(C223='Ціни контур теплопостачання'!$B$124,E223*'Ціни контур теплопостачання'!$C$124*'Ціни контур теплопостачання'!$E$124*'Ціни контур теплопостачання'!$F$124+'Ціни контур теплопостачання'!$D$124,IF(C223='Ціни контур теплопостачання'!$B$125,E223*'Ціни контур теплопостачання'!$C$125*'Ціни контур теплопостачання'!$E$125*'Ціни контур теплопостачання'!$F$125+'Ціни контур теплопостачання'!$D$125,IF(C223='Ціни контур теплопостачання'!$B$126,E223*'Ціни контур теплопостачання'!$C$126*'Ціни контур теплопостачання'!$E$126*'Ціни контур теплопостачання'!$F$126+'Ціни контур теплопостачання'!$D$126,IF(C223='Ціни контур теплопостачання'!$B$127,E223*'Ціни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3" s="170" t="s">
        <v>278</v>
      </c>
      <c r="I223" s="162" t="str">
        <f t="shared" si="28"/>
        <v xml:space="preserve">16+031M50HS-294 </v>
      </c>
      <c r="J223" s="162" t="str">
        <f t="shared" si="29"/>
        <v>16</v>
      </c>
      <c r="K223" s="162" t="str">
        <f t="shared" si="30"/>
        <v xml:space="preserve">031M50HS-294 </v>
      </c>
      <c r="L223" s="162" t="str">
        <f t="shared" si="31"/>
        <v>031</v>
      </c>
      <c r="M223" s="166" t="e">
        <f>IF(J223='Ціни контур теплопостачання'!$B$123,L223*'Ціни контур теплопостачання'!$C$123*'Ціни контур теплопостачання'!$E$123*'Ціни контур теплопостачання'!$F$123+'Ціни контур теплопостачання'!$D$123,IF(J223='Ціни контур теплопостачання'!$B$124,L223*'Ціни контур теплопостачання'!$C$124*'Ціни контур теплопостачання'!$E$124*'Ціни контур теплопостачання'!$F$124+'Ціни контур теплопостачання'!$D$124,IF(J223='Ціни контур теплопостачання'!$B$125,L223*'Ціни контур теплопостачання'!$C$125*'Ціни контур теплопостачання'!$E$125*'Ціни контур теплопостачання'!$F$125+'Ціни контур теплопостачання'!$D$125,IF(J223='Ціни контур теплопостачання'!$B$126,L223*'Ціни контур теплопостачання'!$C$126*'Ціни контур теплопостачання'!$E$126*'Ціни контур теплопостачання'!$F$126+'Ціни контур теплопостачання'!$D$126,IF(J223='Ціни контур теплопостачання'!$B$127,L223*'Ціни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4" spans="1:13">
      <c r="A224" s="168" t="s">
        <v>575</v>
      </c>
      <c r="B224" s="162" t="str">
        <f t="shared" si="24"/>
        <v xml:space="preserve">16+063A00HS-256 </v>
      </c>
      <c r="C224" s="162" t="str">
        <f t="shared" si="25"/>
        <v>16</v>
      </c>
      <c r="D224" s="162" t="str">
        <f t="shared" si="26"/>
        <v xml:space="preserve">063A00HS-256 </v>
      </c>
      <c r="E224" s="162" t="str">
        <f t="shared" si="27"/>
        <v>063</v>
      </c>
      <c r="F224" s="166" t="e">
        <f>IF(C224='Ціни контур теплопостачання'!$B$123,E224*'Ціни контур теплопостачання'!$C$123*'Ціни контур теплопостачання'!$E$123*'Ціни контур теплопостачання'!$F$123+'Ціни контур теплопостачання'!$D$123,IF(C224='Ціни контур теплопостачання'!$B$124,E224*'Ціни контур теплопостачання'!$C$124*'Ціни контур теплопостачання'!$E$124*'Ціни контур теплопостачання'!$F$124+'Ціни контур теплопостачання'!$D$124,IF(C224='Ціни контур теплопостачання'!$B$125,E224*'Ціни контур теплопостачання'!$C$125*'Ціни контур теплопостачання'!$E$125*'Ціни контур теплопостачання'!$F$125+'Ціни контур теплопостачання'!$D$125,IF(C224='Ціни контур теплопостачання'!$B$126,E224*'Ціни контур теплопостачання'!$C$126*'Ціни контур теплопостачання'!$E$126*'Ціни контур теплопостачання'!$F$126+'Ціни контур теплопостачання'!$D$126,IF(C224='Ціни контур теплопостачання'!$B$127,E224*'Ціни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4" s="170" t="s">
        <v>310</v>
      </c>
      <c r="I224" s="162" t="str">
        <f t="shared" si="28"/>
        <v xml:space="preserve">16+029M50HS-275 </v>
      </c>
      <c r="J224" s="162" t="str">
        <f t="shared" si="29"/>
        <v>16</v>
      </c>
      <c r="K224" s="162" t="str">
        <f t="shared" si="30"/>
        <v xml:space="preserve">029M50HS-275 </v>
      </c>
      <c r="L224" s="162" t="str">
        <f t="shared" si="31"/>
        <v>029</v>
      </c>
      <c r="M224" s="166" t="e">
        <f>IF(J224='Ціни контур теплопостачання'!$B$123,L224*'Ціни контур теплопостачання'!$C$123*'Ціни контур теплопостачання'!$E$123*'Ціни контур теплопостачання'!$F$123+'Ціни контур теплопостачання'!$D$123,IF(J224='Ціни контур теплопостачання'!$B$124,L224*'Ціни контур теплопостачання'!$C$124*'Ціни контур теплопостачання'!$E$124*'Ціни контур теплопостачання'!$F$124+'Ціни контур теплопостачання'!$D$124,IF(J224='Ціни контур теплопостачання'!$B$125,L224*'Ціни контур теплопостачання'!$C$125*'Ціни контур теплопостачання'!$E$125*'Ціни контур теплопостачання'!$F$125+'Ціни контур теплопостачання'!$D$125,IF(J224='Ціни контур теплопостачання'!$B$126,L224*'Ціни контур теплопостачання'!$C$126*'Ціни контур теплопостачання'!$E$126*'Ціни контур теплопостачання'!$F$126+'Ціни контур теплопостачання'!$D$126,IF(J224='Ціни контур теплопостачання'!$B$127,L224*'Ціни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5" spans="1:13">
      <c r="A225" s="168" t="s">
        <v>576</v>
      </c>
      <c r="B225" s="162" t="str">
        <f t="shared" si="24"/>
        <v xml:space="preserve">16+065A00HS-272  </v>
      </c>
      <c r="C225" s="162" t="str">
        <f t="shared" si="25"/>
        <v>16</v>
      </c>
      <c r="D225" s="162" t="str">
        <f t="shared" si="26"/>
        <v xml:space="preserve">065A00HS-272  </v>
      </c>
      <c r="E225" s="162" t="str">
        <f t="shared" si="27"/>
        <v>065</v>
      </c>
      <c r="F225" s="166" t="e">
        <f>IF(C225='Ціни контур теплопостачання'!$B$123,E225*'Ціни контур теплопостачання'!$C$123*'Ціни контур теплопостачання'!$E$123*'Ціни контур теплопостачання'!$F$123+'Ціни контур теплопостачання'!$D$123,IF(C225='Ціни контур теплопостачання'!$B$124,E225*'Ціни контур теплопостачання'!$C$124*'Ціни контур теплопостачання'!$E$124*'Ціни контур теплопостачання'!$F$124+'Ціни контур теплопостачання'!$D$124,IF(C225='Ціни контур теплопостачання'!$B$125,E225*'Ціни контур теплопостачання'!$C$125*'Ціни контур теплопостачання'!$E$125*'Ціни контур теплопостачання'!$F$125+'Ціни контур теплопостачання'!$D$125,IF(C225='Ціни контур теплопостачання'!$B$126,E225*'Ціни контур теплопостачання'!$C$126*'Ціни контур теплопостачання'!$E$126*'Ціни контур теплопостачання'!$F$126+'Ціни контур теплопостачання'!$D$126,IF(C225='Ціни контур теплопостачання'!$B$127,E225*'Ціни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5" s="170" t="s">
        <v>311</v>
      </c>
      <c r="I225" s="162" t="str">
        <f t="shared" si="28"/>
        <v xml:space="preserve">16+027M50HS-266 </v>
      </c>
      <c r="J225" s="162" t="str">
        <f t="shared" si="29"/>
        <v>16</v>
      </c>
      <c r="K225" s="162" t="str">
        <f t="shared" si="30"/>
        <v xml:space="preserve">027M50HS-266 </v>
      </c>
      <c r="L225" s="162" t="str">
        <f t="shared" si="31"/>
        <v>027</v>
      </c>
      <c r="M225" s="166" t="e">
        <f>IF(J225='Ціни контур теплопостачання'!$B$123,L225*'Ціни контур теплопостачання'!$C$123*'Ціни контур теплопостачання'!$E$123*'Ціни контур теплопостачання'!$F$123+'Ціни контур теплопостачання'!$D$123,IF(J225='Ціни контур теплопостачання'!$B$124,L225*'Ціни контур теплопостачання'!$C$124*'Ціни контур теплопостачання'!$E$124*'Ціни контур теплопостачання'!$F$124+'Ціни контур теплопостачання'!$D$124,IF(J225='Ціни контур теплопостачання'!$B$125,L225*'Ціни контур теплопостачання'!$C$125*'Ціни контур теплопостачання'!$E$125*'Ціни контур теплопостачання'!$F$125+'Ціни контур теплопостачання'!$D$125,IF(J225='Ціни контур теплопостачання'!$B$126,L225*'Ціни контур теплопостачання'!$C$126*'Ціни контур теплопостачання'!$E$126*'Ціни контур теплопостачання'!$F$126+'Ціни контур теплопостачання'!$D$126,IF(J225='Ціни контур теплопостачання'!$B$127,L225*'Ціни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6" spans="1:13">
      <c r="A226" s="168" t="s">
        <v>577</v>
      </c>
      <c r="B226" s="162" t="str">
        <f t="shared" si="24"/>
        <v xml:space="preserve">16+061A00HS-246  </v>
      </c>
      <c r="C226" s="162" t="str">
        <f t="shared" si="25"/>
        <v>16</v>
      </c>
      <c r="D226" s="162" t="str">
        <f t="shared" si="26"/>
        <v xml:space="preserve">061A00HS-246  </v>
      </c>
      <c r="E226" s="162" t="str">
        <f t="shared" si="27"/>
        <v>061</v>
      </c>
      <c r="F226" s="166" t="e">
        <f>IF(C226='Ціни контур теплопостачання'!$B$123,E226*'Ціни контур теплопостачання'!$C$123*'Ціни контур теплопостачання'!$E$123*'Ціни контур теплопостачання'!$F$123+'Ціни контур теплопостачання'!$D$123,IF(C226='Ціни контур теплопостачання'!$B$124,E226*'Ціни контур теплопостачання'!$C$124*'Ціни контур теплопостачання'!$E$124*'Ціни контур теплопостачання'!$F$124+'Ціни контур теплопостачання'!$D$124,IF(C226='Ціни контур теплопостачання'!$B$125,E226*'Ціни контур теплопостачання'!$C$125*'Ціни контур теплопостачання'!$E$125*'Ціни контур теплопостачання'!$F$125+'Ціни контур теплопостачання'!$D$125,IF(C226='Ціни контур теплопостачання'!$B$126,E226*'Ціни контур теплопостачання'!$C$126*'Ціни контур теплопостачання'!$E$126*'Ціни контур теплопостачання'!$F$126+'Ціни контур теплопостачання'!$D$126,IF(C226='Ціни контур теплопостачання'!$B$127,E226*'Ціни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6" s="170" t="s">
        <v>289</v>
      </c>
      <c r="I226" s="162" t="str">
        <f t="shared" si="28"/>
        <v xml:space="preserve">16+027M50HS-245 </v>
      </c>
      <c r="J226" s="162" t="str">
        <f t="shared" si="29"/>
        <v>16</v>
      </c>
      <c r="K226" s="162" t="str">
        <f t="shared" si="30"/>
        <v xml:space="preserve">027M50HS-245 </v>
      </c>
      <c r="L226" s="162" t="str">
        <f t="shared" si="31"/>
        <v>027</v>
      </c>
      <c r="M226" s="166" t="e">
        <f>IF(J226='Ціни контур теплопостачання'!$B$123,L226*'Ціни контур теплопостачання'!$C$123*'Ціни контур теплопостачання'!$E$123*'Ціни контур теплопостачання'!$F$123+'Ціни контур теплопостачання'!$D$123,IF(J226='Ціни контур теплопостачання'!$B$124,L226*'Ціни контур теплопостачання'!$C$124*'Ціни контур теплопостачання'!$E$124*'Ціни контур теплопостачання'!$F$124+'Ціни контур теплопостачання'!$D$124,IF(J226='Ціни контур теплопостачання'!$B$125,L226*'Ціни контур теплопостачання'!$C$125*'Ціни контур теплопостачання'!$E$125*'Ціни контур теплопостачання'!$F$125+'Ціни контур теплопостачання'!$D$125,IF(J226='Ціни контур теплопостачання'!$B$126,L226*'Ціни контур теплопостачання'!$C$126*'Ціни контур теплопостачання'!$E$126*'Ціни контур теплопостачання'!$F$126+'Ціни контур теплопостачання'!$D$126,IF(J226='Ціни контур теплопостачання'!$B$127,L226*'Ціни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7" spans="1:13">
      <c r="A227" s="168" t="s">
        <v>578</v>
      </c>
      <c r="B227" s="162" t="str">
        <f t="shared" si="24"/>
        <v xml:space="preserve">16+049A00HS-200  </v>
      </c>
      <c r="C227" s="162" t="str">
        <f t="shared" si="25"/>
        <v>16</v>
      </c>
      <c r="D227" s="162" t="str">
        <f t="shared" si="26"/>
        <v xml:space="preserve">049A00HS-200  </v>
      </c>
      <c r="E227" s="162" t="str">
        <f t="shared" si="27"/>
        <v>049</v>
      </c>
      <c r="F227" s="166" t="e">
        <f>IF(C227='Ціни контур теплопостачання'!$B$123,E227*'Ціни контур теплопостачання'!$C$123*'Ціни контур теплопостачання'!$E$123*'Ціни контур теплопостачання'!$F$123+'Ціни контур теплопостачання'!$D$123,IF(C227='Ціни контур теплопостачання'!$B$124,E227*'Ціни контур теплопостачання'!$C$124*'Ціни контур теплопостачання'!$E$124*'Ціни контур теплопостачання'!$F$124+'Ціни контур теплопостачання'!$D$124,IF(C227='Ціни контур теплопостачання'!$B$125,E227*'Ціни контур теплопостачання'!$C$125*'Ціни контур теплопостачання'!$E$125*'Ціни контур теплопостачання'!$F$125+'Ціни контур теплопостачання'!$D$125,IF(C227='Ціни контур теплопостачання'!$B$126,E227*'Ціни контур теплопостачання'!$C$126*'Ціни контур теплопостачання'!$E$126*'Ціни контур теплопостачання'!$F$126+'Ціни контур теплопостачання'!$D$126,IF(C227='Ціни контур теплопостачання'!$B$127,E227*'Ціни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7" s="170" t="s">
        <v>308</v>
      </c>
      <c r="I227" s="162" t="str">
        <f t="shared" si="28"/>
        <v xml:space="preserve">16+025M50HS-232 </v>
      </c>
      <c r="J227" s="162" t="str">
        <f t="shared" si="29"/>
        <v>16</v>
      </c>
      <c r="K227" s="162" t="str">
        <f t="shared" si="30"/>
        <v xml:space="preserve">025M50HS-232 </v>
      </c>
      <c r="L227" s="162" t="str">
        <f t="shared" si="31"/>
        <v>025</v>
      </c>
      <c r="M227" s="166" t="e">
        <f>IF(J227='Ціни контур теплопостачання'!$B$123,L227*'Ціни контур теплопостачання'!$C$123*'Ціни контур теплопостачання'!$E$123*'Ціни контур теплопостачання'!$F$123+'Ціни контур теплопостачання'!$D$123,IF(J227='Ціни контур теплопостачання'!$B$124,L227*'Ціни контур теплопостачання'!$C$124*'Ціни контур теплопостачання'!$E$124*'Ціни контур теплопостачання'!$F$124+'Ціни контур теплопостачання'!$D$124,IF(J227='Ціни контур теплопостачання'!$B$125,L227*'Ціни контур теплопостачання'!$C$125*'Ціни контур теплопостачання'!$E$125*'Ціни контур теплопостачання'!$F$125+'Ціни контур теплопостачання'!$D$125,IF(J227='Ціни контур теплопостачання'!$B$126,L227*'Ціни контур теплопостачання'!$C$126*'Ціни контур теплопостачання'!$E$126*'Ціни контур теплопостачання'!$F$126+'Ціни контур теплопостачання'!$D$126,IF(J227='Ціни контур теплопостачання'!$B$127,L227*'Ціни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8" spans="1:13">
      <c r="A228" s="168" t="s">
        <v>579</v>
      </c>
      <c r="B228" s="162" t="str">
        <f t="shared" si="24"/>
        <v xml:space="preserve">16+067A00HS-273  </v>
      </c>
      <c r="C228" s="162" t="str">
        <f t="shared" si="25"/>
        <v>16</v>
      </c>
      <c r="D228" s="162" t="str">
        <f t="shared" si="26"/>
        <v xml:space="preserve">067A00HS-273  </v>
      </c>
      <c r="E228" s="162" t="str">
        <f t="shared" si="27"/>
        <v>067</v>
      </c>
      <c r="F228" s="166" t="e">
        <f>IF(C228='Ціни контур теплопостачання'!$B$123,E228*'Ціни контур теплопостачання'!$C$123*'Ціни контур теплопостачання'!$E$123*'Ціни контур теплопостачання'!$F$123+'Ціни контур теплопостачання'!$D$123,IF(C228='Ціни контур теплопостачання'!$B$124,E228*'Ціни контур теплопостачання'!$C$124*'Ціни контур теплопостачання'!$E$124*'Ціни контур теплопостачання'!$F$124+'Ціни контур теплопостачання'!$D$124,IF(C228='Ціни контур теплопостачання'!$B$125,E228*'Ціни контур теплопостачання'!$C$125*'Ціни контур теплопостачання'!$E$125*'Ціни контур теплопостачання'!$F$125+'Ціни контур теплопостачання'!$D$125,IF(C228='Ціни контур теплопостачання'!$B$126,E228*'Ціни контур теплопостачання'!$C$126*'Ціни контур теплопостачання'!$E$126*'Ціни контур теплопостачання'!$F$126+'Ціни контур теплопостачання'!$D$126,IF(C228='Ціни контур теплопостачання'!$B$127,E228*'Ціни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8" s="170" t="s">
        <v>202</v>
      </c>
      <c r="I228" s="162" t="str">
        <f t="shared" si="28"/>
        <v xml:space="preserve">16+031M50HS-305 </v>
      </c>
      <c r="J228" s="162" t="str">
        <f t="shared" si="29"/>
        <v>16</v>
      </c>
      <c r="K228" s="162" t="str">
        <f t="shared" si="30"/>
        <v xml:space="preserve">031M50HS-305 </v>
      </c>
      <c r="L228" s="162" t="str">
        <f t="shared" si="31"/>
        <v>031</v>
      </c>
      <c r="M228" s="166" t="e">
        <f>IF(J228='Ціни контур теплопостачання'!$B$123,L228*'Ціни контур теплопостачання'!$C$123*'Ціни контур теплопостачання'!$E$123*'Ціни контур теплопостачання'!$F$123+'Ціни контур теплопостачання'!$D$123,IF(J228='Ціни контур теплопостачання'!$B$124,L228*'Ціни контур теплопостачання'!$C$124*'Ціни контур теплопостачання'!$E$124*'Ціни контур теплопостачання'!$F$124+'Ціни контур теплопостачання'!$D$124,IF(J228='Ціни контур теплопостачання'!$B$125,L228*'Ціни контур теплопостачання'!$C$125*'Ціни контур теплопостачання'!$E$125*'Ціни контур теплопостачання'!$F$125+'Ціни контур теплопостачання'!$D$125,IF(J228='Ціни контур теплопостачання'!$B$126,L228*'Ціни контур теплопостачання'!$C$126*'Ціни контур теплопостачання'!$E$126*'Ціни контур теплопостачання'!$F$126+'Ціни контур теплопостачання'!$D$126,IF(J228='Ціни контур теплопостачання'!$B$127,L228*'Ціни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29" spans="1:13">
      <c r="A229" s="168" t="s">
        <v>580</v>
      </c>
      <c r="B229" s="162" t="str">
        <f t="shared" si="24"/>
        <v xml:space="preserve">16+067A00HS-262  </v>
      </c>
      <c r="C229" s="162" t="str">
        <f t="shared" si="25"/>
        <v>16</v>
      </c>
      <c r="D229" s="162" t="str">
        <f t="shared" si="26"/>
        <v xml:space="preserve">067A00HS-262  </v>
      </c>
      <c r="E229" s="162" t="str">
        <f t="shared" si="27"/>
        <v>067</v>
      </c>
      <c r="F229" s="166" t="e">
        <f>IF(C229='Ціни контур теплопостачання'!$B$123,E229*'Ціни контур теплопостачання'!$C$123*'Ціни контур теплопостачання'!$E$123*'Ціни контур теплопостачання'!$F$123+'Ціни контур теплопостачання'!$D$123,IF(C229='Ціни контур теплопостачання'!$B$124,E229*'Ціни контур теплопостачання'!$C$124*'Ціни контур теплопостачання'!$E$124*'Ціни контур теплопостачання'!$F$124+'Ціни контур теплопостачання'!$D$124,IF(C229='Ціни контур теплопостачання'!$B$125,E229*'Ціни контур теплопостачання'!$C$125*'Ціни контур теплопостачання'!$E$125*'Ціни контур теплопостачання'!$F$125+'Ціни контур теплопостачання'!$D$125,IF(C229='Ціни контур теплопостачання'!$B$126,E229*'Ціни контур теплопостачання'!$C$126*'Ціни контур теплопостачання'!$E$126*'Ціни контур теплопостачання'!$F$126+'Ціни контур теплопостачання'!$D$126,IF(C229='Ціни контур теплопостачання'!$B$127,E229*'Ціни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29" s="170" t="s">
        <v>312</v>
      </c>
      <c r="I229" s="162" t="str">
        <f t="shared" si="28"/>
        <v xml:space="preserve">16+031M50HS-292 </v>
      </c>
      <c r="J229" s="162" t="str">
        <f t="shared" si="29"/>
        <v>16</v>
      </c>
      <c r="K229" s="162" t="str">
        <f t="shared" si="30"/>
        <v xml:space="preserve">031M50HS-292 </v>
      </c>
      <c r="L229" s="162" t="str">
        <f t="shared" si="31"/>
        <v>031</v>
      </c>
      <c r="M229" s="166" t="e">
        <f>IF(J229='Ціни контур теплопостачання'!$B$123,L229*'Ціни контур теплопостачання'!$C$123*'Ціни контур теплопостачання'!$E$123*'Ціни контур теплопостачання'!$F$123+'Ціни контур теплопостачання'!$D$123,IF(J229='Ціни контур теплопостачання'!$B$124,L229*'Ціни контур теплопостачання'!$C$124*'Ціни контур теплопостачання'!$E$124*'Ціни контур теплопостачання'!$F$124+'Ціни контур теплопостачання'!$D$124,IF(J229='Ціни контур теплопостачання'!$B$125,L229*'Ціни контур теплопостачання'!$C$125*'Ціни контур теплопостачання'!$E$125*'Ціни контур теплопостачання'!$F$125+'Ціни контур теплопостачання'!$D$125,IF(J229='Ціни контур теплопостачання'!$B$126,L229*'Ціни контур теплопостачання'!$C$126*'Ціни контур теплопостачання'!$E$126*'Ціни контур теплопостачання'!$F$126+'Ціни контур теплопостачання'!$D$126,IF(J229='Ціни контур теплопостачання'!$B$127,L229*'Ціни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0" spans="1:13">
      <c r="A230" s="168" t="s">
        <v>581</v>
      </c>
      <c r="B230" s="162" t="str">
        <f t="shared" si="24"/>
        <v xml:space="preserve">16+067A00HS-267  </v>
      </c>
      <c r="C230" s="162" t="str">
        <f t="shared" si="25"/>
        <v>16</v>
      </c>
      <c r="D230" s="162" t="str">
        <f t="shared" si="26"/>
        <v xml:space="preserve">067A00HS-267  </v>
      </c>
      <c r="E230" s="162" t="str">
        <f t="shared" si="27"/>
        <v>067</v>
      </c>
      <c r="F230" s="166" t="e">
        <f>IF(C230='Ціни контур теплопостачання'!$B$123,E230*'Ціни контур теплопостачання'!$C$123*'Ціни контур теплопостачання'!$E$123*'Ціни контур теплопостачання'!$F$123+'Ціни контур теплопостачання'!$D$123,IF(C230='Ціни контур теплопостачання'!$B$124,E230*'Ціни контур теплопостачання'!$C$124*'Ціни контур теплопостачання'!$E$124*'Ціни контур теплопостачання'!$F$124+'Ціни контур теплопостачання'!$D$124,IF(C230='Ціни контур теплопостачання'!$B$125,E230*'Ціни контур теплопостачання'!$C$125*'Ціни контур теплопостачання'!$E$125*'Ціни контур теплопостачання'!$F$125+'Ціни контур теплопостачання'!$D$125,IF(C230='Ціни контур теплопостачання'!$B$126,E230*'Ціни контур теплопостачання'!$C$126*'Ціни контур теплопостачання'!$E$126*'Ціни контур теплопостачання'!$F$126+'Ціни контур теплопостачання'!$D$126,IF(C230='Ціни контур теплопостачання'!$B$127,E230*'Ціни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0" s="170" t="s">
        <v>265</v>
      </c>
      <c r="I230" s="162" t="str">
        <f t="shared" si="28"/>
        <v xml:space="preserve">16+029M50HS-277 </v>
      </c>
      <c r="J230" s="162" t="str">
        <f t="shared" si="29"/>
        <v>16</v>
      </c>
      <c r="K230" s="162" t="str">
        <f t="shared" si="30"/>
        <v xml:space="preserve">029M50HS-277 </v>
      </c>
      <c r="L230" s="162" t="str">
        <f t="shared" si="31"/>
        <v>029</v>
      </c>
      <c r="M230" s="166" t="e">
        <f>IF(J230='Ціни контур теплопостачання'!$B$123,L230*'Ціни контур теплопостачання'!$C$123*'Ціни контур теплопостачання'!$E$123*'Ціни контур теплопостачання'!$F$123+'Ціни контур теплопостачання'!$D$123,IF(J230='Ціни контур теплопостачання'!$B$124,L230*'Ціни контур теплопостачання'!$C$124*'Ціни контур теплопостачання'!$E$124*'Ціни контур теплопостачання'!$F$124+'Ціни контур теплопостачання'!$D$124,IF(J230='Ціни контур теплопостачання'!$B$125,L230*'Ціни контур теплопостачання'!$C$125*'Ціни контур теплопостачання'!$E$125*'Ціни контур теплопостачання'!$F$125+'Ціни контур теплопостачання'!$D$125,IF(J230='Ціни контур теплопостачання'!$B$126,L230*'Ціни контур теплопостачання'!$C$126*'Ціни контур теплопостачання'!$E$126*'Ціни контур теплопостачання'!$F$126+'Ціни контур теплопостачання'!$D$126,IF(J230='Ціни контур теплопостачання'!$B$127,L230*'Ціни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1" spans="1:13">
      <c r="A231" s="168" t="s">
        <v>580</v>
      </c>
      <c r="B231" s="162" t="str">
        <f t="shared" si="24"/>
        <v xml:space="preserve">16+067A00HS-262  </v>
      </c>
      <c r="C231" s="162" t="str">
        <f t="shared" si="25"/>
        <v>16</v>
      </c>
      <c r="D231" s="162" t="str">
        <f t="shared" si="26"/>
        <v xml:space="preserve">067A00HS-262  </v>
      </c>
      <c r="E231" s="162" t="str">
        <f t="shared" si="27"/>
        <v>067</v>
      </c>
      <c r="F231" s="166" t="e">
        <f>IF(C231='Ціни контур теплопостачання'!$B$123,E231*'Ціни контур теплопостачання'!$C$123*'Ціни контур теплопостачання'!$E$123*'Ціни контур теплопостачання'!$F$123+'Ціни контур теплопостачання'!$D$123,IF(C231='Ціни контур теплопостачання'!$B$124,E231*'Ціни контур теплопостачання'!$C$124*'Ціни контур теплопостачання'!$E$124*'Ціни контур теплопостачання'!$F$124+'Ціни контур теплопостачання'!$D$124,IF(C231='Ціни контур теплопостачання'!$B$125,E231*'Ціни контур теплопостачання'!$C$125*'Ціни контур теплопостачання'!$E$125*'Ціни контур теплопостачання'!$F$125+'Ціни контур теплопостачання'!$D$125,IF(C231='Ціни контур теплопостачання'!$B$126,E231*'Ціни контур теплопостачання'!$C$126*'Ціни контур теплопостачання'!$E$126*'Ціни контур теплопостачання'!$F$126+'Ціни контур теплопостачання'!$D$126,IF(C231='Ціни контур теплопостачання'!$B$127,E231*'Ціни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1" s="170" t="s">
        <v>271</v>
      </c>
      <c r="I231" s="162" t="str">
        <f t="shared" si="28"/>
        <v xml:space="preserve">16+033M50HS-316 </v>
      </c>
      <c r="J231" s="162" t="str">
        <f t="shared" si="29"/>
        <v>16</v>
      </c>
      <c r="K231" s="162" t="str">
        <f t="shared" si="30"/>
        <v xml:space="preserve">033M50HS-316 </v>
      </c>
      <c r="L231" s="162" t="str">
        <f t="shared" si="31"/>
        <v>033</v>
      </c>
      <c r="M231" s="166" t="e">
        <f>IF(J231='Ціни контур теплопостачання'!$B$123,L231*'Ціни контур теплопостачання'!$C$123*'Ціни контур теплопостачання'!$E$123*'Ціни контур теплопостачання'!$F$123+'Ціни контур теплопостачання'!$D$123,IF(J231='Ціни контур теплопостачання'!$B$124,L231*'Ціни контур теплопостачання'!$C$124*'Ціни контур теплопостачання'!$E$124*'Ціни контур теплопостачання'!$F$124+'Ціни контур теплопостачання'!$D$124,IF(J231='Ціни контур теплопостачання'!$B$125,L231*'Ціни контур теплопостачання'!$C$125*'Ціни контур теплопостачання'!$E$125*'Ціни контур теплопостачання'!$F$125+'Ціни контур теплопостачання'!$D$125,IF(J231='Ціни контур теплопостачання'!$B$126,L231*'Ціни контур теплопостачання'!$C$126*'Ціни контур теплопостачання'!$E$126*'Ціни контур теплопостачання'!$F$126+'Ціни контур теплопостачання'!$D$126,IF(J231='Ціни контур теплопостачання'!$B$127,L231*'Ціни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2" spans="1:13">
      <c r="A232" s="168" t="s">
        <v>582</v>
      </c>
      <c r="B232" s="162" t="str">
        <f t="shared" si="24"/>
        <v xml:space="preserve">16+019A00HS-67  </v>
      </c>
      <c r="C232" s="162" t="str">
        <f t="shared" si="25"/>
        <v>16</v>
      </c>
      <c r="D232" s="162" t="str">
        <f t="shared" si="26"/>
        <v xml:space="preserve">019A00HS-67  </v>
      </c>
      <c r="E232" s="162" t="str">
        <f t="shared" si="27"/>
        <v>019</v>
      </c>
      <c r="F232" s="166" t="e">
        <f>IF(C232='Ціни контур теплопостачання'!$B$123,E232*'Ціни контур теплопостачання'!$C$123*'Ціни контур теплопостачання'!$E$123*'Ціни контур теплопостачання'!$F$123+'Ціни контур теплопостачання'!$D$123,IF(C232='Ціни контур теплопостачання'!$B$124,E232*'Ціни контур теплопостачання'!$C$124*'Ціни контур теплопостачання'!$E$124*'Ціни контур теплопостачання'!$F$124+'Ціни контур теплопостачання'!$D$124,IF(C232='Ціни контур теплопостачання'!$B$125,E232*'Ціни контур теплопостачання'!$C$125*'Ціни контур теплопостачання'!$E$125*'Ціни контур теплопостачання'!$F$125+'Ціни контур теплопостачання'!$D$125,IF(C232='Ціни контур теплопостачання'!$B$126,E232*'Ціни контур теплопостачання'!$C$126*'Ціни контур теплопостачання'!$E$126*'Ціни контур теплопостачання'!$F$126+'Ціни контур теплопостачання'!$D$126,IF(C232='Ціни контур теплопостачання'!$B$127,E232*'Ціни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2" s="170" t="s">
        <v>313</v>
      </c>
      <c r="I232" s="162" t="str">
        <f t="shared" si="28"/>
        <v xml:space="preserve">08+019A00HS-114 </v>
      </c>
      <c r="J232" s="162" t="str">
        <f t="shared" si="29"/>
        <v>08</v>
      </c>
      <c r="K232" s="162" t="str">
        <f t="shared" si="30"/>
        <v xml:space="preserve">019A00HS-114 </v>
      </c>
      <c r="L232" s="162" t="str">
        <f t="shared" si="31"/>
        <v>019</v>
      </c>
      <c r="M232" s="166" t="e">
        <f>IF(J232='Ціни контур теплопостачання'!$B$123,L232*'Ціни контур теплопостачання'!$C$123*'Ціни контур теплопостачання'!$E$123*'Ціни контур теплопостачання'!$F$123+'Ціни контур теплопостачання'!$D$123,IF(J232='Ціни контур теплопостачання'!$B$124,L232*'Ціни контур теплопостачання'!$C$124*'Ціни контур теплопостачання'!$E$124*'Ціни контур теплопостачання'!$F$124+'Ціни контур теплопостачання'!$D$124,IF(J232='Ціни контур теплопостачання'!$B$125,L232*'Ціни контур теплопостачання'!$C$125*'Ціни контур теплопостачання'!$E$125*'Ціни контур теплопостачання'!$F$125+'Ціни контур теплопостачання'!$D$125,IF(J232='Ціни контур теплопостачання'!$B$126,L232*'Ціни контур теплопостачання'!$C$126*'Ціни контур теплопостачання'!$E$126*'Ціни контур теплопостачання'!$F$126+'Ціни контур теплопостачання'!$D$126,IF(J232='Ціни контур теплопостачання'!$B$127,L232*'Ціни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3" spans="1:13">
      <c r="A233" s="168" t="s">
        <v>582</v>
      </c>
      <c r="B233" s="162" t="str">
        <f t="shared" si="24"/>
        <v xml:space="preserve">16+019A00HS-67  </v>
      </c>
      <c r="C233" s="162" t="str">
        <f t="shared" si="25"/>
        <v>16</v>
      </c>
      <c r="D233" s="162" t="str">
        <f t="shared" si="26"/>
        <v xml:space="preserve">019A00HS-67  </v>
      </c>
      <c r="E233" s="162" t="str">
        <f t="shared" si="27"/>
        <v>019</v>
      </c>
      <c r="F233" s="166" t="e">
        <f>IF(C233='Ціни контур теплопостачання'!$B$123,E233*'Ціни контур теплопостачання'!$C$123*'Ціни контур теплопостачання'!$E$123*'Ціни контур теплопостачання'!$F$123+'Ціни контур теплопостачання'!$D$123,IF(C233='Ціни контур теплопостачання'!$B$124,E233*'Ціни контур теплопостачання'!$C$124*'Ціни контур теплопостачання'!$E$124*'Ціни контур теплопостачання'!$F$124+'Ціни контур теплопостачання'!$D$124,IF(C233='Ціни контур теплопостачання'!$B$125,E233*'Ціни контур теплопостачання'!$C$125*'Ціни контур теплопостачання'!$E$125*'Ціни контур теплопостачання'!$F$125+'Ціни контур теплопостачання'!$D$125,IF(C233='Ціни контур теплопостачання'!$B$126,E233*'Ціни контур теплопостачання'!$C$126*'Ціни контур теплопостачання'!$E$126*'Ціни контур теплопостачання'!$F$126+'Ціни контур теплопостачання'!$D$126,IF(C233='Ціни контур теплопостачання'!$B$127,E233*'Ціни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3" s="170" t="s">
        <v>313</v>
      </c>
      <c r="I233" s="162" t="str">
        <f t="shared" si="28"/>
        <v xml:space="preserve">08+019A00HS-114 </v>
      </c>
      <c r="J233" s="162" t="str">
        <f t="shared" si="29"/>
        <v>08</v>
      </c>
      <c r="K233" s="162" t="str">
        <f t="shared" si="30"/>
        <v xml:space="preserve">019A00HS-114 </v>
      </c>
      <c r="L233" s="162" t="str">
        <f t="shared" si="31"/>
        <v>019</v>
      </c>
      <c r="M233" s="166" t="e">
        <f>IF(J233='Ціни контур теплопостачання'!$B$123,L233*'Ціни контур теплопостачання'!$C$123*'Ціни контур теплопостачання'!$E$123*'Ціни контур теплопостачання'!$F$123+'Ціни контур теплопостачання'!$D$123,IF(J233='Ціни контур теплопостачання'!$B$124,L233*'Ціни контур теплопостачання'!$C$124*'Ціни контур теплопостачання'!$E$124*'Ціни контур теплопостачання'!$F$124+'Ціни контур теплопостачання'!$D$124,IF(J233='Ціни контур теплопостачання'!$B$125,L233*'Ціни контур теплопостачання'!$C$125*'Ціни контур теплопостачання'!$E$125*'Ціни контур теплопостачання'!$F$125+'Ціни контур теплопостачання'!$D$125,IF(J233='Ціни контур теплопостачання'!$B$126,L233*'Ціни контур теплопостачання'!$C$126*'Ціни контур теплопостачання'!$E$126*'Ціни контур теплопостачання'!$F$126+'Ціни контур теплопостачання'!$D$126,IF(J233='Ціни контур теплопостачання'!$B$127,L233*'Ціни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4" spans="1:13">
      <c r="A234" s="168" t="s">
        <v>583</v>
      </c>
      <c r="B234" s="162" t="str">
        <f t="shared" si="24"/>
        <v xml:space="preserve">16+095A00HS-401 </v>
      </c>
      <c r="C234" s="162" t="str">
        <f t="shared" si="25"/>
        <v>16</v>
      </c>
      <c r="D234" s="162" t="str">
        <f t="shared" si="26"/>
        <v xml:space="preserve">095A00HS-401 </v>
      </c>
      <c r="E234" s="162" t="str">
        <f t="shared" si="27"/>
        <v>095</v>
      </c>
      <c r="F234" s="166" t="e">
        <f>IF(C234='Ціни контур теплопостачання'!$B$123,E234*'Ціни контур теплопостачання'!$C$123*'Ціни контур теплопостачання'!$E$123*'Ціни контур теплопостачання'!$F$123+'Ціни контур теплопостачання'!$D$123,IF(C234='Ціни контур теплопостачання'!$B$124,E234*'Ціни контур теплопостачання'!$C$124*'Ціни контур теплопостачання'!$E$124*'Ціни контур теплопостачання'!$F$124+'Ціни контур теплопостачання'!$D$124,IF(C234='Ціни контур теплопостачання'!$B$125,E234*'Ціни контур теплопостачання'!$C$125*'Ціни контур теплопостачання'!$E$125*'Ціни контур теплопостачання'!$F$125+'Ціни контур теплопостачання'!$D$125,IF(C234='Ціни контур теплопостачання'!$B$126,E234*'Ціни контур теплопостачання'!$C$126*'Ціни контур теплопостачання'!$E$126*'Ціни контур теплопостачання'!$F$126+'Ціни контур теплопостачання'!$D$126,IF(C234='Ціни контур теплопостачання'!$B$127,E234*'Ціни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4" s="170" t="s">
        <v>266</v>
      </c>
      <c r="I234" s="162" t="str">
        <f t="shared" si="28"/>
        <v xml:space="preserve">16+039M50HS-377 </v>
      </c>
      <c r="J234" s="162" t="str">
        <f t="shared" si="29"/>
        <v>16</v>
      </c>
      <c r="K234" s="162" t="str">
        <f t="shared" si="30"/>
        <v xml:space="preserve">039M50HS-377 </v>
      </c>
      <c r="L234" s="162" t="str">
        <f t="shared" si="31"/>
        <v>039</v>
      </c>
      <c r="M234" s="166" t="e">
        <f>IF(J234='Ціни контур теплопостачання'!$B$123,L234*'Ціни контур теплопостачання'!$C$123*'Ціни контур теплопостачання'!$E$123*'Ціни контур теплопостачання'!$F$123+'Ціни контур теплопостачання'!$D$123,IF(J234='Ціни контур теплопостачання'!$B$124,L234*'Ціни контур теплопостачання'!$C$124*'Ціни контур теплопостачання'!$E$124*'Ціни контур теплопостачання'!$F$124+'Ціни контур теплопостачання'!$D$124,IF(J234='Ціни контур теплопостачання'!$B$125,L234*'Ціни контур теплопостачання'!$C$125*'Ціни контур теплопостачання'!$E$125*'Ціни контур теплопостачання'!$F$125+'Ціни контур теплопостачання'!$D$125,IF(J234='Ціни контур теплопостачання'!$B$126,L234*'Ціни контур теплопостачання'!$C$126*'Ціни контур теплопостачання'!$E$126*'Ціни контур теплопостачання'!$F$126+'Ціни контур теплопостачання'!$D$126,IF(J234='Ціни контур теплопостачання'!$B$127,L234*'Ціни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5" spans="1:13">
      <c r="A235" s="168" t="s">
        <v>621</v>
      </c>
      <c r="B235" s="162" t="str">
        <f t="shared" si="24"/>
        <v xml:space="preserve">16+077A00HS-324 </v>
      </c>
      <c r="C235" s="162" t="str">
        <f t="shared" si="25"/>
        <v>16</v>
      </c>
      <c r="D235" s="162" t="str">
        <f t="shared" si="26"/>
        <v xml:space="preserve">077A00HS-324 </v>
      </c>
      <c r="E235" s="162" t="str">
        <f t="shared" si="27"/>
        <v>077</v>
      </c>
      <c r="F235" s="166" t="e">
        <f>IF(C235='Ціни контур теплопостачання'!$B$123,E235*'Ціни контур теплопостачання'!$C$123*'Ціни контур теплопостачання'!$E$123*'Ціни контур теплопостачання'!$F$123+'Ціни контур теплопостачання'!$D$123,IF(C235='Ціни контур теплопостачання'!$B$124,E235*'Ціни контур теплопостачання'!$C$124*'Ціни контур теплопостачання'!$E$124*'Ціни контур теплопостачання'!$F$124+'Ціни контур теплопостачання'!$D$124,IF(C235='Ціни контур теплопостачання'!$B$125,E235*'Ціни контур теплопостачання'!$C$125*'Ціни контур теплопостачання'!$E$125*'Ціни контур теплопостачання'!$F$125+'Ціни контур теплопостачання'!$D$125,IF(C235='Ціни контур теплопостачання'!$B$126,E235*'Ціни контур теплопостачання'!$C$126*'Ціни контур теплопостачання'!$E$126*'Ціни контур теплопостачання'!$F$126+'Ціни контур теплопостачання'!$D$126,IF(C235='Ціни контур теплопостачання'!$B$127,E235*'Ціни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5" s="170" t="s">
        <v>314</v>
      </c>
      <c r="I235" s="162" t="str">
        <f t="shared" si="28"/>
        <v xml:space="preserve">16+029M50HS-271 </v>
      </c>
      <c r="J235" s="162" t="str">
        <f t="shared" si="29"/>
        <v>16</v>
      </c>
      <c r="K235" s="162" t="str">
        <f t="shared" si="30"/>
        <v xml:space="preserve">029M50HS-271 </v>
      </c>
      <c r="L235" s="162" t="str">
        <f t="shared" si="31"/>
        <v>029</v>
      </c>
      <c r="M235" s="166" t="e">
        <f>IF(J235='Ціни контур теплопостачання'!$B$123,L235*'Ціни контур теплопостачання'!$C$123*'Ціни контур теплопостачання'!$E$123*'Ціни контур теплопостачання'!$F$123+'Ціни контур теплопостачання'!$D$123,IF(J235='Ціни контур теплопостачання'!$B$124,L235*'Ціни контур теплопостачання'!$C$124*'Ціни контур теплопостачання'!$E$124*'Ціни контур теплопостачання'!$F$124+'Ціни контур теплопостачання'!$D$124,IF(J235='Ціни контур теплопостачання'!$B$125,L235*'Ціни контур теплопостачання'!$C$125*'Ціни контур теплопостачання'!$E$125*'Ціни контур теплопостачання'!$F$125+'Ціни контур теплопостачання'!$D$125,IF(J235='Ціни контур теплопостачання'!$B$126,L235*'Ціни контур теплопостачання'!$C$126*'Ціни контур теплопостачання'!$E$126*'Ціни контур теплопостачання'!$F$126+'Ціни контур теплопостачання'!$D$126,IF(J235='Ціни контур теплопостачання'!$B$127,L235*'Ціни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6" spans="1:13">
      <c r="A236" s="168" t="s">
        <v>584</v>
      </c>
      <c r="B236" s="162" t="str">
        <f t="shared" si="24"/>
        <v xml:space="preserve">16+061A00HS-243  </v>
      </c>
      <c r="C236" s="162" t="str">
        <f t="shared" si="25"/>
        <v>16</v>
      </c>
      <c r="D236" s="162" t="str">
        <f t="shared" si="26"/>
        <v xml:space="preserve">061A00HS-243  </v>
      </c>
      <c r="E236" s="162" t="str">
        <f t="shared" si="27"/>
        <v>061</v>
      </c>
      <c r="F236" s="166" t="e">
        <f>IF(C236='Ціни контур теплопостачання'!$B$123,E236*'Ціни контур теплопостачання'!$C$123*'Ціни контур теплопостачання'!$E$123*'Ціни контур теплопостачання'!$F$123+'Ціни контур теплопостачання'!$D$123,IF(C236='Ціни контур теплопостачання'!$B$124,E236*'Ціни контур теплопостачання'!$C$124*'Ціни контур теплопостачання'!$E$124*'Ціни контур теплопостачання'!$F$124+'Ціни контур теплопостачання'!$D$124,IF(C236='Ціни контур теплопостачання'!$B$125,E236*'Ціни контур теплопостачання'!$C$125*'Ціни контур теплопостачання'!$E$125*'Ціни контур теплопостачання'!$F$125+'Ціни контур теплопостачання'!$D$125,IF(C236='Ціни контур теплопостачання'!$B$126,E236*'Ціни контур теплопостачання'!$C$126*'Ціни контур теплопостачання'!$E$126*'Ціни контур теплопостачання'!$F$126+'Ціни контур теплопостачання'!$D$126,IF(C236='Ціни контур теплопостачання'!$B$127,E236*'Ціни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6" s="170" t="s">
        <v>315</v>
      </c>
      <c r="I236" s="162" t="str">
        <f t="shared" si="28"/>
        <v xml:space="preserve">16+023M50HS-203 </v>
      </c>
      <c r="J236" s="162" t="str">
        <f t="shared" si="29"/>
        <v>16</v>
      </c>
      <c r="K236" s="162" t="str">
        <f t="shared" si="30"/>
        <v xml:space="preserve">023M50HS-203 </v>
      </c>
      <c r="L236" s="162" t="str">
        <f t="shared" si="31"/>
        <v>023</v>
      </c>
      <c r="M236" s="166" t="e">
        <f>IF(J236='Ціни контур теплопостачання'!$B$123,L236*'Ціни контур теплопостачання'!$C$123*'Ціни контур теплопостачання'!$E$123*'Ціни контур теплопостачання'!$F$123+'Ціни контур теплопостачання'!$D$123,IF(J236='Ціни контур теплопостачання'!$B$124,L236*'Ціни контур теплопостачання'!$C$124*'Ціни контур теплопостачання'!$E$124*'Ціни контур теплопостачання'!$F$124+'Ціни контур теплопостачання'!$D$124,IF(J236='Ціни контур теплопостачання'!$B$125,L236*'Ціни контур теплопостачання'!$C$125*'Ціни контур теплопостачання'!$E$125*'Ціни контур теплопостачання'!$F$125+'Ціни контур теплопостачання'!$D$125,IF(J236='Ціни контур теплопостачання'!$B$126,L236*'Ціни контур теплопостачання'!$C$126*'Ціни контур теплопостачання'!$E$126*'Ціни контур теплопостачання'!$F$126+'Ціни контур теплопостачання'!$D$126,IF(J236='Ціни контур теплопостачання'!$B$127,L236*'Ціни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7" spans="1:13">
      <c r="A237" s="168" t="s">
        <v>620</v>
      </c>
      <c r="B237" s="162" t="str">
        <f t="shared" si="24"/>
        <v xml:space="preserve">16+057A00HS-232 </v>
      </c>
      <c r="C237" s="162" t="str">
        <f t="shared" si="25"/>
        <v>16</v>
      </c>
      <c r="D237" s="162" t="str">
        <f t="shared" si="26"/>
        <v xml:space="preserve">057A00HS-232 </v>
      </c>
      <c r="E237" s="162" t="str">
        <f t="shared" si="27"/>
        <v>057</v>
      </c>
      <c r="F237" s="166" t="e">
        <f>IF(C237='Ціни контур теплопостачання'!$B$123,E237*'Ціни контур теплопостачання'!$C$123*'Ціни контур теплопостачання'!$E$123*'Ціни контур теплопостачання'!$F$123+'Ціни контур теплопостачання'!$D$123,IF(C237='Ціни контур теплопостачання'!$B$124,E237*'Ціни контур теплопостачання'!$C$124*'Ціни контур теплопостачання'!$E$124*'Ціни контур теплопостачання'!$F$124+'Ціни контур теплопостачання'!$D$124,IF(C237='Ціни контур теплопостачання'!$B$125,E237*'Ціни контур теплопостачання'!$C$125*'Ціни контур теплопостачання'!$E$125*'Ціни контур теплопостачання'!$F$125+'Ціни контур теплопостачання'!$D$125,IF(C237='Ціни контур теплопостачання'!$B$126,E237*'Ціни контур теплопостачання'!$C$126*'Ціни контур теплопостачання'!$E$126*'Ціни контур теплопостачання'!$F$126+'Ціни контур теплопостачання'!$D$126,IF(C237='Ціни контур теплопостачання'!$B$127,E237*'Ціни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7" s="170" t="s">
        <v>316</v>
      </c>
      <c r="I237" s="162" t="str">
        <f t="shared" si="28"/>
        <v xml:space="preserve">16+029M50HS-284 </v>
      </c>
      <c r="J237" s="162" t="str">
        <f t="shared" si="29"/>
        <v>16</v>
      </c>
      <c r="K237" s="162" t="str">
        <f t="shared" si="30"/>
        <v xml:space="preserve">029M50HS-284 </v>
      </c>
      <c r="L237" s="162" t="str">
        <f t="shared" si="31"/>
        <v>029</v>
      </c>
      <c r="M237" s="166" t="e">
        <f>IF(J237='Ціни контур теплопостачання'!$B$123,L237*'Ціни контур теплопостачання'!$C$123*'Ціни контур теплопостачання'!$E$123*'Ціни контур теплопостачання'!$F$123+'Ціни контур теплопостачання'!$D$123,IF(J237='Ціни контур теплопостачання'!$B$124,L237*'Ціни контур теплопостачання'!$C$124*'Ціни контур теплопостачання'!$E$124*'Ціни контур теплопостачання'!$F$124+'Ціни контур теплопостачання'!$D$124,IF(J237='Ціни контур теплопостачання'!$B$125,L237*'Ціни контур теплопостачання'!$C$125*'Ціни контур теплопостачання'!$E$125*'Ціни контур теплопостачання'!$F$125+'Ціни контур теплопостачання'!$D$125,IF(J237='Ціни контур теплопостачання'!$B$126,L237*'Ціни контур теплопостачання'!$C$126*'Ціни контур теплопостачання'!$E$126*'Ціни контур теплопостачання'!$F$126+'Ціни контур теплопостачання'!$D$126,IF(J237='Ціни контур теплопостачання'!$B$127,L237*'Ціни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8" spans="1:13">
      <c r="A238" s="168" t="s">
        <v>585</v>
      </c>
      <c r="B238" s="162" t="str">
        <f t="shared" si="24"/>
        <v xml:space="preserve">16+097A00HS-408  </v>
      </c>
      <c r="C238" s="162" t="str">
        <f t="shared" si="25"/>
        <v>16</v>
      </c>
      <c r="D238" s="162" t="str">
        <f t="shared" si="26"/>
        <v xml:space="preserve">097A00HS-408  </v>
      </c>
      <c r="E238" s="162" t="str">
        <f t="shared" si="27"/>
        <v>097</v>
      </c>
      <c r="F238" s="166" t="e">
        <f>IF(C238='Ціни контур теплопостачання'!$B$123,E238*'Ціни контур теплопостачання'!$C$123*'Ціни контур теплопостачання'!$E$123*'Ціни контур теплопостачання'!$F$123+'Ціни контур теплопостачання'!$D$123,IF(C238='Ціни контур теплопостачання'!$B$124,E238*'Ціни контур теплопостачання'!$C$124*'Ціни контур теплопостачання'!$E$124*'Ціни контур теплопостачання'!$F$124+'Ціни контур теплопостачання'!$D$124,IF(C238='Ціни контур теплопостачання'!$B$125,E238*'Ціни контур теплопостачання'!$C$125*'Ціни контур теплопостачання'!$E$125*'Ціни контур теплопостачання'!$F$125+'Ціни контур теплопостачання'!$D$125,IF(C238='Ціни контур теплопостачання'!$B$126,E238*'Ціни контур теплопостачання'!$C$126*'Ціни контур теплопостачання'!$E$126*'Ціни контур теплопостачання'!$F$126+'Ціни контур теплопостачання'!$D$126,IF(C238='Ціни контур теплопостачання'!$B$127,E238*'Ціни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8" s="170" t="s">
        <v>317</v>
      </c>
      <c r="I238" s="162" t="str">
        <f t="shared" si="28"/>
        <v xml:space="preserve">16+041M50HS-406 </v>
      </c>
      <c r="J238" s="162" t="str">
        <f t="shared" si="29"/>
        <v>16</v>
      </c>
      <c r="K238" s="162" t="str">
        <f t="shared" si="30"/>
        <v xml:space="preserve">041M50HS-406 </v>
      </c>
      <c r="L238" s="162" t="str">
        <f t="shared" si="31"/>
        <v>041</v>
      </c>
      <c r="M238" s="166" t="e">
        <f>IF(J238='Ціни контур теплопостачання'!$B$123,L238*'Ціни контур теплопостачання'!$C$123*'Ціни контур теплопостачання'!$E$123*'Ціни контур теплопостачання'!$F$123+'Ціни контур теплопостачання'!$D$123,IF(J238='Ціни контур теплопостачання'!$B$124,L238*'Ціни контур теплопостачання'!$C$124*'Ціни контур теплопостачання'!$E$124*'Ціни контур теплопостачання'!$F$124+'Ціни контур теплопостачання'!$D$124,IF(J238='Ціни контур теплопостачання'!$B$125,L238*'Ціни контур теплопостачання'!$C$125*'Ціни контур теплопостачання'!$E$125*'Ціни контур теплопостачання'!$F$125+'Ціни контур теплопостачання'!$D$125,IF(J238='Ціни контур теплопостачання'!$B$126,L238*'Ціни контур теплопостачання'!$C$126*'Ціни контур теплопостачання'!$E$126*'Ціни контур теплопостачання'!$F$126+'Ціни контур теплопостачання'!$D$126,IF(J238='Ціни контур теплопостачання'!$B$127,L238*'Ціни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39" spans="1:13">
      <c r="A239" s="168" t="s">
        <v>586</v>
      </c>
      <c r="B239" s="162" t="str">
        <f t="shared" si="24"/>
        <v xml:space="preserve">16+045A00HS-168  </v>
      </c>
      <c r="C239" s="162" t="str">
        <f t="shared" si="25"/>
        <v>16</v>
      </c>
      <c r="D239" s="162" t="str">
        <f t="shared" si="26"/>
        <v xml:space="preserve">045A00HS-168  </v>
      </c>
      <c r="E239" s="162" t="str">
        <f t="shared" si="27"/>
        <v>045</v>
      </c>
      <c r="F239" s="166" t="e">
        <f>IF(C239='Ціни контур теплопостачання'!$B$123,E239*'Ціни контур теплопостачання'!$C$123*'Ціни контур теплопостачання'!$E$123*'Ціни контур теплопостачання'!$F$123+'Ціни контур теплопостачання'!$D$123,IF(C239='Ціни контур теплопостачання'!$B$124,E239*'Ціни контур теплопостачання'!$C$124*'Ціни контур теплопостачання'!$E$124*'Ціни контур теплопостачання'!$F$124+'Ціни контур теплопостачання'!$D$124,IF(C239='Ціни контур теплопостачання'!$B$125,E239*'Ціни контур теплопостачання'!$C$125*'Ціни контур теплопостачання'!$E$125*'Ціни контур теплопостачання'!$F$125+'Ціни контур теплопостачання'!$D$125,IF(C239='Ціни контур теплопостачання'!$B$126,E239*'Ціни контур теплопостачання'!$C$126*'Ціни контур теплопостачання'!$E$126*'Ціни контур теплопостачання'!$F$126+'Ціни контур теплопостачання'!$D$126,IF(C239='Ціни контур теплопостачання'!$B$127,E239*'Ціни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39" s="170" t="s">
        <v>318</v>
      </c>
      <c r="I239" s="162" t="str">
        <f t="shared" si="28"/>
        <v xml:space="preserve">16+023M50HS-207 </v>
      </c>
      <c r="J239" s="162" t="str">
        <f t="shared" si="29"/>
        <v>16</v>
      </c>
      <c r="K239" s="162" t="str">
        <f t="shared" si="30"/>
        <v xml:space="preserve">023M50HS-207 </v>
      </c>
      <c r="L239" s="162" t="str">
        <f t="shared" si="31"/>
        <v>023</v>
      </c>
      <c r="M239" s="166" t="e">
        <f>IF(J239='Ціни контур теплопостачання'!$B$123,L239*'Ціни контур теплопостачання'!$C$123*'Ціни контур теплопостачання'!$E$123*'Ціни контур теплопостачання'!$F$123+'Ціни контур теплопостачання'!$D$123,IF(J239='Ціни контур теплопостачання'!$B$124,L239*'Ціни контур теплопостачання'!$C$124*'Ціни контур теплопостачання'!$E$124*'Ціни контур теплопостачання'!$F$124+'Ціни контур теплопостачання'!$D$124,IF(J239='Ціни контур теплопостачання'!$B$125,L239*'Ціни контур теплопостачання'!$C$125*'Ціни контур теплопостачання'!$E$125*'Ціни контур теплопостачання'!$F$125+'Ціни контур теплопостачання'!$D$125,IF(J239='Ціни контур теплопостачання'!$B$126,L239*'Ціни контур теплопостачання'!$C$126*'Ціни контур теплопостачання'!$E$126*'Ціни контур теплопостачання'!$F$126+'Ціни контур теплопостачання'!$D$126,IF(J239='Ціни контур теплопостачання'!$B$127,L239*'Ціни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0" spans="1:13">
      <c r="A240" s="168" t="s">
        <v>587</v>
      </c>
      <c r="B240" s="162" t="str">
        <f t="shared" si="24"/>
        <v xml:space="preserve">16+037A00HS-137  </v>
      </c>
      <c r="C240" s="162" t="str">
        <f t="shared" si="25"/>
        <v>16</v>
      </c>
      <c r="D240" s="162" t="str">
        <f t="shared" si="26"/>
        <v xml:space="preserve">037A00HS-137  </v>
      </c>
      <c r="E240" s="162" t="str">
        <f t="shared" si="27"/>
        <v>037</v>
      </c>
      <c r="F240" s="166" t="e">
        <f>IF(C240='Ціни контур теплопостачання'!$B$123,E240*'Ціни контур теплопостачання'!$C$123*'Ціни контур теплопостачання'!$E$123*'Ціни контур теплопостачання'!$F$123+'Ціни контур теплопостачання'!$D$123,IF(C240='Ціни контур теплопостачання'!$B$124,E240*'Ціни контур теплопостачання'!$C$124*'Ціни контур теплопостачання'!$E$124*'Ціни контур теплопостачання'!$F$124+'Ціни контур теплопостачання'!$D$124,IF(C240='Ціни контур теплопостачання'!$B$125,E240*'Ціни контур теплопостачання'!$C$125*'Ціни контур теплопостачання'!$E$125*'Ціни контур теплопостачання'!$F$125+'Ціни контур теплопостачання'!$D$125,IF(C240='Ціни контур теплопостачання'!$B$126,E240*'Ціни контур теплопостачання'!$C$126*'Ціни контур теплопостачання'!$E$126*'Ціни контур теплопостачання'!$F$126+'Ціни контур теплопостачання'!$D$126,IF(C240='Ціни контур теплопостачання'!$B$127,E240*'Ціни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0" s="170" t="s">
        <v>319</v>
      </c>
      <c r="I240" s="162" t="str">
        <f t="shared" si="28"/>
        <v xml:space="preserve">08+025A00HS-146 </v>
      </c>
      <c r="J240" s="162" t="str">
        <f t="shared" si="29"/>
        <v>08</v>
      </c>
      <c r="K240" s="162" t="str">
        <f t="shared" si="30"/>
        <v xml:space="preserve">025A00HS-146 </v>
      </c>
      <c r="L240" s="162" t="str">
        <f t="shared" si="31"/>
        <v>025</v>
      </c>
      <c r="M240" s="166" t="e">
        <f>IF(J240='Ціни контур теплопостачання'!$B$123,L240*'Ціни контур теплопостачання'!$C$123*'Ціни контур теплопостачання'!$E$123*'Ціни контур теплопостачання'!$F$123+'Ціни контур теплопостачання'!$D$123,IF(J240='Ціни контур теплопостачання'!$B$124,L240*'Ціни контур теплопостачання'!$C$124*'Ціни контур теплопостачання'!$E$124*'Ціни контур теплопостачання'!$F$124+'Ціни контур теплопостачання'!$D$124,IF(J240='Ціни контур теплопостачання'!$B$125,L240*'Ціни контур теплопостачання'!$C$125*'Ціни контур теплопостачання'!$E$125*'Ціни контур теплопостачання'!$F$125+'Ціни контур теплопостачання'!$D$125,IF(J240='Ціни контур теплопостачання'!$B$126,L240*'Ціни контур теплопостачання'!$C$126*'Ціни контур теплопостачання'!$E$126*'Ціни контур теплопостачання'!$F$126+'Ціни контур теплопостачання'!$D$126,IF(J240='Ціни контур теплопостачання'!$B$127,L240*'Ціни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1" spans="1:13">
      <c r="A241" s="168" t="s">
        <v>588</v>
      </c>
      <c r="B241" s="162" t="str">
        <f t="shared" si="24"/>
        <v xml:space="preserve">16+035A00HS-117  </v>
      </c>
      <c r="C241" s="162" t="str">
        <f t="shared" si="25"/>
        <v>16</v>
      </c>
      <c r="D241" s="162" t="str">
        <f t="shared" si="26"/>
        <v xml:space="preserve">035A00HS-117  </v>
      </c>
      <c r="E241" s="162" t="str">
        <f t="shared" si="27"/>
        <v>035</v>
      </c>
      <c r="F241" s="166" t="e">
        <f>IF(C241='Ціни контур теплопостачання'!$B$123,E241*'Ціни контур теплопостачання'!$C$123*'Ціни контур теплопостачання'!$E$123*'Ціни контур теплопостачання'!$F$123+'Ціни контур теплопостачання'!$D$123,IF(C241='Ціни контур теплопостачання'!$B$124,E241*'Ціни контур теплопостачання'!$C$124*'Ціни контур теплопостачання'!$E$124*'Ціни контур теплопостачання'!$F$124+'Ціни контур теплопостачання'!$D$124,IF(C241='Ціни контур теплопостачання'!$B$125,E241*'Ціни контур теплопостачання'!$C$125*'Ціни контур теплопостачання'!$E$125*'Ціни контур теплопостачання'!$F$125+'Ціни контур теплопостачання'!$D$125,IF(C241='Ціни контур теплопостачання'!$B$126,E241*'Ціни контур теплопостачання'!$C$126*'Ціни контур теплопостачання'!$E$126*'Ціни контур теплопостачання'!$F$126+'Ціни контур теплопостачання'!$D$126,IF(C241='Ціни контур теплопостачання'!$B$127,E241*'Ціни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1" s="170" t="s">
        <v>638</v>
      </c>
      <c r="I241" s="162" t="str">
        <f t="shared" si="28"/>
        <v xml:space="preserve">08+021A00HS-125 </v>
      </c>
      <c r="J241" s="162" t="str">
        <f t="shared" si="29"/>
        <v>08</v>
      </c>
      <c r="K241" s="162" t="str">
        <f t="shared" si="30"/>
        <v xml:space="preserve">021A00HS-125 </v>
      </c>
      <c r="L241" s="162" t="str">
        <f t="shared" si="31"/>
        <v>021</v>
      </c>
      <c r="M241" s="166" t="e">
        <f>IF(J241='Ціни контур теплопостачання'!$B$123,L241*'Ціни контур теплопостачання'!$C$123*'Ціни контур теплопостачання'!$E$123*'Ціни контур теплопостачання'!$F$123+'Ціни контур теплопостачання'!$D$123,IF(J241='Ціни контур теплопостачання'!$B$124,L241*'Ціни контур теплопостачання'!$C$124*'Ціни контур теплопостачання'!$E$124*'Ціни контур теплопостачання'!$F$124+'Ціни контур теплопостачання'!$D$124,IF(J241='Ціни контур теплопостачання'!$B$125,L241*'Ціни контур теплопостачання'!$C$125*'Ціни контур теплопостачання'!$E$125*'Ціни контур теплопостачання'!$F$125+'Ціни контур теплопостачання'!$D$125,IF(J241='Ціни контур теплопостачання'!$B$126,L241*'Ціни контур теплопостачання'!$C$126*'Ціни контур теплопостачання'!$E$126*'Ціни контур теплопостачання'!$F$126+'Ціни контур теплопостачання'!$D$126,IF(J241='Ціни контур теплопостачання'!$B$127,L241*'Ціни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2" spans="1:13">
      <c r="A242" s="168" t="s">
        <v>589</v>
      </c>
      <c r="B242" s="162" t="str">
        <f t="shared" si="24"/>
        <v xml:space="preserve">16+029A00HS-98  </v>
      </c>
      <c r="C242" s="162" t="str">
        <f t="shared" si="25"/>
        <v>16</v>
      </c>
      <c r="D242" s="162" t="str">
        <f t="shared" si="26"/>
        <v xml:space="preserve">029A00HS-98  </v>
      </c>
      <c r="E242" s="162" t="str">
        <f t="shared" si="27"/>
        <v>029</v>
      </c>
      <c r="F242" s="166" t="e">
        <f>IF(C242='Ціни контур теплопостачання'!$B$123,E242*'Ціни контур теплопостачання'!$C$123*'Ціни контур теплопостачання'!$E$123*'Ціни контур теплопостачання'!$F$123+'Ціни контур теплопостачання'!$D$123,IF(C242='Ціни контур теплопостачання'!$B$124,E242*'Ціни контур теплопостачання'!$C$124*'Ціни контур теплопостачання'!$E$124*'Ціни контур теплопостачання'!$F$124+'Ціни контур теплопостачання'!$D$124,IF(C242='Ціни контур теплопостачання'!$B$125,E242*'Ціни контур теплопостачання'!$C$125*'Ціни контур теплопостачання'!$E$125*'Ціни контур теплопостачання'!$F$125+'Ціни контур теплопостачання'!$D$125,IF(C242='Ціни контур теплопостачання'!$B$126,E242*'Ціни контур теплопостачання'!$C$126*'Ціни контур теплопостачання'!$E$126*'Ціни контур теплопостачання'!$F$126+'Ціни контур теплопостачання'!$D$126,IF(C242='Ціни контур теплопостачання'!$B$127,E242*'Ціни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2" s="170" t="s">
        <v>320</v>
      </c>
      <c r="I242" s="162" t="str">
        <f t="shared" si="28"/>
        <v xml:space="preserve">08+019A00HS-104 </v>
      </c>
      <c r="J242" s="162" t="str">
        <f t="shared" si="29"/>
        <v>08</v>
      </c>
      <c r="K242" s="162" t="str">
        <f t="shared" si="30"/>
        <v xml:space="preserve">019A00HS-104 </v>
      </c>
      <c r="L242" s="162" t="str">
        <f t="shared" si="31"/>
        <v>019</v>
      </c>
      <c r="M242" s="166" t="e">
        <f>IF(J242='Ціни контур теплопостачання'!$B$123,L242*'Ціни контур теплопостачання'!$C$123*'Ціни контур теплопостачання'!$E$123*'Ціни контур теплопостачання'!$F$123+'Ціни контур теплопостачання'!$D$123,IF(J242='Ціни контур теплопостачання'!$B$124,L242*'Ціни контур теплопостачання'!$C$124*'Ціни контур теплопостачання'!$E$124*'Ціни контур теплопостачання'!$F$124+'Ціни контур теплопостачання'!$D$124,IF(J242='Ціни контур теплопостачання'!$B$125,L242*'Ціни контур теплопостачання'!$C$125*'Ціни контур теплопостачання'!$E$125*'Ціни контур теплопостачання'!$F$125+'Ціни контур теплопостачання'!$D$125,IF(J242='Ціни контур теплопостачання'!$B$126,L242*'Ціни контур теплопостачання'!$C$126*'Ціни контур теплопостачання'!$E$126*'Ціни контур теплопостачання'!$F$126+'Ціни контур теплопостачання'!$D$126,IF(J242='Ціни контур теплопостачання'!$B$127,L242*'Ціни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3" spans="1:13">
      <c r="A243" s="168" t="s">
        <v>400</v>
      </c>
      <c r="B243" s="162" t="str">
        <f t="shared" si="24"/>
        <v xml:space="preserve">16+041A00HS-161  </v>
      </c>
      <c r="C243" s="162" t="str">
        <f t="shared" si="25"/>
        <v>16</v>
      </c>
      <c r="D243" s="162" t="str">
        <f t="shared" si="26"/>
        <v xml:space="preserve">041A00HS-161  </v>
      </c>
      <c r="E243" s="162" t="str">
        <f t="shared" si="27"/>
        <v>041</v>
      </c>
      <c r="F243" s="166" t="e">
        <f>IF(C243='Ціни контур теплопостачання'!$B$123,E243*'Ціни контур теплопостачання'!$C$123*'Ціни контур теплопостачання'!$E$123*'Ціни контур теплопостачання'!$F$123+'Ціни контур теплопостачання'!$D$123,IF(C243='Ціни контур теплопостачання'!$B$124,E243*'Ціни контур теплопостачання'!$C$124*'Ціни контур теплопостачання'!$E$124*'Ціни контур теплопостачання'!$F$124+'Ціни контур теплопостачання'!$D$124,IF(C243='Ціни контур теплопостачання'!$B$125,E243*'Ціни контур теплопостачання'!$C$125*'Ціни контур теплопостачання'!$E$125*'Ціни контур теплопостачання'!$F$125+'Ціни контур теплопостачання'!$D$125,IF(C243='Ціни контур теплопостачання'!$B$126,E243*'Ціни контур теплопостачання'!$C$126*'Ціни контур теплопостачання'!$E$126*'Ціни контур теплопостачання'!$F$126+'Ціни контур теплопостачання'!$D$126,IF(C243='Ціни контур теплопостачання'!$B$127,E243*'Ціни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3" s="170" t="s">
        <v>321</v>
      </c>
      <c r="I243" s="162" t="str">
        <f t="shared" si="28"/>
        <v xml:space="preserve">08+029A00HS-166 </v>
      </c>
      <c r="J243" s="162" t="str">
        <f t="shared" si="29"/>
        <v>08</v>
      </c>
      <c r="K243" s="162" t="str">
        <f t="shared" si="30"/>
        <v xml:space="preserve">029A00HS-166 </v>
      </c>
      <c r="L243" s="162" t="str">
        <f t="shared" si="31"/>
        <v>029</v>
      </c>
      <c r="M243" s="166" t="e">
        <f>IF(J243='Ціни контур теплопостачання'!$B$123,L243*'Ціни контур теплопостачання'!$C$123*'Ціни контур теплопостачання'!$E$123*'Ціни контур теплопостачання'!$F$123+'Ціни контур теплопостачання'!$D$123,IF(J243='Ціни контур теплопостачання'!$B$124,L243*'Ціни контур теплопостачання'!$C$124*'Ціни контур теплопостачання'!$E$124*'Ціни контур теплопостачання'!$F$124+'Ціни контур теплопостачання'!$D$124,IF(J243='Ціни контур теплопостачання'!$B$125,L243*'Ціни контур теплопостачання'!$C$125*'Ціни контур теплопостачання'!$E$125*'Ціни контур теплопостачання'!$F$125+'Ціни контур теплопостачання'!$D$125,IF(J243='Ціни контур теплопостачання'!$B$126,L243*'Ціни контур теплопостачання'!$C$126*'Ціни контур теплопостачання'!$E$126*'Ціни контур теплопостачання'!$F$126+'Ціни контур теплопостачання'!$D$126,IF(J243='Ціни контур теплопостачання'!$B$127,L243*'Ціни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4" spans="1:13">
      <c r="A244" s="168" t="s">
        <v>590</v>
      </c>
      <c r="B244" s="162" t="str">
        <f t="shared" si="24"/>
        <v xml:space="preserve">16+059A00HS-242  </v>
      </c>
      <c r="C244" s="162" t="str">
        <f t="shared" si="25"/>
        <v>16</v>
      </c>
      <c r="D244" s="162" t="str">
        <f t="shared" si="26"/>
        <v xml:space="preserve">059A00HS-242  </v>
      </c>
      <c r="E244" s="162" t="str">
        <f t="shared" si="27"/>
        <v>059</v>
      </c>
      <c r="F244" s="166" t="e">
        <f>IF(C244='Ціни контур теплопостачання'!$B$123,E244*'Ціни контур теплопостачання'!$C$123*'Ціни контур теплопостачання'!$E$123*'Ціни контур теплопостачання'!$F$123+'Ціни контур теплопостачання'!$D$123,IF(C244='Ціни контур теплопостачання'!$B$124,E244*'Ціни контур теплопостачання'!$C$124*'Ціни контур теплопостачання'!$E$124*'Ціни контур теплопостачання'!$F$124+'Ціни контур теплопостачання'!$D$124,IF(C244='Ціни контур теплопостачання'!$B$125,E244*'Ціни контур теплопостачання'!$C$125*'Ціни контур теплопостачання'!$E$125*'Ціни контур теплопостачання'!$F$125+'Ціни контур теплопостачання'!$D$125,IF(C244='Ціни контур теплопостачання'!$B$126,E244*'Ціни контур теплопостачання'!$C$126*'Ціни контур теплопостачання'!$E$126*'Ціни контур теплопостачання'!$F$126+'Ціни контур теплопостачання'!$D$126,IF(C244='Ціни контур теплопостачання'!$B$127,E244*'Ціни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4" s="170" t="s">
        <v>322</v>
      </c>
      <c r="I244" s="162" t="str">
        <f t="shared" si="28"/>
        <v xml:space="preserve">16+027M50HS-250 </v>
      </c>
      <c r="J244" s="162" t="str">
        <f t="shared" si="29"/>
        <v>16</v>
      </c>
      <c r="K244" s="162" t="str">
        <f t="shared" si="30"/>
        <v xml:space="preserve">027M50HS-250 </v>
      </c>
      <c r="L244" s="162" t="str">
        <f t="shared" si="31"/>
        <v>027</v>
      </c>
      <c r="M244" s="166" t="e">
        <f>IF(J244='Ціни контур теплопостачання'!$B$123,L244*'Ціни контур теплопостачання'!$C$123*'Ціни контур теплопостачання'!$E$123*'Ціни контур теплопостачання'!$F$123+'Ціни контур теплопостачання'!$D$123,IF(J244='Ціни контур теплопостачання'!$B$124,L244*'Ціни контур теплопостачання'!$C$124*'Ціни контур теплопостачання'!$E$124*'Ціни контур теплопостачання'!$F$124+'Ціни контур теплопостачання'!$D$124,IF(J244='Ціни контур теплопостачання'!$B$125,L244*'Ціни контур теплопостачання'!$C$125*'Ціни контур теплопостачання'!$E$125*'Ціни контур теплопостачання'!$F$125+'Ціни контур теплопостачання'!$D$125,IF(J244='Ціни контур теплопостачання'!$B$126,L244*'Ціни контур теплопостачання'!$C$126*'Ціни контур теплопостачання'!$E$126*'Ціни контур теплопостачання'!$F$126+'Ціни контур теплопостачання'!$D$126,IF(J244='Ціни контур теплопостачання'!$B$127,L244*'Ціни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5" spans="1:13">
      <c r="A245" s="168" t="s">
        <v>470</v>
      </c>
      <c r="B245" s="162" t="str">
        <f t="shared" si="24"/>
        <v xml:space="preserve">16+045A00HS-182  </v>
      </c>
      <c r="C245" s="162" t="str">
        <f t="shared" si="25"/>
        <v>16</v>
      </c>
      <c r="D245" s="162" t="str">
        <f t="shared" si="26"/>
        <v xml:space="preserve">045A00HS-182  </v>
      </c>
      <c r="E245" s="162" t="str">
        <f t="shared" si="27"/>
        <v>045</v>
      </c>
      <c r="F245" s="166" t="e">
        <f>IF(C245='Ціни контур теплопостачання'!$B$123,E245*'Ціни контур теплопостачання'!$C$123*'Ціни контур теплопостачання'!$E$123*'Ціни контур теплопостачання'!$F$123+'Ціни контур теплопостачання'!$D$123,IF(C245='Ціни контур теплопостачання'!$B$124,E245*'Ціни контур теплопостачання'!$C$124*'Ціни контур теплопостачання'!$E$124*'Ціни контур теплопостачання'!$F$124+'Ціни контур теплопостачання'!$D$124,IF(C245='Ціни контур теплопостачання'!$B$125,E245*'Ціни контур теплопостачання'!$C$125*'Ціни контур теплопостачання'!$E$125*'Ціни контур теплопостачання'!$F$125+'Ціни контур теплопостачання'!$D$125,IF(C245='Ціни контур теплопостачання'!$B$126,E245*'Ціни контур теплопостачання'!$C$126*'Ціни контур теплопостачання'!$E$126*'Ціни контур теплопостачання'!$F$126+'Ціни контур теплопостачання'!$D$126,IF(C245='Ціни контур теплопостачання'!$B$127,E245*'Ціни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5" s="170" t="s">
        <v>158</v>
      </c>
      <c r="I245" s="162" t="str">
        <f t="shared" si="28"/>
        <v xml:space="preserve">08+039A00HS-226 </v>
      </c>
      <c r="J245" s="162" t="str">
        <f t="shared" si="29"/>
        <v>08</v>
      </c>
      <c r="K245" s="162" t="str">
        <f t="shared" si="30"/>
        <v xml:space="preserve">039A00HS-226 </v>
      </c>
      <c r="L245" s="162" t="str">
        <f t="shared" si="31"/>
        <v>039</v>
      </c>
      <c r="M245" s="166" t="e">
        <f>IF(J245='Ціни контур теплопостачання'!$B$123,L245*'Ціни контур теплопостачання'!$C$123*'Ціни контур теплопостачання'!$E$123*'Ціни контур теплопостачання'!$F$123+'Ціни контур теплопостачання'!$D$123,IF(J245='Ціни контур теплопостачання'!$B$124,L245*'Ціни контур теплопостачання'!$C$124*'Ціни контур теплопостачання'!$E$124*'Ціни контур теплопостачання'!$F$124+'Ціни контур теплопостачання'!$D$124,IF(J245='Ціни контур теплопостачання'!$B$125,L245*'Ціни контур теплопостачання'!$C$125*'Ціни контур теплопостачання'!$E$125*'Ціни контур теплопостачання'!$F$125+'Ціни контур теплопостачання'!$D$125,IF(J245='Ціни контур теплопостачання'!$B$126,L245*'Ціни контур теплопостачання'!$C$126*'Ціни контур теплопостачання'!$E$126*'Ціни контур теплопостачання'!$F$126+'Ціни контур теплопостачання'!$D$126,IF(J245='Ціни контур теплопостачання'!$B$127,L245*'Ціни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6" spans="1:13">
      <c r="A246" s="168" t="s">
        <v>591</v>
      </c>
      <c r="B246" s="162" t="str">
        <f t="shared" si="24"/>
        <v xml:space="preserve">16+047A00HS-193  </v>
      </c>
      <c r="C246" s="162" t="str">
        <f t="shared" si="25"/>
        <v>16</v>
      </c>
      <c r="D246" s="162" t="str">
        <f t="shared" si="26"/>
        <v xml:space="preserve">047A00HS-193  </v>
      </c>
      <c r="E246" s="162" t="str">
        <f t="shared" si="27"/>
        <v>047</v>
      </c>
      <c r="F246" s="166" t="e">
        <f>IF(C246='Ціни контур теплопостачання'!$B$123,E246*'Ціни контур теплопостачання'!$C$123*'Ціни контур теплопостачання'!$E$123*'Ціни контур теплопостачання'!$F$123+'Ціни контур теплопостачання'!$D$123,IF(C246='Ціни контур теплопостачання'!$B$124,E246*'Ціни контур теплопостачання'!$C$124*'Ціни контур теплопостачання'!$E$124*'Ціни контур теплопостачання'!$F$124+'Ціни контур теплопостачання'!$D$124,IF(C246='Ціни контур теплопостачання'!$B$125,E246*'Ціни контур теплопостачання'!$C$125*'Ціни контур теплопостачання'!$E$125*'Ціни контур теплопостачання'!$F$125+'Ціни контур теплопостачання'!$D$125,IF(C246='Ціни контур теплопостачання'!$B$126,E246*'Ціни контур теплопостачання'!$C$126*'Ціни контур теплопостачання'!$E$126*'Ціни контур теплопостачання'!$F$126+'Ціни контур теплопостачання'!$D$126,IF(C246='Ціни контур теплопостачання'!$B$127,E246*'Ціни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6" s="170" t="s">
        <v>159</v>
      </c>
      <c r="I246" s="162" t="str">
        <f t="shared" si="28"/>
        <v xml:space="preserve">08+039A00HS-224 </v>
      </c>
      <c r="J246" s="162" t="str">
        <f t="shared" si="29"/>
        <v>08</v>
      </c>
      <c r="K246" s="162" t="str">
        <f t="shared" si="30"/>
        <v xml:space="preserve">039A00HS-224 </v>
      </c>
      <c r="L246" s="162" t="str">
        <f t="shared" si="31"/>
        <v>039</v>
      </c>
      <c r="M246" s="166" t="e">
        <f>IF(J246='Ціни контур теплопостачання'!$B$123,L246*'Ціни контур теплопостачання'!$C$123*'Ціни контур теплопостачання'!$E$123*'Ціни контур теплопостачання'!$F$123+'Ціни контур теплопостачання'!$D$123,IF(J246='Ціни контур теплопостачання'!$B$124,L246*'Ціни контур теплопостачання'!$C$124*'Ціни контур теплопостачання'!$E$124*'Ціни контур теплопостачання'!$F$124+'Ціни контур теплопостачання'!$D$124,IF(J246='Ціни контур теплопостачання'!$B$125,L246*'Ціни контур теплопостачання'!$C$125*'Ціни контур теплопостачання'!$E$125*'Ціни контур теплопостачання'!$F$125+'Ціни контур теплопостачання'!$D$125,IF(J246='Ціни контур теплопостачання'!$B$126,L246*'Ціни контур теплопостачання'!$C$126*'Ціни контур теплопостачання'!$E$126*'Ціни контур теплопостачання'!$F$126+'Ціни контур теплопостачання'!$D$126,IF(J246='Ціни контур теплопостачання'!$B$127,L246*'Ціни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7" spans="1:13">
      <c r="A247" s="168" t="s">
        <v>578</v>
      </c>
      <c r="B247" s="162" t="str">
        <f t="shared" si="24"/>
        <v xml:space="preserve">16+049A00HS-200  </v>
      </c>
      <c r="C247" s="162" t="str">
        <f t="shared" si="25"/>
        <v>16</v>
      </c>
      <c r="D247" s="162" t="str">
        <f t="shared" si="26"/>
        <v xml:space="preserve">049A00HS-200  </v>
      </c>
      <c r="E247" s="162" t="str">
        <f t="shared" si="27"/>
        <v>049</v>
      </c>
      <c r="F247" s="166" t="e">
        <f>IF(C247='Ціни контур теплопостачання'!$B$123,E247*'Ціни контур теплопостачання'!$C$123*'Ціни контур теплопостачання'!$E$123*'Ціни контур теплопостачання'!$F$123+'Ціни контур теплопостачання'!$D$123,IF(C247='Ціни контур теплопостачання'!$B$124,E247*'Ціни контур теплопостачання'!$C$124*'Ціни контур теплопостачання'!$E$124*'Ціни контур теплопостачання'!$F$124+'Ціни контур теплопостачання'!$D$124,IF(C247='Ціни контур теплопостачання'!$B$125,E247*'Ціни контур теплопостачання'!$C$125*'Ціни контур теплопостачання'!$E$125*'Ціни контур теплопостачання'!$F$125+'Ціни контур теплопостачання'!$D$125,IF(C247='Ціни контур теплопостачання'!$B$126,E247*'Ціни контур теплопостачання'!$C$126*'Ціни контур теплопостачання'!$E$126*'Ціни контур теплопостачання'!$F$126+'Ціни контур теплопостачання'!$D$126,IF(C247='Ціни контур теплопостачання'!$B$127,E247*'Ціни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7" s="170" t="s">
        <v>159</v>
      </c>
      <c r="I247" s="162" t="str">
        <f t="shared" si="28"/>
        <v xml:space="preserve">08+039A00HS-224 </v>
      </c>
      <c r="J247" s="162" t="str">
        <f t="shared" si="29"/>
        <v>08</v>
      </c>
      <c r="K247" s="162" t="str">
        <f t="shared" si="30"/>
        <v xml:space="preserve">039A00HS-224 </v>
      </c>
      <c r="L247" s="162" t="str">
        <f t="shared" si="31"/>
        <v>039</v>
      </c>
      <c r="M247" s="166" t="e">
        <f>IF(J247='Ціни контур теплопостачання'!$B$123,L247*'Ціни контур теплопостачання'!$C$123*'Ціни контур теплопостачання'!$E$123*'Ціни контур теплопостачання'!$F$123+'Ціни контур теплопостачання'!$D$123,IF(J247='Ціни контур теплопостачання'!$B$124,L247*'Ціни контур теплопостачання'!$C$124*'Ціни контур теплопостачання'!$E$124*'Ціни контур теплопостачання'!$F$124+'Ціни контур теплопостачання'!$D$124,IF(J247='Ціни контур теплопостачання'!$B$125,L247*'Ціни контур теплопостачання'!$C$125*'Ціни контур теплопостачання'!$E$125*'Ціни контур теплопостачання'!$F$125+'Ціни контур теплопостачання'!$D$125,IF(J247='Ціни контур теплопостачання'!$B$126,L247*'Ціни контур теплопостачання'!$C$126*'Ціни контур теплопостачання'!$E$126*'Ціни контур теплопостачання'!$F$126+'Ціни контур теплопостачання'!$D$126,IF(J247='Ціни контур теплопостачання'!$B$127,L247*'Ціни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8" spans="1:13">
      <c r="A248" s="168" t="s">
        <v>592</v>
      </c>
      <c r="B248" s="162" t="str">
        <f t="shared" si="24"/>
        <v xml:space="preserve">16+021A00HS-73   </v>
      </c>
      <c r="C248" s="162" t="str">
        <f t="shared" si="25"/>
        <v>16</v>
      </c>
      <c r="D248" s="162" t="str">
        <f t="shared" si="26"/>
        <v xml:space="preserve">021A00HS-73   </v>
      </c>
      <c r="E248" s="162" t="str">
        <f t="shared" si="27"/>
        <v>021</v>
      </c>
      <c r="F248" s="166" t="e">
        <f>IF(C248='Ціни контур теплопостачання'!$B$123,E248*'Ціни контур теплопостачання'!$C$123*'Ціни контур теплопостачання'!$E$123*'Ціни контур теплопостачання'!$F$123+'Ціни контур теплопостачання'!$D$123,IF(C248='Ціни контур теплопостачання'!$B$124,E248*'Ціни контур теплопостачання'!$C$124*'Ціни контур теплопостачання'!$E$124*'Ціни контур теплопостачання'!$F$124+'Ціни контур теплопостачання'!$D$124,IF(C248='Ціни контур теплопостачання'!$B$125,E248*'Ціни контур теплопостачання'!$C$125*'Ціни контур теплопостачання'!$E$125*'Ціни контур теплопостачання'!$F$125+'Ціни контур теплопостачання'!$D$125,IF(C248='Ціни контур теплопостачання'!$B$126,E248*'Ціни контур теплопостачання'!$C$126*'Ціни контур теплопостачання'!$E$126*'Ціни контур теплопостачання'!$F$126+'Ціни контур теплопостачання'!$D$126,IF(C248='Ціни контур теплопостачання'!$B$127,E248*'Ціни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8" s="170" t="s">
        <v>323</v>
      </c>
      <c r="I248" s="162" t="str">
        <f t="shared" si="28"/>
        <v xml:space="preserve">08+017A00HS-96 </v>
      </c>
      <c r="J248" s="162" t="str">
        <f t="shared" si="29"/>
        <v>08</v>
      </c>
      <c r="K248" s="162" t="str">
        <f t="shared" si="30"/>
        <v xml:space="preserve">017A00HS-96 </v>
      </c>
      <c r="L248" s="162" t="str">
        <f t="shared" si="31"/>
        <v>017</v>
      </c>
      <c r="M248" s="166" t="e">
        <f>IF(J248='Ціни контур теплопостачання'!$B$123,L248*'Ціни контур теплопостачання'!$C$123*'Ціни контур теплопостачання'!$E$123*'Ціни контур теплопостачання'!$F$123+'Ціни контур теплопостачання'!$D$123,IF(J248='Ціни контур теплопостачання'!$B$124,L248*'Ціни контур теплопостачання'!$C$124*'Ціни контур теплопостачання'!$E$124*'Ціни контур теплопостачання'!$F$124+'Ціни контур теплопостачання'!$D$124,IF(J248='Ціни контур теплопостачання'!$B$125,L248*'Ціни контур теплопостачання'!$C$125*'Ціни контур теплопостачання'!$E$125*'Ціни контур теплопостачання'!$F$125+'Ціни контур теплопостачання'!$D$125,IF(J248='Ціни контур теплопостачання'!$B$126,L248*'Ціни контур теплопостачання'!$C$126*'Ціни контур теплопостачання'!$E$126*'Ціни контур теплопостачання'!$F$126+'Ціни контур теплопостачання'!$D$126,IF(J248='Ціни контур теплопостачання'!$B$127,L248*'Ціни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49" spans="1:13">
      <c r="A249" s="168" t="s">
        <v>593</v>
      </c>
      <c r="B249" s="162" t="str">
        <f t="shared" si="24"/>
        <v xml:space="preserve">16+037A00HS-147  </v>
      </c>
      <c r="C249" s="162" t="str">
        <f t="shared" si="25"/>
        <v>16</v>
      </c>
      <c r="D249" s="162" t="str">
        <f t="shared" si="26"/>
        <v xml:space="preserve">037A00HS-147  </v>
      </c>
      <c r="E249" s="162" t="str">
        <f t="shared" si="27"/>
        <v>037</v>
      </c>
      <c r="F249" s="166" t="e">
        <f>IF(C249='Ціни контур теплопостачання'!$B$123,E249*'Ціни контур теплопостачання'!$C$123*'Ціни контур теплопостачання'!$E$123*'Ціни контур теплопостачання'!$F$123+'Ціни контур теплопостачання'!$D$123,IF(C249='Ціни контур теплопостачання'!$B$124,E249*'Ціни контур теплопостачання'!$C$124*'Ціни контур теплопостачання'!$E$124*'Ціни контур теплопостачання'!$F$124+'Ціни контур теплопостачання'!$D$124,IF(C249='Ціни контур теплопостачання'!$B$125,E249*'Ціни контур теплопостачання'!$C$125*'Ціни контур теплопостачання'!$E$125*'Ціни контур теплопостачання'!$F$125+'Ціни контур теплопостачання'!$D$125,IF(C249='Ціни контур теплопостачання'!$B$126,E249*'Ціни контур теплопостачання'!$C$126*'Ціни контур теплопостачання'!$E$126*'Ціни контур теплопостачання'!$F$126+'Ціни контур теплопостачання'!$D$126,IF(C249='Ціни контур теплопостачання'!$B$127,E249*'Ціни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49" s="170" t="s">
        <v>247</v>
      </c>
      <c r="I249" s="162" t="str">
        <f t="shared" si="28"/>
        <v xml:space="preserve">08+033A00HS-192 </v>
      </c>
      <c r="J249" s="162" t="str">
        <f t="shared" si="29"/>
        <v>08</v>
      </c>
      <c r="K249" s="162" t="str">
        <f t="shared" si="30"/>
        <v xml:space="preserve">033A00HS-192 </v>
      </c>
      <c r="L249" s="162" t="str">
        <f t="shared" si="31"/>
        <v>033</v>
      </c>
      <c r="M249" s="166" t="e">
        <f>IF(J249='Ціни контур теплопостачання'!$B$123,L249*'Ціни контур теплопостачання'!$C$123*'Ціни контур теплопостачання'!$E$123*'Ціни контур теплопостачання'!$F$123+'Ціни контур теплопостачання'!$D$123,IF(J249='Ціни контур теплопостачання'!$B$124,L249*'Ціни контур теплопостачання'!$C$124*'Ціни контур теплопостачання'!$E$124*'Ціни контур теплопостачання'!$F$124+'Ціни контур теплопостачання'!$D$124,IF(J249='Ціни контур теплопостачання'!$B$125,L249*'Ціни контур теплопостачання'!$C$125*'Ціни контур теплопостачання'!$E$125*'Ціни контур теплопостачання'!$F$125+'Ціни контур теплопостачання'!$D$125,IF(J249='Ціни контур теплопостачання'!$B$126,L249*'Ціни контур теплопостачання'!$C$126*'Ціни контур теплопостачання'!$E$126*'Ціни контур теплопостачання'!$F$126+'Ціни контур теплопостачання'!$D$126,IF(J249='Ціни контур теплопостачання'!$B$127,L249*'Ціни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0" spans="1:13">
      <c r="A250" s="168" t="s">
        <v>594</v>
      </c>
      <c r="B250" s="162" t="str">
        <f t="shared" si="24"/>
        <v xml:space="preserve">16+043A00HS-168  </v>
      </c>
      <c r="C250" s="162" t="str">
        <f t="shared" si="25"/>
        <v>16</v>
      </c>
      <c r="D250" s="162" t="str">
        <f t="shared" si="26"/>
        <v xml:space="preserve">043A00HS-168  </v>
      </c>
      <c r="E250" s="162" t="str">
        <f t="shared" si="27"/>
        <v>043</v>
      </c>
      <c r="F250" s="166" t="e">
        <f>IF(C250='Ціни контур теплопостачання'!$B$123,E250*'Ціни контур теплопостачання'!$C$123*'Ціни контур теплопостачання'!$E$123*'Ціни контур теплопостачання'!$F$123+'Ціни контур теплопостачання'!$D$123,IF(C250='Ціни контур теплопостачання'!$B$124,E250*'Ціни контур теплопостачання'!$C$124*'Ціни контур теплопостачання'!$E$124*'Ціни контур теплопостачання'!$F$124+'Ціни контур теплопостачання'!$D$124,IF(C250='Ціни контур теплопостачання'!$B$125,E250*'Ціни контур теплопостачання'!$C$125*'Ціни контур теплопостачання'!$E$125*'Ціни контур теплопостачання'!$F$125+'Ціни контур теплопостачання'!$D$125,IF(C250='Ціни контур теплопостачання'!$B$126,E250*'Ціни контур теплопостачання'!$C$126*'Ціни контур теплопостачання'!$E$126*'Ціни контур теплопостачання'!$F$126+'Ціни контур теплопостачання'!$D$126,IF(C250='Ціни контур теплопостачання'!$B$127,E250*'Ціни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0" s="170" t="s">
        <v>324</v>
      </c>
      <c r="I250" s="162" t="str">
        <f t="shared" si="28"/>
        <v xml:space="preserve">08+029A00HS-169 </v>
      </c>
      <c r="J250" s="162" t="str">
        <f t="shared" si="29"/>
        <v>08</v>
      </c>
      <c r="K250" s="162" t="str">
        <f t="shared" si="30"/>
        <v xml:space="preserve">029A00HS-169 </v>
      </c>
      <c r="L250" s="162" t="str">
        <f t="shared" si="31"/>
        <v>029</v>
      </c>
      <c r="M250" s="166" t="e">
        <f>IF(J250='Ціни контур теплопостачання'!$B$123,L250*'Ціни контур теплопостачання'!$C$123*'Ціни контур теплопостачання'!$E$123*'Ціни контур теплопостачання'!$F$123+'Ціни контур теплопостачання'!$D$123,IF(J250='Ціни контур теплопостачання'!$B$124,L250*'Ціни контур теплопостачання'!$C$124*'Ціни контур теплопостачання'!$E$124*'Ціни контур теплопостачання'!$F$124+'Ціни контур теплопостачання'!$D$124,IF(J250='Ціни контур теплопостачання'!$B$125,L250*'Ціни контур теплопостачання'!$C$125*'Ціни контур теплопостачання'!$E$125*'Ціни контур теплопостачання'!$F$125+'Ціни контур теплопостачання'!$D$125,IF(J250='Ціни контур теплопостачання'!$B$126,L250*'Ціни контур теплопостачання'!$C$126*'Ціни контур теплопостачання'!$E$126*'Ціни контур теплопостачання'!$F$126+'Ціни контур теплопостачання'!$D$126,IF(J250='Ціни контур теплопостачання'!$B$127,L250*'Ціни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1" spans="1:13">
      <c r="A251" s="168" t="s">
        <v>412</v>
      </c>
      <c r="B251" s="162" t="str">
        <f t="shared" si="24"/>
        <v xml:space="preserve">16+061A00HS-252  </v>
      </c>
      <c r="C251" s="162" t="str">
        <f t="shared" si="25"/>
        <v>16</v>
      </c>
      <c r="D251" s="162" t="str">
        <f t="shared" si="26"/>
        <v xml:space="preserve">061A00HS-252  </v>
      </c>
      <c r="E251" s="162" t="str">
        <f t="shared" si="27"/>
        <v>061</v>
      </c>
      <c r="F251" s="166" t="e">
        <f>IF(C251='Ціни контур теплопостачання'!$B$123,E251*'Ціни контур теплопостачання'!$C$123*'Ціни контур теплопостачання'!$E$123*'Ціни контур теплопостачання'!$F$123+'Ціни контур теплопостачання'!$D$123,IF(C251='Ціни контур теплопостачання'!$B$124,E251*'Ціни контур теплопостачання'!$C$124*'Ціни контур теплопостачання'!$E$124*'Ціни контур теплопостачання'!$F$124+'Ціни контур теплопостачання'!$D$124,IF(C251='Ціни контур теплопостачання'!$B$125,E251*'Ціни контур теплопостачання'!$C$125*'Ціни контур теплопостачання'!$E$125*'Ціни контур теплопостачання'!$F$125+'Ціни контур теплопостачання'!$D$125,IF(C251='Ціни контур теплопостачання'!$B$126,E251*'Ціни контур теплопостачання'!$C$126*'Ціни контур теплопостачання'!$E$126*'Ціни контур теплопостачання'!$F$126+'Ціни контур теплопостачання'!$D$126,IF(C251='Ціни контур теплопостачання'!$B$127,E251*'Ціни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1" s="170" t="s">
        <v>325</v>
      </c>
      <c r="I251" s="162" t="str">
        <f t="shared" si="28"/>
        <v xml:space="preserve">16+027M50HS-254 </v>
      </c>
      <c r="J251" s="162" t="str">
        <f t="shared" si="29"/>
        <v>16</v>
      </c>
      <c r="K251" s="162" t="str">
        <f t="shared" si="30"/>
        <v xml:space="preserve">027M50HS-254 </v>
      </c>
      <c r="L251" s="162" t="str">
        <f t="shared" si="31"/>
        <v>027</v>
      </c>
      <c r="M251" s="166" t="e">
        <f>IF(J251='Ціни контур теплопостачання'!$B$123,L251*'Ціни контур теплопостачання'!$C$123*'Ціни контур теплопостачання'!$E$123*'Ціни контур теплопостачання'!$F$123+'Ціни контур теплопостачання'!$D$123,IF(J251='Ціни контур теплопостачання'!$B$124,L251*'Ціни контур теплопостачання'!$C$124*'Ціни контур теплопостачання'!$E$124*'Ціни контур теплопостачання'!$F$124+'Ціни контур теплопостачання'!$D$124,IF(J251='Ціни контур теплопостачання'!$B$125,L251*'Ціни контур теплопостачання'!$C$125*'Ціни контур теплопостачання'!$E$125*'Ціни контур теплопостачання'!$F$125+'Ціни контур теплопостачання'!$D$125,IF(J251='Ціни контур теплопостачання'!$B$126,L251*'Ціни контур теплопостачання'!$C$126*'Ціни контур теплопостачання'!$E$126*'Ціни контур теплопостачання'!$F$126+'Ціни контур теплопостачання'!$D$126,IF(J251='Ціни контур теплопостачання'!$B$127,L251*'Ціни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2" spans="1:13">
      <c r="A252" s="168" t="s">
        <v>595</v>
      </c>
      <c r="B252" s="162" t="str">
        <f t="shared" si="24"/>
        <v xml:space="preserve">16+101A00HS-420 </v>
      </c>
      <c r="C252" s="162" t="str">
        <f t="shared" si="25"/>
        <v>16</v>
      </c>
      <c r="D252" s="162" t="str">
        <f t="shared" si="26"/>
        <v xml:space="preserve">101A00HS-420 </v>
      </c>
      <c r="E252" s="162" t="str">
        <f t="shared" si="27"/>
        <v>101</v>
      </c>
      <c r="F252" s="166" t="e">
        <f>IF(C252='Ціни контур теплопостачання'!$B$123,E252*'Ціни контур теплопостачання'!$C$123*'Ціни контур теплопостачання'!$E$123*'Ціни контур теплопостачання'!$F$123+'Ціни контур теплопостачання'!$D$123,IF(C252='Ціни контур теплопостачання'!$B$124,E252*'Ціни контур теплопостачання'!$C$124*'Ціни контур теплопостачання'!$E$124*'Ціни контур теплопостачання'!$F$124+'Ціни контур теплопостачання'!$D$124,IF(C252='Ціни контур теплопостачання'!$B$125,E252*'Ціни контур теплопостачання'!$C$125*'Ціни контур теплопостачання'!$E$125*'Ціни контур теплопостачання'!$F$125+'Ціни контур теплопостачання'!$D$125,IF(C252='Ціни контур теплопостачання'!$B$126,E252*'Ціни контур теплопостачання'!$C$126*'Ціни контур теплопостачання'!$E$126*'Ціни контур теплопостачання'!$F$126+'Ціни контур теплопостачання'!$D$126,IF(C252='Ціни контур теплопостачання'!$B$127,E252*'Ціни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2" s="170" t="s">
        <v>326</v>
      </c>
      <c r="I252" s="162" t="str">
        <f t="shared" si="28"/>
        <v xml:space="preserve">16+037M50HS-372 </v>
      </c>
      <c r="J252" s="162" t="str">
        <f t="shared" si="29"/>
        <v>16</v>
      </c>
      <c r="K252" s="162" t="str">
        <f t="shared" si="30"/>
        <v xml:space="preserve">037M50HS-372 </v>
      </c>
      <c r="L252" s="162" t="str">
        <f t="shared" si="31"/>
        <v>037</v>
      </c>
      <c r="M252" s="166" t="e">
        <f>IF(J252='Ціни контур теплопостачання'!$B$123,L252*'Ціни контур теплопостачання'!$C$123*'Ціни контур теплопостачання'!$E$123*'Ціни контур теплопостачання'!$F$123+'Ціни контур теплопостачання'!$D$123,IF(J252='Ціни контур теплопостачання'!$B$124,L252*'Ціни контур теплопостачання'!$C$124*'Ціни контур теплопостачання'!$E$124*'Ціни контур теплопостачання'!$F$124+'Ціни контур теплопостачання'!$D$124,IF(J252='Ціни контур теплопостачання'!$B$125,L252*'Ціни контур теплопостачання'!$C$125*'Ціни контур теплопостачання'!$E$125*'Ціни контур теплопостачання'!$F$125+'Ціни контур теплопостачання'!$D$125,IF(J252='Ціни контур теплопостачання'!$B$126,L252*'Ціни контур теплопостачання'!$C$126*'Ціни контур теплопостачання'!$E$126*'Ціни контур теплопостачання'!$F$126+'Ціни контур теплопостачання'!$D$126,IF(J252='Ціни контур теплопостачання'!$B$127,L252*'Ціни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3" spans="1:13">
      <c r="A253" s="168" t="s">
        <v>596</v>
      </c>
      <c r="B253" s="162" t="str">
        <f t="shared" si="24"/>
        <v xml:space="preserve">16+045A00HS-178  </v>
      </c>
      <c r="C253" s="162" t="str">
        <f t="shared" si="25"/>
        <v>16</v>
      </c>
      <c r="D253" s="162" t="str">
        <f t="shared" si="26"/>
        <v xml:space="preserve">045A00HS-178  </v>
      </c>
      <c r="E253" s="162" t="str">
        <f t="shared" si="27"/>
        <v>045</v>
      </c>
      <c r="F253" s="166" t="e">
        <f>IF(C253='Ціни контур теплопостачання'!$B$123,E253*'Ціни контур теплопостачання'!$C$123*'Ціни контур теплопостачання'!$E$123*'Ціни контур теплопостачання'!$F$123+'Ціни контур теплопостачання'!$D$123,IF(C253='Ціни контур теплопостачання'!$B$124,E253*'Ціни контур теплопостачання'!$C$124*'Ціни контур теплопостачання'!$E$124*'Ціни контур теплопостачання'!$F$124+'Ціни контур теплопостачання'!$D$124,IF(C253='Ціни контур теплопостачання'!$B$125,E253*'Ціни контур теплопостачання'!$C$125*'Ціни контур теплопостачання'!$E$125*'Ціни контур теплопостачання'!$F$125+'Ціни контур теплопостачання'!$D$125,IF(C253='Ціни контур теплопостачання'!$B$126,E253*'Ціни контур теплопостачання'!$C$126*'Ціни контур теплопостачання'!$E$126*'Ціни контур теплопостачання'!$F$126+'Ціни контур теплопостачання'!$D$126,IF(C253='Ціни контур теплопостачання'!$B$127,E253*'Ціни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3" s="170" t="s">
        <v>327</v>
      </c>
      <c r="I253" s="162" t="str">
        <f t="shared" si="28"/>
        <v xml:space="preserve">08+027A00HS-159 </v>
      </c>
      <c r="J253" s="162" t="str">
        <f t="shared" si="29"/>
        <v>08</v>
      </c>
      <c r="K253" s="162" t="str">
        <f t="shared" si="30"/>
        <v xml:space="preserve">027A00HS-159 </v>
      </c>
      <c r="L253" s="162" t="str">
        <f t="shared" si="31"/>
        <v>027</v>
      </c>
      <c r="M253" s="166" t="e">
        <f>IF(J253='Ціни контур теплопостачання'!$B$123,L253*'Ціни контур теплопостачання'!$C$123*'Ціни контур теплопостачання'!$E$123*'Ціни контур теплопостачання'!$F$123+'Ціни контур теплопостачання'!$D$123,IF(J253='Ціни контур теплопостачання'!$B$124,L253*'Ціни контур теплопостачання'!$C$124*'Ціни контур теплопостачання'!$E$124*'Ціни контур теплопостачання'!$F$124+'Ціни контур теплопостачання'!$D$124,IF(J253='Ціни контур теплопостачання'!$B$125,L253*'Ціни контур теплопостачання'!$C$125*'Ціни контур теплопостачання'!$E$125*'Ціни контур теплопостачання'!$F$125+'Ціни контур теплопостачання'!$D$125,IF(J253='Ціни контур теплопостачання'!$B$126,L253*'Ціни контур теплопостачання'!$C$126*'Ціни контур теплопостачання'!$E$126*'Ціни контур теплопостачання'!$F$126+'Ціни контур теплопостачання'!$D$126,IF(J253='Ціни контур теплопостачання'!$B$127,L253*'Ціни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4" spans="1:13">
      <c r="A254" s="168" t="s">
        <v>597</v>
      </c>
      <c r="B254" s="162" t="str">
        <f t="shared" si="24"/>
        <v xml:space="preserve">16+057A00HS-267  </v>
      </c>
      <c r="C254" s="162" t="str">
        <f t="shared" si="25"/>
        <v>16</v>
      </c>
      <c r="D254" s="162" t="str">
        <f t="shared" si="26"/>
        <v xml:space="preserve">057A00HS-267  </v>
      </c>
      <c r="E254" s="162" t="str">
        <f t="shared" si="27"/>
        <v>057</v>
      </c>
      <c r="F254" s="166" t="e">
        <f>IF(C254='Ціни контур теплопостачання'!$B$123,E254*'Ціни контур теплопостачання'!$C$123*'Ціни контур теплопостачання'!$E$123*'Ціни контур теплопостачання'!$F$123+'Ціни контур теплопостачання'!$D$123,IF(C254='Ціни контур теплопостачання'!$B$124,E254*'Ціни контур теплопостачання'!$C$124*'Ціни контур теплопостачання'!$E$124*'Ціни контур теплопостачання'!$F$124+'Ціни контур теплопостачання'!$D$124,IF(C254='Ціни контур теплопостачання'!$B$125,E254*'Ціни контур теплопостачання'!$C$125*'Ціни контур теплопостачання'!$E$125*'Ціни контур теплопостачання'!$F$125+'Ціни контур теплопостачання'!$D$125,IF(C254='Ціни контур теплопостачання'!$B$126,E254*'Ціни контур теплопостачання'!$C$126*'Ціни контур теплопостачання'!$E$126*'Ціни контур теплопостачання'!$F$126+'Ціни контур теплопостачання'!$D$126,IF(C254='Ціни контур теплопостачання'!$B$127,E254*'Ціни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4" s="170" t="s">
        <v>294</v>
      </c>
      <c r="I254" s="162" t="str">
        <f t="shared" si="28"/>
        <v xml:space="preserve">16+025M50HS-238 </v>
      </c>
      <c r="J254" s="162" t="str">
        <f t="shared" si="29"/>
        <v>16</v>
      </c>
      <c r="K254" s="162" t="str">
        <f t="shared" si="30"/>
        <v xml:space="preserve">025M50HS-238 </v>
      </c>
      <c r="L254" s="162" t="str">
        <f t="shared" si="31"/>
        <v>025</v>
      </c>
      <c r="M254" s="166" t="e">
        <f>IF(J254='Ціни контур теплопостачання'!$B$123,L254*'Ціни контур теплопостачання'!$C$123*'Ціни контур теплопостачання'!$E$123*'Ціни контур теплопостачання'!$F$123+'Ціни контур теплопостачання'!$D$123,IF(J254='Ціни контур теплопостачання'!$B$124,L254*'Ціни контур теплопостачання'!$C$124*'Ціни контур теплопостачання'!$E$124*'Ціни контур теплопостачання'!$F$124+'Ціни контур теплопостачання'!$D$124,IF(J254='Ціни контур теплопостачання'!$B$125,L254*'Ціни контур теплопостачання'!$C$125*'Ціни контур теплопостачання'!$E$125*'Ціни контур теплопостачання'!$F$125+'Ціни контур теплопостачання'!$D$125,IF(J254='Ціни контур теплопостачання'!$B$126,L254*'Ціни контур теплопостачання'!$C$126*'Ціни контур теплопостачання'!$E$126*'Ціни контур теплопостачання'!$F$126+'Ціни контур теплопостачання'!$D$126,IF(J254='Ціни контур теплопостачання'!$B$127,L254*'Ціни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5" spans="1:13">
      <c r="A255" s="168" t="s">
        <v>598</v>
      </c>
      <c r="B255" s="162" t="str">
        <f t="shared" si="24"/>
        <v xml:space="preserve">16+055A00HS-225  </v>
      </c>
      <c r="C255" s="162" t="str">
        <f t="shared" si="25"/>
        <v>16</v>
      </c>
      <c r="D255" s="162" t="str">
        <f t="shared" si="26"/>
        <v xml:space="preserve">055A00HS-225  </v>
      </c>
      <c r="E255" s="162" t="str">
        <f t="shared" si="27"/>
        <v>055</v>
      </c>
      <c r="F255" s="166" t="e">
        <f>IF(C255='Ціни контур теплопостачання'!$B$123,E255*'Ціни контур теплопостачання'!$C$123*'Ціни контур теплопостачання'!$E$123*'Ціни контур теплопостачання'!$F$123+'Ціни контур теплопостачання'!$D$123,IF(C255='Ціни контур теплопостачання'!$B$124,E255*'Ціни контур теплопостачання'!$C$124*'Ціни контур теплопостачання'!$E$124*'Ціни контур теплопостачання'!$F$124+'Ціни контур теплопостачання'!$D$124,IF(C255='Ціни контур теплопостачання'!$B$125,E255*'Ціни контур теплопостачання'!$C$125*'Ціни контур теплопостачання'!$E$125*'Ціни контур теплопостачання'!$F$125+'Ціни контур теплопостачання'!$D$125,IF(C255='Ціни контур теплопостачання'!$B$126,E255*'Ціни контур теплопостачання'!$C$126*'Ціни контур теплопостачання'!$E$126*'Ціни контур теплопостачання'!$F$126+'Ціни контур теплопостачання'!$D$126,IF(C255='Ціни контур теплопостачання'!$B$127,E255*'Ціни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5" s="170" t="s">
        <v>211</v>
      </c>
      <c r="I255" s="162" t="str">
        <f t="shared" si="28"/>
        <v xml:space="preserve">16+025M50HS-237 </v>
      </c>
      <c r="J255" s="162" t="str">
        <f t="shared" si="29"/>
        <v>16</v>
      </c>
      <c r="K255" s="162" t="str">
        <f t="shared" si="30"/>
        <v xml:space="preserve">025M50HS-237 </v>
      </c>
      <c r="L255" s="162" t="str">
        <f t="shared" si="31"/>
        <v>025</v>
      </c>
      <c r="M255" s="166" t="e">
        <f>IF(J255='Ціни контур теплопостачання'!$B$123,L255*'Ціни контур теплопостачання'!$C$123*'Ціни контур теплопостачання'!$E$123*'Ціни контур теплопостачання'!$F$123+'Ціни контур теплопостачання'!$D$123,IF(J255='Ціни контур теплопостачання'!$B$124,L255*'Ціни контур теплопостачання'!$C$124*'Ціни контур теплопостачання'!$E$124*'Ціни контур теплопостачання'!$F$124+'Ціни контур теплопостачання'!$D$124,IF(J255='Ціни контур теплопостачання'!$B$125,L255*'Ціни контур теплопостачання'!$C$125*'Ціни контур теплопостачання'!$E$125*'Ціни контур теплопостачання'!$F$125+'Ціни контур теплопостачання'!$D$125,IF(J255='Ціни контур теплопостачання'!$B$126,L255*'Ціни контур теплопостачання'!$C$126*'Ціни контур теплопостачання'!$E$126*'Ціни контур теплопостачання'!$F$126+'Ціни контур теплопостачання'!$D$126,IF(J255='Ціни контур теплопостачання'!$B$127,L255*'Ціни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6" spans="1:13">
      <c r="A256" s="168" t="s">
        <v>599</v>
      </c>
      <c r="B256" s="162" t="str">
        <f t="shared" si="24"/>
        <v xml:space="preserve">16+039A00HS-150  </v>
      </c>
      <c r="C256" s="162" t="str">
        <f t="shared" si="25"/>
        <v>16</v>
      </c>
      <c r="D256" s="162" t="str">
        <f t="shared" si="26"/>
        <v xml:space="preserve">039A00HS-150  </v>
      </c>
      <c r="E256" s="162" t="str">
        <f t="shared" si="27"/>
        <v>039</v>
      </c>
      <c r="F256" s="166" t="e">
        <f>IF(C256='Ціни контур теплопостачання'!$B$123,E256*'Ціни контур теплопостачання'!$C$123*'Ціни контур теплопостачання'!$E$123*'Ціни контур теплопостачання'!$F$123+'Ціни контур теплопостачання'!$D$123,IF(C256='Ціни контур теплопостачання'!$B$124,E256*'Ціни контур теплопостачання'!$C$124*'Ціни контур теплопостачання'!$E$124*'Ціни контур теплопостачання'!$F$124+'Ціни контур теплопостачання'!$D$124,IF(C256='Ціни контур теплопостачання'!$B$125,E256*'Ціни контур теплопостачання'!$C$125*'Ціни контур теплопостачання'!$E$125*'Ціни контур теплопостачання'!$F$125+'Ціни контур теплопостачання'!$D$125,IF(C256='Ціни контур теплопостачання'!$B$126,E256*'Ціни контур теплопостачання'!$C$126*'Ціни контур теплопостачання'!$E$126*'Ціни контур теплопостачання'!$F$126+'Ціни контур теплопостачання'!$D$126,IF(C256='Ціни контур теплопостачання'!$B$127,E256*'Ціни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6" s="170" t="s">
        <v>167</v>
      </c>
      <c r="I256" s="162" t="str">
        <f t="shared" si="28"/>
        <v xml:space="preserve">08+027A00HS-158 </v>
      </c>
      <c r="J256" s="162" t="str">
        <f t="shared" si="29"/>
        <v>08</v>
      </c>
      <c r="K256" s="162" t="str">
        <f t="shared" si="30"/>
        <v xml:space="preserve">027A00HS-158 </v>
      </c>
      <c r="L256" s="162" t="str">
        <f t="shared" si="31"/>
        <v>027</v>
      </c>
      <c r="M256" s="166" t="e">
        <f>IF(J256='Ціни контур теплопостачання'!$B$123,L256*'Ціни контур теплопостачання'!$C$123*'Ціни контур теплопостачання'!$E$123*'Ціни контур теплопостачання'!$F$123+'Ціни контур теплопостачання'!$D$123,IF(J256='Ціни контур теплопостачання'!$B$124,L256*'Ціни контур теплопостачання'!$C$124*'Ціни контур теплопостачання'!$E$124*'Ціни контур теплопостачання'!$F$124+'Ціни контур теплопостачання'!$D$124,IF(J256='Ціни контур теплопостачання'!$B$125,L256*'Ціни контур теплопостачання'!$C$125*'Ціни контур теплопостачання'!$E$125*'Ціни контур теплопостачання'!$F$125+'Ціни контур теплопостачання'!$D$125,IF(J256='Ціни контур теплопостачання'!$B$126,L256*'Ціни контур теплопостачання'!$C$126*'Ціни контур теплопостачання'!$E$126*'Ціни контур теплопостачання'!$F$126+'Ціни контур теплопостачання'!$D$126,IF(J256='Ціни контур теплопостачання'!$B$127,L256*'Ціни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7" spans="1:15">
      <c r="A257" s="168" t="s">
        <v>491</v>
      </c>
      <c r="B257" s="162" t="str">
        <f t="shared" si="24"/>
        <v xml:space="preserve">16+023A00HS-86  </v>
      </c>
      <c r="C257" s="162" t="str">
        <f t="shared" si="25"/>
        <v>16</v>
      </c>
      <c r="D257" s="162" t="str">
        <f t="shared" si="26"/>
        <v xml:space="preserve">023A00HS-86  </v>
      </c>
      <c r="E257" s="162" t="str">
        <f t="shared" si="27"/>
        <v>023</v>
      </c>
      <c r="F257" s="166" t="e">
        <f>IF(C257='Ціни контур теплопостачання'!$B$123,E257*'Ціни контур теплопостачання'!$C$123*'Ціни контур теплопостачання'!$E$123*'Ціни контур теплопостачання'!$F$123+'Ціни контур теплопостачання'!$D$123,IF(C257='Ціни контур теплопостачання'!$B$124,E257*'Ціни контур теплопостачання'!$C$124*'Ціни контур теплопостачання'!$E$124*'Ціни контур теплопостачання'!$F$124+'Ціни контур теплопостачання'!$D$124,IF(C257='Ціни контур теплопостачання'!$B$125,E257*'Ціни контур теплопостачання'!$C$125*'Ціни контур теплопостачання'!$E$125*'Ціни контур теплопостачання'!$F$125+'Ціни контур теплопостачання'!$D$125,IF(C257='Ціни контур теплопостачання'!$B$126,E257*'Ціни контур теплопостачання'!$C$126*'Ціни контур теплопостачання'!$E$126*'Ціни контур теплопостачання'!$F$126+'Ціни контур теплопостачання'!$D$126,IF(C257='Ціни контур теплопостачання'!$B$127,E257*'Ціни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7" s="170" t="s">
        <v>328</v>
      </c>
      <c r="I257" s="162" t="str">
        <f t="shared" si="28"/>
        <v xml:space="preserve">08+021A00HS-122 </v>
      </c>
      <c r="J257" s="162" t="str">
        <f t="shared" si="29"/>
        <v>08</v>
      </c>
      <c r="K257" s="162" t="str">
        <f t="shared" si="30"/>
        <v xml:space="preserve">021A00HS-122 </v>
      </c>
      <c r="L257" s="162" t="str">
        <f t="shared" si="31"/>
        <v>021</v>
      </c>
      <c r="M257" s="166" t="e">
        <f>IF(J257='Ціни контур теплопостачання'!$B$123,L257*'Ціни контур теплопостачання'!$C$123*'Ціни контур теплопостачання'!$E$123*'Ціни контур теплопостачання'!$F$123+'Ціни контур теплопостачання'!$D$123,IF(J257='Ціни контур теплопостачання'!$B$124,L257*'Ціни контур теплопостачання'!$C$124*'Ціни контур теплопостачання'!$E$124*'Ціни контур теплопостачання'!$F$124+'Ціни контур теплопостачання'!$D$124,IF(J257='Ціни контур теплопостачання'!$B$125,L257*'Ціни контур теплопостачання'!$C$125*'Ціни контур теплопостачання'!$E$125*'Ціни контур теплопостачання'!$F$125+'Ціни контур теплопостачання'!$D$125,IF(J257='Ціни контур теплопостачання'!$B$126,L257*'Ціни контур теплопостачання'!$C$126*'Ціни контур теплопостачання'!$E$126*'Ціни контур теплопостачання'!$F$126+'Ціни контур теплопостачання'!$D$126,IF(J257='Ціни контур теплопостачання'!$B$127,L257*'Ціни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8" spans="1:15">
      <c r="A258" s="168" t="s">
        <v>491</v>
      </c>
      <c r="B258" s="162" t="str">
        <f t="shared" si="24"/>
        <v xml:space="preserve">16+023A00HS-86  </v>
      </c>
      <c r="C258" s="162" t="str">
        <f t="shared" si="25"/>
        <v>16</v>
      </c>
      <c r="D258" s="162" t="str">
        <f t="shared" si="26"/>
        <v xml:space="preserve">023A00HS-86  </v>
      </c>
      <c r="E258" s="162" t="str">
        <f t="shared" si="27"/>
        <v>023</v>
      </c>
      <c r="F258" s="166" t="e">
        <f>IF(C258='Ціни контур теплопостачання'!$B$123,E258*'Ціни контур теплопостачання'!$C$123*'Ціни контур теплопостачання'!$E$123*'Ціни контур теплопостачання'!$F$123+'Ціни контур теплопостачання'!$D$123,IF(C258='Ціни контур теплопостачання'!$B$124,E258*'Ціни контур теплопостачання'!$C$124*'Ціни контур теплопостачання'!$E$124*'Ціни контур теплопостачання'!$F$124+'Ціни контур теплопостачання'!$D$124,IF(C258='Ціни контур теплопостачання'!$B$125,E258*'Ціни контур теплопостачання'!$C$125*'Ціни контур теплопостачання'!$E$125*'Ціни контур теплопостачання'!$F$125+'Ціни контур теплопостачання'!$D$125,IF(C258='Ціни контур теплопостачання'!$B$126,E258*'Ціни контур теплопостачання'!$C$126*'Ціни контур теплопостачання'!$E$126*'Ціни контур теплопостачання'!$F$126+'Ціни контур теплопостачання'!$D$126,IF(C258='Ціни контур теплопостачання'!$B$127,E258*'Ціни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8" s="170" t="s">
        <v>328</v>
      </c>
      <c r="I258" s="162" t="str">
        <f t="shared" si="28"/>
        <v xml:space="preserve">08+021A00HS-122 </v>
      </c>
      <c r="J258" s="162" t="str">
        <f t="shared" si="29"/>
        <v>08</v>
      </c>
      <c r="K258" s="162" t="str">
        <f t="shared" si="30"/>
        <v xml:space="preserve">021A00HS-122 </v>
      </c>
      <c r="L258" s="162" t="str">
        <f t="shared" si="31"/>
        <v>021</v>
      </c>
      <c r="M258" s="166" t="e">
        <f>IF(J258='Ціни контур теплопостачання'!$B$123,L258*'Ціни контур теплопостачання'!$C$123*'Ціни контур теплопостачання'!$E$123*'Ціни контур теплопостачання'!$F$123+'Ціни контур теплопостачання'!$D$123,IF(J258='Ціни контур теплопостачання'!$B$124,L258*'Ціни контур теплопостачання'!$C$124*'Ціни контур теплопостачання'!$E$124*'Ціни контур теплопостачання'!$F$124+'Ціни контур теплопостачання'!$D$124,IF(J258='Ціни контур теплопостачання'!$B$125,L258*'Ціни контур теплопостачання'!$C$125*'Ціни контур теплопостачання'!$E$125*'Ціни контур теплопостачання'!$F$125+'Ціни контур теплопостачання'!$D$125,IF(J258='Ціни контур теплопостачання'!$B$126,L258*'Ціни контур теплопостачання'!$C$126*'Ціни контур теплопостачання'!$E$126*'Ціни контур теплопостачання'!$F$126+'Ціни контур теплопостачання'!$D$126,IF(J258='Ціни контур теплопостачання'!$B$127,L258*'Ціни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59" spans="1:15">
      <c r="A259" s="168" t="s">
        <v>600</v>
      </c>
      <c r="B259" s="162" t="str">
        <f t="shared" ref="B259:B265" si="32">RIGHT(A259,LEN(A259)-6)</f>
        <v xml:space="preserve">16+025A00HS-92  </v>
      </c>
      <c r="C259" s="162" t="str">
        <f t="shared" ref="C259:C265" si="33">LEFT(B259,2)</f>
        <v>16</v>
      </c>
      <c r="D259" s="162" t="str">
        <f t="shared" ref="D259:D265" si="34">RIGHT(A259,LEN(A259)-9)</f>
        <v xml:space="preserve">025A00HS-92  </v>
      </c>
      <c r="E259" s="162" t="str">
        <f t="shared" ref="E259:E265" si="35">LEFT(D259,3)</f>
        <v>025</v>
      </c>
      <c r="F259" s="166" t="e">
        <f>IF(C259='Ціни контур теплопостачання'!$B$123,E259*'Ціни контур теплопостачання'!$C$123*'Ціни контур теплопостачання'!$E$123*'Ціни контур теплопостачання'!$F$123+'Ціни контур теплопостачання'!$D$123,IF(C259='Ціни контур теплопостачання'!$B$124,E259*'Ціни контур теплопостачання'!$C$124*'Ціни контур теплопостачання'!$E$124*'Ціни контур теплопостачання'!$F$124+'Ціни контур теплопостачання'!$D$124,IF(C259='Ціни контур теплопостачання'!$B$125,E259*'Ціни контур теплопостачання'!$C$125*'Ціни контур теплопостачання'!$E$125*'Ціни контур теплопостачання'!$F$125+'Ціни контур теплопостачання'!$D$125,IF(C259='Ціни контур теплопостачання'!$B$126,E259*'Ціни контур теплопостачання'!$C$126*'Ціни контур теплопостачання'!$E$126*'Ціни контур теплопостачання'!$F$126+'Ціни контур теплопостачання'!$D$126,IF(C259='Ціни контур теплопостачання'!$B$127,E259*'Ціни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59" s="170" t="s">
        <v>329</v>
      </c>
      <c r="I259" s="162" t="str">
        <f t="shared" ref="I259:I265" si="36">RIGHT(H259,LEN(H259)-6)</f>
        <v xml:space="preserve">08+017A00HS-92 </v>
      </c>
      <c r="J259" s="162" t="str">
        <f t="shared" ref="J259:J265" si="37">LEFT(I259,2)</f>
        <v>08</v>
      </c>
      <c r="K259" s="162" t="str">
        <f t="shared" ref="K259:K265" si="38">RIGHT(H259,LEN(H259)-9)</f>
        <v xml:space="preserve">017A00HS-92 </v>
      </c>
      <c r="L259" s="162" t="str">
        <f t="shared" ref="L259:L265" si="39">LEFT(K259,3)</f>
        <v>017</v>
      </c>
      <c r="M259" s="166" t="e">
        <f>IF(J259='Ціни контур теплопостачання'!$B$123,L259*'Ціни контур теплопостачання'!$C$123*'Ціни контур теплопостачання'!$E$123*'Ціни контур теплопостачання'!$F$123+'Ціни контур теплопостачання'!$D$123,IF(J259='Ціни контур теплопостачання'!$B$124,L259*'Ціни контур теплопостачання'!$C$124*'Ціни контур теплопостачання'!$E$124*'Ціни контур теплопостачання'!$F$124+'Ціни контур теплопостачання'!$D$124,IF(J259='Ціни контур теплопостачання'!$B$125,L259*'Ціни контур теплопостачання'!$C$125*'Ціни контур теплопостачання'!$E$125*'Ціни контур теплопостачання'!$F$125+'Ціни контур теплопостачання'!$D$125,IF(J259='Ціни контур теплопостачання'!$B$126,L259*'Ціни контур теплопостачання'!$C$126*'Ціни контур теплопостачання'!$E$126*'Ціни контур теплопостачання'!$F$126+'Ціни контур теплопостачання'!$D$126,IF(J259='Ціни контур теплопостачання'!$B$127,L259*'Ціни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60" spans="1:15">
      <c r="A260" s="168" t="s">
        <v>600</v>
      </c>
      <c r="B260" s="162" t="str">
        <f t="shared" si="32"/>
        <v xml:space="preserve">16+025A00HS-92  </v>
      </c>
      <c r="C260" s="162" t="str">
        <f t="shared" si="33"/>
        <v>16</v>
      </c>
      <c r="D260" s="162" t="str">
        <f t="shared" si="34"/>
        <v xml:space="preserve">025A00HS-92  </v>
      </c>
      <c r="E260" s="162" t="str">
        <f t="shared" si="35"/>
        <v>025</v>
      </c>
      <c r="F260" s="166" t="e">
        <f>IF(C260='Ціни контур теплопостачання'!$B$123,E260*'Ціни контур теплопостачання'!$C$123*'Ціни контур теплопостачання'!$E$123*'Ціни контур теплопостачання'!$F$123+'Ціни контур теплопостачання'!$D$123,IF(C260='Ціни контур теплопостачання'!$B$124,E260*'Ціни контур теплопостачання'!$C$124*'Ціни контур теплопостачання'!$E$124*'Ціни контур теплопостачання'!$F$124+'Ціни контур теплопостачання'!$D$124,IF(C260='Ціни контур теплопостачання'!$B$125,E260*'Ціни контур теплопостачання'!$C$125*'Ціни контур теплопостачання'!$E$125*'Ціни контур теплопостачання'!$F$125+'Ціни контур теплопостачання'!$D$125,IF(C260='Ціни контур теплопостачання'!$B$126,E260*'Ціни контур теплопостачання'!$C$126*'Ціни контур теплопостачання'!$E$126*'Ціни контур теплопостачання'!$F$126+'Ціни контур теплопостачання'!$D$126,IF(C260='Ціни контур теплопостачання'!$B$127,E260*'Ціни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60" s="170" t="s">
        <v>329</v>
      </c>
      <c r="I260" s="162" t="str">
        <f t="shared" si="36"/>
        <v xml:space="preserve">08+017A00HS-92 </v>
      </c>
      <c r="J260" s="162" t="str">
        <f t="shared" si="37"/>
        <v>08</v>
      </c>
      <c r="K260" s="162" t="str">
        <f t="shared" si="38"/>
        <v xml:space="preserve">017A00HS-92 </v>
      </c>
      <c r="L260" s="162" t="str">
        <f t="shared" si="39"/>
        <v>017</v>
      </c>
      <c r="M260" s="166" t="e">
        <f>IF(J260='Ціни контур теплопостачання'!$B$123,L260*'Ціни контур теплопостачання'!$C$123*'Ціни контур теплопостачання'!$E$123*'Ціни контур теплопостачання'!$F$123+'Ціни контур теплопостачання'!$D$123,IF(J260='Ціни контур теплопостачання'!$B$124,L260*'Ціни контур теплопостачання'!$C$124*'Ціни контур теплопостачання'!$E$124*'Ціни контур теплопостачання'!$F$124+'Ціни контур теплопостачання'!$D$124,IF(J260='Ціни контур теплопостачання'!$B$125,L260*'Ціни контур теплопостачання'!$C$125*'Ціни контур теплопостачання'!$E$125*'Ціни контур теплопостачання'!$F$125+'Ціни контур теплопостачання'!$D$125,IF(J260='Ціни контур теплопостачання'!$B$126,L260*'Ціни контур теплопостачання'!$C$126*'Ціни контур теплопостачання'!$E$126*'Ціни контур теплопостачання'!$F$126+'Ціни контур теплопостачання'!$D$126,IF(J260='Ціни контур теплопостачання'!$B$127,L260*'Ціни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61" spans="1:15">
      <c r="A261" s="168" t="s">
        <v>601</v>
      </c>
      <c r="B261" s="162" t="str">
        <f t="shared" si="32"/>
        <v xml:space="preserve">16+069A00HS-288  </v>
      </c>
      <c r="C261" s="162" t="str">
        <f t="shared" si="33"/>
        <v>16</v>
      </c>
      <c r="D261" s="162" t="str">
        <f t="shared" si="34"/>
        <v xml:space="preserve">069A00HS-288  </v>
      </c>
      <c r="E261" s="162" t="str">
        <f t="shared" si="35"/>
        <v>069</v>
      </c>
      <c r="F261" s="166" t="e">
        <f>IF(C261='Ціни контур теплопостачання'!$B$123,E261*'Ціни контур теплопостачання'!$C$123*'Ціни контур теплопостачання'!$E$123*'Ціни контур теплопостачання'!$F$123+'Ціни контур теплопостачання'!$D$123,IF(C261='Ціни контур теплопостачання'!$B$124,E261*'Ціни контур теплопостачання'!$C$124*'Ціни контур теплопостачання'!$E$124*'Ціни контур теплопостачання'!$F$124+'Ціни контур теплопостачання'!$D$124,IF(C261='Ціни контур теплопостачання'!$B$125,E261*'Ціни контур теплопостачання'!$C$125*'Ціни контур теплопостачання'!$E$125*'Ціни контур теплопостачання'!$F$125+'Ціни контур теплопостачання'!$D$125,IF(C261='Ціни контур теплопостачання'!$B$126,E261*'Ціни контур теплопостачання'!$C$126*'Ціни контур теплопостачання'!$E$126*'Ціни контур теплопостачання'!$F$126+'Ціни контур теплопостачання'!$D$126,IF(C261='Ціни контур теплопостачання'!$B$127,E261*'Ціни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61" s="170" t="s">
        <v>330</v>
      </c>
      <c r="I261" s="162" t="str">
        <f t="shared" si="36"/>
        <v xml:space="preserve">16+029M50HS-280 </v>
      </c>
      <c r="J261" s="162" t="str">
        <f t="shared" si="37"/>
        <v>16</v>
      </c>
      <c r="K261" s="162" t="str">
        <f t="shared" si="38"/>
        <v xml:space="preserve">029M50HS-280 </v>
      </c>
      <c r="L261" s="162" t="str">
        <f t="shared" si="39"/>
        <v>029</v>
      </c>
      <c r="M261" s="166" t="e">
        <f>IF(J261='Ціни контур теплопостачання'!$B$123,L261*'Ціни контур теплопостачання'!$C$123*'Ціни контур теплопостачання'!$E$123*'Ціни контур теплопостачання'!$F$123+'Ціни контур теплопостачання'!$D$123,IF(J261='Ціни контур теплопостачання'!$B$124,L261*'Ціни контур теплопостачання'!$C$124*'Ціни контур теплопостачання'!$E$124*'Ціни контур теплопостачання'!$F$124+'Ціни контур теплопостачання'!$D$124,IF(J261='Ціни контур теплопостачання'!$B$125,L261*'Ціни контур теплопостачання'!$C$125*'Ціни контур теплопостачання'!$E$125*'Ціни контур теплопостачання'!$F$125+'Ціни контур теплопостачання'!$D$125,IF(J261='Ціни контур теплопостачання'!$B$126,L261*'Ціни контур теплопостачання'!$C$126*'Ціни контур теплопостачання'!$E$126*'Ціни контур теплопостачання'!$F$126+'Ціни контур теплопостачання'!$D$126,IF(J261='Ціни контур теплопостачання'!$B$127,L261*'Ціни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62" spans="1:15">
      <c r="A262" s="168" t="s">
        <v>602</v>
      </c>
      <c r="B262" s="162" t="str">
        <f t="shared" si="32"/>
        <v xml:space="preserve">16+057A00HS-230  </v>
      </c>
      <c r="C262" s="162" t="str">
        <f t="shared" si="33"/>
        <v>16</v>
      </c>
      <c r="D262" s="162" t="str">
        <f t="shared" si="34"/>
        <v xml:space="preserve">057A00HS-230  </v>
      </c>
      <c r="E262" s="162" t="str">
        <f t="shared" si="35"/>
        <v>057</v>
      </c>
      <c r="F262" s="166" t="e">
        <f>IF(C262='Ціни контур теплопостачання'!$B$123,E262*'Ціни контур теплопостачання'!$C$123*'Ціни контур теплопостачання'!$E$123*'Ціни контур теплопостачання'!$F$123+'Ціни контур теплопостачання'!$D$123,IF(C262='Ціни контур теплопостачання'!$B$124,E262*'Ціни контур теплопостачання'!$C$124*'Ціни контур теплопостачання'!$E$124*'Ціни контур теплопостачання'!$F$124+'Ціни контур теплопостачання'!$D$124,IF(C262='Ціни контур теплопостачання'!$B$125,E262*'Ціни контур теплопостачання'!$C$125*'Ціни контур теплопостачання'!$E$125*'Ціни контур теплопостачання'!$F$125+'Ціни контур теплопостачання'!$D$125,IF(C262='Ціни контур теплопостачання'!$B$126,E262*'Ціни контур теплопостачання'!$C$126*'Ціни контур теплопостачання'!$E$126*'Ціни контур теплопостачання'!$F$126+'Ціни контур теплопостачання'!$D$126,IF(C262='Ціни контур теплопостачання'!$B$127,E262*'Ціни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62" s="170" t="s">
        <v>331</v>
      </c>
      <c r="I262" s="162" t="str">
        <f t="shared" si="36"/>
        <v xml:space="preserve">16+027M50HS-259 </v>
      </c>
      <c r="J262" s="162" t="str">
        <f t="shared" si="37"/>
        <v>16</v>
      </c>
      <c r="K262" s="162" t="str">
        <f t="shared" si="38"/>
        <v xml:space="preserve">027M50HS-259 </v>
      </c>
      <c r="L262" s="162" t="str">
        <f t="shared" si="39"/>
        <v>027</v>
      </c>
      <c r="M262" s="166" t="e">
        <f>IF(J262='Ціни контур теплопостачання'!$B$123,L262*'Ціни контур теплопостачання'!$C$123*'Ціни контур теплопостачання'!$E$123*'Ціни контур теплопостачання'!$F$123+'Ціни контур теплопостачання'!$D$123,IF(J262='Ціни контур теплопостачання'!$B$124,L262*'Ціни контур теплопостачання'!$C$124*'Ціни контур теплопостачання'!$E$124*'Ціни контур теплопостачання'!$F$124+'Ціни контур теплопостачання'!$D$124,IF(J262='Ціни контур теплопостачання'!$B$125,L262*'Ціни контур теплопостачання'!$C$125*'Ціни контур теплопостачання'!$E$125*'Ціни контур теплопостачання'!$F$125+'Ціни контур теплопостачання'!$D$125,IF(J262='Ціни контур теплопостачання'!$B$126,L262*'Ціни контур теплопостачання'!$C$126*'Ціни контур теплопостачання'!$E$126*'Ціни контур теплопостачання'!$F$126+'Ціни контур теплопостачання'!$D$126,IF(J262='Ціни контур теплопостачання'!$B$127,L262*'Ціни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O262">
        <v>121</v>
      </c>
    </row>
    <row r="263" spans="1:15">
      <c r="A263" s="168" t="s">
        <v>552</v>
      </c>
      <c r="B263" s="162" t="str">
        <f t="shared" si="32"/>
        <v xml:space="preserve">16+039A00HS-153  </v>
      </c>
      <c r="C263" s="162" t="str">
        <f t="shared" si="33"/>
        <v>16</v>
      </c>
      <c r="D263" s="162" t="str">
        <f t="shared" si="34"/>
        <v xml:space="preserve">039A00HS-153  </v>
      </c>
      <c r="E263" s="162" t="str">
        <f t="shared" si="35"/>
        <v>039</v>
      </c>
      <c r="F263" s="166" t="e">
        <f>IF(C263='Ціни контур теплопостачання'!$B$123,E263*'Ціни контур теплопостачання'!$C$123*'Ціни контур теплопостачання'!$E$123*'Ціни контур теплопостачання'!$F$123+'Ціни контур теплопостачання'!$D$123,IF(C263='Ціни контур теплопостачання'!$B$124,E263*'Ціни контур теплопостачання'!$C$124*'Ціни контур теплопостачання'!$E$124*'Ціни контур теплопостачання'!$F$124+'Ціни контур теплопостачання'!$D$124,IF(C263='Ціни контур теплопостачання'!$B$125,E263*'Ціни контур теплопостачання'!$C$125*'Ціни контур теплопостачання'!$E$125*'Ціни контур теплопостачання'!$F$125+'Ціни контур теплопостачання'!$D$125,IF(C263='Ціни контур теплопостачання'!$B$126,E263*'Ціни контур теплопостачання'!$C$126*'Ціни контур теплопостачання'!$E$126*'Ціни контур теплопостачання'!$F$126+'Ціни контур теплопостачання'!$D$126,IF(C263='Ціни контур теплопостачання'!$B$127,E263*'Ціни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63" s="170" t="s">
        <v>332</v>
      </c>
      <c r="I263" s="162" t="str">
        <f t="shared" si="36"/>
        <v xml:space="preserve">08+029A00HS-173 </v>
      </c>
      <c r="J263" s="162" t="str">
        <f t="shared" si="37"/>
        <v>08</v>
      </c>
      <c r="K263" s="162" t="str">
        <f t="shared" si="38"/>
        <v xml:space="preserve">029A00HS-173 </v>
      </c>
      <c r="L263" s="162" t="str">
        <f t="shared" si="39"/>
        <v>029</v>
      </c>
      <c r="M263" s="166" t="e">
        <f>IF(J263='Ціни контур теплопостачання'!$B$123,L263*'Ціни контур теплопостачання'!$C$123*'Ціни контур теплопостачання'!$E$123*'Ціни контур теплопостачання'!$F$123+'Ціни контур теплопостачання'!$D$123,IF(J263='Ціни контур теплопостачання'!$B$124,L263*'Ціни контур теплопостачання'!$C$124*'Ціни контур теплопостачання'!$E$124*'Ціни контур теплопостачання'!$F$124+'Ціни контур теплопостачання'!$D$124,IF(J263='Ціни контур теплопостачання'!$B$125,L263*'Ціни контур теплопостачання'!$C$125*'Ціни контур теплопостачання'!$E$125*'Ціни контур теплопостачання'!$F$125+'Ціни контур теплопостачання'!$D$125,IF(J263='Ціни контур теплопостачання'!$B$126,L263*'Ціни контур теплопостачання'!$C$126*'Ціни контур теплопостачання'!$E$126*'Ціни контур теплопостачання'!$F$126+'Ціни контур теплопостачання'!$D$126,IF(J263='Ціни контур теплопостачання'!$B$127,L263*'Ціни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64" spans="1:15">
      <c r="A264" s="168" t="s">
        <v>603</v>
      </c>
      <c r="B264" s="162" t="str">
        <f t="shared" si="32"/>
        <v xml:space="preserve">16+041A00HS-162  </v>
      </c>
      <c r="C264" s="162" t="str">
        <f t="shared" si="33"/>
        <v>16</v>
      </c>
      <c r="D264" s="162" t="str">
        <f t="shared" si="34"/>
        <v xml:space="preserve">041A00HS-162  </v>
      </c>
      <c r="E264" s="162" t="str">
        <f t="shared" si="35"/>
        <v>041</v>
      </c>
      <c r="F264" s="166" t="e">
        <f>IF(C264='Ціни контур теплопостачання'!$B$123,E264*'Ціни контур теплопостачання'!$C$123*'Ціни контур теплопостачання'!$E$123*'Ціни контур теплопостачання'!$F$123+'Ціни контур теплопостачання'!$D$123,IF(C264='Ціни контур теплопостачання'!$B$124,E264*'Ціни контур теплопостачання'!$C$124*'Ціни контур теплопостачання'!$E$124*'Ціни контур теплопостачання'!$F$124+'Ціни контур теплопостачання'!$D$124,IF(C264='Ціни контур теплопостачання'!$B$125,E264*'Ціни контур теплопостачання'!$C$125*'Ціни контур теплопостачання'!$E$125*'Ціни контур теплопостачання'!$F$125+'Ціни контур теплопостачання'!$D$125,IF(C264='Ціни контур теплопостачання'!$B$126,E264*'Ціни контур теплопостачання'!$C$126*'Ціни контур теплопостачання'!$E$126*'Ціни контур теплопостачання'!$F$126+'Ціни контур теплопостачання'!$D$126,IF(C264='Ціни контур теплопостачання'!$B$127,E264*'Ціни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H264" s="170" t="s">
        <v>243</v>
      </c>
      <c r="I264" s="162" t="str">
        <f t="shared" si="36"/>
        <v xml:space="preserve">08+033A00HS-194 </v>
      </c>
      <c r="J264" s="162" t="str">
        <f t="shared" si="37"/>
        <v>08</v>
      </c>
      <c r="K264" s="162" t="str">
        <f t="shared" si="38"/>
        <v xml:space="preserve">033A00HS-194 </v>
      </c>
      <c r="L264" s="162" t="str">
        <f t="shared" si="39"/>
        <v>033</v>
      </c>
      <c r="M264" s="166" t="e">
        <f>IF(J264='Ціни контур теплопостачання'!$B$123,L264*'Ціни контур теплопостачання'!$C$123*'Ціни контур теплопостачання'!$E$123*'Ціни контур теплопостачання'!$F$123+'Ціни контур теплопостачання'!$D$123,IF(J264='Ціни контур теплопостачання'!$B$124,L264*'Ціни контур теплопостачання'!$C$124*'Ціни контур теплопостачання'!$E$124*'Ціни контур теплопостачання'!$F$124+'Ціни контур теплопостачання'!$D$124,IF(J264='Ціни контур теплопостачання'!$B$125,L264*'Ціни контур теплопостачання'!$C$125*'Ціни контур теплопостачання'!$E$125*'Ціни контур теплопостачання'!$F$125+'Ціни контур теплопостачання'!$D$125,IF(J264='Ціни контур теплопостачання'!$B$126,L264*'Ціни контур теплопостачання'!$C$126*'Ціни контур теплопостачання'!$E$126*'Ціни контур теплопостачання'!$F$126+'Ціни контур теплопостачання'!$D$126,IF(J264='Ціни контур теплопостачання'!$B$127,L264*'Ціни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</row>
    <row r="265" spans="1:15" ht="13.5" thickBot="1">
      <c r="A265" s="168" t="s">
        <v>604</v>
      </c>
      <c r="B265" s="162" t="str">
        <f t="shared" si="32"/>
        <v xml:space="preserve">16+041A00HS-162 </v>
      </c>
      <c r="C265" s="162" t="str">
        <f t="shared" si="33"/>
        <v>16</v>
      </c>
      <c r="D265" s="162" t="str">
        <f t="shared" si="34"/>
        <v xml:space="preserve">041A00HS-162 </v>
      </c>
      <c r="E265" s="162" t="str">
        <f t="shared" si="35"/>
        <v>041</v>
      </c>
      <c r="F265" s="166" t="e">
        <f>IF(C265='Ціни контур теплопостачання'!$B$123,E265*'Ціни контур теплопостачання'!$C$123*'Ціни контур теплопостачання'!$E$123*'Ціни контур теплопостачання'!$F$123+'Ціни контур теплопостачання'!$D$123,IF(C265='Ціни контур теплопостачання'!$B$124,E265*'Ціни контур теплопостачання'!$C$124*'Ціни контур теплопостачання'!$E$124*'Ціни контур теплопостачання'!$F$124+'Ціни контур теплопостачання'!$D$124,IF(C265='Ціни контур теплопостачання'!$B$125,E265*'Ціни контур теплопостачання'!$C$125*'Ціни контур теплопостачання'!$E$125*'Ціни контур теплопостачання'!$F$125+'Ціни контур теплопостачання'!$D$125,IF(C265='Ціни контур теплопостачання'!$B$126,E265*'Ціни контур теплопостачання'!$C$126*'Ціни контур теплопостачання'!$E$126*'Ціни контур теплопостачання'!$F$126+'Ціни контур теплопостачання'!$D$126,IF(C265='Ціни контур теплопостачання'!$B$127,E265*'Ціни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G265" s="154">
        <v>257</v>
      </c>
      <c r="H265" s="171" t="s">
        <v>243</v>
      </c>
      <c r="I265" s="162" t="str">
        <f t="shared" si="36"/>
        <v xml:space="preserve">08+033A00HS-194 </v>
      </c>
      <c r="J265" s="162" t="str">
        <f t="shared" si="37"/>
        <v>08</v>
      </c>
      <c r="K265" s="162" t="str">
        <f t="shared" si="38"/>
        <v xml:space="preserve">033A00HS-194 </v>
      </c>
      <c r="L265" s="162" t="str">
        <f t="shared" si="39"/>
        <v>033</v>
      </c>
      <c r="M265" s="166" t="e">
        <f>IF(J265='Ціни контур теплопостачання'!$B$123,L265*'Ціни контур теплопостачання'!$C$123*'Ціни контур теплопостачання'!$E$123*'Ціни контур теплопостачання'!$F$123+'Ціни контур теплопостачання'!$D$123,IF(J265='Ціни контур теплопостачання'!$B$124,L265*'Ціни контур теплопостачання'!$C$124*'Ціни контур теплопостачання'!$E$124*'Ціни контур теплопостачання'!$F$124+'Ціни контур теплопостачання'!$D$124,IF(J265='Ціни контур теплопостачання'!$B$125,L265*'Ціни контур теплопостачання'!$C$125*'Ціни контур теплопостачання'!$E$125*'Ціни контур теплопостачання'!$F$125+'Ціни контур теплопостачання'!$D$125,IF(J265='Ціни контур теплопостачання'!$B$126,L265*'Ціни контур теплопостачання'!$C$126*'Ціни контур теплопостачання'!$E$126*'Ціни контур теплопостачання'!$F$126+'Ціни контур теплопостачання'!$D$126,IF(J265='Ціни контур теплопостачання'!$B$127,L265*'Ціни контур теплопостачання'!$C$127*'Ціни контур теплопостачання'!$E$127*'Ціни контур теплопостачання'!$F$127+'Ціни контур теплопостачання'!$D$127,)))))</f>
        <v>#REF!</v>
      </c>
      <c r="O265">
        <v>141</v>
      </c>
    </row>
    <row r="267" spans="1:15">
      <c r="F267" s="158" t="e">
        <f>SUM(F2:F266)</f>
        <v>#REF!</v>
      </c>
      <c r="M267" s="172" t="e">
        <f>SUM(M2:M266)</f>
        <v>#REF!</v>
      </c>
    </row>
  </sheetData>
  <autoFilter ref="A1:N26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2:F552"/>
  <sheetViews>
    <sheetView workbookViewId="0">
      <selection activeCell="W42" sqref="W42"/>
    </sheetView>
  </sheetViews>
  <sheetFormatPr defaultRowHeight="12.75"/>
  <sheetData>
    <row r="2" spans="1:6" ht="15">
      <c r="A2" s="91" t="s">
        <v>376</v>
      </c>
      <c r="B2" t="e">
        <f>COUNTIF(#REF!,A$2:A$12)*1</f>
        <v>#REF!</v>
      </c>
      <c r="C2">
        <f>COUNTIF(F$2:F$552:AD$31,A$2:A$12)*1</f>
        <v>0</v>
      </c>
      <c r="F2" s="64" t="s">
        <v>103</v>
      </c>
    </row>
    <row r="3" spans="1:6" ht="15">
      <c r="A3" s="91" t="s">
        <v>105</v>
      </c>
      <c r="B3" t="e">
        <f>COUNTIF(#REF!,A$2:A$12)*1</f>
        <v>#REF!</v>
      </c>
      <c r="C3">
        <f>COUNTIF(F$2:F$552:AD$31,A$2:A$12)*1</f>
        <v>0</v>
      </c>
      <c r="F3" s="64" t="s">
        <v>100</v>
      </c>
    </row>
    <row r="4" spans="1:6" ht="15">
      <c r="A4" s="91" t="s">
        <v>377</v>
      </c>
      <c r="B4" t="e">
        <f>COUNTIF(#REF!,A$2:A$12)*1</f>
        <v>#REF!</v>
      </c>
      <c r="C4">
        <f>COUNTIF(F$2:F$552:AD$31,A$2:A$12)*1</f>
        <v>0</v>
      </c>
      <c r="F4" s="64" t="s">
        <v>100</v>
      </c>
    </row>
    <row r="5" spans="1:6" ht="15">
      <c r="A5" s="91" t="s">
        <v>99</v>
      </c>
      <c r="B5" t="e">
        <f>COUNTIF(#REF!,A$2:A$12)*1</f>
        <v>#REF!</v>
      </c>
      <c r="C5">
        <f>COUNTIF(F$2:F$552:AD$31,A$2:A$12)*1</f>
        <v>1</v>
      </c>
      <c r="F5" s="64" t="s">
        <v>101</v>
      </c>
    </row>
    <row r="6" spans="1:6">
      <c r="A6" s="92" t="s">
        <v>102</v>
      </c>
      <c r="B6" t="e">
        <f>COUNTIF(#REF!,A$2:A$12)*1</f>
        <v>#REF!</v>
      </c>
      <c r="C6">
        <f>COUNTIF(F$2:F$552:AD$31,A$2:A$12)*1</f>
        <v>1</v>
      </c>
      <c r="F6" s="64" t="s">
        <v>101</v>
      </c>
    </row>
    <row r="7" spans="1:6">
      <c r="A7" s="93" t="s">
        <v>103</v>
      </c>
      <c r="B7" t="e">
        <f>COUNTIF(#REF!,A$2:A$12)*1</f>
        <v>#REF!</v>
      </c>
      <c r="C7">
        <f>COUNTIF(F$2:F$552:AD$31,A$2:A$12)*1</f>
        <v>52</v>
      </c>
      <c r="F7" s="64" t="s">
        <v>98</v>
      </c>
    </row>
    <row r="8" spans="1:6">
      <c r="A8" s="92" t="s">
        <v>101</v>
      </c>
      <c r="B8" t="e">
        <f>COUNTIF(#REF!,A$2:A$12)*1</f>
        <v>#REF!</v>
      </c>
      <c r="C8">
        <f>COUNTIF(F$2:F$552:AD$31,A$2:A$12)*1</f>
        <v>124</v>
      </c>
      <c r="F8" s="64" t="s">
        <v>101</v>
      </c>
    </row>
    <row r="9" spans="1:6">
      <c r="A9" s="93" t="s">
        <v>98</v>
      </c>
      <c r="B9" t="e">
        <f>COUNTIF(#REF!,A$2:A$12)*1</f>
        <v>#REF!</v>
      </c>
      <c r="C9">
        <f>COUNTIF(F$2:F$552:AD$31,A$2:A$12)*1</f>
        <v>219</v>
      </c>
      <c r="F9" s="64" t="s">
        <v>101</v>
      </c>
    </row>
    <row r="10" spans="1:6">
      <c r="A10" s="92" t="s">
        <v>100</v>
      </c>
      <c r="B10" t="e">
        <f>COUNTIF(#REF!,A$2:A$12)*1</f>
        <v>#REF!</v>
      </c>
      <c r="C10">
        <f>COUNTIF(F$2:F$552:AD$31,A$2:A$12)*1</f>
        <v>128</v>
      </c>
      <c r="F10" s="64" t="s">
        <v>98</v>
      </c>
    </row>
    <row r="11" spans="1:6">
      <c r="A11" s="92" t="s">
        <v>97</v>
      </c>
      <c r="B11" t="e">
        <f>COUNTIF(#REF!,A$2:A$12)*1</f>
        <v>#REF!</v>
      </c>
      <c r="C11">
        <f>COUNTIF(F$2:F$552:AD$31,A$2:A$12)*1</f>
        <v>25</v>
      </c>
      <c r="F11" s="64" t="s">
        <v>98</v>
      </c>
    </row>
    <row r="12" spans="1:6">
      <c r="A12" s="151" t="s">
        <v>114</v>
      </c>
      <c r="B12" t="e">
        <f>COUNTIF(#REF!,A$2:A$12)*1</f>
        <v>#REF!</v>
      </c>
      <c r="C12">
        <f>COUNTIF(F$2:F$552:AD$31,A$2:A$12)*1</f>
        <v>1</v>
      </c>
      <c r="F12" s="64" t="s">
        <v>100</v>
      </c>
    </row>
    <row r="13" spans="1:6">
      <c r="F13" s="64" t="s">
        <v>100</v>
      </c>
    </row>
    <row r="14" spans="1:6">
      <c r="F14" s="64" t="s">
        <v>98</v>
      </c>
    </row>
    <row r="15" spans="1:6">
      <c r="F15" s="64" t="s">
        <v>98</v>
      </c>
    </row>
    <row r="16" spans="1:6">
      <c r="F16" s="64" t="s">
        <v>103</v>
      </c>
    </row>
    <row r="17" spans="6:6">
      <c r="F17" s="64" t="s">
        <v>98</v>
      </c>
    </row>
    <row r="18" spans="6:6">
      <c r="F18" s="64" t="s">
        <v>100</v>
      </c>
    </row>
    <row r="19" spans="6:6">
      <c r="F19" s="64" t="s">
        <v>100</v>
      </c>
    </row>
    <row r="20" spans="6:6">
      <c r="F20" s="64" t="s">
        <v>98</v>
      </c>
    </row>
    <row r="21" spans="6:6">
      <c r="F21" s="64" t="s">
        <v>98</v>
      </c>
    </row>
    <row r="22" spans="6:6">
      <c r="F22" s="64" t="s">
        <v>103</v>
      </c>
    </row>
    <row r="23" spans="6:6">
      <c r="F23" s="64" t="s">
        <v>101</v>
      </c>
    </row>
    <row r="24" spans="6:6">
      <c r="F24" s="64" t="s">
        <v>98</v>
      </c>
    </row>
    <row r="25" spans="6:6">
      <c r="F25" s="64" t="s">
        <v>101</v>
      </c>
    </row>
    <row r="26" spans="6:6">
      <c r="F26" s="64" t="s">
        <v>98</v>
      </c>
    </row>
    <row r="27" spans="6:6">
      <c r="F27" s="64" t="s">
        <v>101</v>
      </c>
    </row>
    <row r="28" spans="6:6">
      <c r="F28" s="64" t="s">
        <v>101</v>
      </c>
    </row>
    <row r="29" spans="6:6">
      <c r="F29" s="64" t="s">
        <v>98</v>
      </c>
    </row>
    <row r="30" spans="6:6">
      <c r="F30" s="64" t="s">
        <v>98</v>
      </c>
    </row>
    <row r="31" spans="6:6">
      <c r="F31" s="64" t="s">
        <v>101</v>
      </c>
    </row>
    <row r="32" spans="6:6">
      <c r="F32" s="64" t="s">
        <v>98</v>
      </c>
    </row>
    <row r="33" spans="6:6">
      <c r="F33" s="64" t="s">
        <v>98</v>
      </c>
    </row>
    <row r="34" spans="6:6">
      <c r="F34" s="64" t="s">
        <v>98</v>
      </c>
    </row>
    <row r="35" spans="6:6">
      <c r="F35" s="64" t="s">
        <v>98</v>
      </c>
    </row>
    <row r="36" spans="6:6">
      <c r="F36" s="64" t="s">
        <v>98</v>
      </c>
    </row>
    <row r="37" spans="6:6">
      <c r="F37" s="64" t="s">
        <v>98</v>
      </c>
    </row>
    <row r="38" spans="6:6">
      <c r="F38" s="64" t="s">
        <v>100</v>
      </c>
    </row>
    <row r="39" spans="6:6">
      <c r="F39" s="64" t="s">
        <v>103</v>
      </c>
    </row>
    <row r="40" spans="6:6">
      <c r="F40" s="64" t="s">
        <v>101</v>
      </c>
    </row>
    <row r="41" spans="6:6">
      <c r="F41" s="64" t="s">
        <v>98</v>
      </c>
    </row>
    <row r="42" spans="6:6">
      <c r="F42" s="64" t="s">
        <v>98</v>
      </c>
    </row>
    <row r="43" spans="6:6">
      <c r="F43" s="64" t="s">
        <v>103</v>
      </c>
    </row>
    <row r="44" spans="6:6">
      <c r="F44" s="64" t="s">
        <v>103</v>
      </c>
    </row>
    <row r="45" spans="6:6">
      <c r="F45" s="64" t="s">
        <v>98</v>
      </c>
    </row>
    <row r="46" spans="6:6">
      <c r="F46" s="64" t="s">
        <v>101</v>
      </c>
    </row>
    <row r="47" spans="6:6">
      <c r="F47" s="64" t="s">
        <v>98</v>
      </c>
    </row>
    <row r="48" spans="6:6">
      <c r="F48" s="64" t="s">
        <v>98</v>
      </c>
    </row>
    <row r="49" spans="6:6">
      <c r="F49" s="64" t="s">
        <v>101</v>
      </c>
    </row>
    <row r="50" spans="6:6">
      <c r="F50" s="64" t="s">
        <v>103</v>
      </c>
    </row>
    <row r="51" spans="6:6">
      <c r="F51" s="64" t="s">
        <v>114</v>
      </c>
    </row>
    <row r="52" spans="6:6">
      <c r="F52" s="64" t="s">
        <v>100</v>
      </c>
    </row>
    <row r="53" spans="6:6">
      <c r="F53" s="64" t="s">
        <v>100</v>
      </c>
    </row>
    <row r="54" spans="6:6">
      <c r="F54" s="64" t="s">
        <v>100</v>
      </c>
    </row>
    <row r="55" spans="6:6">
      <c r="F55" s="64" t="s">
        <v>98</v>
      </c>
    </row>
    <row r="56" spans="6:6">
      <c r="F56" s="64" t="s">
        <v>100</v>
      </c>
    </row>
    <row r="57" spans="6:6">
      <c r="F57" s="64" t="s">
        <v>97</v>
      </c>
    </row>
    <row r="58" spans="6:6">
      <c r="F58" s="64" t="s">
        <v>98</v>
      </c>
    </row>
    <row r="59" spans="6:6">
      <c r="F59" s="64" t="s">
        <v>98</v>
      </c>
    </row>
    <row r="60" spans="6:6">
      <c r="F60" s="64" t="s">
        <v>103</v>
      </c>
    </row>
    <row r="61" spans="6:6">
      <c r="F61" s="64" t="s">
        <v>100</v>
      </c>
    </row>
    <row r="62" spans="6:6">
      <c r="F62" s="64" t="s">
        <v>98</v>
      </c>
    </row>
    <row r="63" spans="6:6">
      <c r="F63" s="64" t="s">
        <v>98</v>
      </c>
    </row>
    <row r="64" spans="6:6">
      <c r="F64" s="64" t="s">
        <v>98</v>
      </c>
    </row>
    <row r="65" spans="6:6">
      <c r="F65" s="64" t="s">
        <v>98</v>
      </c>
    </row>
    <row r="66" spans="6:6">
      <c r="F66" s="64" t="s">
        <v>100</v>
      </c>
    </row>
    <row r="67" spans="6:6">
      <c r="F67" s="64" t="s">
        <v>98</v>
      </c>
    </row>
    <row r="68" spans="6:6">
      <c r="F68" s="64" t="s">
        <v>98</v>
      </c>
    </row>
    <row r="69" spans="6:6">
      <c r="F69" s="64" t="s">
        <v>98</v>
      </c>
    </row>
    <row r="70" spans="6:6">
      <c r="F70" s="64" t="s">
        <v>101</v>
      </c>
    </row>
    <row r="71" spans="6:6">
      <c r="F71" s="64" t="s">
        <v>98</v>
      </c>
    </row>
    <row r="72" spans="6:6">
      <c r="F72" s="64" t="s">
        <v>101</v>
      </c>
    </row>
    <row r="73" spans="6:6">
      <c r="F73" s="64" t="s">
        <v>98</v>
      </c>
    </row>
    <row r="74" spans="6:6">
      <c r="F74" s="64" t="s">
        <v>101</v>
      </c>
    </row>
    <row r="75" spans="6:6">
      <c r="F75" s="64" t="s">
        <v>98</v>
      </c>
    </row>
    <row r="76" spans="6:6">
      <c r="F76" s="64" t="s">
        <v>101</v>
      </c>
    </row>
    <row r="77" spans="6:6">
      <c r="F77" s="64" t="s">
        <v>98</v>
      </c>
    </row>
    <row r="78" spans="6:6">
      <c r="F78" s="64" t="s">
        <v>101</v>
      </c>
    </row>
    <row r="79" spans="6:6">
      <c r="F79" s="64" t="s">
        <v>98</v>
      </c>
    </row>
    <row r="80" spans="6:6">
      <c r="F80" s="64" t="s">
        <v>101</v>
      </c>
    </row>
    <row r="81" spans="6:6">
      <c r="F81" s="64" t="s">
        <v>101</v>
      </c>
    </row>
    <row r="82" spans="6:6">
      <c r="F82" s="64" t="s">
        <v>98</v>
      </c>
    </row>
    <row r="83" spans="6:6">
      <c r="F83" s="64" t="s">
        <v>101</v>
      </c>
    </row>
    <row r="84" spans="6:6">
      <c r="F84" s="64" t="s">
        <v>101</v>
      </c>
    </row>
    <row r="85" spans="6:6">
      <c r="F85" s="64" t="s">
        <v>101</v>
      </c>
    </row>
    <row r="86" spans="6:6">
      <c r="F86" s="64" t="s">
        <v>98</v>
      </c>
    </row>
    <row r="87" spans="6:6">
      <c r="F87" s="64" t="s">
        <v>100</v>
      </c>
    </row>
    <row r="88" spans="6:6">
      <c r="F88" s="64" t="s">
        <v>101</v>
      </c>
    </row>
    <row r="89" spans="6:6">
      <c r="F89" s="64" t="s">
        <v>101</v>
      </c>
    </row>
    <row r="90" spans="6:6">
      <c r="F90" s="64" t="s">
        <v>101</v>
      </c>
    </row>
    <row r="91" spans="6:6">
      <c r="F91" s="64" t="s">
        <v>101</v>
      </c>
    </row>
    <row r="92" spans="6:6">
      <c r="F92" s="64" t="s">
        <v>97</v>
      </c>
    </row>
    <row r="93" spans="6:6">
      <c r="F93" s="64" t="s">
        <v>100</v>
      </c>
    </row>
    <row r="94" spans="6:6">
      <c r="F94" s="64" t="s">
        <v>100</v>
      </c>
    </row>
    <row r="95" spans="6:6">
      <c r="F95" s="64" t="s">
        <v>101</v>
      </c>
    </row>
    <row r="96" spans="6:6">
      <c r="F96" s="64" t="s">
        <v>98</v>
      </c>
    </row>
    <row r="97" spans="6:6">
      <c r="F97" s="64" t="s">
        <v>98</v>
      </c>
    </row>
    <row r="98" spans="6:6">
      <c r="F98" s="64" t="s">
        <v>98</v>
      </c>
    </row>
    <row r="99" spans="6:6">
      <c r="F99" s="64" t="s">
        <v>98</v>
      </c>
    </row>
    <row r="100" spans="6:6">
      <c r="F100" s="64" t="s">
        <v>98</v>
      </c>
    </row>
    <row r="101" spans="6:6">
      <c r="F101" s="64" t="s">
        <v>101</v>
      </c>
    </row>
    <row r="102" spans="6:6">
      <c r="F102" s="64" t="s">
        <v>100</v>
      </c>
    </row>
    <row r="103" spans="6:6">
      <c r="F103" s="64" t="s">
        <v>100</v>
      </c>
    </row>
    <row r="104" spans="6:6">
      <c r="F104" s="64" t="s">
        <v>101</v>
      </c>
    </row>
    <row r="105" spans="6:6">
      <c r="F105" s="64" t="s">
        <v>101</v>
      </c>
    </row>
    <row r="106" spans="6:6">
      <c r="F106" s="64" t="s">
        <v>101</v>
      </c>
    </row>
    <row r="107" spans="6:6">
      <c r="F107" s="64" t="s">
        <v>100</v>
      </c>
    </row>
    <row r="108" spans="6:6">
      <c r="F108" s="64" t="s">
        <v>101</v>
      </c>
    </row>
    <row r="109" spans="6:6">
      <c r="F109" s="64" t="s">
        <v>97</v>
      </c>
    </row>
    <row r="110" spans="6:6">
      <c r="F110" s="64" t="s">
        <v>98</v>
      </c>
    </row>
    <row r="111" spans="6:6">
      <c r="F111" s="64" t="s">
        <v>103</v>
      </c>
    </row>
    <row r="112" spans="6:6">
      <c r="F112" s="64" t="s">
        <v>103</v>
      </c>
    </row>
    <row r="113" spans="6:6">
      <c r="F113" s="64" t="s">
        <v>100</v>
      </c>
    </row>
    <row r="114" spans="6:6">
      <c r="F114" s="64" t="s">
        <v>100</v>
      </c>
    </row>
    <row r="115" spans="6:6">
      <c r="F115" s="64" t="s">
        <v>100</v>
      </c>
    </row>
    <row r="116" spans="6:6">
      <c r="F116" s="64" t="s">
        <v>101</v>
      </c>
    </row>
    <row r="117" spans="6:6">
      <c r="F117" s="64" t="s">
        <v>98</v>
      </c>
    </row>
    <row r="118" spans="6:6">
      <c r="F118" s="64" t="s">
        <v>100</v>
      </c>
    </row>
    <row r="119" spans="6:6">
      <c r="F119" s="64" t="s">
        <v>98</v>
      </c>
    </row>
    <row r="120" spans="6:6">
      <c r="F120" s="64" t="s">
        <v>100</v>
      </c>
    </row>
    <row r="121" spans="6:6">
      <c r="F121" s="64" t="s">
        <v>97</v>
      </c>
    </row>
    <row r="122" spans="6:6">
      <c r="F122" s="64" t="s">
        <v>98</v>
      </c>
    </row>
    <row r="123" spans="6:6">
      <c r="F123" s="64" t="s">
        <v>100</v>
      </c>
    </row>
    <row r="124" spans="6:6">
      <c r="F124" s="64" t="s">
        <v>101</v>
      </c>
    </row>
    <row r="125" spans="6:6">
      <c r="F125" s="64" t="s">
        <v>98</v>
      </c>
    </row>
    <row r="126" spans="6:6">
      <c r="F126" s="64" t="s">
        <v>100</v>
      </c>
    </row>
    <row r="127" spans="6:6">
      <c r="F127" s="64" t="s">
        <v>101</v>
      </c>
    </row>
    <row r="128" spans="6:6">
      <c r="F128" s="64" t="s">
        <v>98</v>
      </c>
    </row>
    <row r="129" spans="6:6">
      <c r="F129" s="64" t="s">
        <v>103</v>
      </c>
    </row>
    <row r="130" spans="6:6">
      <c r="F130" s="64" t="s">
        <v>101</v>
      </c>
    </row>
    <row r="131" spans="6:6">
      <c r="F131" s="64" t="s">
        <v>98</v>
      </c>
    </row>
    <row r="132" spans="6:6">
      <c r="F132" s="64" t="s">
        <v>103</v>
      </c>
    </row>
    <row r="133" spans="6:6">
      <c r="F133" s="64" t="s">
        <v>98</v>
      </c>
    </row>
    <row r="134" spans="6:6">
      <c r="F134" s="64" t="s">
        <v>101</v>
      </c>
    </row>
    <row r="135" spans="6:6">
      <c r="F135" s="64" t="s">
        <v>101</v>
      </c>
    </row>
    <row r="136" spans="6:6">
      <c r="F136" s="64" t="s">
        <v>101</v>
      </c>
    </row>
    <row r="137" spans="6:6">
      <c r="F137" s="64" t="s">
        <v>98</v>
      </c>
    </row>
    <row r="138" spans="6:6">
      <c r="F138" s="64" t="s">
        <v>100</v>
      </c>
    </row>
    <row r="139" spans="6:6">
      <c r="F139" s="64" t="s">
        <v>101</v>
      </c>
    </row>
    <row r="140" spans="6:6">
      <c r="F140" s="64" t="s">
        <v>103</v>
      </c>
    </row>
    <row r="141" spans="6:6">
      <c r="F141" s="64" t="s">
        <v>101</v>
      </c>
    </row>
    <row r="142" spans="6:6">
      <c r="F142" s="64" t="s">
        <v>101</v>
      </c>
    </row>
    <row r="143" spans="6:6">
      <c r="F143" s="64" t="s">
        <v>103</v>
      </c>
    </row>
    <row r="144" spans="6:6">
      <c r="F144" s="64" t="s">
        <v>101</v>
      </c>
    </row>
    <row r="145" spans="6:6">
      <c r="F145" s="64" t="s">
        <v>103</v>
      </c>
    </row>
    <row r="146" spans="6:6">
      <c r="F146" s="64" t="s">
        <v>101</v>
      </c>
    </row>
    <row r="147" spans="6:6">
      <c r="F147" s="64" t="s">
        <v>98</v>
      </c>
    </row>
    <row r="148" spans="6:6">
      <c r="F148" s="64" t="s">
        <v>101</v>
      </c>
    </row>
    <row r="149" spans="6:6">
      <c r="F149" s="64" t="s">
        <v>97</v>
      </c>
    </row>
    <row r="150" spans="6:6">
      <c r="F150" s="64" t="s">
        <v>101</v>
      </c>
    </row>
    <row r="151" spans="6:6">
      <c r="F151" s="64" t="s">
        <v>97</v>
      </c>
    </row>
    <row r="152" spans="6:6">
      <c r="F152" s="64" t="s">
        <v>98</v>
      </c>
    </row>
    <row r="153" spans="6:6">
      <c r="F153" s="64" t="s">
        <v>97</v>
      </c>
    </row>
    <row r="154" spans="6:6">
      <c r="F154" s="64" t="s">
        <v>100</v>
      </c>
    </row>
    <row r="155" spans="6:6">
      <c r="F155" s="64" t="s">
        <v>97</v>
      </c>
    </row>
    <row r="156" spans="6:6">
      <c r="F156" s="64" t="s">
        <v>97</v>
      </c>
    </row>
    <row r="157" spans="6:6">
      <c r="F157" s="64" t="s">
        <v>97</v>
      </c>
    </row>
    <row r="158" spans="6:6">
      <c r="F158" s="64" t="s">
        <v>97</v>
      </c>
    </row>
    <row r="159" spans="6:6">
      <c r="F159" s="64" t="s">
        <v>100</v>
      </c>
    </row>
    <row r="160" spans="6:6">
      <c r="F160" s="64" t="s">
        <v>100</v>
      </c>
    </row>
    <row r="161" spans="6:6">
      <c r="F161" s="64" t="s">
        <v>100</v>
      </c>
    </row>
    <row r="162" spans="6:6">
      <c r="F162" s="64" t="s">
        <v>97</v>
      </c>
    </row>
    <row r="163" spans="6:6">
      <c r="F163" s="64" t="s">
        <v>98</v>
      </c>
    </row>
    <row r="164" spans="6:6">
      <c r="F164" s="64" t="s">
        <v>100</v>
      </c>
    </row>
    <row r="165" spans="6:6">
      <c r="F165" s="64" t="s">
        <v>98</v>
      </c>
    </row>
    <row r="166" spans="6:6">
      <c r="F166" s="64" t="s">
        <v>98</v>
      </c>
    </row>
    <row r="167" spans="6:6">
      <c r="F167" s="64" t="s">
        <v>100</v>
      </c>
    </row>
    <row r="168" spans="6:6">
      <c r="F168" s="64" t="s">
        <v>101</v>
      </c>
    </row>
    <row r="169" spans="6:6">
      <c r="F169" s="64" t="s">
        <v>100</v>
      </c>
    </row>
    <row r="170" spans="6:6">
      <c r="F170" s="64" t="s">
        <v>98</v>
      </c>
    </row>
    <row r="171" spans="6:6">
      <c r="F171" s="64" t="s">
        <v>101</v>
      </c>
    </row>
    <row r="172" spans="6:6">
      <c r="F172" s="64" t="s">
        <v>100</v>
      </c>
    </row>
    <row r="173" spans="6:6">
      <c r="F173" s="64" t="s">
        <v>97</v>
      </c>
    </row>
    <row r="174" spans="6:6">
      <c r="F174" s="64" t="s">
        <v>98</v>
      </c>
    </row>
    <row r="175" spans="6:6">
      <c r="F175" s="64" t="s">
        <v>101</v>
      </c>
    </row>
    <row r="176" spans="6:6">
      <c r="F176" s="64" t="s">
        <v>98</v>
      </c>
    </row>
    <row r="177" spans="6:6">
      <c r="F177" s="64" t="s">
        <v>98</v>
      </c>
    </row>
    <row r="178" spans="6:6">
      <c r="F178" s="64" t="s">
        <v>98</v>
      </c>
    </row>
    <row r="179" spans="6:6">
      <c r="F179" s="64" t="s">
        <v>98</v>
      </c>
    </row>
    <row r="180" spans="6:6">
      <c r="F180" s="64" t="s">
        <v>100</v>
      </c>
    </row>
    <row r="181" spans="6:6">
      <c r="F181" s="64" t="s">
        <v>101</v>
      </c>
    </row>
    <row r="182" spans="6:6">
      <c r="F182" s="64" t="s">
        <v>100</v>
      </c>
    </row>
    <row r="183" spans="6:6">
      <c r="F183" s="64" t="s">
        <v>98</v>
      </c>
    </row>
    <row r="184" spans="6:6">
      <c r="F184" s="64" t="s">
        <v>100</v>
      </c>
    </row>
    <row r="185" spans="6:6">
      <c r="F185" s="64" t="s">
        <v>98</v>
      </c>
    </row>
    <row r="186" spans="6:6">
      <c r="F186" s="64" t="s">
        <v>100</v>
      </c>
    </row>
    <row r="187" spans="6:6">
      <c r="F187" s="64" t="s">
        <v>103</v>
      </c>
    </row>
    <row r="188" spans="6:6">
      <c r="F188" s="64" t="s">
        <v>103</v>
      </c>
    </row>
    <row r="189" spans="6:6">
      <c r="F189" s="64" t="s">
        <v>101</v>
      </c>
    </row>
    <row r="190" spans="6:6">
      <c r="F190" s="64" t="s">
        <v>101</v>
      </c>
    </row>
    <row r="191" spans="6:6">
      <c r="F191" s="64" t="s">
        <v>103</v>
      </c>
    </row>
    <row r="192" spans="6:6">
      <c r="F192" s="64" t="s">
        <v>101</v>
      </c>
    </row>
    <row r="193" spans="6:6">
      <c r="F193" s="64" t="s">
        <v>103</v>
      </c>
    </row>
    <row r="194" spans="6:6">
      <c r="F194" s="64" t="s">
        <v>101</v>
      </c>
    </row>
    <row r="195" spans="6:6">
      <c r="F195" s="64" t="s">
        <v>103</v>
      </c>
    </row>
    <row r="196" spans="6:6">
      <c r="F196" s="64" t="s">
        <v>100</v>
      </c>
    </row>
    <row r="197" spans="6:6">
      <c r="F197" s="64" t="s">
        <v>101</v>
      </c>
    </row>
    <row r="198" spans="6:6">
      <c r="F198" s="64" t="s">
        <v>98</v>
      </c>
    </row>
    <row r="199" spans="6:6">
      <c r="F199" s="64" t="s">
        <v>98</v>
      </c>
    </row>
    <row r="200" spans="6:6">
      <c r="F200" s="64" t="s">
        <v>100</v>
      </c>
    </row>
    <row r="201" spans="6:6">
      <c r="F201" s="64" t="s">
        <v>103</v>
      </c>
    </row>
    <row r="202" spans="6:6">
      <c r="F202" s="64" t="s">
        <v>100</v>
      </c>
    </row>
    <row r="203" spans="6:6">
      <c r="F203" s="64" t="s">
        <v>98</v>
      </c>
    </row>
    <row r="204" spans="6:6">
      <c r="F204" s="64" t="s">
        <v>100</v>
      </c>
    </row>
    <row r="205" spans="6:6">
      <c r="F205" s="64" t="s">
        <v>100</v>
      </c>
    </row>
    <row r="206" spans="6:6">
      <c r="F206" s="64" t="s">
        <v>100</v>
      </c>
    </row>
    <row r="207" spans="6:6">
      <c r="F207" s="64" t="s">
        <v>100</v>
      </c>
    </row>
    <row r="208" spans="6:6">
      <c r="F208" s="64" t="s">
        <v>100</v>
      </c>
    </row>
    <row r="209" spans="6:6">
      <c r="F209" s="64" t="s">
        <v>98</v>
      </c>
    </row>
    <row r="210" spans="6:6">
      <c r="F210" s="64" t="s">
        <v>98</v>
      </c>
    </row>
    <row r="211" spans="6:6">
      <c r="F211" s="64" t="s">
        <v>98</v>
      </c>
    </row>
    <row r="212" spans="6:6">
      <c r="F212" s="64" t="s">
        <v>101</v>
      </c>
    </row>
    <row r="213" spans="6:6">
      <c r="F213" s="64" t="s">
        <v>98</v>
      </c>
    </row>
    <row r="214" spans="6:6">
      <c r="F214" s="64" t="s">
        <v>101</v>
      </c>
    </row>
    <row r="215" spans="6:6">
      <c r="F215" s="64" t="s">
        <v>101</v>
      </c>
    </row>
    <row r="216" spans="6:6">
      <c r="F216" s="64" t="s">
        <v>103</v>
      </c>
    </row>
    <row r="217" spans="6:6">
      <c r="F217" s="64" t="s">
        <v>100</v>
      </c>
    </row>
    <row r="218" spans="6:6">
      <c r="F218" s="64" t="s">
        <v>100</v>
      </c>
    </row>
    <row r="219" spans="6:6">
      <c r="F219" s="64" t="s">
        <v>100</v>
      </c>
    </row>
    <row r="220" spans="6:6">
      <c r="F220" s="64" t="s">
        <v>100</v>
      </c>
    </row>
    <row r="221" spans="6:6">
      <c r="F221" s="64" t="s">
        <v>101</v>
      </c>
    </row>
    <row r="222" spans="6:6">
      <c r="F222" s="64" t="s">
        <v>100</v>
      </c>
    </row>
    <row r="223" spans="6:6">
      <c r="F223" s="64" t="s">
        <v>98</v>
      </c>
    </row>
    <row r="224" spans="6:6">
      <c r="F224" s="64" t="s">
        <v>98</v>
      </c>
    </row>
    <row r="225" spans="6:6">
      <c r="F225" s="64" t="s">
        <v>98</v>
      </c>
    </row>
    <row r="226" spans="6:6">
      <c r="F226" s="64" t="s">
        <v>98</v>
      </c>
    </row>
    <row r="227" spans="6:6">
      <c r="F227" s="64" t="s">
        <v>98</v>
      </c>
    </row>
    <row r="228" spans="6:6">
      <c r="F228" s="64" t="s">
        <v>98</v>
      </c>
    </row>
    <row r="229" spans="6:6">
      <c r="F229" s="64" t="s">
        <v>98</v>
      </c>
    </row>
    <row r="230" spans="6:6">
      <c r="F230" s="64" t="s">
        <v>98</v>
      </c>
    </row>
    <row r="231" spans="6:6">
      <c r="F231" s="64" t="s">
        <v>98</v>
      </c>
    </row>
    <row r="232" spans="6:6">
      <c r="F232" s="64" t="s">
        <v>103</v>
      </c>
    </row>
    <row r="233" spans="6:6">
      <c r="F233" s="64" t="s">
        <v>103</v>
      </c>
    </row>
    <row r="234" spans="6:6">
      <c r="F234" s="64" t="s">
        <v>100</v>
      </c>
    </row>
    <row r="235" spans="6:6">
      <c r="F235" s="64" t="s">
        <v>100</v>
      </c>
    </row>
    <row r="236" spans="6:6">
      <c r="F236" s="64" t="s">
        <v>98</v>
      </c>
    </row>
    <row r="237" spans="6:6">
      <c r="F237" s="64" t="s">
        <v>98</v>
      </c>
    </row>
    <row r="238" spans="6:6">
      <c r="F238" s="64" t="s">
        <v>100</v>
      </c>
    </row>
    <row r="239" spans="6:6">
      <c r="F239" s="64" t="s">
        <v>101</v>
      </c>
    </row>
    <row r="240" spans="6:6">
      <c r="F240" s="64" t="s">
        <v>101</v>
      </c>
    </row>
    <row r="241" spans="6:6">
      <c r="F241" s="64" t="s">
        <v>101</v>
      </c>
    </row>
    <row r="242" spans="6:6">
      <c r="F242" s="64" t="s">
        <v>103</v>
      </c>
    </row>
    <row r="243" spans="6:6">
      <c r="F243" s="64" t="s">
        <v>101</v>
      </c>
    </row>
    <row r="244" spans="6:6">
      <c r="F244" s="64" t="s">
        <v>98</v>
      </c>
    </row>
    <row r="245" spans="6:6">
      <c r="F245" s="64" t="s">
        <v>98</v>
      </c>
    </row>
    <row r="246" spans="6:6">
      <c r="F246" s="64" t="s">
        <v>98</v>
      </c>
    </row>
    <row r="247" spans="6:6">
      <c r="F247" s="64" t="s">
        <v>98</v>
      </c>
    </row>
    <row r="248" spans="6:6">
      <c r="F248" s="64" t="s">
        <v>103</v>
      </c>
    </row>
    <row r="249" spans="6:6">
      <c r="F249" s="64" t="s">
        <v>101</v>
      </c>
    </row>
    <row r="250" spans="6:6">
      <c r="F250" s="64" t="s">
        <v>101</v>
      </c>
    </row>
    <row r="251" spans="6:6">
      <c r="F251" s="64" t="s">
        <v>98</v>
      </c>
    </row>
    <row r="252" spans="6:6">
      <c r="F252" s="64" t="s">
        <v>100</v>
      </c>
    </row>
    <row r="253" spans="6:6">
      <c r="F253" s="64" t="s">
        <v>98</v>
      </c>
    </row>
    <row r="254" spans="6:6">
      <c r="F254" s="64" t="s">
        <v>98</v>
      </c>
    </row>
    <row r="255" spans="6:6">
      <c r="F255" s="64" t="s">
        <v>98</v>
      </c>
    </row>
    <row r="256" spans="6:6">
      <c r="F256" s="64" t="s">
        <v>101</v>
      </c>
    </row>
    <row r="257" spans="6:6">
      <c r="F257" s="64" t="s">
        <v>103</v>
      </c>
    </row>
    <row r="258" spans="6:6">
      <c r="F258" s="64" t="s">
        <v>103</v>
      </c>
    </row>
    <row r="259" spans="6:6">
      <c r="F259" s="64" t="s">
        <v>103</v>
      </c>
    </row>
    <row r="260" spans="6:6">
      <c r="F260" s="64" t="s">
        <v>103</v>
      </c>
    </row>
    <row r="261" spans="6:6">
      <c r="F261" s="64" t="s">
        <v>100</v>
      </c>
    </row>
    <row r="262" spans="6:6">
      <c r="F262" s="64" t="s">
        <v>98</v>
      </c>
    </row>
    <row r="263" spans="6:6">
      <c r="F263" s="64" t="s">
        <v>101</v>
      </c>
    </row>
    <row r="264" spans="6:6">
      <c r="F264" s="64" t="s">
        <v>101</v>
      </c>
    </row>
    <row r="265" spans="6:6" ht="13.5" thickBot="1">
      <c r="F265" s="65" t="s">
        <v>101</v>
      </c>
    </row>
    <row r="266" spans="6:6" ht="15">
      <c r="F266" s="70" t="s">
        <v>97</v>
      </c>
    </row>
    <row r="267" spans="6:6" ht="15">
      <c r="F267" s="70" t="s">
        <v>98</v>
      </c>
    </row>
    <row r="268" spans="6:6" ht="15">
      <c r="F268" s="70" t="s">
        <v>99</v>
      </c>
    </row>
    <row r="269" spans="6:6" ht="15">
      <c r="F269" s="70" t="s">
        <v>98</v>
      </c>
    </row>
    <row r="270" spans="6:6" ht="15">
      <c r="F270" s="70" t="s">
        <v>98</v>
      </c>
    </row>
    <row r="271" spans="6:6" ht="15">
      <c r="F271" s="70" t="s">
        <v>98</v>
      </c>
    </row>
    <row r="272" spans="6:6" ht="15">
      <c r="F272" s="70" t="s">
        <v>98</v>
      </c>
    </row>
    <row r="273" spans="6:6" ht="15">
      <c r="F273" s="70" t="s">
        <v>98</v>
      </c>
    </row>
    <row r="274" spans="6:6" ht="15">
      <c r="F274" s="72" t="s">
        <v>101</v>
      </c>
    </row>
    <row r="275" spans="6:6" ht="15">
      <c r="F275" s="70" t="s">
        <v>100</v>
      </c>
    </row>
    <row r="276" spans="6:6" ht="15">
      <c r="F276" s="70" t="s">
        <v>98</v>
      </c>
    </row>
    <row r="277" spans="6:6" ht="15">
      <c r="F277" s="70" t="s">
        <v>98</v>
      </c>
    </row>
    <row r="278" spans="6:6" ht="15">
      <c r="F278" s="70" t="s">
        <v>98</v>
      </c>
    </row>
    <row r="279" spans="6:6" ht="15">
      <c r="F279" s="72" t="s">
        <v>101</v>
      </c>
    </row>
    <row r="280" spans="6:6" ht="15">
      <c r="F280" s="70" t="s">
        <v>98</v>
      </c>
    </row>
    <row r="281" spans="6:6" ht="15">
      <c r="F281" s="70" t="s">
        <v>98</v>
      </c>
    </row>
    <row r="282" spans="6:6" ht="15">
      <c r="F282" s="70" t="s">
        <v>98</v>
      </c>
    </row>
    <row r="283" spans="6:6" ht="15">
      <c r="F283" s="72" t="s">
        <v>101</v>
      </c>
    </row>
    <row r="284" spans="6:6" ht="15">
      <c r="F284" s="72" t="s">
        <v>101</v>
      </c>
    </row>
    <row r="285" spans="6:6" ht="15">
      <c r="F285" s="70" t="s">
        <v>100</v>
      </c>
    </row>
    <row r="286" spans="6:6" ht="15">
      <c r="F286" s="72" t="s">
        <v>102</v>
      </c>
    </row>
    <row r="287" spans="6:6" ht="15">
      <c r="F287" s="70" t="s">
        <v>103</v>
      </c>
    </row>
    <row r="288" spans="6:6" ht="15.75" thickBot="1">
      <c r="F288" s="71" t="s">
        <v>103</v>
      </c>
    </row>
    <row r="289" spans="6:6">
      <c r="F289" s="64" t="s">
        <v>103</v>
      </c>
    </row>
    <row r="290" spans="6:6">
      <c r="F290" s="64" t="s">
        <v>100</v>
      </c>
    </row>
    <row r="291" spans="6:6">
      <c r="F291" s="64" t="s">
        <v>98</v>
      </c>
    </row>
    <row r="292" spans="6:6">
      <c r="F292" s="64" t="s">
        <v>101</v>
      </c>
    </row>
    <row r="293" spans="6:6">
      <c r="F293" s="64" t="s">
        <v>101</v>
      </c>
    </row>
    <row r="294" spans="6:6">
      <c r="F294" s="64" t="s">
        <v>98</v>
      </c>
    </row>
    <row r="295" spans="6:6">
      <c r="F295" s="64" t="s">
        <v>101</v>
      </c>
    </row>
    <row r="296" spans="6:6">
      <c r="F296" s="64" t="s">
        <v>101</v>
      </c>
    </row>
    <row r="297" spans="6:6">
      <c r="F297" s="64" t="s">
        <v>98</v>
      </c>
    </row>
    <row r="298" spans="6:6">
      <c r="F298" s="64" t="s">
        <v>98</v>
      </c>
    </row>
    <row r="299" spans="6:6">
      <c r="F299" s="64" t="s">
        <v>100</v>
      </c>
    </row>
    <row r="300" spans="6:6">
      <c r="F300" s="64" t="s">
        <v>100</v>
      </c>
    </row>
    <row r="301" spans="6:6">
      <c r="F301" s="64" t="s">
        <v>98</v>
      </c>
    </row>
    <row r="302" spans="6:6">
      <c r="F302" s="64" t="s">
        <v>100</v>
      </c>
    </row>
    <row r="303" spans="6:6">
      <c r="F303" s="64" t="s">
        <v>103</v>
      </c>
    </row>
    <row r="304" spans="6:6">
      <c r="F304" s="64" t="s">
        <v>98</v>
      </c>
    </row>
    <row r="305" spans="6:6">
      <c r="F305" s="64" t="s">
        <v>100</v>
      </c>
    </row>
    <row r="306" spans="6:6">
      <c r="F306" s="64" t="s">
        <v>100</v>
      </c>
    </row>
    <row r="307" spans="6:6">
      <c r="F307" s="64" t="s">
        <v>98</v>
      </c>
    </row>
    <row r="308" spans="6:6">
      <c r="F308" s="64" t="s">
        <v>98</v>
      </c>
    </row>
    <row r="309" spans="6:6">
      <c r="F309" s="64" t="s">
        <v>103</v>
      </c>
    </row>
    <row r="310" spans="6:6">
      <c r="F310" s="64" t="s">
        <v>101</v>
      </c>
    </row>
    <row r="311" spans="6:6">
      <c r="F311" s="64" t="s">
        <v>98</v>
      </c>
    </row>
    <row r="312" spans="6:6">
      <c r="F312" s="64" t="s">
        <v>101</v>
      </c>
    </row>
    <row r="313" spans="6:6">
      <c r="F313" s="64" t="s">
        <v>98</v>
      </c>
    </row>
    <row r="314" spans="6:6">
      <c r="F314" s="64" t="s">
        <v>101</v>
      </c>
    </row>
    <row r="315" spans="6:6">
      <c r="F315" s="64" t="s">
        <v>101</v>
      </c>
    </row>
    <row r="316" spans="6:6">
      <c r="F316" s="64" t="s">
        <v>98</v>
      </c>
    </row>
    <row r="317" spans="6:6">
      <c r="F317" s="64" t="s">
        <v>98</v>
      </c>
    </row>
    <row r="318" spans="6:6">
      <c r="F318" s="64" t="s">
        <v>101</v>
      </c>
    </row>
    <row r="319" spans="6:6">
      <c r="F319" s="64" t="s">
        <v>98</v>
      </c>
    </row>
    <row r="320" spans="6:6">
      <c r="F320" s="64" t="s">
        <v>98</v>
      </c>
    </row>
    <row r="321" spans="6:6">
      <c r="F321" s="64" t="s">
        <v>98</v>
      </c>
    </row>
    <row r="322" spans="6:6">
      <c r="F322" s="64" t="s">
        <v>98</v>
      </c>
    </row>
    <row r="323" spans="6:6">
      <c r="F323" s="64" t="s">
        <v>98</v>
      </c>
    </row>
    <row r="324" spans="6:6">
      <c r="F324" s="64" t="s">
        <v>98</v>
      </c>
    </row>
    <row r="325" spans="6:6">
      <c r="F325" s="64" t="s">
        <v>100</v>
      </c>
    </row>
    <row r="326" spans="6:6">
      <c r="F326" s="64" t="s">
        <v>103</v>
      </c>
    </row>
    <row r="327" spans="6:6">
      <c r="F327" s="64" t="s">
        <v>103</v>
      </c>
    </row>
    <row r="328" spans="6:6">
      <c r="F328" s="64" t="s">
        <v>98</v>
      </c>
    </row>
    <row r="329" spans="6:6">
      <c r="F329" s="64" t="s">
        <v>98</v>
      </c>
    </row>
    <row r="330" spans="6:6">
      <c r="F330" s="64" t="s">
        <v>103</v>
      </c>
    </row>
    <row r="331" spans="6:6">
      <c r="F331" s="64" t="s">
        <v>103</v>
      </c>
    </row>
    <row r="332" spans="6:6">
      <c r="F332" s="64" t="s">
        <v>98</v>
      </c>
    </row>
    <row r="333" spans="6:6">
      <c r="F333" s="64" t="s">
        <v>101</v>
      </c>
    </row>
    <row r="334" spans="6:6">
      <c r="F334" s="64" t="s">
        <v>98</v>
      </c>
    </row>
    <row r="335" spans="6:6">
      <c r="F335" s="64" t="s">
        <v>98</v>
      </c>
    </row>
    <row r="336" spans="6:6">
      <c r="F336" s="64" t="s">
        <v>103</v>
      </c>
    </row>
    <row r="337" spans="6:6">
      <c r="F337" s="64" t="s">
        <v>103</v>
      </c>
    </row>
    <row r="338" spans="6:6">
      <c r="F338" s="64" t="s">
        <v>98</v>
      </c>
    </row>
    <row r="339" spans="6:6">
      <c r="F339" s="64" t="s">
        <v>97</v>
      </c>
    </row>
    <row r="340" spans="6:6">
      <c r="F340" s="64" t="s">
        <v>97</v>
      </c>
    </row>
    <row r="341" spans="6:6">
      <c r="F341" s="64" t="s">
        <v>100</v>
      </c>
    </row>
    <row r="342" spans="6:6">
      <c r="F342" s="64" t="s">
        <v>98</v>
      </c>
    </row>
    <row r="343" spans="6:6">
      <c r="F343" s="64" t="s">
        <v>100</v>
      </c>
    </row>
    <row r="344" spans="6:6">
      <c r="F344" s="64" t="s">
        <v>100</v>
      </c>
    </row>
    <row r="345" spans="6:6">
      <c r="F345" s="64" t="s">
        <v>100</v>
      </c>
    </row>
    <row r="346" spans="6:6">
      <c r="F346" s="64" t="s">
        <v>98</v>
      </c>
    </row>
    <row r="347" spans="6:6">
      <c r="F347" s="64" t="s">
        <v>101</v>
      </c>
    </row>
    <row r="348" spans="6:6">
      <c r="F348" s="64" t="s">
        <v>100</v>
      </c>
    </row>
    <row r="349" spans="6:6">
      <c r="F349" s="64" t="s">
        <v>98</v>
      </c>
    </row>
    <row r="350" spans="6:6">
      <c r="F350" s="64" t="s">
        <v>98</v>
      </c>
    </row>
    <row r="351" spans="6:6">
      <c r="F351" s="64" t="s">
        <v>98</v>
      </c>
    </row>
    <row r="352" spans="6:6">
      <c r="F352" s="64" t="s">
        <v>98</v>
      </c>
    </row>
    <row r="353" spans="6:6">
      <c r="F353" s="64" t="s">
        <v>100</v>
      </c>
    </row>
    <row r="354" spans="6:6">
      <c r="F354" s="64" t="s">
        <v>98</v>
      </c>
    </row>
    <row r="355" spans="6:6">
      <c r="F355" s="64" t="s">
        <v>98</v>
      </c>
    </row>
    <row r="356" spans="6:6">
      <c r="F356" s="64" t="s">
        <v>98</v>
      </c>
    </row>
    <row r="357" spans="6:6">
      <c r="F357" s="64" t="s">
        <v>98</v>
      </c>
    </row>
    <row r="358" spans="6:6">
      <c r="F358" s="64" t="s">
        <v>98</v>
      </c>
    </row>
    <row r="359" spans="6:6">
      <c r="F359" s="64" t="s">
        <v>101</v>
      </c>
    </row>
    <row r="360" spans="6:6">
      <c r="F360" s="64" t="s">
        <v>98</v>
      </c>
    </row>
    <row r="361" spans="6:6">
      <c r="F361" s="64" t="s">
        <v>101</v>
      </c>
    </row>
    <row r="362" spans="6:6">
      <c r="F362" s="64" t="s">
        <v>98</v>
      </c>
    </row>
    <row r="363" spans="6:6">
      <c r="F363" s="64" t="s">
        <v>101</v>
      </c>
    </row>
    <row r="364" spans="6:6">
      <c r="F364" s="64" t="s">
        <v>98</v>
      </c>
    </row>
    <row r="365" spans="6:6">
      <c r="F365" s="64" t="s">
        <v>101</v>
      </c>
    </row>
    <row r="366" spans="6:6">
      <c r="F366" s="64" t="s">
        <v>98</v>
      </c>
    </row>
    <row r="367" spans="6:6">
      <c r="F367" s="64" t="s">
        <v>101</v>
      </c>
    </row>
    <row r="368" spans="6:6">
      <c r="F368" s="64" t="s">
        <v>98</v>
      </c>
    </row>
    <row r="369" spans="6:6">
      <c r="F369" s="64" t="s">
        <v>100</v>
      </c>
    </row>
    <row r="370" spans="6:6">
      <c r="F370" s="64" t="s">
        <v>98</v>
      </c>
    </row>
    <row r="371" spans="6:6">
      <c r="F371" s="64" t="s">
        <v>103</v>
      </c>
    </row>
    <row r="372" spans="6:6">
      <c r="F372" s="64" t="s">
        <v>103</v>
      </c>
    </row>
    <row r="373" spans="6:6">
      <c r="F373" s="64" t="s">
        <v>98</v>
      </c>
    </row>
    <row r="374" spans="6:6">
      <c r="F374" s="64" t="s">
        <v>100</v>
      </c>
    </row>
    <row r="375" spans="6:6">
      <c r="F375" s="64" t="s">
        <v>98</v>
      </c>
    </row>
    <row r="376" spans="6:6">
      <c r="F376" s="64" t="s">
        <v>98</v>
      </c>
    </row>
    <row r="377" spans="6:6">
      <c r="F377" s="64" t="s">
        <v>98</v>
      </c>
    </row>
    <row r="378" spans="6:6">
      <c r="F378" s="64" t="s">
        <v>98</v>
      </c>
    </row>
    <row r="379" spans="6:6">
      <c r="F379" s="64" t="s">
        <v>97</v>
      </c>
    </row>
    <row r="380" spans="6:6">
      <c r="F380" s="64" t="s">
        <v>98</v>
      </c>
    </row>
    <row r="381" spans="6:6">
      <c r="F381" s="64" t="s">
        <v>98</v>
      </c>
    </row>
    <row r="382" spans="6:6">
      <c r="F382" s="64" t="s">
        <v>98</v>
      </c>
    </row>
    <row r="383" spans="6:6">
      <c r="F383" s="64" t="s">
        <v>98</v>
      </c>
    </row>
    <row r="384" spans="6:6">
      <c r="F384" s="64" t="s">
        <v>98</v>
      </c>
    </row>
    <row r="385" spans="6:6">
      <c r="F385" s="64" t="s">
        <v>101</v>
      </c>
    </row>
    <row r="386" spans="6:6">
      <c r="F386" s="64" t="s">
        <v>98</v>
      </c>
    </row>
    <row r="387" spans="6:6">
      <c r="F387" s="64" t="s">
        <v>98</v>
      </c>
    </row>
    <row r="388" spans="6:6">
      <c r="F388" s="64" t="s">
        <v>98</v>
      </c>
    </row>
    <row r="389" spans="6:6">
      <c r="F389" s="64" t="s">
        <v>100</v>
      </c>
    </row>
    <row r="390" spans="6:6">
      <c r="F390" s="64" t="s">
        <v>100</v>
      </c>
    </row>
    <row r="391" spans="6:6">
      <c r="F391" s="64" t="s">
        <v>101</v>
      </c>
    </row>
    <row r="392" spans="6:6">
      <c r="F392" s="64" t="s">
        <v>101</v>
      </c>
    </row>
    <row r="393" spans="6:6">
      <c r="F393" s="64" t="s">
        <v>101</v>
      </c>
    </row>
    <row r="394" spans="6:6">
      <c r="F394" s="64" t="s">
        <v>100</v>
      </c>
    </row>
    <row r="395" spans="6:6">
      <c r="F395" s="64" t="s">
        <v>98</v>
      </c>
    </row>
    <row r="396" spans="6:6">
      <c r="F396" s="64" t="s">
        <v>100</v>
      </c>
    </row>
    <row r="397" spans="6:6">
      <c r="F397" s="64" t="s">
        <v>100</v>
      </c>
    </row>
    <row r="398" spans="6:6">
      <c r="F398" s="64" t="s">
        <v>101</v>
      </c>
    </row>
    <row r="399" spans="6:6">
      <c r="F399" s="64" t="s">
        <v>101</v>
      </c>
    </row>
    <row r="400" spans="6:6">
      <c r="F400" s="64" t="s">
        <v>100</v>
      </c>
    </row>
    <row r="401" spans="6:6">
      <c r="F401" s="64" t="s">
        <v>100</v>
      </c>
    </row>
    <row r="402" spans="6:6">
      <c r="F402" s="64" t="s">
        <v>100</v>
      </c>
    </row>
    <row r="403" spans="6:6">
      <c r="F403" s="64" t="s">
        <v>101</v>
      </c>
    </row>
    <row r="404" spans="6:6">
      <c r="F404" s="64" t="s">
        <v>98</v>
      </c>
    </row>
    <row r="405" spans="6:6">
      <c r="F405" s="64" t="s">
        <v>100</v>
      </c>
    </row>
    <row r="406" spans="6:6">
      <c r="F406" s="64" t="s">
        <v>98</v>
      </c>
    </row>
    <row r="407" spans="6:6">
      <c r="F407" s="64" t="s">
        <v>98</v>
      </c>
    </row>
    <row r="408" spans="6:6">
      <c r="F408" s="64" t="s">
        <v>100</v>
      </c>
    </row>
    <row r="409" spans="6:6">
      <c r="F409" s="64" t="s">
        <v>98</v>
      </c>
    </row>
    <row r="410" spans="6:6">
      <c r="F410" s="64" t="s">
        <v>100</v>
      </c>
    </row>
    <row r="411" spans="6:6">
      <c r="F411" s="64" t="s">
        <v>101</v>
      </c>
    </row>
    <row r="412" spans="6:6">
      <c r="F412" s="64" t="s">
        <v>98</v>
      </c>
    </row>
    <row r="413" spans="6:6">
      <c r="F413" s="64" t="s">
        <v>98</v>
      </c>
    </row>
    <row r="414" spans="6:6">
      <c r="F414" s="64" t="s">
        <v>98</v>
      </c>
    </row>
    <row r="415" spans="6:6">
      <c r="F415" s="64" t="s">
        <v>100</v>
      </c>
    </row>
    <row r="416" spans="6:6">
      <c r="F416" s="64" t="s">
        <v>101</v>
      </c>
    </row>
    <row r="417" spans="6:6">
      <c r="F417" s="64" t="s">
        <v>98</v>
      </c>
    </row>
    <row r="418" spans="6:6">
      <c r="F418" s="64" t="s">
        <v>100</v>
      </c>
    </row>
    <row r="419" spans="6:6">
      <c r="F419" s="64" t="s">
        <v>101</v>
      </c>
    </row>
    <row r="420" spans="6:6">
      <c r="F420" s="64" t="s">
        <v>100</v>
      </c>
    </row>
    <row r="421" spans="6:6">
      <c r="F421" s="64" t="s">
        <v>98</v>
      </c>
    </row>
    <row r="422" spans="6:6">
      <c r="F422" s="64" t="s">
        <v>98</v>
      </c>
    </row>
    <row r="423" spans="6:6">
      <c r="F423" s="64" t="s">
        <v>98</v>
      </c>
    </row>
    <row r="424" spans="6:6">
      <c r="F424" s="64" t="s">
        <v>101</v>
      </c>
    </row>
    <row r="425" spans="6:6">
      <c r="F425" s="64" t="s">
        <v>100</v>
      </c>
    </row>
    <row r="426" spans="6:6">
      <c r="F426" s="64" t="s">
        <v>98</v>
      </c>
    </row>
    <row r="427" spans="6:6">
      <c r="F427" s="64" t="s">
        <v>103</v>
      </c>
    </row>
    <row r="428" spans="6:6">
      <c r="F428" s="64" t="s">
        <v>98</v>
      </c>
    </row>
    <row r="429" spans="6:6">
      <c r="F429" s="64" t="s">
        <v>98</v>
      </c>
    </row>
    <row r="430" spans="6:6">
      <c r="F430" s="64" t="s">
        <v>103</v>
      </c>
    </row>
    <row r="431" spans="6:6">
      <c r="F431" s="64" t="s">
        <v>98</v>
      </c>
    </row>
    <row r="432" spans="6:6">
      <c r="F432" s="64" t="s">
        <v>101</v>
      </c>
    </row>
    <row r="433" spans="6:6">
      <c r="F433" s="64" t="s">
        <v>98</v>
      </c>
    </row>
    <row r="434" spans="6:6">
      <c r="F434" s="64" t="s">
        <v>100</v>
      </c>
    </row>
    <row r="435" spans="6:6">
      <c r="F435" s="64" t="s">
        <v>101</v>
      </c>
    </row>
    <row r="436" spans="6:6">
      <c r="F436" s="64" t="s">
        <v>100</v>
      </c>
    </row>
    <row r="437" spans="6:6">
      <c r="F437" s="64" t="s">
        <v>101</v>
      </c>
    </row>
    <row r="438" spans="6:6">
      <c r="F438" s="64" t="s">
        <v>100</v>
      </c>
    </row>
    <row r="439" spans="6:6">
      <c r="F439" s="64" t="s">
        <v>98</v>
      </c>
    </row>
    <row r="440" spans="6:6">
      <c r="F440" s="64" t="s">
        <v>97</v>
      </c>
    </row>
    <row r="441" spans="6:6">
      <c r="F441" s="64" t="s">
        <v>100</v>
      </c>
    </row>
    <row r="442" spans="6:6">
      <c r="F442" s="64" t="s">
        <v>97</v>
      </c>
    </row>
    <row r="443" spans="6:6">
      <c r="F443" s="64" t="s">
        <v>97</v>
      </c>
    </row>
    <row r="444" spans="6:6">
      <c r="F444" s="64" t="s">
        <v>97</v>
      </c>
    </row>
    <row r="445" spans="6:6">
      <c r="F445" s="64" t="s">
        <v>97</v>
      </c>
    </row>
    <row r="446" spans="6:6">
      <c r="F446" s="64" t="s">
        <v>100</v>
      </c>
    </row>
    <row r="447" spans="6:6">
      <c r="F447" s="64" t="s">
        <v>97</v>
      </c>
    </row>
    <row r="448" spans="6:6">
      <c r="F448" s="64" t="s">
        <v>98</v>
      </c>
    </row>
    <row r="449" spans="6:6">
      <c r="F449" s="64" t="s">
        <v>100</v>
      </c>
    </row>
    <row r="450" spans="6:6">
      <c r="F450" s="64" t="s">
        <v>100</v>
      </c>
    </row>
    <row r="451" spans="6:6">
      <c r="F451" s="64" t="s">
        <v>100</v>
      </c>
    </row>
    <row r="452" spans="6:6">
      <c r="F452" s="64" t="s">
        <v>98</v>
      </c>
    </row>
    <row r="453" spans="6:6">
      <c r="F453" s="64" t="s">
        <v>98</v>
      </c>
    </row>
    <row r="454" spans="6:6">
      <c r="F454" s="64" t="s">
        <v>100</v>
      </c>
    </row>
    <row r="455" spans="6:6">
      <c r="F455" s="64" t="s">
        <v>101</v>
      </c>
    </row>
    <row r="456" spans="6:6">
      <c r="F456" s="64" t="s">
        <v>100</v>
      </c>
    </row>
    <row r="457" spans="6:6">
      <c r="F457" s="64" t="s">
        <v>98</v>
      </c>
    </row>
    <row r="458" spans="6:6">
      <c r="F458" s="64" t="s">
        <v>101</v>
      </c>
    </row>
    <row r="459" spans="6:6">
      <c r="F459" s="64" t="s">
        <v>98</v>
      </c>
    </row>
    <row r="460" spans="6:6">
      <c r="F460" s="64" t="s">
        <v>100</v>
      </c>
    </row>
    <row r="461" spans="6:6">
      <c r="F461" s="64" t="s">
        <v>100</v>
      </c>
    </row>
    <row r="462" spans="6:6">
      <c r="F462" s="64" t="s">
        <v>98</v>
      </c>
    </row>
    <row r="463" spans="6:6">
      <c r="F463" s="64" t="s">
        <v>100</v>
      </c>
    </row>
    <row r="464" spans="6:6">
      <c r="F464" s="64" t="s">
        <v>100</v>
      </c>
    </row>
    <row r="465" spans="6:6">
      <c r="F465" s="64" t="s">
        <v>98</v>
      </c>
    </row>
    <row r="466" spans="6:6">
      <c r="F466" s="64" t="s">
        <v>100</v>
      </c>
    </row>
    <row r="467" spans="6:6">
      <c r="F467" s="64" t="s">
        <v>100</v>
      </c>
    </row>
    <row r="468" spans="6:6">
      <c r="F468" s="64" t="s">
        <v>98</v>
      </c>
    </row>
    <row r="469" spans="6:6">
      <c r="F469" s="64" t="s">
        <v>100</v>
      </c>
    </row>
    <row r="470" spans="6:6">
      <c r="F470" s="64" t="s">
        <v>98</v>
      </c>
    </row>
    <row r="471" spans="6:6">
      <c r="F471" s="64" t="s">
        <v>100</v>
      </c>
    </row>
    <row r="472" spans="6:6">
      <c r="F472" s="64" t="s">
        <v>100</v>
      </c>
    </row>
    <row r="473" spans="6:6">
      <c r="F473" s="64" t="s">
        <v>100</v>
      </c>
    </row>
    <row r="474" spans="6:6">
      <c r="F474" s="64" t="s">
        <v>101</v>
      </c>
    </row>
    <row r="475" spans="6:6">
      <c r="F475" s="64" t="s">
        <v>101</v>
      </c>
    </row>
    <row r="476" spans="6:6">
      <c r="F476" s="64" t="s">
        <v>101</v>
      </c>
    </row>
    <row r="477" spans="6:6">
      <c r="F477" s="64" t="s">
        <v>98</v>
      </c>
    </row>
    <row r="478" spans="6:6">
      <c r="F478" s="64" t="s">
        <v>101</v>
      </c>
    </row>
    <row r="479" spans="6:6">
      <c r="F479" s="64" t="s">
        <v>98</v>
      </c>
    </row>
    <row r="480" spans="6:6">
      <c r="F480" s="64" t="s">
        <v>103</v>
      </c>
    </row>
    <row r="481" spans="6:6">
      <c r="F481" s="64" t="s">
        <v>101</v>
      </c>
    </row>
    <row r="482" spans="6:6">
      <c r="F482" s="64" t="s">
        <v>101</v>
      </c>
    </row>
    <row r="483" spans="6:6">
      <c r="F483" s="64" t="s">
        <v>100</v>
      </c>
    </row>
    <row r="484" spans="6:6">
      <c r="F484" s="64" t="s">
        <v>98</v>
      </c>
    </row>
    <row r="485" spans="6:6">
      <c r="F485" s="64" t="s">
        <v>98</v>
      </c>
    </row>
    <row r="486" spans="6:6">
      <c r="F486" s="64" t="s">
        <v>98</v>
      </c>
    </row>
    <row r="487" spans="6:6">
      <c r="F487" s="64" t="s">
        <v>100</v>
      </c>
    </row>
    <row r="488" spans="6:6">
      <c r="F488" s="64" t="s">
        <v>103</v>
      </c>
    </row>
    <row r="489" spans="6:6">
      <c r="F489" s="64" t="s">
        <v>100</v>
      </c>
    </row>
    <row r="490" spans="6:6">
      <c r="F490" s="64" t="s">
        <v>98</v>
      </c>
    </row>
    <row r="491" spans="6:6">
      <c r="F491" s="64" t="s">
        <v>97</v>
      </c>
    </row>
    <row r="492" spans="6:6">
      <c r="F492" s="64" t="s">
        <v>98</v>
      </c>
    </row>
    <row r="493" spans="6:6">
      <c r="F493" s="64" t="s">
        <v>100</v>
      </c>
    </row>
    <row r="494" spans="6:6">
      <c r="F494" s="64" t="s">
        <v>100</v>
      </c>
    </row>
    <row r="495" spans="6:6">
      <c r="F495" s="64" t="s">
        <v>100</v>
      </c>
    </row>
    <row r="496" spans="6:6">
      <c r="F496" s="64" t="s">
        <v>100</v>
      </c>
    </row>
    <row r="497" spans="6:6">
      <c r="F497" s="64" t="s">
        <v>98</v>
      </c>
    </row>
    <row r="498" spans="6:6">
      <c r="F498" s="64" t="s">
        <v>100</v>
      </c>
    </row>
    <row r="499" spans="6:6">
      <c r="F499" s="64" t="s">
        <v>98</v>
      </c>
    </row>
    <row r="500" spans="6:6">
      <c r="F500" s="64" t="s">
        <v>98</v>
      </c>
    </row>
    <row r="501" spans="6:6">
      <c r="F501" s="64" t="s">
        <v>101</v>
      </c>
    </row>
    <row r="502" spans="6:6">
      <c r="F502" s="64" t="s">
        <v>98</v>
      </c>
    </row>
    <row r="503" spans="6:6">
      <c r="F503" s="64" t="s">
        <v>103</v>
      </c>
    </row>
    <row r="504" spans="6:6">
      <c r="F504" s="64" t="s">
        <v>100</v>
      </c>
    </row>
    <row r="505" spans="6:6">
      <c r="F505" s="64" t="s">
        <v>100</v>
      </c>
    </row>
    <row r="506" spans="6:6">
      <c r="F506" s="64" t="s">
        <v>100</v>
      </c>
    </row>
    <row r="507" spans="6:6">
      <c r="F507" s="64" t="s">
        <v>97</v>
      </c>
    </row>
    <row r="508" spans="6:6">
      <c r="F508" s="64" t="s">
        <v>98</v>
      </c>
    </row>
    <row r="509" spans="6:6">
      <c r="F509" s="64" t="s">
        <v>100</v>
      </c>
    </row>
    <row r="510" spans="6:6">
      <c r="F510" s="64" t="s">
        <v>100</v>
      </c>
    </row>
    <row r="511" spans="6:6">
      <c r="F511" s="64" t="s">
        <v>98</v>
      </c>
    </row>
    <row r="512" spans="6:6">
      <c r="F512" s="64" t="s">
        <v>98</v>
      </c>
    </row>
    <row r="513" spans="6:6">
      <c r="F513" s="64" t="s">
        <v>98</v>
      </c>
    </row>
    <row r="514" spans="6:6">
      <c r="F514" s="64" t="s">
        <v>98</v>
      </c>
    </row>
    <row r="515" spans="6:6">
      <c r="F515" s="64" t="s">
        <v>100</v>
      </c>
    </row>
    <row r="516" spans="6:6">
      <c r="F516" s="64" t="s">
        <v>100</v>
      </c>
    </row>
    <row r="517" spans="6:6">
      <c r="F517" s="64" t="s">
        <v>98</v>
      </c>
    </row>
    <row r="518" spans="6:6">
      <c r="F518" s="64" t="s">
        <v>100</v>
      </c>
    </row>
    <row r="519" spans="6:6">
      <c r="F519" s="64" t="s">
        <v>101</v>
      </c>
    </row>
    <row r="520" spans="6:6">
      <c r="F520" s="64" t="s">
        <v>101</v>
      </c>
    </row>
    <row r="521" spans="6:6">
      <c r="F521" s="64" t="s">
        <v>100</v>
      </c>
    </row>
    <row r="522" spans="6:6">
      <c r="F522" s="64" t="s">
        <v>98</v>
      </c>
    </row>
    <row r="523" spans="6:6">
      <c r="F523" s="64" t="s">
        <v>98</v>
      </c>
    </row>
    <row r="524" spans="6:6">
      <c r="F524" s="64" t="s">
        <v>98</v>
      </c>
    </row>
    <row r="525" spans="6:6">
      <c r="F525" s="64" t="s">
        <v>100</v>
      </c>
    </row>
    <row r="526" spans="6:6">
      <c r="F526" s="64" t="s">
        <v>98</v>
      </c>
    </row>
    <row r="527" spans="6:6">
      <c r="F527" s="64" t="s">
        <v>101</v>
      </c>
    </row>
    <row r="528" spans="6:6">
      <c r="F528" s="64" t="s">
        <v>101</v>
      </c>
    </row>
    <row r="529" spans="6:6">
      <c r="F529" s="64" t="s">
        <v>103</v>
      </c>
    </row>
    <row r="530" spans="6:6">
      <c r="F530" s="64" t="s">
        <v>101</v>
      </c>
    </row>
    <row r="531" spans="6:6">
      <c r="F531" s="64" t="s">
        <v>98</v>
      </c>
    </row>
    <row r="532" spans="6:6">
      <c r="F532" s="64" t="s">
        <v>98</v>
      </c>
    </row>
    <row r="533" spans="6:6">
      <c r="F533" s="64" t="s">
        <v>98</v>
      </c>
    </row>
    <row r="534" spans="6:6">
      <c r="F534" s="64" t="s">
        <v>98</v>
      </c>
    </row>
    <row r="535" spans="6:6">
      <c r="F535" s="64" t="s">
        <v>103</v>
      </c>
    </row>
    <row r="536" spans="6:6">
      <c r="F536" s="64" t="s">
        <v>101</v>
      </c>
    </row>
    <row r="537" spans="6:6">
      <c r="F537" s="64" t="s">
        <v>101</v>
      </c>
    </row>
    <row r="538" spans="6:6">
      <c r="F538" s="64" t="s">
        <v>98</v>
      </c>
    </row>
    <row r="539" spans="6:6">
      <c r="F539" s="64" t="s">
        <v>100</v>
      </c>
    </row>
    <row r="540" spans="6:6">
      <c r="F540" s="64" t="s">
        <v>101</v>
      </c>
    </row>
    <row r="541" spans="6:6">
      <c r="F541" s="64" t="s">
        <v>98</v>
      </c>
    </row>
    <row r="542" spans="6:6">
      <c r="F542" s="64" t="s">
        <v>98</v>
      </c>
    </row>
    <row r="543" spans="6:6">
      <c r="F543" s="64" t="s">
        <v>101</v>
      </c>
    </row>
    <row r="544" spans="6:6">
      <c r="F544" s="64" t="s">
        <v>101</v>
      </c>
    </row>
    <row r="545" spans="6:6">
      <c r="F545" s="64" t="s">
        <v>101</v>
      </c>
    </row>
    <row r="546" spans="6:6">
      <c r="F546" s="64" t="s">
        <v>103</v>
      </c>
    </row>
    <row r="547" spans="6:6">
      <c r="F547" s="64" t="s">
        <v>103</v>
      </c>
    </row>
    <row r="548" spans="6:6">
      <c r="F548" s="64" t="s">
        <v>98</v>
      </c>
    </row>
    <row r="549" spans="6:6">
      <c r="F549" s="64" t="s">
        <v>98</v>
      </c>
    </row>
    <row r="550" spans="6:6">
      <c r="F550" s="64" t="s">
        <v>101</v>
      </c>
    </row>
    <row r="551" spans="6:6">
      <c r="F551" s="64" t="s">
        <v>98</v>
      </c>
    </row>
    <row r="552" spans="6:6" ht="13.5" thickBot="1">
      <c r="F552" s="65" t="s">
        <v>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36"/>
  <sheetViews>
    <sheetView topLeftCell="A7" workbookViewId="0">
      <selection activeCell="H16" sqref="H16"/>
    </sheetView>
  </sheetViews>
  <sheetFormatPr defaultRowHeight="15.75"/>
  <cols>
    <col min="1" max="1" width="5" style="263" customWidth="1"/>
    <col min="2" max="2" width="49.85546875" style="263" customWidth="1"/>
    <col min="3" max="4" width="9.140625" style="263"/>
    <col min="5" max="5" width="11.5703125" style="263" customWidth="1"/>
    <col min="6" max="6" width="12.5703125" style="263" customWidth="1"/>
    <col min="8" max="8" width="11" customWidth="1"/>
  </cols>
  <sheetData>
    <row r="2" spans="1:6" ht="18.75">
      <c r="A2" s="536" t="s">
        <v>1271</v>
      </c>
      <c r="B2" s="537"/>
      <c r="C2" s="537"/>
      <c r="D2" s="537"/>
      <c r="E2" s="537"/>
      <c r="F2" s="537"/>
    </row>
    <row r="4" spans="1:6" ht="45.75" customHeight="1">
      <c r="A4" s="582" t="s">
        <v>687</v>
      </c>
      <c r="B4" s="538" t="s">
        <v>688</v>
      </c>
      <c r="C4" s="538" t="s">
        <v>1270</v>
      </c>
      <c r="D4" s="530" t="s">
        <v>607</v>
      </c>
      <c r="E4" s="538" t="s">
        <v>1272</v>
      </c>
      <c r="F4" s="581" t="s">
        <v>1273</v>
      </c>
    </row>
    <row r="5" spans="1:6" ht="31.5">
      <c r="A5" s="580"/>
      <c r="B5" s="561"/>
      <c r="C5" s="561"/>
      <c r="D5" s="539"/>
      <c r="E5" s="579" t="s">
        <v>1269</v>
      </c>
      <c r="F5" s="578"/>
    </row>
    <row r="6" spans="1:6">
      <c r="A6" s="577"/>
      <c r="B6" s="541"/>
      <c r="C6" s="541"/>
      <c r="D6" s="544">
        <v>1</v>
      </c>
      <c r="E6" s="543">
        <v>2</v>
      </c>
      <c r="F6" s="576" t="s">
        <v>1268</v>
      </c>
    </row>
    <row r="7" spans="1:6" ht="31.5">
      <c r="A7" s="574">
        <v>1</v>
      </c>
      <c r="B7" s="573" t="s">
        <v>1267</v>
      </c>
      <c r="C7" s="549">
        <v>203</v>
      </c>
      <c r="D7" s="549" t="s">
        <v>1164</v>
      </c>
      <c r="E7" s="575"/>
      <c r="F7" s="548">
        <f>E7</f>
        <v>0</v>
      </c>
    </row>
    <row r="8" spans="1:6" ht="31.5">
      <c r="A8" s="574">
        <v>2</v>
      </c>
      <c r="B8" s="573" t="s">
        <v>1266</v>
      </c>
      <c r="C8" s="549">
        <v>203</v>
      </c>
      <c r="D8" s="549" t="s">
        <v>1164</v>
      </c>
      <c r="E8" s="548"/>
      <c r="F8" s="548">
        <f t="shared" ref="F8:F71" si="0">E8</f>
        <v>0</v>
      </c>
    </row>
    <row r="9" spans="1:6" ht="31.5">
      <c r="A9" s="574">
        <v>3</v>
      </c>
      <c r="B9" s="573" t="s">
        <v>1265</v>
      </c>
      <c r="C9" s="549">
        <v>203</v>
      </c>
      <c r="D9" s="549" t="s">
        <v>1164</v>
      </c>
      <c r="E9" s="548"/>
      <c r="F9" s="548">
        <f t="shared" si="0"/>
        <v>0</v>
      </c>
    </row>
    <row r="10" spans="1:6" ht="31.5">
      <c r="A10" s="574">
        <v>4</v>
      </c>
      <c r="B10" s="573" t="s">
        <v>1264</v>
      </c>
      <c r="C10" s="549">
        <v>203</v>
      </c>
      <c r="D10" s="549" t="s">
        <v>1164</v>
      </c>
      <c r="E10" s="548"/>
      <c r="F10" s="548">
        <f t="shared" si="0"/>
        <v>0</v>
      </c>
    </row>
    <row r="11" spans="1:6" ht="31.5">
      <c r="A11" s="574">
        <v>5</v>
      </c>
      <c r="B11" s="573" t="s">
        <v>1263</v>
      </c>
      <c r="C11" s="549">
        <v>203</v>
      </c>
      <c r="D11" s="549" t="s">
        <v>1164</v>
      </c>
      <c r="E11" s="548"/>
      <c r="F11" s="548">
        <f t="shared" si="0"/>
        <v>0</v>
      </c>
    </row>
    <row r="12" spans="1:6" ht="31.5">
      <c r="A12" s="574">
        <v>6</v>
      </c>
      <c r="B12" s="573" t="s">
        <v>1262</v>
      </c>
      <c r="C12" s="549">
        <v>203</v>
      </c>
      <c r="D12" s="549" t="s">
        <v>1164</v>
      </c>
      <c r="E12" s="548"/>
      <c r="F12" s="548">
        <f t="shared" si="0"/>
        <v>0</v>
      </c>
    </row>
    <row r="13" spans="1:6" ht="31.5">
      <c r="A13" s="574">
        <v>7</v>
      </c>
      <c r="B13" s="573" t="s">
        <v>1261</v>
      </c>
      <c r="C13" s="549">
        <v>203</v>
      </c>
      <c r="D13" s="549" t="s">
        <v>1164</v>
      </c>
      <c r="E13" s="548"/>
      <c r="F13" s="548">
        <f t="shared" si="0"/>
        <v>0</v>
      </c>
    </row>
    <row r="14" spans="1:6" ht="31.5">
      <c r="A14" s="574">
        <v>8</v>
      </c>
      <c r="B14" s="573" t="s">
        <v>1260</v>
      </c>
      <c r="C14" s="549">
        <v>203</v>
      </c>
      <c r="D14" s="549" t="s">
        <v>1164</v>
      </c>
      <c r="E14" s="548"/>
      <c r="F14" s="548">
        <f t="shared" si="0"/>
        <v>0</v>
      </c>
    </row>
    <row r="15" spans="1:6" ht="31.5">
      <c r="A15" s="574">
        <v>9</v>
      </c>
      <c r="B15" s="573" t="s">
        <v>1259</v>
      </c>
      <c r="C15" s="549">
        <v>203</v>
      </c>
      <c r="D15" s="549" t="s">
        <v>1164</v>
      </c>
      <c r="E15" s="548"/>
      <c r="F15" s="548">
        <f t="shared" si="0"/>
        <v>0</v>
      </c>
    </row>
    <row r="16" spans="1:6" ht="31.5">
      <c r="A16" s="574">
        <v>10</v>
      </c>
      <c r="B16" s="573" t="s">
        <v>1258</v>
      </c>
      <c r="C16" s="549">
        <v>203</v>
      </c>
      <c r="D16" s="549" t="s">
        <v>1164</v>
      </c>
      <c r="E16" s="548"/>
      <c r="F16" s="548">
        <f t="shared" si="0"/>
        <v>0</v>
      </c>
    </row>
    <row r="17" spans="1:9" ht="31.5">
      <c r="A17" s="574">
        <v>11</v>
      </c>
      <c r="B17" s="573" t="s">
        <v>1257</v>
      </c>
      <c r="C17" s="549">
        <v>203</v>
      </c>
      <c r="D17" s="549" t="s">
        <v>1164</v>
      </c>
      <c r="E17" s="548"/>
      <c r="F17" s="548">
        <f t="shared" si="0"/>
        <v>0</v>
      </c>
    </row>
    <row r="18" spans="1:9" ht="31.5">
      <c r="A18" s="574">
        <v>12</v>
      </c>
      <c r="B18" s="573" t="s">
        <v>1256</v>
      </c>
      <c r="C18" s="549">
        <v>203</v>
      </c>
      <c r="D18" s="549" t="s">
        <v>1164</v>
      </c>
      <c r="E18" s="548"/>
      <c r="F18" s="548">
        <f t="shared" si="0"/>
        <v>0</v>
      </c>
    </row>
    <row r="19" spans="1:9" ht="31.5">
      <c r="A19" s="574">
        <v>13</v>
      </c>
      <c r="B19" s="573" t="s">
        <v>1255</v>
      </c>
      <c r="C19" s="549">
        <v>203</v>
      </c>
      <c r="D19" s="549" t="s">
        <v>1164</v>
      </c>
      <c r="E19" s="548"/>
      <c r="F19" s="548">
        <f t="shared" si="0"/>
        <v>0</v>
      </c>
    </row>
    <row r="20" spans="1:9" ht="31.5">
      <c r="A20" s="574">
        <v>14</v>
      </c>
      <c r="B20" s="573" t="s">
        <v>1254</v>
      </c>
      <c r="C20" s="549">
        <v>203</v>
      </c>
      <c r="D20" s="549" t="s">
        <v>1164</v>
      </c>
      <c r="E20" s="548"/>
      <c r="F20" s="548">
        <f t="shared" si="0"/>
        <v>0</v>
      </c>
    </row>
    <row r="21" spans="1:9" ht="31.5">
      <c r="A21" s="574">
        <v>15</v>
      </c>
      <c r="B21" s="573" t="s">
        <v>1253</v>
      </c>
      <c r="C21" s="549">
        <v>203</v>
      </c>
      <c r="D21" s="549" t="s">
        <v>1164</v>
      </c>
      <c r="E21" s="548"/>
      <c r="F21" s="548">
        <f t="shared" si="0"/>
        <v>0</v>
      </c>
    </row>
    <row r="22" spans="1:9" ht="31.5">
      <c r="A22" s="574">
        <v>16</v>
      </c>
      <c r="B22" s="573" t="s">
        <v>1252</v>
      </c>
      <c r="C22" s="549">
        <v>203</v>
      </c>
      <c r="D22" s="549" t="s">
        <v>1164</v>
      </c>
      <c r="E22" s="548"/>
      <c r="F22" s="548">
        <f t="shared" si="0"/>
        <v>0</v>
      </c>
    </row>
    <row r="23" spans="1:9" ht="31.5">
      <c r="A23" s="574">
        <v>17</v>
      </c>
      <c r="B23" s="573" t="s">
        <v>1251</v>
      </c>
      <c r="C23" s="549">
        <v>203</v>
      </c>
      <c r="D23" s="549" t="s">
        <v>1164</v>
      </c>
      <c r="E23" s="548"/>
      <c r="F23" s="548">
        <f t="shared" si="0"/>
        <v>0</v>
      </c>
    </row>
    <row r="24" spans="1:9" ht="31.5">
      <c r="A24" s="574">
        <v>18</v>
      </c>
      <c r="B24" s="573" t="s">
        <v>1250</v>
      </c>
      <c r="C24" s="549">
        <v>203</v>
      </c>
      <c r="D24" s="549" t="s">
        <v>1164</v>
      </c>
      <c r="E24" s="548"/>
      <c r="F24" s="548">
        <f t="shared" si="0"/>
        <v>0</v>
      </c>
    </row>
    <row r="25" spans="1:9" ht="31.5">
      <c r="A25" s="574">
        <v>19</v>
      </c>
      <c r="B25" s="573" t="s">
        <v>1249</v>
      </c>
      <c r="C25" s="549">
        <v>203</v>
      </c>
      <c r="D25" s="549" t="s">
        <v>1164</v>
      </c>
      <c r="E25" s="548"/>
      <c r="F25" s="548">
        <f t="shared" si="0"/>
        <v>0</v>
      </c>
    </row>
    <row r="26" spans="1:9" ht="31.5">
      <c r="A26" s="574">
        <v>20</v>
      </c>
      <c r="B26" s="573" t="s">
        <v>1248</v>
      </c>
      <c r="C26" s="549">
        <v>203</v>
      </c>
      <c r="D26" s="549" t="s">
        <v>1164</v>
      </c>
      <c r="E26" s="548"/>
      <c r="F26" s="548">
        <f t="shared" si="0"/>
        <v>0</v>
      </c>
    </row>
    <row r="27" spans="1:9" ht="31.5">
      <c r="A27" s="574">
        <v>21</v>
      </c>
      <c r="B27" s="573" t="s">
        <v>1247</v>
      </c>
      <c r="C27" s="549">
        <v>203</v>
      </c>
      <c r="D27" s="549" t="s">
        <v>1164</v>
      </c>
      <c r="E27" s="548"/>
      <c r="F27" s="548">
        <f t="shared" si="0"/>
        <v>0</v>
      </c>
    </row>
    <row r="28" spans="1:9" ht="31.5">
      <c r="A28" s="574">
        <v>22</v>
      </c>
      <c r="B28" s="573" t="s">
        <v>1246</v>
      </c>
      <c r="C28" s="549">
        <v>203</v>
      </c>
      <c r="D28" s="549" t="s">
        <v>1164</v>
      </c>
      <c r="F28" s="548">
        <f t="shared" si="0"/>
        <v>0</v>
      </c>
      <c r="H28" s="557">
        <f>'Таблиця цін схема №3'!FA10</f>
        <v>4357.7850466658711</v>
      </c>
      <c r="I28" s="548">
        <f>H28</f>
        <v>4357.7850466658711</v>
      </c>
    </row>
    <row r="29" spans="1:9" ht="31.5">
      <c r="A29" s="574">
        <v>23</v>
      </c>
      <c r="B29" s="573" t="s">
        <v>1245</v>
      </c>
      <c r="C29" s="549">
        <v>203</v>
      </c>
      <c r="D29" s="549" t="s">
        <v>1164</v>
      </c>
      <c r="E29" s="548"/>
      <c r="F29" s="548">
        <f t="shared" si="0"/>
        <v>0</v>
      </c>
    </row>
    <row r="30" spans="1:9" ht="31.5">
      <c r="A30" s="574">
        <v>24</v>
      </c>
      <c r="B30" s="573" t="s">
        <v>1244</v>
      </c>
      <c r="C30" s="549">
        <v>203</v>
      </c>
      <c r="D30" s="549" t="s">
        <v>1164</v>
      </c>
      <c r="E30" s="548"/>
      <c r="F30" s="548">
        <f t="shared" si="0"/>
        <v>0</v>
      </c>
    </row>
    <row r="31" spans="1:9" ht="31.5">
      <c r="A31" s="574">
        <v>25</v>
      </c>
      <c r="B31" s="573" t="s">
        <v>1243</v>
      </c>
      <c r="C31" s="549">
        <v>203</v>
      </c>
      <c r="D31" s="549" t="s">
        <v>1164</v>
      </c>
      <c r="E31" s="548"/>
      <c r="F31" s="548">
        <f t="shared" si="0"/>
        <v>0</v>
      </c>
    </row>
    <row r="32" spans="1:9" ht="31.5">
      <c r="A32" s="574">
        <v>26</v>
      </c>
      <c r="B32" s="573" t="s">
        <v>1242</v>
      </c>
      <c r="C32" s="549">
        <v>203</v>
      </c>
      <c r="D32" s="549" t="s">
        <v>1164</v>
      </c>
      <c r="E32" s="548"/>
      <c r="F32" s="548">
        <f t="shared" si="0"/>
        <v>0</v>
      </c>
    </row>
    <row r="33" spans="1:6">
      <c r="A33" s="574">
        <v>27</v>
      </c>
      <c r="B33" s="573" t="s">
        <v>1241</v>
      </c>
      <c r="C33" s="549">
        <v>203</v>
      </c>
      <c r="D33" s="549" t="s">
        <v>1164</v>
      </c>
      <c r="E33" s="548"/>
      <c r="F33" s="548">
        <f t="shared" si="0"/>
        <v>0</v>
      </c>
    </row>
    <row r="34" spans="1:6">
      <c r="A34" s="574">
        <v>28</v>
      </c>
      <c r="B34" s="573" t="s">
        <v>1240</v>
      </c>
      <c r="C34" s="549">
        <v>203</v>
      </c>
      <c r="D34" s="549" t="s">
        <v>1164</v>
      </c>
      <c r="E34" s="548"/>
      <c r="F34" s="548">
        <f t="shared" si="0"/>
        <v>0</v>
      </c>
    </row>
    <row r="35" spans="1:6" ht="31.5">
      <c r="A35" s="574">
        <v>29</v>
      </c>
      <c r="B35" s="573" t="s">
        <v>1239</v>
      </c>
      <c r="C35" s="549">
        <v>203</v>
      </c>
      <c r="D35" s="549" t="s">
        <v>1164</v>
      </c>
      <c r="E35" s="548"/>
      <c r="F35" s="548">
        <f t="shared" si="0"/>
        <v>0</v>
      </c>
    </row>
    <row r="36" spans="1:6" ht="31.5">
      <c r="A36" s="574">
        <v>30</v>
      </c>
      <c r="B36" s="573" t="s">
        <v>1238</v>
      </c>
      <c r="C36" s="549">
        <v>203</v>
      </c>
      <c r="D36" s="549" t="s">
        <v>1164</v>
      </c>
      <c r="E36" s="548"/>
      <c r="F36" s="548">
        <f t="shared" si="0"/>
        <v>0</v>
      </c>
    </row>
    <row r="37" spans="1:6">
      <c r="A37" s="574">
        <v>31</v>
      </c>
      <c r="B37" s="573" t="s">
        <v>1237</v>
      </c>
      <c r="C37" s="549">
        <v>203</v>
      </c>
      <c r="D37" s="549" t="s">
        <v>1164</v>
      </c>
      <c r="E37" s="548"/>
      <c r="F37" s="548">
        <f t="shared" si="0"/>
        <v>0</v>
      </c>
    </row>
    <row r="38" spans="1:6" ht="31.5">
      <c r="A38" s="574">
        <v>32</v>
      </c>
      <c r="B38" s="573" t="s">
        <v>1236</v>
      </c>
      <c r="C38" s="549">
        <v>203</v>
      </c>
      <c r="D38" s="549" t="s">
        <v>1164</v>
      </c>
      <c r="E38" s="548"/>
      <c r="F38" s="548">
        <f t="shared" si="0"/>
        <v>0</v>
      </c>
    </row>
    <row r="39" spans="1:6" ht="31.5">
      <c r="A39" s="574">
        <v>33</v>
      </c>
      <c r="B39" s="573" t="s">
        <v>1235</v>
      </c>
      <c r="C39" s="549">
        <v>203</v>
      </c>
      <c r="D39" s="549" t="s">
        <v>1164</v>
      </c>
      <c r="E39" s="548"/>
      <c r="F39" s="548">
        <f t="shared" si="0"/>
        <v>0</v>
      </c>
    </row>
    <row r="40" spans="1:6" ht="31.5">
      <c r="A40" s="574">
        <v>34</v>
      </c>
      <c r="B40" s="573" t="s">
        <v>1234</v>
      </c>
      <c r="C40" s="549">
        <v>203</v>
      </c>
      <c r="D40" s="549" t="s">
        <v>1164</v>
      </c>
      <c r="E40" s="548"/>
      <c r="F40" s="548">
        <f t="shared" si="0"/>
        <v>0</v>
      </c>
    </row>
    <row r="41" spans="1:6" ht="31.5">
      <c r="A41" s="574">
        <v>35</v>
      </c>
      <c r="B41" s="573" t="s">
        <v>1233</v>
      </c>
      <c r="C41" s="549">
        <v>203</v>
      </c>
      <c r="D41" s="549" t="s">
        <v>1164</v>
      </c>
      <c r="E41" s="548"/>
      <c r="F41" s="548">
        <f t="shared" si="0"/>
        <v>0</v>
      </c>
    </row>
    <row r="42" spans="1:6" ht="31.5">
      <c r="A42" s="574">
        <v>36</v>
      </c>
      <c r="B42" s="573" t="s">
        <v>1232</v>
      </c>
      <c r="C42" s="549">
        <v>203</v>
      </c>
      <c r="D42" s="549" t="s">
        <v>1164</v>
      </c>
      <c r="E42" s="548"/>
      <c r="F42" s="548">
        <f t="shared" si="0"/>
        <v>0</v>
      </c>
    </row>
    <row r="43" spans="1:6" ht="31.5">
      <c r="A43" s="574">
        <v>37</v>
      </c>
      <c r="B43" s="573" t="s">
        <v>1231</v>
      </c>
      <c r="C43" s="549">
        <v>203</v>
      </c>
      <c r="D43" s="549" t="s">
        <v>1164</v>
      </c>
      <c r="E43" s="548"/>
      <c r="F43" s="548">
        <f t="shared" si="0"/>
        <v>0</v>
      </c>
    </row>
    <row r="44" spans="1:6" ht="31.5">
      <c r="A44" s="574">
        <v>38</v>
      </c>
      <c r="B44" s="573" t="s">
        <v>1230</v>
      </c>
      <c r="C44" s="549">
        <v>203</v>
      </c>
      <c r="D44" s="549" t="s">
        <v>1164</v>
      </c>
      <c r="E44" s="548"/>
      <c r="F44" s="548">
        <f t="shared" si="0"/>
        <v>0</v>
      </c>
    </row>
    <row r="45" spans="1:6" ht="31.5">
      <c r="A45" s="574">
        <v>39</v>
      </c>
      <c r="B45" s="573" t="s">
        <v>1229</v>
      </c>
      <c r="C45" s="549">
        <v>203</v>
      </c>
      <c r="D45" s="549" t="s">
        <v>1164</v>
      </c>
      <c r="E45" s="548"/>
      <c r="F45" s="548">
        <f t="shared" si="0"/>
        <v>0</v>
      </c>
    </row>
    <row r="46" spans="1:6" ht="31.5">
      <c r="A46" s="574">
        <v>40</v>
      </c>
      <c r="B46" s="573" t="s">
        <v>1228</v>
      </c>
      <c r="C46" s="549">
        <v>203</v>
      </c>
      <c r="D46" s="549" t="s">
        <v>1164</v>
      </c>
      <c r="E46" s="548"/>
      <c r="F46" s="548">
        <f t="shared" si="0"/>
        <v>0</v>
      </c>
    </row>
    <row r="47" spans="1:6" ht="31.5">
      <c r="A47" s="574">
        <v>41</v>
      </c>
      <c r="B47" s="573" t="s">
        <v>1227</v>
      </c>
      <c r="C47" s="549">
        <v>203</v>
      </c>
      <c r="D47" s="549" t="s">
        <v>1164</v>
      </c>
      <c r="E47" s="548"/>
      <c r="F47" s="548">
        <f t="shared" si="0"/>
        <v>0</v>
      </c>
    </row>
    <row r="48" spans="1:6" ht="31.5">
      <c r="A48" s="574">
        <v>42</v>
      </c>
      <c r="B48" s="573" t="s">
        <v>1226</v>
      </c>
      <c r="C48" s="549">
        <v>203</v>
      </c>
      <c r="D48" s="549" t="s">
        <v>1164</v>
      </c>
      <c r="E48" s="548"/>
      <c r="F48" s="548">
        <f t="shared" si="0"/>
        <v>0</v>
      </c>
    </row>
    <row r="49" spans="1:9" ht="31.5">
      <c r="A49" s="574">
        <v>43</v>
      </c>
      <c r="B49" s="573" t="s">
        <v>1225</v>
      </c>
      <c r="C49" s="549">
        <v>203</v>
      </c>
      <c r="D49" s="549" t="s">
        <v>1164</v>
      </c>
      <c r="E49" s="548"/>
      <c r="F49" s="548">
        <f t="shared" si="0"/>
        <v>0</v>
      </c>
    </row>
    <row r="50" spans="1:9" ht="31.5">
      <c r="A50" s="574">
        <v>44</v>
      </c>
      <c r="B50" s="573" t="s">
        <v>1224</v>
      </c>
      <c r="C50" s="549">
        <v>203</v>
      </c>
      <c r="D50" s="549" t="s">
        <v>1164</v>
      </c>
      <c r="E50" s="548"/>
      <c r="F50" s="548">
        <f t="shared" si="0"/>
        <v>0</v>
      </c>
    </row>
    <row r="51" spans="1:9" ht="31.5">
      <c r="A51" s="574">
        <v>45</v>
      </c>
      <c r="B51" s="573" t="s">
        <v>1223</v>
      </c>
      <c r="C51" s="549">
        <v>203</v>
      </c>
      <c r="D51" s="549" t="s">
        <v>1164</v>
      </c>
      <c r="E51" s="548"/>
      <c r="F51" s="548">
        <f t="shared" si="0"/>
        <v>0</v>
      </c>
    </row>
    <row r="52" spans="1:9" ht="31.5">
      <c r="A52" s="574">
        <v>46</v>
      </c>
      <c r="B52" s="573" t="s">
        <v>1222</v>
      </c>
      <c r="C52" s="549">
        <v>203</v>
      </c>
      <c r="D52" s="549" t="s">
        <v>1164</v>
      </c>
      <c r="E52" s="548"/>
      <c r="F52" s="548">
        <f t="shared" si="0"/>
        <v>0</v>
      </c>
    </row>
    <row r="53" spans="1:9" ht="31.5">
      <c r="A53" s="574">
        <v>47</v>
      </c>
      <c r="B53" s="573" t="s">
        <v>1221</v>
      </c>
      <c r="C53" s="549">
        <v>203</v>
      </c>
      <c r="D53" s="549" t="s">
        <v>1164</v>
      </c>
      <c r="E53" s="548"/>
      <c r="F53" s="548">
        <f t="shared" si="0"/>
        <v>0</v>
      </c>
    </row>
    <row r="54" spans="1:9" ht="31.5">
      <c r="A54" s="574">
        <v>48</v>
      </c>
      <c r="B54" s="573" t="s">
        <v>1220</v>
      </c>
      <c r="C54" s="549">
        <v>203</v>
      </c>
      <c r="D54" s="549" t="s">
        <v>1164</v>
      </c>
      <c r="E54" s="548"/>
      <c r="F54" s="548">
        <f t="shared" si="0"/>
        <v>0</v>
      </c>
    </row>
    <row r="55" spans="1:9" ht="31.5">
      <c r="A55" s="574">
        <v>49</v>
      </c>
      <c r="B55" s="573" t="s">
        <v>1219</v>
      </c>
      <c r="C55" s="549">
        <v>203</v>
      </c>
      <c r="D55" s="549" t="s">
        <v>1164</v>
      </c>
      <c r="E55" s="548"/>
      <c r="F55" s="548">
        <f t="shared" si="0"/>
        <v>0</v>
      </c>
    </row>
    <row r="56" spans="1:9" ht="31.5">
      <c r="A56" s="574">
        <v>50</v>
      </c>
      <c r="B56" s="573" t="s">
        <v>1218</v>
      </c>
      <c r="C56" s="549">
        <v>203</v>
      </c>
      <c r="D56" s="549" t="s">
        <v>1164</v>
      </c>
      <c r="E56" s="548"/>
      <c r="F56" s="548">
        <f t="shared" si="0"/>
        <v>0</v>
      </c>
    </row>
    <row r="57" spans="1:9" ht="31.5">
      <c r="A57" s="574">
        <v>51</v>
      </c>
      <c r="B57" s="573" t="s">
        <v>1217</v>
      </c>
      <c r="C57" s="549">
        <v>203</v>
      </c>
      <c r="D57" s="549" t="s">
        <v>1164</v>
      </c>
      <c r="E57" s="548"/>
      <c r="F57" s="548">
        <f t="shared" si="0"/>
        <v>0</v>
      </c>
    </row>
    <row r="58" spans="1:9" ht="31.5">
      <c r="A58" s="574">
        <v>52</v>
      </c>
      <c r="B58" s="573" t="s">
        <v>1216</v>
      </c>
      <c r="C58" s="549">
        <v>203</v>
      </c>
      <c r="D58" s="549" t="s">
        <v>1164</v>
      </c>
      <c r="E58" s="548"/>
      <c r="F58" s="548">
        <f t="shared" si="0"/>
        <v>0</v>
      </c>
    </row>
    <row r="59" spans="1:9" ht="31.5">
      <c r="A59" s="574">
        <v>53</v>
      </c>
      <c r="B59" s="573" t="s">
        <v>1215</v>
      </c>
      <c r="C59" s="549">
        <v>203</v>
      </c>
      <c r="D59" s="549" t="s">
        <v>1164</v>
      </c>
      <c r="E59" s="548"/>
      <c r="F59" s="548">
        <f t="shared" si="0"/>
        <v>0</v>
      </c>
    </row>
    <row r="60" spans="1:9" ht="31.5">
      <c r="A60" s="574">
        <v>54</v>
      </c>
      <c r="B60" s="573" t="s">
        <v>1214</v>
      </c>
      <c r="C60" s="549">
        <v>203</v>
      </c>
      <c r="D60" s="549" t="s">
        <v>1164</v>
      </c>
      <c r="E60" s="592"/>
      <c r="F60" s="548">
        <f t="shared" si="0"/>
        <v>0</v>
      </c>
      <c r="H60" s="557">
        <f>'Таблиця цін схема №2'!IG38</f>
        <v>10456.535915953989</v>
      </c>
      <c r="I60" s="548">
        <f t="shared" ref="I60:I71" si="1">H60</f>
        <v>10456.535915953989</v>
      </c>
    </row>
    <row r="61" spans="1:9" ht="31.5">
      <c r="A61" s="574">
        <v>55</v>
      </c>
      <c r="B61" s="573" t="s">
        <v>1213</v>
      </c>
      <c r="C61" s="549">
        <v>203</v>
      </c>
      <c r="D61" s="549" t="s">
        <v>1164</v>
      </c>
      <c r="E61" s="592"/>
      <c r="F61" s="548">
        <f t="shared" si="0"/>
        <v>0</v>
      </c>
      <c r="H61" s="557">
        <f>'Таблиця цін схема №2'!IG39</f>
        <v>11221.65023264045</v>
      </c>
      <c r="I61" s="548">
        <f t="shared" si="1"/>
        <v>11221.65023264045</v>
      </c>
    </row>
    <row r="62" spans="1:9" ht="31.5">
      <c r="A62" s="574">
        <v>56</v>
      </c>
      <c r="B62" s="573" t="s">
        <v>1212</v>
      </c>
      <c r="C62" s="549">
        <v>203</v>
      </c>
      <c r="D62" s="549" t="s">
        <v>1164</v>
      </c>
      <c r="E62" s="592"/>
      <c r="F62" s="548">
        <f t="shared" si="0"/>
        <v>0</v>
      </c>
      <c r="H62" s="557">
        <f>'Таблиця цін схема №2'!IG40</f>
        <v>10216.206086110627</v>
      </c>
      <c r="I62" s="548">
        <f t="shared" si="1"/>
        <v>10216.206086110627</v>
      </c>
    </row>
    <row r="63" spans="1:9" ht="31.5">
      <c r="A63" s="574">
        <v>57</v>
      </c>
      <c r="B63" s="573" t="s">
        <v>1211</v>
      </c>
      <c r="C63" s="549">
        <v>203</v>
      </c>
      <c r="D63" s="549" t="s">
        <v>1164</v>
      </c>
      <c r="E63" s="592"/>
      <c r="F63" s="548">
        <f t="shared" si="0"/>
        <v>0</v>
      </c>
      <c r="H63" s="557">
        <f>'Таблиця цін схема №2'!IG41</f>
        <v>10964.042545361201</v>
      </c>
      <c r="I63" s="548">
        <f t="shared" si="1"/>
        <v>10964.042545361201</v>
      </c>
    </row>
    <row r="64" spans="1:9" ht="31.5">
      <c r="A64" s="574">
        <v>58</v>
      </c>
      <c r="B64" s="573" t="s">
        <v>1210</v>
      </c>
      <c r="C64" s="549">
        <v>203</v>
      </c>
      <c r="D64" s="549" t="s">
        <v>1164</v>
      </c>
      <c r="E64" s="592"/>
      <c r="F64" s="548">
        <f t="shared" si="0"/>
        <v>0</v>
      </c>
      <c r="H64" s="557">
        <f>'Таблиця цін схема №2'!IG42</f>
        <v>10526.550535212096</v>
      </c>
      <c r="I64" s="548">
        <f t="shared" si="1"/>
        <v>10526.550535212096</v>
      </c>
    </row>
    <row r="65" spans="1:9" ht="31.5">
      <c r="A65" s="574">
        <v>59</v>
      </c>
      <c r="B65" s="573" t="s">
        <v>1209</v>
      </c>
      <c r="C65" s="549">
        <v>203</v>
      </c>
      <c r="D65" s="549" t="s">
        <v>1164</v>
      </c>
      <c r="E65" s="592"/>
      <c r="F65" s="548">
        <f t="shared" si="0"/>
        <v>0</v>
      </c>
      <c r="H65" s="557">
        <f>'Таблиця цін схема №2'!IG43</f>
        <v>8587.1904344962913</v>
      </c>
      <c r="I65" s="548">
        <f t="shared" si="1"/>
        <v>8587.1904344962913</v>
      </c>
    </row>
    <row r="66" spans="1:9" ht="31.5">
      <c r="A66" s="574">
        <v>60</v>
      </c>
      <c r="B66" s="573" t="s">
        <v>1208</v>
      </c>
      <c r="C66" s="549">
        <v>203</v>
      </c>
      <c r="D66" s="549" t="s">
        <v>1164</v>
      </c>
      <c r="E66" s="592"/>
      <c r="F66" s="548">
        <f t="shared" si="0"/>
        <v>0</v>
      </c>
      <c r="H66" s="557">
        <f>'Таблиця цін схема №2'!IG44</f>
        <v>12496.521519440348</v>
      </c>
      <c r="I66" s="548">
        <f t="shared" si="1"/>
        <v>12496.521519440348</v>
      </c>
    </row>
    <row r="67" spans="1:9" ht="31.5">
      <c r="A67" s="574">
        <v>61</v>
      </c>
      <c r="B67" s="573" t="s">
        <v>1207</v>
      </c>
      <c r="C67" s="549">
        <v>203</v>
      </c>
      <c r="D67" s="549" t="s">
        <v>1164</v>
      </c>
      <c r="E67" s="592"/>
      <c r="F67" s="548">
        <f t="shared" si="0"/>
        <v>0</v>
      </c>
      <c r="H67" s="557">
        <f>'Таблиця цін схема №2'!IG45</f>
        <v>10039.880642667989</v>
      </c>
      <c r="I67" s="548">
        <f t="shared" si="1"/>
        <v>10039.880642667989</v>
      </c>
    </row>
    <row r="68" spans="1:9" ht="31.5">
      <c r="A68" s="574">
        <v>62</v>
      </c>
      <c r="B68" s="573" t="s">
        <v>1206</v>
      </c>
      <c r="C68" s="549">
        <v>203</v>
      </c>
      <c r="D68" s="549" t="s">
        <v>1164</v>
      </c>
      <c r="E68" s="592"/>
      <c r="F68" s="548">
        <f t="shared" si="0"/>
        <v>0</v>
      </c>
      <c r="H68" s="557">
        <f>'Таблиця цін схема №2'!IG46</f>
        <v>11393.759741511547</v>
      </c>
      <c r="I68" s="548">
        <f t="shared" si="1"/>
        <v>11393.759741511547</v>
      </c>
    </row>
    <row r="69" spans="1:9" ht="31.5">
      <c r="A69" s="574">
        <v>63</v>
      </c>
      <c r="B69" s="573" t="s">
        <v>1205</v>
      </c>
      <c r="C69" s="549">
        <v>203</v>
      </c>
      <c r="D69" s="549" t="s">
        <v>1164</v>
      </c>
      <c r="E69" s="592"/>
      <c r="F69" s="548">
        <f t="shared" si="0"/>
        <v>0</v>
      </c>
      <c r="H69" s="557">
        <f>'Таблиця цін схема №2'!IG47</f>
        <v>8921.228440177214</v>
      </c>
      <c r="I69" s="548">
        <f t="shared" si="1"/>
        <v>8921.228440177214</v>
      </c>
    </row>
    <row r="70" spans="1:9" ht="31.5">
      <c r="A70" s="574">
        <v>64</v>
      </c>
      <c r="B70" s="573" t="s">
        <v>1204</v>
      </c>
      <c r="C70" s="549">
        <v>203</v>
      </c>
      <c r="D70" s="549" t="s">
        <v>1164</v>
      </c>
      <c r="E70" s="592"/>
      <c r="F70" s="548">
        <f t="shared" si="0"/>
        <v>0</v>
      </c>
      <c r="H70" s="557">
        <f>'Таблиця цін схема №2'!IG48</f>
        <v>9287.9673128263676</v>
      </c>
      <c r="I70" s="548">
        <f t="shared" si="1"/>
        <v>9287.9673128263676</v>
      </c>
    </row>
    <row r="71" spans="1:9" ht="31.5">
      <c r="A71" s="574">
        <v>65</v>
      </c>
      <c r="B71" s="573" t="s">
        <v>1203</v>
      </c>
      <c r="C71" s="549">
        <v>203</v>
      </c>
      <c r="D71" s="549" t="s">
        <v>1164</v>
      </c>
      <c r="E71" s="592"/>
      <c r="F71" s="548">
        <f t="shared" si="0"/>
        <v>0</v>
      </c>
      <c r="H71" s="557">
        <f>'Таблиця цін схема №2'!IG49</f>
        <v>8945.2707258813043</v>
      </c>
      <c r="I71" s="548">
        <f t="shared" si="1"/>
        <v>8945.2707258813043</v>
      </c>
    </row>
    <row r="72" spans="1:9" ht="31.5">
      <c r="A72" s="574">
        <v>66</v>
      </c>
      <c r="B72" s="573" t="s">
        <v>1202</v>
      </c>
      <c r="C72" s="549">
        <v>203</v>
      </c>
      <c r="D72" s="549" t="s">
        <v>1164</v>
      </c>
      <c r="E72" s="592"/>
      <c r="F72" s="548">
        <f t="shared" ref="F72:F109" si="2">E72</f>
        <v>0</v>
      </c>
      <c r="H72" s="557">
        <f>'Таблиця цін схема №2'!IG50</f>
        <v>8788.2735991467016</v>
      </c>
      <c r="I72" s="548">
        <f t="shared" ref="I72:I109" si="3">H72</f>
        <v>8788.2735991467016</v>
      </c>
    </row>
    <row r="73" spans="1:9" ht="31.5">
      <c r="A73" s="574">
        <v>67</v>
      </c>
      <c r="B73" s="573" t="s">
        <v>1201</v>
      </c>
      <c r="C73" s="549">
        <v>203</v>
      </c>
      <c r="D73" s="549" t="s">
        <v>1164</v>
      </c>
      <c r="E73" s="592"/>
      <c r="F73" s="548">
        <f t="shared" si="2"/>
        <v>0</v>
      </c>
      <c r="H73" s="557">
        <f>'Таблиця цін схема №2'!IG51</f>
        <v>9863.1733358984366</v>
      </c>
      <c r="I73" s="548">
        <f t="shared" si="3"/>
        <v>9863.1733358984366</v>
      </c>
    </row>
    <row r="74" spans="1:9" ht="31.5">
      <c r="A74" s="574">
        <v>68</v>
      </c>
      <c r="B74" s="573" t="s">
        <v>1200</v>
      </c>
      <c r="C74" s="549">
        <v>203</v>
      </c>
      <c r="D74" s="549" t="s">
        <v>1164</v>
      </c>
      <c r="E74" s="592"/>
      <c r="F74" s="548">
        <f t="shared" si="2"/>
        <v>0</v>
      </c>
      <c r="H74" s="557">
        <f>'Таблиця цін схема №2'!IG52</f>
        <v>8844.8368623391052</v>
      </c>
      <c r="I74" s="548">
        <f t="shared" si="3"/>
        <v>8844.8368623391052</v>
      </c>
    </row>
    <row r="75" spans="1:9" ht="31.5">
      <c r="A75" s="574">
        <v>69</v>
      </c>
      <c r="B75" s="573" t="s">
        <v>1199</v>
      </c>
      <c r="C75" s="549">
        <v>203</v>
      </c>
      <c r="D75" s="549" t="s">
        <v>1164</v>
      </c>
      <c r="E75" s="592"/>
      <c r="F75" s="548">
        <f t="shared" si="2"/>
        <v>0</v>
      </c>
      <c r="H75" s="557">
        <f>'Таблиця цін схема №2'!IG53</f>
        <v>11779.447965003154</v>
      </c>
      <c r="I75" s="548">
        <f t="shared" si="3"/>
        <v>11779.447965003154</v>
      </c>
    </row>
    <row r="76" spans="1:9" ht="31.5">
      <c r="A76" s="574">
        <v>70</v>
      </c>
      <c r="B76" s="573" t="s">
        <v>1198</v>
      </c>
      <c r="C76" s="549">
        <v>203</v>
      </c>
      <c r="D76" s="549" t="s">
        <v>1164</v>
      </c>
      <c r="E76" s="592"/>
      <c r="F76" s="548">
        <f t="shared" si="2"/>
        <v>0</v>
      </c>
      <c r="H76" s="557">
        <f>'Таблиця цін схема №2'!IG54</f>
        <v>9688.5624250343644</v>
      </c>
      <c r="I76" s="548">
        <f t="shared" si="3"/>
        <v>9688.5624250343644</v>
      </c>
    </row>
    <row r="77" spans="1:9" ht="31.5">
      <c r="A77" s="574">
        <v>71</v>
      </c>
      <c r="B77" s="573" t="s">
        <v>1197</v>
      </c>
      <c r="C77" s="549">
        <v>203</v>
      </c>
      <c r="D77" s="549" t="s">
        <v>1164</v>
      </c>
      <c r="E77" s="592"/>
      <c r="F77" s="548">
        <f t="shared" si="2"/>
        <v>0</v>
      </c>
      <c r="H77" s="557">
        <f>'Таблиця цін схема №2'!IG55</f>
        <v>10835.703841109578</v>
      </c>
      <c r="I77" s="548">
        <f t="shared" si="3"/>
        <v>10835.703841109578</v>
      </c>
    </row>
    <row r="78" spans="1:9" ht="31.5">
      <c r="A78" s="574">
        <v>72</v>
      </c>
      <c r="B78" s="573" t="s">
        <v>1196</v>
      </c>
      <c r="C78" s="549">
        <v>203</v>
      </c>
      <c r="D78" s="549" t="s">
        <v>1164</v>
      </c>
      <c r="E78" s="592"/>
      <c r="F78" s="548">
        <f t="shared" si="2"/>
        <v>0</v>
      </c>
      <c r="H78" s="557">
        <f>'Таблиця цін схема №2'!IG56</f>
        <v>7499.2969450335786</v>
      </c>
      <c r="I78" s="548">
        <f t="shared" si="3"/>
        <v>7499.2969450335786</v>
      </c>
    </row>
    <row r="79" spans="1:9" ht="31.5">
      <c r="A79" s="574">
        <v>73</v>
      </c>
      <c r="B79" s="573" t="s">
        <v>1195</v>
      </c>
      <c r="C79" s="549">
        <v>203</v>
      </c>
      <c r="D79" s="549" t="s">
        <v>1164</v>
      </c>
      <c r="E79" s="592"/>
      <c r="F79" s="548">
        <f t="shared" si="2"/>
        <v>0</v>
      </c>
      <c r="H79" s="557">
        <f>'Таблиця цін схема №2'!IG57</f>
        <v>7194.6646222362688</v>
      </c>
      <c r="I79" s="548">
        <f t="shared" si="3"/>
        <v>7194.6646222362688</v>
      </c>
    </row>
    <row r="80" spans="1:9" ht="31.5">
      <c r="A80" s="574">
        <v>74</v>
      </c>
      <c r="B80" s="573" t="s">
        <v>1194</v>
      </c>
      <c r="C80" s="549">
        <v>203</v>
      </c>
      <c r="D80" s="549" t="s">
        <v>1164</v>
      </c>
      <c r="E80" s="592"/>
      <c r="F80" s="548">
        <f t="shared" si="2"/>
        <v>0</v>
      </c>
      <c r="H80" s="557">
        <f>'Таблиця цін схема №2'!IG58</f>
        <v>7386.8179631695748</v>
      </c>
      <c r="I80" s="548">
        <f t="shared" si="3"/>
        <v>7386.8179631695748</v>
      </c>
    </row>
    <row r="81" spans="1:9" ht="31.5">
      <c r="A81" s="574">
        <v>75</v>
      </c>
      <c r="B81" s="573" t="s">
        <v>1193</v>
      </c>
      <c r="C81" s="549">
        <v>203</v>
      </c>
      <c r="D81" s="549" t="s">
        <v>1164</v>
      </c>
      <c r="E81" s="592"/>
      <c r="F81" s="548">
        <f t="shared" si="2"/>
        <v>0</v>
      </c>
      <c r="H81" s="557">
        <f>'Таблиця цін схема №1'!JS28</f>
        <v>9840.3652329288943</v>
      </c>
      <c r="I81" s="548">
        <f t="shared" si="3"/>
        <v>9840.3652329288943</v>
      </c>
    </row>
    <row r="82" spans="1:9" ht="31.5">
      <c r="A82" s="574">
        <v>76</v>
      </c>
      <c r="B82" s="573" t="s">
        <v>1192</v>
      </c>
      <c r="C82" s="549">
        <v>203</v>
      </c>
      <c r="D82" s="549" t="s">
        <v>1164</v>
      </c>
      <c r="E82" s="592"/>
      <c r="F82" s="548">
        <f t="shared" si="2"/>
        <v>0</v>
      </c>
      <c r="H82" s="557">
        <f>'Таблиця цін схема №1'!JS29</f>
        <v>11690.766792154527</v>
      </c>
      <c r="I82" s="548">
        <f t="shared" si="3"/>
        <v>11690.766792154527</v>
      </c>
    </row>
    <row r="83" spans="1:9" ht="31.5">
      <c r="A83" s="574">
        <v>77</v>
      </c>
      <c r="B83" s="573" t="s">
        <v>1191</v>
      </c>
      <c r="C83" s="549">
        <v>203</v>
      </c>
      <c r="D83" s="549" t="s">
        <v>1164</v>
      </c>
      <c r="E83" s="592"/>
      <c r="F83" s="548">
        <f t="shared" si="2"/>
        <v>0</v>
      </c>
      <c r="H83" s="557">
        <f>'Таблиця цін схема №1'!JS30</f>
        <v>12132.177116029747</v>
      </c>
      <c r="I83" s="548">
        <f t="shared" si="3"/>
        <v>12132.177116029747</v>
      </c>
    </row>
    <row r="84" spans="1:9" ht="31.5">
      <c r="A84" s="574">
        <v>78</v>
      </c>
      <c r="B84" s="573" t="s">
        <v>1190</v>
      </c>
      <c r="C84" s="549">
        <v>203</v>
      </c>
      <c r="D84" s="549" t="s">
        <v>1164</v>
      </c>
      <c r="E84" s="592"/>
      <c r="F84" s="548">
        <f t="shared" si="2"/>
        <v>0</v>
      </c>
      <c r="H84" s="557">
        <f>'Таблиця цін схема №1'!JS31</f>
        <v>12094.186636531516</v>
      </c>
      <c r="I84" s="548">
        <f t="shared" si="3"/>
        <v>12094.186636531516</v>
      </c>
    </row>
    <row r="85" spans="1:9" ht="31.5">
      <c r="A85" s="574">
        <v>79</v>
      </c>
      <c r="B85" s="573" t="s">
        <v>1189</v>
      </c>
      <c r="C85" s="549">
        <v>203</v>
      </c>
      <c r="D85" s="549" t="s">
        <v>1164</v>
      </c>
      <c r="E85" s="592"/>
      <c r="F85" s="548">
        <f t="shared" si="2"/>
        <v>0</v>
      </c>
      <c r="H85" s="557">
        <f>'Таблиця цін схема №1'!JS32</f>
        <v>11427.17256990938</v>
      </c>
      <c r="I85" s="548">
        <f t="shared" si="3"/>
        <v>11427.17256990938</v>
      </c>
    </row>
    <row r="86" spans="1:9" ht="31.5">
      <c r="A86" s="574">
        <v>80</v>
      </c>
      <c r="B86" s="573" t="s">
        <v>1188</v>
      </c>
      <c r="C86" s="549">
        <v>203</v>
      </c>
      <c r="D86" s="549" t="s">
        <v>1164</v>
      </c>
      <c r="E86" s="592"/>
      <c r="F86" s="548">
        <f t="shared" si="2"/>
        <v>0</v>
      </c>
      <c r="H86" s="557">
        <f>'Таблиця цін схема №1'!JS33</f>
        <v>11600.13400845063</v>
      </c>
      <c r="I86" s="548">
        <f t="shared" si="3"/>
        <v>11600.13400845063</v>
      </c>
    </row>
    <row r="87" spans="1:9" ht="31.5">
      <c r="A87" s="574">
        <v>81</v>
      </c>
      <c r="B87" s="573" t="s">
        <v>1187</v>
      </c>
      <c r="C87" s="549">
        <v>203</v>
      </c>
      <c r="D87" s="549" t="s">
        <v>1164</v>
      </c>
      <c r="E87" s="592"/>
      <c r="F87" s="548">
        <f t="shared" si="2"/>
        <v>0</v>
      </c>
      <c r="H87" s="557">
        <f>'Таблиця цін схема №1'!JS34</f>
        <v>11427.17256990938</v>
      </c>
      <c r="I87" s="548">
        <f t="shared" si="3"/>
        <v>11427.17256990938</v>
      </c>
    </row>
    <row r="88" spans="1:9" ht="31.5">
      <c r="A88" s="574">
        <v>82</v>
      </c>
      <c r="B88" s="573" t="s">
        <v>1186</v>
      </c>
      <c r="C88" s="549">
        <v>203</v>
      </c>
      <c r="D88" s="549" t="s">
        <v>1164</v>
      </c>
      <c r="E88" s="592"/>
      <c r="F88" s="548">
        <f t="shared" si="2"/>
        <v>0</v>
      </c>
      <c r="H88" s="557">
        <f>'Таблиця цін схема №1'!JS35</f>
        <v>15681.510636666229</v>
      </c>
      <c r="I88" s="548">
        <f t="shared" si="3"/>
        <v>15681.510636666229</v>
      </c>
    </row>
    <row r="89" spans="1:9" ht="31.5">
      <c r="A89" s="574">
        <v>83</v>
      </c>
      <c r="B89" s="573" t="s">
        <v>1185</v>
      </c>
      <c r="C89" s="549">
        <v>203</v>
      </c>
      <c r="D89" s="549" t="s">
        <v>1164</v>
      </c>
      <c r="E89" s="592"/>
      <c r="F89" s="548">
        <f t="shared" si="2"/>
        <v>0</v>
      </c>
      <c r="H89" s="557">
        <f>'Таблиця цін схема №1'!JS36</f>
        <v>21098.819498042478</v>
      </c>
      <c r="I89" s="548">
        <f t="shared" si="3"/>
        <v>21098.819498042478</v>
      </c>
    </row>
    <row r="90" spans="1:9" ht="31.5">
      <c r="A90" s="574">
        <v>84</v>
      </c>
      <c r="B90" s="573" t="s">
        <v>1184</v>
      </c>
      <c r="C90" s="549">
        <v>203</v>
      </c>
      <c r="D90" s="549" t="s">
        <v>1164</v>
      </c>
      <c r="E90" s="592"/>
      <c r="F90" s="548">
        <f t="shared" si="2"/>
        <v>0</v>
      </c>
      <c r="H90" s="557">
        <f>'Таблиця цін схема №1'!JS37</f>
        <v>17019.034606354759</v>
      </c>
      <c r="I90" s="548">
        <f t="shared" si="3"/>
        <v>17019.034606354759</v>
      </c>
    </row>
    <row r="91" spans="1:9" ht="31.5">
      <c r="A91" s="574">
        <v>85</v>
      </c>
      <c r="B91" s="573" t="s">
        <v>1183</v>
      </c>
      <c r="C91" s="549">
        <v>203</v>
      </c>
      <c r="D91" s="549" t="s">
        <v>1164</v>
      </c>
      <c r="E91" s="592"/>
      <c r="F91" s="548">
        <f t="shared" si="2"/>
        <v>0</v>
      </c>
      <c r="H91" s="557">
        <f>'Таблиця цін схема №1'!JS38</f>
        <v>11873.083245769696</v>
      </c>
      <c r="I91" s="548">
        <f t="shared" si="3"/>
        <v>11873.083245769696</v>
      </c>
    </row>
    <row r="92" spans="1:9" ht="31.5">
      <c r="A92" s="574">
        <v>86</v>
      </c>
      <c r="B92" s="573" t="s">
        <v>1182</v>
      </c>
      <c r="C92" s="549">
        <v>203</v>
      </c>
      <c r="D92" s="549" t="s">
        <v>1164</v>
      </c>
      <c r="E92" s="592"/>
      <c r="F92" s="548">
        <f t="shared" si="2"/>
        <v>0</v>
      </c>
      <c r="H92" s="557">
        <f>'Таблиця цін схема №1'!JS39</f>
        <v>9999.3162669698741</v>
      </c>
      <c r="I92" s="548">
        <f t="shared" si="3"/>
        <v>9999.3162669698741</v>
      </c>
    </row>
    <row r="93" spans="1:9" ht="31.5">
      <c r="A93" s="574">
        <v>87</v>
      </c>
      <c r="B93" s="573" t="s">
        <v>1181</v>
      </c>
      <c r="C93" s="549">
        <v>203</v>
      </c>
      <c r="D93" s="549" t="s">
        <v>1164</v>
      </c>
      <c r="E93" s="592"/>
      <c r="F93" s="548">
        <f t="shared" si="2"/>
        <v>0</v>
      </c>
      <c r="H93" s="557">
        <f>'Таблиця цін схема №1'!JS40</f>
        <v>25511.808435115196</v>
      </c>
      <c r="I93" s="548">
        <f t="shared" si="3"/>
        <v>25511.808435115196</v>
      </c>
    </row>
    <row r="94" spans="1:9">
      <c r="A94" s="574">
        <v>88</v>
      </c>
      <c r="B94" s="573" t="s">
        <v>1180</v>
      </c>
      <c r="C94" s="549">
        <v>203</v>
      </c>
      <c r="D94" s="549" t="s">
        <v>1164</v>
      </c>
      <c r="E94" s="592"/>
      <c r="F94" s="548">
        <f t="shared" si="2"/>
        <v>0</v>
      </c>
      <c r="H94" s="557">
        <f>'Таблиця цін схема №2'!IG59</f>
        <v>10465.027276225175</v>
      </c>
      <c r="I94" s="548">
        <f t="shared" si="3"/>
        <v>10465.027276225175</v>
      </c>
    </row>
    <row r="95" spans="1:9">
      <c r="A95" s="574">
        <v>89</v>
      </c>
      <c r="B95" s="573" t="s">
        <v>1179</v>
      </c>
      <c r="C95" s="549">
        <v>203</v>
      </c>
      <c r="D95" s="549" t="s">
        <v>1164</v>
      </c>
      <c r="E95" s="592"/>
      <c r="F95" s="548">
        <f t="shared" si="2"/>
        <v>0</v>
      </c>
      <c r="H95" s="557">
        <f>'Таблиця цін схема №2'!IG60</f>
        <v>9350.4106968703327</v>
      </c>
      <c r="I95" s="548">
        <f t="shared" si="3"/>
        <v>9350.4106968703327</v>
      </c>
    </row>
    <row r="96" spans="1:9" ht="31.5">
      <c r="A96" s="574">
        <v>90</v>
      </c>
      <c r="B96" s="573" t="s">
        <v>1178</v>
      </c>
      <c r="C96" s="549">
        <v>203</v>
      </c>
      <c r="D96" s="549" t="s">
        <v>1164</v>
      </c>
      <c r="E96" s="592"/>
      <c r="F96" s="548">
        <f t="shared" si="2"/>
        <v>0</v>
      </c>
      <c r="H96" s="557">
        <f>'Таблиця цін схема №2'!IG61</f>
        <v>8938.6065556149952</v>
      </c>
      <c r="I96" s="548">
        <f t="shared" si="3"/>
        <v>8938.6065556149952</v>
      </c>
    </row>
    <row r="97" spans="1:9" ht="31.5">
      <c r="A97" s="574">
        <v>91</v>
      </c>
      <c r="B97" s="573" t="s">
        <v>1177</v>
      </c>
      <c r="C97" s="549">
        <v>203</v>
      </c>
      <c r="D97" s="549" t="s">
        <v>1164</v>
      </c>
      <c r="E97" s="592"/>
      <c r="F97" s="548">
        <f t="shared" si="2"/>
        <v>0</v>
      </c>
      <c r="H97" s="557">
        <f>'Таблиця цін схема №2'!IG62</f>
        <v>9783.0580451911137</v>
      </c>
      <c r="I97" s="548">
        <f t="shared" si="3"/>
        <v>9783.0580451911137</v>
      </c>
    </row>
    <row r="98" spans="1:9" ht="31.5">
      <c r="A98" s="574">
        <v>92</v>
      </c>
      <c r="B98" s="573" t="s">
        <v>1176</v>
      </c>
      <c r="C98" s="549">
        <v>203</v>
      </c>
      <c r="D98" s="549" t="s">
        <v>1164</v>
      </c>
      <c r="E98" s="592"/>
      <c r="F98" s="548">
        <f t="shared" si="2"/>
        <v>0</v>
      </c>
      <c r="H98" s="557">
        <f>'Таблиця цін схема №2'!IG63</f>
        <v>11211.918116451105</v>
      </c>
      <c r="I98" s="548">
        <f t="shared" si="3"/>
        <v>11211.918116451105</v>
      </c>
    </row>
    <row r="99" spans="1:9" ht="31.5">
      <c r="A99" s="574">
        <v>93</v>
      </c>
      <c r="B99" s="573" t="s">
        <v>1175</v>
      </c>
      <c r="C99" s="549">
        <v>203</v>
      </c>
      <c r="D99" s="549" t="s">
        <v>1164</v>
      </c>
      <c r="E99" s="592"/>
      <c r="F99" s="548">
        <f t="shared" si="2"/>
        <v>0</v>
      </c>
      <c r="H99" s="557">
        <f>'Таблиця цін схема №2'!IG64</f>
        <v>6484.1233211287599</v>
      </c>
      <c r="I99" s="548">
        <f t="shared" si="3"/>
        <v>6484.1233211287599</v>
      </c>
    </row>
    <row r="100" spans="1:9" ht="31.5">
      <c r="A100" s="574">
        <v>94</v>
      </c>
      <c r="B100" s="573" t="s">
        <v>1174</v>
      </c>
      <c r="C100" s="549">
        <v>203</v>
      </c>
      <c r="D100" s="549" t="s">
        <v>1164</v>
      </c>
      <c r="E100" s="592"/>
      <c r="F100" s="548">
        <f t="shared" si="2"/>
        <v>0</v>
      </c>
      <c r="H100" s="557">
        <f>'Таблиця цін схема №3'!FA11</f>
        <v>5420.8527947722705</v>
      </c>
      <c r="I100" s="548">
        <f t="shared" si="3"/>
        <v>5420.8527947722705</v>
      </c>
    </row>
    <row r="101" spans="1:9" ht="31.5">
      <c r="A101" s="574">
        <v>95</v>
      </c>
      <c r="B101" s="573" t="s">
        <v>1173</v>
      </c>
      <c r="C101" s="549">
        <v>203</v>
      </c>
      <c r="D101" s="549" t="s">
        <v>1164</v>
      </c>
      <c r="E101" s="592"/>
      <c r="F101" s="548">
        <f t="shared" si="2"/>
        <v>0</v>
      </c>
      <c r="H101" s="557">
        <f>'Таблиця цін схема №2'!IG65</f>
        <v>6772.9798499253975</v>
      </c>
      <c r="I101" s="548">
        <f t="shared" si="3"/>
        <v>6772.9798499253975</v>
      </c>
    </row>
    <row r="102" spans="1:9" ht="31.5">
      <c r="A102" s="574">
        <v>96</v>
      </c>
      <c r="B102" s="573" t="s">
        <v>1172</v>
      </c>
      <c r="C102" s="549">
        <v>203</v>
      </c>
      <c r="D102" s="549" t="s">
        <v>1164</v>
      </c>
      <c r="E102" s="592"/>
      <c r="F102" s="548">
        <f t="shared" si="2"/>
        <v>0</v>
      </c>
      <c r="H102" s="557">
        <f>'Таблиця цін схема №2'!IG66</f>
        <v>7621.1782319794456</v>
      </c>
      <c r="I102" s="548">
        <f t="shared" si="3"/>
        <v>7621.1782319794456</v>
      </c>
    </row>
    <row r="103" spans="1:9" ht="31.5">
      <c r="A103" s="574">
        <v>97</v>
      </c>
      <c r="B103" s="573" t="s">
        <v>1171</v>
      </c>
      <c r="C103" s="549">
        <v>203</v>
      </c>
      <c r="D103" s="549" t="s">
        <v>1164</v>
      </c>
      <c r="E103" s="592"/>
      <c r="F103" s="548">
        <f t="shared" si="2"/>
        <v>0</v>
      </c>
      <c r="H103" s="557">
        <f>'Таблиця цін схема №2'!IG67</f>
        <v>7085.9572395570431</v>
      </c>
      <c r="I103" s="548">
        <f t="shared" si="3"/>
        <v>7085.9572395570431</v>
      </c>
    </row>
    <row r="104" spans="1:9" ht="31.5">
      <c r="A104" s="574">
        <v>98</v>
      </c>
      <c r="B104" s="573" t="s">
        <v>1170</v>
      </c>
      <c r="C104" s="549">
        <v>203</v>
      </c>
      <c r="D104" s="549" t="s">
        <v>1164</v>
      </c>
      <c r="E104" s="592"/>
      <c r="F104" s="548">
        <f t="shared" si="2"/>
        <v>0</v>
      </c>
      <c r="H104" s="557">
        <f>'Таблиця цін схема №2'!IG68</f>
        <v>6604.107940206537</v>
      </c>
      <c r="I104" s="548">
        <f t="shared" si="3"/>
        <v>6604.107940206537</v>
      </c>
    </row>
    <row r="105" spans="1:9" ht="31.5">
      <c r="A105" s="574">
        <v>99</v>
      </c>
      <c r="B105" s="573" t="s">
        <v>1169</v>
      </c>
      <c r="C105" s="549">
        <v>203</v>
      </c>
      <c r="D105" s="549" t="s">
        <v>1164</v>
      </c>
      <c r="E105" s="592"/>
      <c r="F105" s="548">
        <f t="shared" si="2"/>
        <v>0</v>
      </c>
      <c r="H105" s="557">
        <f>'Таблиця цін схема №2'!IG69</f>
        <v>7002.8222960037401</v>
      </c>
      <c r="I105" s="548">
        <f t="shared" si="3"/>
        <v>7002.8222960037401</v>
      </c>
    </row>
    <row r="106" spans="1:9" ht="31.5">
      <c r="A106" s="574">
        <v>100</v>
      </c>
      <c r="B106" s="573" t="s">
        <v>1168</v>
      </c>
      <c r="C106" s="549">
        <v>203</v>
      </c>
      <c r="D106" s="549" t="s">
        <v>1164</v>
      </c>
      <c r="E106" s="592"/>
      <c r="F106" s="548">
        <f t="shared" si="2"/>
        <v>0</v>
      </c>
      <c r="H106" s="557">
        <f>'Таблиця цін схема №2'!IG70</f>
        <v>6491.4060554992993</v>
      </c>
      <c r="I106" s="548">
        <f t="shared" si="3"/>
        <v>6491.4060554992993</v>
      </c>
    </row>
    <row r="107" spans="1:9" ht="31.5">
      <c r="A107" s="574">
        <v>101</v>
      </c>
      <c r="B107" s="573" t="s">
        <v>1167</v>
      </c>
      <c r="C107" s="549">
        <v>203</v>
      </c>
      <c r="D107" s="549" t="s">
        <v>1164</v>
      </c>
      <c r="E107" s="592"/>
      <c r="F107" s="548">
        <f t="shared" si="2"/>
        <v>0</v>
      </c>
      <c r="H107" s="557">
        <f>'Таблиця цін схема №2'!IG71</f>
        <v>6491.4060554992993</v>
      </c>
      <c r="I107" s="548">
        <f t="shared" si="3"/>
        <v>6491.4060554992993</v>
      </c>
    </row>
    <row r="108" spans="1:9" ht="31.5">
      <c r="A108" s="574">
        <v>102</v>
      </c>
      <c r="B108" s="573" t="s">
        <v>1166</v>
      </c>
      <c r="C108" s="549">
        <v>203</v>
      </c>
      <c r="D108" s="549" t="s">
        <v>1164</v>
      </c>
      <c r="E108" s="592"/>
      <c r="F108" s="548">
        <f t="shared" si="2"/>
        <v>0</v>
      </c>
      <c r="H108" s="557">
        <f>'Таблиця цін схема №2'!IG72</f>
        <v>7247.9790905498157</v>
      </c>
      <c r="I108" s="548">
        <f t="shared" si="3"/>
        <v>7247.9790905498157</v>
      </c>
    </row>
    <row r="109" spans="1:9" ht="31.5">
      <c r="A109" s="574">
        <v>103</v>
      </c>
      <c r="B109" s="573" t="s">
        <v>1165</v>
      </c>
      <c r="C109" s="549">
        <v>203</v>
      </c>
      <c r="D109" s="549" t="s">
        <v>1164</v>
      </c>
      <c r="E109" s="592"/>
      <c r="F109" s="548">
        <f t="shared" si="2"/>
        <v>0</v>
      </c>
      <c r="H109" s="557">
        <f>'Таблиця цін схема №2'!IG73</f>
        <v>6871.12517154739</v>
      </c>
      <c r="I109" s="548">
        <f t="shared" si="3"/>
        <v>6871.12517154739</v>
      </c>
    </row>
    <row r="110" spans="1:9">
      <c r="A110" s="574">
        <v>104</v>
      </c>
      <c r="B110" s="573" t="s">
        <v>1163</v>
      </c>
      <c r="C110" s="549">
        <v>203</v>
      </c>
      <c r="D110" s="549" t="s">
        <v>1162</v>
      </c>
      <c r="E110" s="548" t="s">
        <v>115</v>
      </c>
      <c r="F110" s="548" t="s">
        <v>115</v>
      </c>
    </row>
    <row r="111" spans="1:9">
      <c r="A111" s="1472" t="s">
        <v>1161</v>
      </c>
      <c r="B111" s="1473"/>
      <c r="C111" s="1473"/>
      <c r="D111" s="1473"/>
      <c r="E111" s="1474"/>
      <c r="F111" s="548">
        <f>SUM(F7:F110)</f>
        <v>0</v>
      </c>
    </row>
    <row r="112" spans="1:9">
      <c r="A112" s="572"/>
      <c r="B112" s="571"/>
      <c r="C112" s="571"/>
      <c r="D112" s="570"/>
      <c r="E112" s="552"/>
      <c r="F112" s="552"/>
    </row>
    <row r="113" spans="1:6">
      <c r="A113" s="552" t="s">
        <v>1160</v>
      </c>
      <c r="B113" s="572"/>
      <c r="C113" s="552"/>
      <c r="D113" s="570"/>
      <c r="E113" s="552"/>
      <c r="F113" s="552"/>
    </row>
    <row r="114" spans="1:6">
      <c r="A114" s="550"/>
      <c r="B114" s="571"/>
      <c r="C114" s="552"/>
      <c r="D114" s="551"/>
      <c r="E114" s="551"/>
      <c r="F114" s="554"/>
    </row>
    <row r="115" spans="1:6">
      <c r="A115" s="552" t="s">
        <v>1159</v>
      </c>
      <c r="B115" s="571"/>
      <c r="C115" s="552"/>
      <c r="D115" s="570"/>
      <c r="E115" s="552"/>
      <c r="F115" s="552"/>
    </row>
    <row r="116" spans="1:6">
      <c r="A116" s="552"/>
      <c r="B116" s="571"/>
      <c r="C116" s="552"/>
      <c r="D116" s="570"/>
      <c r="E116" s="552"/>
      <c r="F116" s="552"/>
    </row>
    <row r="117" spans="1:6">
      <c r="A117" s="1475" t="s">
        <v>1139</v>
      </c>
      <c r="B117" s="1475"/>
      <c r="C117" s="552"/>
      <c r="D117" s="551"/>
      <c r="E117" s="551"/>
      <c r="F117" s="554"/>
    </row>
    <row r="118" spans="1:6">
      <c r="A118" s="1475"/>
      <c r="B118" s="1475"/>
      <c r="C118" s="552"/>
      <c r="D118" s="570"/>
      <c r="E118" s="552"/>
      <c r="F118" s="552"/>
    </row>
    <row r="119" spans="1:6">
      <c r="A119" s="1475"/>
      <c r="B119" s="1475"/>
      <c r="C119" s="567"/>
      <c r="D119" s="567"/>
      <c r="E119" s="567"/>
      <c r="F119" s="567"/>
    </row>
    <row r="120" spans="1:6">
      <c r="A120" s="1475"/>
      <c r="B120" s="1475"/>
      <c r="C120" s="567"/>
      <c r="D120" s="567"/>
      <c r="E120" s="567"/>
      <c r="F120" s="567"/>
    </row>
    <row r="121" spans="1:6" ht="18.75">
      <c r="A121" s="569" t="s">
        <v>1158</v>
      </c>
      <c r="B121" s="568"/>
      <c r="C121" s="568"/>
      <c r="D121" s="568"/>
      <c r="E121" s="568"/>
      <c r="F121" s="568"/>
    </row>
    <row r="122" spans="1:6" ht="18.75">
      <c r="A122" s="569" t="s">
        <v>1157</v>
      </c>
      <c r="B122" s="568"/>
      <c r="C122" s="568"/>
      <c r="D122" s="568"/>
      <c r="E122" s="568"/>
      <c r="F122" s="568"/>
    </row>
    <row r="123" spans="1:6">
      <c r="A123" s="567"/>
      <c r="B123" s="567"/>
      <c r="C123" s="567"/>
      <c r="D123" s="567"/>
      <c r="E123" s="567"/>
      <c r="F123" s="567"/>
    </row>
    <row r="124" spans="1:6">
      <c r="A124" s="566"/>
      <c r="B124" s="566"/>
      <c r="C124" s="566"/>
      <c r="D124" s="566"/>
      <c r="E124" s="566"/>
      <c r="F124" s="566"/>
    </row>
    <row r="125" spans="1:6">
      <c r="A125" s="566"/>
      <c r="B125" s="566"/>
      <c r="C125" s="566"/>
      <c r="D125" s="566"/>
      <c r="E125" s="566"/>
      <c r="F125" s="566"/>
    </row>
    <row r="126" spans="1:6">
      <c r="E126" s="566"/>
      <c r="F126" s="566"/>
    </row>
    <row r="127" spans="1:6">
      <c r="E127" s="537"/>
      <c r="F127" s="537"/>
    </row>
    <row r="128" spans="1:6">
      <c r="A128" s="565"/>
      <c r="B128" s="565"/>
      <c r="C128" s="565"/>
      <c r="D128" s="565"/>
      <c r="E128" s="564"/>
      <c r="F128" s="564"/>
    </row>
    <row r="129" spans="5:6">
      <c r="E129" s="537"/>
      <c r="F129" s="537"/>
    </row>
    <row r="130" spans="5:6">
      <c r="E130" s="537"/>
      <c r="F130" s="537"/>
    </row>
    <row r="131" spans="5:6">
      <c r="E131" s="537"/>
      <c r="F131" s="537"/>
    </row>
    <row r="132" spans="5:6">
      <c r="E132" s="537"/>
      <c r="F132" s="537"/>
    </row>
    <row r="133" spans="5:6">
      <c r="E133" s="537"/>
      <c r="F133" s="537"/>
    </row>
    <row r="134" spans="5:6">
      <c r="E134" s="537"/>
      <c r="F134" s="537"/>
    </row>
    <row r="135" spans="5:6">
      <c r="E135" s="537"/>
      <c r="F135" s="537"/>
    </row>
    <row r="136" spans="5:6">
      <c r="E136" s="537"/>
      <c r="F136" s="537"/>
    </row>
  </sheetData>
  <mergeCells count="2">
    <mergeCell ref="A111:E111"/>
    <mergeCell ref="A117:B120"/>
  </mergeCells>
  <pageMargins left="0.62992125984251968" right="0.23622047244094491" top="0.74803149606299213" bottom="0.74803149606299213" header="0.31496062992125984" footer="0.31496062992125984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"/>
  <sheetViews>
    <sheetView topLeftCell="A94" workbookViewId="0">
      <selection activeCell="E111" sqref="E111"/>
    </sheetView>
  </sheetViews>
  <sheetFormatPr defaultRowHeight="15.75"/>
  <cols>
    <col min="1" max="1" width="5.28515625" customWidth="1"/>
    <col min="2" max="2" width="51.28515625" customWidth="1"/>
    <col min="3" max="3" width="5.7109375" customWidth="1"/>
    <col min="4" max="4" width="14" style="310" customWidth="1"/>
    <col min="5" max="5" width="13.140625" style="1183" customWidth="1"/>
    <col min="9" max="9" width="12.7109375" style="503" bestFit="1" customWidth="1"/>
    <col min="10" max="10" width="9.140625" style="528"/>
    <col min="11" max="11" width="11.140625" style="528" customWidth="1"/>
    <col min="12" max="12" width="10.28515625" style="528" bestFit="1" customWidth="1"/>
    <col min="14" max="14" width="10.140625" style="184" bestFit="1" customWidth="1"/>
    <col min="18" max="18" width="12.140625" customWidth="1"/>
  </cols>
  <sheetData>
    <row r="1" spans="1:18">
      <c r="I1" s="1090"/>
    </row>
    <row r="2" spans="1:18">
      <c r="I2" s="1090"/>
    </row>
    <row r="3" spans="1:18">
      <c r="I3" s="1090"/>
    </row>
    <row r="4" spans="1:18" ht="39.75" customHeight="1">
      <c r="A4" s="1477" t="s">
        <v>1397</v>
      </c>
      <c r="B4" s="1477"/>
      <c r="C4" s="1477"/>
      <c r="D4" s="1477"/>
      <c r="E4" s="1477"/>
    </row>
    <row r="6" spans="1:18" ht="47.25">
      <c r="A6" s="538" t="s">
        <v>687</v>
      </c>
      <c r="B6" s="530" t="s">
        <v>688</v>
      </c>
      <c r="C6" s="538" t="s">
        <v>607</v>
      </c>
      <c r="D6" s="583" t="s">
        <v>1279</v>
      </c>
      <c r="E6" s="538" t="s">
        <v>1280</v>
      </c>
      <c r="I6" s="503" t="s">
        <v>1281</v>
      </c>
      <c r="K6" s="528" t="s">
        <v>1282</v>
      </c>
      <c r="L6" s="528" t="s">
        <v>686</v>
      </c>
      <c r="N6" s="184">
        <v>30</v>
      </c>
    </row>
    <row r="7" spans="1:18">
      <c r="A7" s="541"/>
      <c r="B7" s="542"/>
      <c r="C7" s="543">
        <v>1</v>
      </c>
      <c r="D7" s="584">
        <v>2</v>
      </c>
      <c r="E7" s="543" t="s">
        <v>1268</v>
      </c>
    </row>
    <row r="8" spans="1:18" ht="31.5">
      <c r="A8" s="574">
        <v>1</v>
      </c>
      <c r="B8" s="573" t="s">
        <v>1267</v>
      </c>
      <c r="C8" s="545" t="s">
        <v>1164</v>
      </c>
      <c r="D8" s="1184">
        <f>I8*1.2</f>
        <v>15932.316971189153</v>
      </c>
      <c r="E8" s="557">
        <f>D8</f>
        <v>15932.316971189153</v>
      </c>
      <c r="I8" s="593">
        <f>'Таблиця цін схема №1'!JS8</f>
        <v>13276.930809324294</v>
      </c>
      <c r="K8" s="528">
        <f>'Schedule 1'!E7</f>
        <v>0</v>
      </c>
      <c r="L8" s="594">
        <f>I8</f>
        <v>13276.930809324294</v>
      </c>
      <c r="N8" s="184">
        <f>E8*$N$6</f>
        <v>477969.50913567457</v>
      </c>
      <c r="O8" s="184">
        <f>'[2]Schedule 4'!$G$7</f>
        <v>7073.2912115584331</v>
      </c>
      <c r="P8">
        <f>O8*$N$6</f>
        <v>212198.73634675299</v>
      </c>
      <c r="R8" s="184">
        <f>P8+N8</f>
        <v>690168.24548242753</v>
      </c>
    </row>
    <row r="9" spans="1:18" ht="31.5">
      <c r="A9" s="574">
        <v>2</v>
      </c>
      <c r="B9" s="573" t="s">
        <v>1266</v>
      </c>
      <c r="C9" s="545" t="s">
        <v>1164</v>
      </c>
      <c r="D9" s="1184">
        <f t="shared" ref="D9:D72" si="0">I9*1.2</f>
        <v>27107.92539817459</v>
      </c>
      <c r="E9" s="557">
        <f t="shared" ref="E9:E72" si="1">D9</f>
        <v>27107.92539817459</v>
      </c>
      <c r="I9" s="593">
        <f>'Таблиця цін схема №1'!JS9</f>
        <v>22589.93783181216</v>
      </c>
      <c r="K9" s="528">
        <f>'Schedule 1'!E8</f>
        <v>0</v>
      </c>
      <c r="L9" s="594">
        <f t="shared" ref="L9:L60" si="2">I9</f>
        <v>22589.93783181216</v>
      </c>
      <c r="N9" s="184">
        <f t="shared" ref="N9:N72" si="3">E9*$N$6</f>
        <v>813237.76194523764</v>
      </c>
      <c r="O9" s="184">
        <f>'[2]Schedule 4'!$G$7</f>
        <v>7073.2912115584331</v>
      </c>
      <c r="P9">
        <f t="shared" ref="P9:P72" si="4">O9*$N$6</f>
        <v>212198.73634675299</v>
      </c>
      <c r="R9" s="184">
        <f t="shared" ref="R9:R72" si="5">P9+N9</f>
        <v>1025436.4982919906</v>
      </c>
    </row>
    <row r="10" spans="1:18" ht="31.5">
      <c r="A10" s="574">
        <v>3</v>
      </c>
      <c r="B10" s="573" t="s">
        <v>1265</v>
      </c>
      <c r="C10" s="545" t="s">
        <v>1164</v>
      </c>
      <c r="D10" s="1184">
        <f t="shared" si="0"/>
        <v>14406.328775327593</v>
      </c>
      <c r="E10" s="557">
        <f t="shared" si="1"/>
        <v>14406.328775327593</v>
      </c>
      <c r="I10" s="593">
        <f>'Таблиця цін схема №1'!JS10</f>
        <v>12005.27397943966</v>
      </c>
      <c r="K10" s="528">
        <f>'Schedule 1'!E9</f>
        <v>0</v>
      </c>
      <c r="L10" s="594">
        <f t="shared" si="2"/>
        <v>12005.27397943966</v>
      </c>
      <c r="N10" s="184">
        <f t="shared" si="3"/>
        <v>432189.86325982778</v>
      </c>
      <c r="O10" s="184">
        <f>'[2]Schedule 4'!$G$7</f>
        <v>7073.2912115584331</v>
      </c>
      <c r="P10">
        <f t="shared" si="4"/>
        <v>212198.73634675299</v>
      </c>
      <c r="R10" s="184">
        <f t="shared" si="5"/>
        <v>644388.5996065808</v>
      </c>
    </row>
    <row r="11" spans="1:18" ht="31.5">
      <c r="A11" s="574">
        <v>4</v>
      </c>
      <c r="B11" s="573" t="s">
        <v>1264</v>
      </c>
      <c r="C11" s="545" t="s">
        <v>1164</v>
      </c>
      <c r="D11" s="1184">
        <f t="shared" si="0"/>
        <v>15294.182816184019</v>
      </c>
      <c r="E11" s="557">
        <f t="shared" si="1"/>
        <v>15294.182816184019</v>
      </c>
      <c r="I11" s="593">
        <f>'Таблиця цін схема №1'!JS11</f>
        <v>12745.152346820016</v>
      </c>
      <c r="K11" s="528">
        <f>'Schedule 1'!E10</f>
        <v>0</v>
      </c>
      <c r="L11" s="594">
        <f t="shared" si="2"/>
        <v>12745.152346820016</v>
      </c>
      <c r="N11" s="184">
        <f t="shared" si="3"/>
        <v>458825.48448552057</v>
      </c>
      <c r="O11" s="184">
        <f>'[2]Schedule 4'!$G$7</f>
        <v>7073.2912115584331</v>
      </c>
      <c r="P11">
        <f t="shared" si="4"/>
        <v>212198.73634675299</v>
      </c>
      <c r="R11" s="184">
        <f t="shared" si="5"/>
        <v>671024.2208322736</v>
      </c>
    </row>
    <row r="12" spans="1:18" ht="31.5">
      <c r="A12" s="574">
        <v>5</v>
      </c>
      <c r="B12" s="573" t="s">
        <v>1263</v>
      </c>
      <c r="C12" s="545" t="s">
        <v>1164</v>
      </c>
      <c r="D12" s="1184">
        <f t="shared" si="0"/>
        <v>14297.793293716602</v>
      </c>
      <c r="E12" s="557">
        <f t="shared" si="1"/>
        <v>14297.793293716602</v>
      </c>
      <c r="I12" s="593">
        <f>'Таблиця цін схема №2'!IG8</f>
        <v>11914.827744763836</v>
      </c>
      <c r="K12" s="528">
        <f>'Schedule 1'!E11</f>
        <v>0</v>
      </c>
      <c r="L12" s="594">
        <f t="shared" si="2"/>
        <v>11914.827744763836</v>
      </c>
      <c r="N12" s="184">
        <f t="shared" si="3"/>
        <v>428933.7988114981</v>
      </c>
      <c r="O12" s="184">
        <f>'[2]Schedule 4'!$G$7</f>
        <v>7073.2912115584331</v>
      </c>
      <c r="P12">
        <f t="shared" si="4"/>
        <v>212198.73634675299</v>
      </c>
      <c r="R12" s="184">
        <f t="shared" si="5"/>
        <v>641132.53515825106</v>
      </c>
    </row>
    <row r="13" spans="1:18" ht="31.5">
      <c r="A13" s="574">
        <v>6</v>
      </c>
      <c r="B13" s="573" t="s">
        <v>1262</v>
      </c>
      <c r="C13" s="545" t="s">
        <v>1164</v>
      </c>
      <c r="D13" s="1184">
        <f t="shared" si="0"/>
        <v>16317.290259054374</v>
      </c>
      <c r="E13" s="557">
        <f t="shared" si="1"/>
        <v>16317.290259054374</v>
      </c>
      <c r="I13" s="593">
        <f>'Таблиця цін схема №1'!JS12</f>
        <v>13597.741882545313</v>
      </c>
      <c r="K13" s="528">
        <f>'Schedule 1'!E12</f>
        <v>0</v>
      </c>
      <c r="L13" s="594">
        <f t="shared" si="2"/>
        <v>13597.741882545313</v>
      </c>
      <c r="N13" s="184">
        <f t="shared" si="3"/>
        <v>489518.70777163125</v>
      </c>
      <c r="O13" s="184">
        <f>'[2]Schedule 4'!$G$7</f>
        <v>7073.2912115584331</v>
      </c>
      <c r="P13">
        <f t="shared" si="4"/>
        <v>212198.73634675299</v>
      </c>
      <c r="R13" s="184">
        <f t="shared" si="5"/>
        <v>701717.44411838427</v>
      </c>
    </row>
    <row r="14" spans="1:18" ht="31.5">
      <c r="A14" s="574">
        <v>7</v>
      </c>
      <c r="B14" s="573" t="s">
        <v>1261</v>
      </c>
      <c r="C14" s="545" t="s">
        <v>1164</v>
      </c>
      <c r="D14" s="1184">
        <f t="shared" si="0"/>
        <v>17159.492589667276</v>
      </c>
      <c r="E14" s="557">
        <f t="shared" si="1"/>
        <v>17159.492589667276</v>
      </c>
      <c r="I14" s="593">
        <f>'Таблиця цін схема №1'!JS13</f>
        <v>14299.577158056065</v>
      </c>
      <c r="K14" s="528">
        <f>'Schedule 1'!E13</f>
        <v>0</v>
      </c>
      <c r="L14" s="594">
        <f t="shared" si="2"/>
        <v>14299.577158056065</v>
      </c>
      <c r="N14" s="184">
        <f t="shared" si="3"/>
        <v>514784.77769001829</v>
      </c>
      <c r="O14" s="184">
        <f>'[2]Schedule 4'!$G$7</f>
        <v>7073.2912115584331</v>
      </c>
      <c r="P14">
        <f t="shared" si="4"/>
        <v>212198.73634675299</v>
      </c>
      <c r="R14" s="184">
        <f t="shared" si="5"/>
        <v>726983.51403677126</v>
      </c>
    </row>
    <row r="15" spans="1:18" ht="31.5">
      <c r="A15" s="574">
        <v>8</v>
      </c>
      <c r="B15" s="573" t="s">
        <v>1260</v>
      </c>
      <c r="C15" s="545" t="s">
        <v>1164</v>
      </c>
      <c r="D15" s="1184">
        <f t="shared" si="0"/>
        <v>12922.691377295501</v>
      </c>
      <c r="E15" s="557">
        <f t="shared" si="1"/>
        <v>12922.691377295501</v>
      </c>
      <c r="I15" s="593">
        <f>'Таблиця цін схема №1'!JS14</f>
        <v>10768.909481079585</v>
      </c>
      <c r="K15" s="528">
        <f>'Schedule 1'!E14</f>
        <v>0</v>
      </c>
      <c r="L15" s="594">
        <f t="shared" si="2"/>
        <v>10768.909481079585</v>
      </c>
      <c r="N15" s="184">
        <f t="shared" si="3"/>
        <v>387680.74131886504</v>
      </c>
      <c r="O15" s="184">
        <f>'[2]Schedule 4'!$G$7</f>
        <v>7073.2912115584331</v>
      </c>
      <c r="P15">
        <f t="shared" si="4"/>
        <v>212198.73634675299</v>
      </c>
      <c r="R15" s="184">
        <f t="shared" si="5"/>
        <v>599879.47766561806</v>
      </c>
    </row>
    <row r="16" spans="1:18" ht="31.5">
      <c r="A16" s="574">
        <v>9</v>
      </c>
      <c r="B16" s="573" t="s">
        <v>1259</v>
      </c>
      <c r="C16" s="545" t="s">
        <v>1164</v>
      </c>
      <c r="D16" s="1184">
        <f t="shared" si="0"/>
        <v>11756.031287735657</v>
      </c>
      <c r="E16" s="557">
        <f t="shared" si="1"/>
        <v>11756.031287735657</v>
      </c>
      <c r="I16" s="593">
        <f>'Таблиця цін схема №1'!JS15</f>
        <v>9796.6927397797153</v>
      </c>
      <c r="K16" s="528">
        <f>'Schedule 1'!E15</f>
        <v>0</v>
      </c>
      <c r="L16" s="594">
        <f t="shared" si="2"/>
        <v>9796.6927397797153</v>
      </c>
      <c r="N16" s="184">
        <f t="shared" si="3"/>
        <v>352680.93863206974</v>
      </c>
      <c r="O16" s="184">
        <f>'[2]Schedule 4'!$G$7</f>
        <v>7073.2912115584331</v>
      </c>
      <c r="P16">
        <f t="shared" si="4"/>
        <v>212198.73634675299</v>
      </c>
      <c r="R16" s="184">
        <f t="shared" si="5"/>
        <v>564879.6749788227</v>
      </c>
    </row>
    <row r="17" spans="1:18" ht="31.5">
      <c r="A17" s="574">
        <v>10</v>
      </c>
      <c r="B17" s="573" t="s">
        <v>1258</v>
      </c>
      <c r="C17" s="545" t="s">
        <v>1164</v>
      </c>
      <c r="D17" s="1184">
        <f t="shared" si="0"/>
        <v>13959.467850799212</v>
      </c>
      <c r="E17" s="557">
        <f t="shared" si="1"/>
        <v>13959.467850799212</v>
      </c>
      <c r="I17" s="593">
        <f>'Таблиця цін схема №1'!JS16</f>
        <v>11632.889875666011</v>
      </c>
      <c r="K17" s="528">
        <f>'Schedule 1'!E16</f>
        <v>0</v>
      </c>
      <c r="L17" s="594">
        <f t="shared" si="2"/>
        <v>11632.889875666011</v>
      </c>
      <c r="N17" s="184">
        <f t="shared" si="3"/>
        <v>418784.03552397637</v>
      </c>
      <c r="O17" s="184">
        <f>'[2]Schedule 4'!$G$7</f>
        <v>7073.2912115584331</v>
      </c>
      <c r="P17">
        <f t="shared" si="4"/>
        <v>212198.73634675299</v>
      </c>
      <c r="R17" s="184">
        <f t="shared" si="5"/>
        <v>630982.7718707294</v>
      </c>
    </row>
    <row r="18" spans="1:18" ht="31.5">
      <c r="A18" s="574">
        <v>11</v>
      </c>
      <c r="B18" s="573" t="s">
        <v>1257</v>
      </c>
      <c r="C18" s="545" t="s">
        <v>1164</v>
      </c>
      <c r="D18" s="1184">
        <f t="shared" si="0"/>
        <v>16542.542349954005</v>
      </c>
      <c r="E18" s="557">
        <f t="shared" si="1"/>
        <v>16542.542349954005</v>
      </c>
      <c r="I18" s="593">
        <f>'Таблиця цін схема №1'!JS17</f>
        <v>13785.451958295003</v>
      </c>
      <c r="K18" s="528">
        <f>'Schedule 1'!E17</f>
        <v>0</v>
      </c>
      <c r="L18" s="594">
        <f t="shared" si="2"/>
        <v>13785.451958295003</v>
      </c>
      <c r="N18" s="184">
        <f t="shared" si="3"/>
        <v>496276.27049862011</v>
      </c>
      <c r="O18" s="184">
        <f>'[2]Schedule 4'!$G$7</f>
        <v>7073.2912115584331</v>
      </c>
      <c r="P18">
        <f t="shared" si="4"/>
        <v>212198.73634675299</v>
      </c>
      <c r="R18" s="184">
        <f t="shared" si="5"/>
        <v>708475.00684537308</v>
      </c>
    </row>
    <row r="19" spans="1:18" ht="31.5">
      <c r="A19" s="574">
        <v>12</v>
      </c>
      <c r="B19" s="573" t="s">
        <v>1256</v>
      </c>
      <c r="C19" s="545" t="s">
        <v>1164</v>
      </c>
      <c r="D19" s="1184">
        <f t="shared" si="0"/>
        <v>17275.743154544263</v>
      </c>
      <c r="E19" s="557">
        <f t="shared" si="1"/>
        <v>17275.743154544263</v>
      </c>
      <c r="I19" s="593">
        <f>'Таблиця цін схема №1'!JS18</f>
        <v>14396.452628786887</v>
      </c>
      <c r="K19" s="528">
        <f>'Schedule 1'!E18</f>
        <v>0</v>
      </c>
      <c r="L19" s="594">
        <f t="shared" si="2"/>
        <v>14396.452628786887</v>
      </c>
      <c r="N19" s="184">
        <f t="shared" si="3"/>
        <v>518272.29463632789</v>
      </c>
      <c r="O19" s="184">
        <f>'[2]Schedule 4'!$G$7</f>
        <v>7073.2912115584331</v>
      </c>
      <c r="P19">
        <f t="shared" si="4"/>
        <v>212198.73634675299</v>
      </c>
      <c r="R19" s="184">
        <f t="shared" si="5"/>
        <v>730471.03098308085</v>
      </c>
    </row>
    <row r="20" spans="1:18" ht="31.5">
      <c r="A20" s="574">
        <v>13</v>
      </c>
      <c r="B20" s="573" t="s">
        <v>1255</v>
      </c>
      <c r="C20" s="545" t="s">
        <v>1164</v>
      </c>
      <c r="D20" s="1184">
        <f t="shared" si="0"/>
        <v>9644.2418687890113</v>
      </c>
      <c r="E20" s="557">
        <f t="shared" si="1"/>
        <v>9644.2418687890113</v>
      </c>
      <c r="I20" s="593">
        <f>'Таблиця цін схема №2'!IG9</f>
        <v>8036.868223990843</v>
      </c>
      <c r="K20" s="528">
        <f>'Schedule 1'!E19</f>
        <v>0</v>
      </c>
      <c r="L20" s="594">
        <f t="shared" si="2"/>
        <v>8036.868223990843</v>
      </c>
      <c r="N20" s="184">
        <f t="shared" si="3"/>
        <v>289327.25606367033</v>
      </c>
      <c r="O20" s="184">
        <f>'[2]Schedule 4'!$G$7</f>
        <v>7073.2912115584331</v>
      </c>
      <c r="P20">
        <f t="shared" si="4"/>
        <v>212198.73634675299</v>
      </c>
      <c r="R20" s="184">
        <f t="shared" si="5"/>
        <v>501525.99241042335</v>
      </c>
    </row>
    <row r="21" spans="1:18" ht="31.5">
      <c r="A21" s="574">
        <v>14</v>
      </c>
      <c r="B21" s="573" t="s">
        <v>1254</v>
      </c>
      <c r="C21" s="545" t="s">
        <v>1164</v>
      </c>
      <c r="D21" s="1184">
        <f t="shared" si="0"/>
        <v>9537.3392122839487</v>
      </c>
      <c r="E21" s="557">
        <f t="shared" si="1"/>
        <v>9537.3392122839487</v>
      </c>
      <c r="I21" s="593">
        <f>'Таблиця цін схема №2'!IG10</f>
        <v>7947.7826769032908</v>
      </c>
      <c r="K21" s="528">
        <f>'Schedule 1'!E20</f>
        <v>0</v>
      </c>
      <c r="L21" s="594">
        <f t="shared" si="2"/>
        <v>7947.7826769032908</v>
      </c>
      <c r="N21" s="184">
        <f t="shared" si="3"/>
        <v>286120.17636851844</v>
      </c>
      <c r="O21" s="184">
        <f>'[2]Schedule 4'!$G$7</f>
        <v>7073.2912115584331</v>
      </c>
      <c r="P21">
        <f t="shared" si="4"/>
        <v>212198.73634675299</v>
      </c>
      <c r="R21" s="184">
        <f t="shared" si="5"/>
        <v>498318.91271527146</v>
      </c>
    </row>
    <row r="22" spans="1:18" ht="31.5">
      <c r="A22" s="574">
        <v>15</v>
      </c>
      <c r="B22" s="573" t="s">
        <v>1253</v>
      </c>
      <c r="C22" s="545" t="s">
        <v>1164</v>
      </c>
      <c r="D22" s="1184">
        <f t="shared" si="0"/>
        <v>9826.0372189964201</v>
      </c>
      <c r="E22" s="557">
        <f t="shared" si="1"/>
        <v>9826.0372189964201</v>
      </c>
      <c r="I22" s="593">
        <f>'Таблиця цін схема №2'!IG11</f>
        <v>8188.3643491636831</v>
      </c>
      <c r="K22" s="528">
        <f>'Schedule 1'!E21</f>
        <v>0</v>
      </c>
      <c r="L22" s="594">
        <f t="shared" si="2"/>
        <v>8188.3643491636831</v>
      </c>
      <c r="N22" s="184">
        <f t="shared" si="3"/>
        <v>294781.11656989262</v>
      </c>
      <c r="O22" s="184">
        <f>'[2]Schedule 4'!$G$7</f>
        <v>7073.2912115584331</v>
      </c>
      <c r="P22">
        <f t="shared" si="4"/>
        <v>212198.73634675299</v>
      </c>
      <c r="R22" s="184">
        <f t="shared" si="5"/>
        <v>506979.85291664558</v>
      </c>
    </row>
    <row r="23" spans="1:18" ht="31.5">
      <c r="A23" s="574">
        <v>16</v>
      </c>
      <c r="B23" s="573" t="s">
        <v>1252</v>
      </c>
      <c r="C23" s="545" t="s">
        <v>1164</v>
      </c>
      <c r="D23" s="1184">
        <f t="shared" si="0"/>
        <v>12391.057055459887</v>
      </c>
      <c r="E23" s="557">
        <f t="shared" si="1"/>
        <v>12391.057055459887</v>
      </c>
      <c r="I23" s="593">
        <f>'Таблиця цін схема №2'!IG12</f>
        <v>10325.880879549906</v>
      </c>
      <c r="K23" s="528">
        <f>'Schedule 1'!E22</f>
        <v>0</v>
      </c>
      <c r="L23" s="594">
        <f t="shared" si="2"/>
        <v>10325.880879549906</v>
      </c>
      <c r="N23" s="184">
        <f t="shared" si="3"/>
        <v>371731.71166379662</v>
      </c>
      <c r="O23" s="184">
        <f>'[2]Schedule 4'!$G$7</f>
        <v>7073.2912115584331</v>
      </c>
      <c r="P23">
        <f t="shared" si="4"/>
        <v>212198.73634675299</v>
      </c>
      <c r="R23" s="184">
        <f t="shared" si="5"/>
        <v>583930.44801054965</v>
      </c>
    </row>
    <row r="24" spans="1:18" ht="31.5">
      <c r="A24" s="574">
        <v>17</v>
      </c>
      <c r="B24" s="573" t="s">
        <v>1251</v>
      </c>
      <c r="C24" s="545" t="s">
        <v>1164</v>
      </c>
      <c r="D24" s="1184">
        <f t="shared" si="0"/>
        <v>11266.707474970905</v>
      </c>
      <c r="E24" s="557">
        <f t="shared" si="1"/>
        <v>11266.707474970905</v>
      </c>
      <c r="I24" s="593">
        <f>'Таблиця цін схема №2'!IG13</f>
        <v>9388.922895809088</v>
      </c>
      <c r="K24" s="528">
        <f>'Schedule 1'!E23</f>
        <v>0</v>
      </c>
      <c r="L24" s="594">
        <f t="shared" si="2"/>
        <v>9388.922895809088</v>
      </c>
      <c r="N24" s="184">
        <f t="shared" si="3"/>
        <v>338001.22424912715</v>
      </c>
      <c r="O24" s="184">
        <f>'[2]Schedule 4'!$G$7</f>
        <v>7073.2912115584331</v>
      </c>
      <c r="P24">
        <f t="shared" si="4"/>
        <v>212198.73634675299</v>
      </c>
      <c r="R24" s="184">
        <f t="shared" si="5"/>
        <v>550199.96059588017</v>
      </c>
    </row>
    <row r="25" spans="1:18" ht="31.5">
      <c r="A25" s="574">
        <v>18</v>
      </c>
      <c r="B25" s="573" t="s">
        <v>1250</v>
      </c>
      <c r="C25" s="545" t="s">
        <v>1164</v>
      </c>
      <c r="D25" s="1184">
        <f t="shared" si="0"/>
        <v>13564.234755665684</v>
      </c>
      <c r="E25" s="557">
        <f t="shared" si="1"/>
        <v>13564.234755665684</v>
      </c>
      <c r="I25" s="593">
        <f>'Таблиця цін схема №2'!IG14</f>
        <v>11303.528963054738</v>
      </c>
      <c r="K25" s="528">
        <f>'Schedule 1'!E24</f>
        <v>0</v>
      </c>
      <c r="L25" s="594">
        <f t="shared" si="2"/>
        <v>11303.528963054738</v>
      </c>
      <c r="N25" s="184">
        <f t="shared" si="3"/>
        <v>406927.04266997054</v>
      </c>
      <c r="O25" s="184">
        <f>'[2]Schedule 4'!$G$7</f>
        <v>7073.2912115584331</v>
      </c>
      <c r="P25">
        <f t="shared" si="4"/>
        <v>212198.73634675299</v>
      </c>
      <c r="R25" s="184">
        <f t="shared" si="5"/>
        <v>619125.77901672351</v>
      </c>
    </row>
    <row r="26" spans="1:18" ht="31.5">
      <c r="A26" s="574">
        <v>19</v>
      </c>
      <c r="B26" s="573" t="s">
        <v>1249</v>
      </c>
      <c r="C26" s="545" t="s">
        <v>1164</v>
      </c>
      <c r="D26" s="1184">
        <f t="shared" si="0"/>
        <v>19848.405522557321</v>
      </c>
      <c r="E26" s="557">
        <f t="shared" si="1"/>
        <v>19848.405522557321</v>
      </c>
      <c r="I26" s="593">
        <f>'Таблиця цін схема №2'!IG15</f>
        <v>16540.337935464435</v>
      </c>
      <c r="K26" s="528">
        <f>'Schedule 1'!E25</f>
        <v>0</v>
      </c>
      <c r="L26" s="594">
        <f t="shared" si="2"/>
        <v>16540.337935464435</v>
      </c>
      <c r="N26" s="184">
        <f t="shared" si="3"/>
        <v>595452.16567671963</v>
      </c>
      <c r="O26" s="184">
        <f>'[2]Schedule 4'!$G$7</f>
        <v>7073.2912115584331</v>
      </c>
      <c r="P26">
        <f t="shared" si="4"/>
        <v>212198.73634675299</v>
      </c>
      <c r="R26" s="184">
        <f t="shared" si="5"/>
        <v>807650.90202347259</v>
      </c>
    </row>
    <row r="27" spans="1:18" ht="31.5">
      <c r="A27" s="574">
        <v>20</v>
      </c>
      <c r="B27" s="573" t="s">
        <v>1248</v>
      </c>
      <c r="C27" s="545" t="s">
        <v>1164</v>
      </c>
      <c r="D27" s="1184">
        <f t="shared" si="0"/>
        <v>4823.9598957032149</v>
      </c>
      <c r="E27" s="557">
        <f t="shared" si="1"/>
        <v>4823.9598957032149</v>
      </c>
      <c r="I27" s="593">
        <f>'Таблиця цін схема №3'!FA8</f>
        <v>4019.9665797526795</v>
      </c>
      <c r="K27" s="528">
        <f>'Schedule 1'!E26</f>
        <v>0</v>
      </c>
      <c r="L27" s="594">
        <f t="shared" si="2"/>
        <v>4019.9665797526795</v>
      </c>
      <c r="N27" s="184">
        <f t="shared" si="3"/>
        <v>144718.79687109645</v>
      </c>
      <c r="O27" s="184">
        <f>'[2]Schedule 4'!$G$7</f>
        <v>7073.2912115584331</v>
      </c>
      <c r="P27">
        <f t="shared" si="4"/>
        <v>212198.73634675299</v>
      </c>
      <c r="R27" s="184">
        <f t="shared" si="5"/>
        <v>356917.53321784944</v>
      </c>
    </row>
    <row r="28" spans="1:18" ht="31.5">
      <c r="A28" s="574">
        <v>21</v>
      </c>
      <c r="B28" s="573" t="s">
        <v>1247</v>
      </c>
      <c r="C28" s="545" t="s">
        <v>1164</v>
      </c>
      <c r="D28" s="1184">
        <f t="shared" si="0"/>
        <v>4823.9598957032149</v>
      </c>
      <c r="E28" s="557">
        <f t="shared" si="1"/>
        <v>4823.9598957032149</v>
      </c>
      <c r="I28" s="593">
        <f>'Таблиця цін схема №3'!FA9</f>
        <v>4019.9665797526795</v>
      </c>
      <c r="K28" s="528">
        <f>'Schedule 1'!E27</f>
        <v>0</v>
      </c>
      <c r="L28" s="594">
        <f t="shared" si="2"/>
        <v>4019.9665797526795</v>
      </c>
      <c r="N28" s="184">
        <f t="shared" si="3"/>
        <v>144718.79687109645</v>
      </c>
      <c r="O28" s="184">
        <f>'[2]Schedule 4'!$G$7</f>
        <v>7073.2912115584331</v>
      </c>
      <c r="P28">
        <f t="shared" si="4"/>
        <v>212198.73634675299</v>
      </c>
      <c r="R28" s="184">
        <f t="shared" si="5"/>
        <v>356917.53321784944</v>
      </c>
    </row>
    <row r="29" spans="1:18" ht="31.5">
      <c r="A29" s="574">
        <v>22</v>
      </c>
      <c r="B29" s="573" t="s">
        <v>1246</v>
      </c>
      <c r="C29" s="545" t="s">
        <v>1164</v>
      </c>
      <c r="D29" s="1184">
        <f t="shared" si="0"/>
        <v>5229.3420559990454</v>
      </c>
      <c r="E29" s="557">
        <f t="shared" si="1"/>
        <v>5229.3420559990454</v>
      </c>
      <c r="I29" s="593">
        <f>'Таблиця цін схема №3'!FA10</f>
        <v>4357.7850466658711</v>
      </c>
      <c r="K29" s="528">
        <f>'Schedule 1'!H28</f>
        <v>4357.7850466658711</v>
      </c>
      <c r="N29" s="184">
        <f t="shared" si="3"/>
        <v>156880.26167997136</v>
      </c>
      <c r="O29" s="184">
        <f>'[2]Schedule 4'!$G$7</f>
        <v>7073.2912115584331</v>
      </c>
      <c r="P29">
        <f t="shared" si="4"/>
        <v>212198.73634675299</v>
      </c>
      <c r="R29" s="184">
        <f t="shared" si="5"/>
        <v>369078.99802672432</v>
      </c>
    </row>
    <row r="30" spans="1:18" ht="31.5">
      <c r="A30" s="574">
        <v>23</v>
      </c>
      <c r="B30" s="573" t="s">
        <v>1245</v>
      </c>
      <c r="C30" s="545" t="s">
        <v>1164</v>
      </c>
      <c r="D30" s="1184">
        <f t="shared" si="0"/>
        <v>13823.75513618675</v>
      </c>
      <c r="E30" s="557">
        <f t="shared" si="1"/>
        <v>13823.75513618675</v>
      </c>
      <c r="I30" s="593">
        <f>'Таблиця цін схема №1'!JS19</f>
        <v>11519.795946822293</v>
      </c>
      <c r="K30" s="528">
        <f>'Schedule 1'!E29</f>
        <v>0</v>
      </c>
      <c r="L30" s="594">
        <f t="shared" si="2"/>
        <v>11519.795946822293</v>
      </c>
      <c r="N30" s="184">
        <f t="shared" si="3"/>
        <v>414712.65408560249</v>
      </c>
      <c r="O30" s="184">
        <f>'[2]Schedule 4'!$G$7</f>
        <v>7073.2912115584331</v>
      </c>
      <c r="P30">
        <f t="shared" si="4"/>
        <v>212198.73634675299</v>
      </c>
      <c r="R30" s="184">
        <f t="shared" si="5"/>
        <v>626911.39043235546</v>
      </c>
    </row>
    <row r="31" spans="1:18" ht="31.5">
      <c r="A31" s="574">
        <v>24</v>
      </c>
      <c r="B31" s="573" t="s">
        <v>1244</v>
      </c>
      <c r="C31" s="545" t="s">
        <v>1164</v>
      </c>
      <c r="D31" s="1184">
        <f t="shared" si="0"/>
        <v>14236.473876834934</v>
      </c>
      <c r="E31" s="557">
        <f t="shared" si="1"/>
        <v>14236.473876834934</v>
      </c>
      <c r="I31" s="593">
        <f>'Таблиця цін схема №1'!JS20</f>
        <v>11863.728230695779</v>
      </c>
      <c r="K31" s="528">
        <f>'Schedule 1'!E30</f>
        <v>0</v>
      </c>
      <c r="L31" s="594">
        <f t="shared" si="2"/>
        <v>11863.728230695779</v>
      </c>
      <c r="N31" s="184">
        <f t="shared" si="3"/>
        <v>427094.21630504803</v>
      </c>
      <c r="O31" s="184">
        <f>'[2]Schedule 4'!$G$7</f>
        <v>7073.2912115584331</v>
      </c>
      <c r="P31">
        <f t="shared" si="4"/>
        <v>212198.73634675299</v>
      </c>
      <c r="R31" s="184">
        <f t="shared" si="5"/>
        <v>639292.95265180105</v>
      </c>
    </row>
    <row r="32" spans="1:18" ht="31.5">
      <c r="A32" s="574">
        <v>25</v>
      </c>
      <c r="B32" s="573" t="s">
        <v>1243</v>
      </c>
      <c r="C32" s="545" t="s">
        <v>1164</v>
      </c>
      <c r="D32" s="1184">
        <f t="shared" si="0"/>
        <v>13823.75513618675</v>
      </c>
      <c r="E32" s="557">
        <f t="shared" si="1"/>
        <v>13823.75513618675</v>
      </c>
      <c r="I32" s="593">
        <f>'Таблиця цін схема №1'!JS21</f>
        <v>11519.795946822293</v>
      </c>
      <c r="K32" s="528">
        <f>'Schedule 1'!E31</f>
        <v>0</v>
      </c>
      <c r="L32" s="594">
        <f t="shared" si="2"/>
        <v>11519.795946822293</v>
      </c>
      <c r="N32" s="184">
        <f t="shared" si="3"/>
        <v>414712.65408560249</v>
      </c>
      <c r="O32" s="184">
        <f>'[2]Schedule 4'!$G$7</f>
        <v>7073.2912115584331</v>
      </c>
      <c r="P32">
        <f t="shared" si="4"/>
        <v>212198.73634675299</v>
      </c>
      <c r="R32" s="184">
        <f t="shared" si="5"/>
        <v>626911.39043235546</v>
      </c>
    </row>
    <row r="33" spans="1:18">
      <c r="A33" s="574">
        <v>26</v>
      </c>
      <c r="B33" s="573" t="s">
        <v>1242</v>
      </c>
      <c r="C33" s="545" t="s">
        <v>1164</v>
      </c>
      <c r="D33" s="1184">
        <f t="shared" si="0"/>
        <v>14419.055888915464</v>
      </c>
      <c r="E33" s="557">
        <f t="shared" si="1"/>
        <v>14419.055888915464</v>
      </c>
      <c r="I33" s="593">
        <f>'Таблиця цін схема №1'!JS22</f>
        <v>12015.879907429553</v>
      </c>
      <c r="K33" s="528">
        <f>'Schedule 1'!E32</f>
        <v>0</v>
      </c>
      <c r="L33" s="594">
        <f t="shared" si="2"/>
        <v>12015.879907429553</v>
      </c>
      <c r="N33" s="184">
        <f t="shared" si="3"/>
        <v>432571.67666746391</v>
      </c>
      <c r="O33" s="184">
        <f>'[2]Schedule 4'!$G$7</f>
        <v>7073.2912115584331</v>
      </c>
      <c r="P33">
        <f t="shared" si="4"/>
        <v>212198.73634675299</v>
      </c>
      <c r="R33" s="184">
        <f t="shared" si="5"/>
        <v>644770.41301421693</v>
      </c>
    </row>
    <row r="34" spans="1:18">
      <c r="A34" s="574">
        <v>27</v>
      </c>
      <c r="B34" s="573" t="s">
        <v>1241</v>
      </c>
      <c r="C34" s="545" t="s">
        <v>1164</v>
      </c>
      <c r="D34" s="1184">
        <f t="shared" si="0"/>
        <v>17180.289864676251</v>
      </c>
      <c r="E34" s="557">
        <f t="shared" si="1"/>
        <v>17180.289864676251</v>
      </c>
      <c r="I34" s="593">
        <f>'Таблиця цін схема №1'!JS23</f>
        <v>14316.908220563542</v>
      </c>
      <c r="K34" s="528">
        <f>'Schedule 1'!E33</f>
        <v>0</v>
      </c>
      <c r="L34" s="594">
        <f t="shared" si="2"/>
        <v>14316.908220563542</v>
      </c>
      <c r="N34" s="184">
        <f t="shared" si="3"/>
        <v>515408.69594028755</v>
      </c>
      <c r="O34" s="184">
        <f>'[2]Schedule 4'!$G$7</f>
        <v>7073.2912115584331</v>
      </c>
      <c r="P34">
        <f t="shared" si="4"/>
        <v>212198.73634675299</v>
      </c>
      <c r="R34" s="184">
        <f t="shared" si="5"/>
        <v>727607.43228704052</v>
      </c>
    </row>
    <row r="35" spans="1:18">
      <c r="A35" s="574">
        <v>28</v>
      </c>
      <c r="B35" s="573" t="s">
        <v>1240</v>
      </c>
      <c r="C35" s="545" t="s">
        <v>1164</v>
      </c>
      <c r="D35" s="1184">
        <f t="shared" si="0"/>
        <v>14308.90122037011</v>
      </c>
      <c r="E35" s="557">
        <f t="shared" si="1"/>
        <v>14308.90122037011</v>
      </c>
      <c r="I35" s="593">
        <f>'Таблиця цін схема №1'!JS24</f>
        <v>11924.084350308425</v>
      </c>
      <c r="K35" s="528">
        <f>'Schedule 1'!E34</f>
        <v>0</v>
      </c>
      <c r="L35" s="594">
        <f t="shared" si="2"/>
        <v>11924.084350308425</v>
      </c>
      <c r="N35" s="184">
        <f t="shared" si="3"/>
        <v>429267.03661110328</v>
      </c>
      <c r="O35" s="184">
        <f>'[2]Schedule 4'!$G$7</f>
        <v>7073.2912115584331</v>
      </c>
      <c r="P35">
        <f t="shared" si="4"/>
        <v>212198.73634675299</v>
      </c>
      <c r="R35" s="184">
        <f t="shared" si="5"/>
        <v>641465.7729578563</v>
      </c>
    </row>
    <row r="36" spans="1:18" ht="31.5">
      <c r="A36" s="574">
        <v>29</v>
      </c>
      <c r="B36" s="573" t="s">
        <v>1239</v>
      </c>
      <c r="C36" s="545" t="s">
        <v>1164</v>
      </c>
      <c r="D36" s="1184">
        <f t="shared" si="0"/>
        <v>14507.105074354311</v>
      </c>
      <c r="E36" s="557">
        <f t="shared" si="1"/>
        <v>14507.105074354311</v>
      </c>
      <c r="I36" s="593">
        <f>'Таблиця цін схема №1'!JS25</f>
        <v>12089.254228628593</v>
      </c>
      <c r="K36" s="528">
        <f>'Schedule 1'!E35</f>
        <v>0</v>
      </c>
      <c r="L36" s="594">
        <f t="shared" si="2"/>
        <v>12089.254228628593</v>
      </c>
      <c r="N36" s="184">
        <f t="shared" si="3"/>
        <v>435213.15223062935</v>
      </c>
      <c r="O36" s="184">
        <f>'[2]Schedule 4'!$G$7</f>
        <v>7073.2912115584331</v>
      </c>
      <c r="P36">
        <f t="shared" si="4"/>
        <v>212198.73634675299</v>
      </c>
      <c r="R36" s="184">
        <f t="shared" si="5"/>
        <v>647411.88857738231</v>
      </c>
    </row>
    <row r="37" spans="1:18" ht="31.5">
      <c r="A37" s="574">
        <v>30</v>
      </c>
      <c r="B37" s="573" t="s">
        <v>1238</v>
      </c>
      <c r="C37" s="545" t="s">
        <v>1164</v>
      </c>
      <c r="D37" s="1184">
        <f t="shared" si="0"/>
        <v>13910.810937875458</v>
      </c>
      <c r="E37" s="557">
        <f t="shared" si="1"/>
        <v>13910.810937875458</v>
      </c>
      <c r="I37" s="593">
        <f>'Таблиця цін схема №1'!JS26</f>
        <v>11592.342448229549</v>
      </c>
      <c r="K37" s="528">
        <f>'Schedule 1'!E36</f>
        <v>0</v>
      </c>
      <c r="L37" s="594">
        <f t="shared" si="2"/>
        <v>11592.342448229549</v>
      </c>
      <c r="N37" s="184">
        <f t="shared" si="3"/>
        <v>417324.32813626376</v>
      </c>
      <c r="O37" s="184">
        <f>'[2]Schedule 4'!$G$7</f>
        <v>7073.2912115584331</v>
      </c>
      <c r="P37">
        <f t="shared" si="4"/>
        <v>212198.73634675299</v>
      </c>
      <c r="R37" s="184">
        <f t="shared" si="5"/>
        <v>629523.06448301673</v>
      </c>
    </row>
    <row r="38" spans="1:18">
      <c r="A38" s="574">
        <v>31</v>
      </c>
      <c r="B38" s="573" t="s">
        <v>1237</v>
      </c>
      <c r="C38" s="545" t="s">
        <v>1164</v>
      </c>
      <c r="D38" s="1184">
        <f t="shared" si="0"/>
        <v>15926.429608666758</v>
      </c>
      <c r="E38" s="557">
        <f t="shared" si="1"/>
        <v>15926.429608666758</v>
      </c>
      <c r="I38" s="593">
        <f>'Таблиця цін схема №1'!JS27</f>
        <v>13272.024673888965</v>
      </c>
      <c r="K38" s="528">
        <f>'Schedule 1'!E37</f>
        <v>0</v>
      </c>
      <c r="L38" s="594">
        <f t="shared" si="2"/>
        <v>13272.024673888965</v>
      </c>
      <c r="N38" s="184">
        <f t="shared" si="3"/>
        <v>477792.88826000277</v>
      </c>
      <c r="O38" s="184">
        <f>'[2]Schedule 4'!$G$7</f>
        <v>7073.2912115584331</v>
      </c>
      <c r="P38">
        <f t="shared" si="4"/>
        <v>212198.73634675299</v>
      </c>
      <c r="R38" s="184">
        <f t="shared" si="5"/>
        <v>689991.62460675579</v>
      </c>
    </row>
    <row r="39" spans="1:18" ht="31.5">
      <c r="A39" s="574">
        <v>32</v>
      </c>
      <c r="B39" s="573" t="s">
        <v>1236</v>
      </c>
      <c r="C39" s="545" t="s">
        <v>1164</v>
      </c>
      <c r="D39" s="1184">
        <f t="shared" si="0"/>
        <v>17892.842589875643</v>
      </c>
      <c r="E39" s="557">
        <f t="shared" si="1"/>
        <v>17892.842589875643</v>
      </c>
      <c r="I39" s="593">
        <f>'Таблиця цін схема №2'!IG16</f>
        <v>14910.702158229704</v>
      </c>
      <c r="K39" s="528">
        <f>'Schedule 1'!E38</f>
        <v>0</v>
      </c>
      <c r="L39" s="594">
        <f t="shared" si="2"/>
        <v>14910.702158229704</v>
      </c>
      <c r="N39" s="184">
        <f t="shared" si="3"/>
        <v>536785.27769626933</v>
      </c>
      <c r="O39" s="184">
        <f>'[2]Schedule 4'!$G$7</f>
        <v>7073.2912115584331</v>
      </c>
      <c r="P39">
        <f t="shared" si="4"/>
        <v>212198.73634675299</v>
      </c>
      <c r="R39" s="184">
        <f t="shared" si="5"/>
        <v>748984.0140430223</v>
      </c>
    </row>
    <row r="40" spans="1:18" ht="31.5">
      <c r="A40" s="574">
        <v>33</v>
      </c>
      <c r="B40" s="573" t="s">
        <v>1235</v>
      </c>
      <c r="C40" s="545" t="s">
        <v>1164</v>
      </c>
      <c r="D40" s="1184">
        <f t="shared" si="0"/>
        <v>13002.282964857368</v>
      </c>
      <c r="E40" s="557">
        <f t="shared" si="1"/>
        <v>13002.282964857368</v>
      </c>
      <c r="I40" s="593">
        <f>'Таблиця цін схема №2'!IG17</f>
        <v>10835.235804047807</v>
      </c>
      <c r="K40" s="528">
        <f>'Schedule 1'!E39</f>
        <v>0</v>
      </c>
      <c r="L40" s="594">
        <f t="shared" si="2"/>
        <v>10835.235804047807</v>
      </c>
      <c r="N40" s="184">
        <f t="shared" si="3"/>
        <v>390068.48894572107</v>
      </c>
      <c r="O40" s="184">
        <f>'[2]Schedule 4'!$G$7</f>
        <v>7073.2912115584331</v>
      </c>
      <c r="P40">
        <f t="shared" si="4"/>
        <v>212198.73634675299</v>
      </c>
      <c r="R40" s="184">
        <f t="shared" si="5"/>
        <v>602267.22529247403</v>
      </c>
    </row>
    <row r="41" spans="1:18" ht="31.5">
      <c r="A41" s="574">
        <v>34</v>
      </c>
      <c r="B41" s="573" t="s">
        <v>1234</v>
      </c>
      <c r="C41" s="545" t="s">
        <v>1164</v>
      </c>
      <c r="D41" s="1184">
        <f t="shared" si="0"/>
        <v>10244.565688239611</v>
      </c>
      <c r="E41" s="557">
        <f t="shared" si="1"/>
        <v>10244.565688239611</v>
      </c>
      <c r="I41" s="593">
        <f>'Таблиця цін схема №2'!IG18</f>
        <v>8537.1380735330094</v>
      </c>
      <c r="K41" s="528">
        <f>'Schedule 1'!E40</f>
        <v>0</v>
      </c>
      <c r="L41" s="594">
        <f t="shared" si="2"/>
        <v>8537.1380735330094</v>
      </c>
      <c r="N41" s="184">
        <f t="shared" si="3"/>
        <v>307336.97064718831</v>
      </c>
      <c r="O41" s="184">
        <f>'[2]Schedule 4'!$G$7</f>
        <v>7073.2912115584331</v>
      </c>
      <c r="P41">
        <f t="shared" si="4"/>
        <v>212198.73634675299</v>
      </c>
      <c r="R41" s="184">
        <f t="shared" si="5"/>
        <v>519535.70699394133</v>
      </c>
    </row>
    <row r="42" spans="1:18" ht="31.5">
      <c r="A42" s="574">
        <v>35</v>
      </c>
      <c r="B42" s="573" t="s">
        <v>1233</v>
      </c>
      <c r="C42" s="545" t="s">
        <v>1164</v>
      </c>
      <c r="D42" s="1184">
        <f t="shared" si="0"/>
        <v>16107.851838751201</v>
      </c>
      <c r="E42" s="557">
        <f t="shared" si="1"/>
        <v>16107.851838751201</v>
      </c>
      <c r="I42" s="593">
        <f>'Таблиця цін схема №2'!IG19</f>
        <v>13423.209865626002</v>
      </c>
      <c r="K42" s="528">
        <f>'Schedule 1'!E41</f>
        <v>0</v>
      </c>
      <c r="L42" s="594">
        <f t="shared" si="2"/>
        <v>13423.209865626002</v>
      </c>
      <c r="N42" s="184">
        <f t="shared" si="3"/>
        <v>483235.55516253604</v>
      </c>
      <c r="O42" s="184">
        <f>'[2]Schedule 4'!$G$7</f>
        <v>7073.2912115584331</v>
      </c>
      <c r="P42">
        <f t="shared" si="4"/>
        <v>212198.73634675299</v>
      </c>
      <c r="R42" s="184">
        <f t="shared" si="5"/>
        <v>695434.29150928906</v>
      </c>
    </row>
    <row r="43" spans="1:18" ht="31.5">
      <c r="A43" s="574">
        <v>36</v>
      </c>
      <c r="B43" s="573" t="s">
        <v>1232</v>
      </c>
      <c r="C43" s="545" t="s">
        <v>1164</v>
      </c>
      <c r="D43" s="1184">
        <f t="shared" si="0"/>
        <v>17231.191126933227</v>
      </c>
      <c r="E43" s="557">
        <f t="shared" si="1"/>
        <v>17231.191126933227</v>
      </c>
      <c r="I43" s="593">
        <f>'Таблиця цін схема №2'!IG20</f>
        <v>14359.325939111022</v>
      </c>
      <c r="K43" s="528">
        <f>'Schedule 1'!E42</f>
        <v>0</v>
      </c>
      <c r="L43" s="594">
        <f t="shared" si="2"/>
        <v>14359.325939111022</v>
      </c>
      <c r="N43" s="184">
        <f t="shared" si="3"/>
        <v>516935.73380799679</v>
      </c>
      <c r="O43" s="184">
        <f>'[2]Schedule 4'!$G$7</f>
        <v>7073.2912115584331</v>
      </c>
      <c r="P43">
        <f t="shared" si="4"/>
        <v>212198.73634675299</v>
      </c>
      <c r="R43" s="184">
        <f t="shared" si="5"/>
        <v>729134.47015474981</v>
      </c>
    </row>
    <row r="44" spans="1:18" ht="31.5">
      <c r="A44" s="574">
        <v>37</v>
      </c>
      <c r="B44" s="573" t="s">
        <v>1231</v>
      </c>
      <c r="C44" s="545" t="s">
        <v>1164</v>
      </c>
      <c r="D44" s="1184">
        <f t="shared" si="0"/>
        <v>14461.242791069037</v>
      </c>
      <c r="E44" s="557">
        <f t="shared" si="1"/>
        <v>14461.242791069037</v>
      </c>
      <c r="I44" s="593">
        <f>'Таблиця цін схема №2'!IG21</f>
        <v>12051.035659224197</v>
      </c>
      <c r="K44" s="528">
        <f>'Schedule 1'!E43</f>
        <v>0</v>
      </c>
      <c r="L44" s="594">
        <f t="shared" si="2"/>
        <v>12051.035659224197</v>
      </c>
      <c r="N44" s="184">
        <f t="shared" si="3"/>
        <v>433837.28373207111</v>
      </c>
      <c r="O44" s="184">
        <f>'[2]Schedule 4'!$G$7</f>
        <v>7073.2912115584331</v>
      </c>
      <c r="P44">
        <f t="shared" si="4"/>
        <v>212198.73634675299</v>
      </c>
      <c r="R44" s="184">
        <f t="shared" si="5"/>
        <v>646036.02007882413</v>
      </c>
    </row>
    <row r="45" spans="1:18" ht="31.5">
      <c r="A45" s="574">
        <v>38</v>
      </c>
      <c r="B45" s="573" t="s">
        <v>1230</v>
      </c>
      <c r="C45" s="545" t="s">
        <v>1164</v>
      </c>
      <c r="D45" s="1184">
        <f t="shared" si="0"/>
        <v>13586.793653531642</v>
      </c>
      <c r="E45" s="557">
        <f t="shared" si="1"/>
        <v>13586.793653531642</v>
      </c>
      <c r="I45" s="593">
        <f>'Таблиця цін схема №2'!IG22</f>
        <v>11322.328044609701</v>
      </c>
      <c r="K45" s="528">
        <f>'Schedule 1'!E44</f>
        <v>0</v>
      </c>
      <c r="L45" s="594">
        <f t="shared" si="2"/>
        <v>11322.328044609701</v>
      </c>
      <c r="N45" s="184">
        <f t="shared" si="3"/>
        <v>407603.80960594927</v>
      </c>
      <c r="O45" s="184">
        <f>'[2]Schedule 4'!$G$7</f>
        <v>7073.2912115584331</v>
      </c>
      <c r="P45">
        <f t="shared" si="4"/>
        <v>212198.73634675299</v>
      </c>
      <c r="R45" s="184">
        <f t="shared" si="5"/>
        <v>619802.54595270229</v>
      </c>
    </row>
    <row r="46" spans="1:18" ht="31.5">
      <c r="A46" s="574">
        <v>39</v>
      </c>
      <c r="B46" s="573" t="s">
        <v>1229</v>
      </c>
      <c r="C46" s="545" t="s">
        <v>1164</v>
      </c>
      <c r="D46" s="1184">
        <f t="shared" si="0"/>
        <v>9514.5449245850086</v>
      </c>
      <c r="E46" s="557">
        <f t="shared" si="1"/>
        <v>9514.5449245850086</v>
      </c>
      <c r="I46" s="593">
        <f>'Таблиця цін схема №2'!IG23</f>
        <v>7928.7874371541748</v>
      </c>
      <c r="K46" s="528">
        <f>'Schedule 1'!E45</f>
        <v>0</v>
      </c>
      <c r="L46" s="594">
        <f t="shared" si="2"/>
        <v>7928.7874371541748</v>
      </c>
      <c r="N46" s="184">
        <f t="shared" si="3"/>
        <v>285436.34773755027</v>
      </c>
      <c r="O46" s="184">
        <f>'[2]Schedule 4'!$G$7</f>
        <v>7073.2912115584331</v>
      </c>
      <c r="P46">
        <f t="shared" si="4"/>
        <v>212198.73634675299</v>
      </c>
      <c r="R46" s="184">
        <f t="shared" si="5"/>
        <v>497635.08408430323</v>
      </c>
    </row>
    <row r="47" spans="1:18" ht="31.5">
      <c r="A47" s="574">
        <v>40</v>
      </c>
      <c r="B47" s="573" t="s">
        <v>1228</v>
      </c>
      <c r="C47" s="545" t="s">
        <v>1164</v>
      </c>
      <c r="D47" s="1184">
        <f t="shared" si="0"/>
        <v>14995.825823328418</v>
      </c>
      <c r="E47" s="557">
        <f t="shared" si="1"/>
        <v>14995.825823328418</v>
      </c>
      <c r="I47" s="593">
        <f>'Таблиця цін схема №2'!IG24</f>
        <v>12496.521519440348</v>
      </c>
      <c r="K47" s="528">
        <f>'Schedule 1'!E46</f>
        <v>0</v>
      </c>
      <c r="L47" s="594">
        <f t="shared" si="2"/>
        <v>12496.521519440348</v>
      </c>
      <c r="N47" s="184">
        <f t="shared" si="3"/>
        <v>449874.77469985251</v>
      </c>
      <c r="O47" s="184">
        <f>'[2]Schedule 4'!$G$7</f>
        <v>7073.2912115584331</v>
      </c>
      <c r="P47">
        <f t="shared" si="4"/>
        <v>212198.73634675299</v>
      </c>
      <c r="R47" s="184">
        <f t="shared" si="5"/>
        <v>662073.51104660553</v>
      </c>
    </row>
    <row r="48" spans="1:18" ht="31.5">
      <c r="A48" s="574">
        <v>41</v>
      </c>
      <c r="B48" s="573" t="s">
        <v>1227</v>
      </c>
      <c r="C48" s="545" t="s">
        <v>1164</v>
      </c>
      <c r="D48" s="1184">
        <f t="shared" si="0"/>
        <v>14225.058859983663</v>
      </c>
      <c r="E48" s="557">
        <f t="shared" si="1"/>
        <v>14225.058859983663</v>
      </c>
      <c r="I48" s="593">
        <f>'Таблиця цін схема №2'!IG25</f>
        <v>11854.215716653052</v>
      </c>
      <c r="K48" s="528">
        <f>'Schedule 1'!E47</f>
        <v>0</v>
      </c>
      <c r="L48" s="594">
        <f t="shared" si="2"/>
        <v>11854.215716653052</v>
      </c>
      <c r="N48" s="184">
        <f t="shared" si="3"/>
        <v>426751.76579950989</v>
      </c>
      <c r="O48" s="184">
        <f>'[2]Schedule 4'!$G$7</f>
        <v>7073.2912115584331</v>
      </c>
      <c r="P48">
        <f t="shared" si="4"/>
        <v>212198.73634675299</v>
      </c>
      <c r="R48" s="184">
        <f t="shared" si="5"/>
        <v>638950.50214626291</v>
      </c>
    </row>
    <row r="49" spans="1:18" ht="31.5">
      <c r="A49" s="574">
        <v>42</v>
      </c>
      <c r="B49" s="573" t="s">
        <v>1226</v>
      </c>
      <c r="C49" s="545" t="s">
        <v>1164</v>
      </c>
      <c r="D49" s="1184">
        <f t="shared" si="0"/>
        <v>9512.562875884727</v>
      </c>
      <c r="E49" s="557">
        <f t="shared" si="1"/>
        <v>9512.562875884727</v>
      </c>
      <c r="I49" s="593">
        <f>'Таблиця цін схема №2'!IG26</f>
        <v>7927.1357299039391</v>
      </c>
      <c r="K49" s="528">
        <f>'Schedule 1'!E48</f>
        <v>0</v>
      </c>
      <c r="L49" s="594">
        <f t="shared" si="2"/>
        <v>7927.1357299039391</v>
      </c>
      <c r="N49" s="184">
        <f t="shared" si="3"/>
        <v>285376.8862765418</v>
      </c>
      <c r="O49" s="184">
        <f>'[2]Schedule 4'!$G$7</f>
        <v>7073.2912115584331</v>
      </c>
      <c r="P49">
        <f t="shared" si="4"/>
        <v>212198.73634675299</v>
      </c>
      <c r="R49" s="184">
        <f t="shared" si="5"/>
        <v>497575.62262329482</v>
      </c>
    </row>
    <row r="50" spans="1:18" ht="31.5">
      <c r="A50" s="574">
        <v>43</v>
      </c>
      <c r="B50" s="573" t="s">
        <v>1225</v>
      </c>
      <c r="C50" s="545" t="s">
        <v>1164</v>
      </c>
      <c r="D50" s="1184">
        <f t="shared" si="0"/>
        <v>12124.024505461499</v>
      </c>
      <c r="E50" s="557">
        <f t="shared" si="1"/>
        <v>12124.024505461499</v>
      </c>
      <c r="I50" s="593">
        <f>'Таблиця цін схема №2'!IG27</f>
        <v>10103.35375455125</v>
      </c>
      <c r="K50" s="528">
        <f>'Schedule 1'!E49</f>
        <v>0</v>
      </c>
      <c r="L50" s="594">
        <f t="shared" si="2"/>
        <v>10103.35375455125</v>
      </c>
      <c r="N50" s="184">
        <f t="shared" si="3"/>
        <v>363720.73516384495</v>
      </c>
      <c r="O50" s="184">
        <f>'[2]Schedule 4'!$G$7</f>
        <v>7073.2912115584331</v>
      </c>
      <c r="P50">
        <f t="shared" si="4"/>
        <v>212198.73634675299</v>
      </c>
      <c r="R50" s="184">
        <f t="shared" si="5"/>
        <v>575919.47151059797</v>
      </c>
    </row>
    <row r="51" spans="1:18" ht="31.5">
      <c r="A51" s="574">
        <v>44</v>
      </c>
      <c r="B51" s="573" t="s">
        <v>1224</v>
      </c>
      <c r="C51" s="545" t="s">
        <v>1164</v>
      </c>
      <c r="D51" s="1184">
        <f t="shared" si="0"/>
        <v>12270.602216601359</v>
      </c>
      <c r="E51" s="557">
        <f t="shared" si="1"/>
        <v>12270.602216601359</v>
      </c>
      <c r="I51" s="593">
        <f>'Таблиця цін схема №2'!IG28</f>
        <v>10225.501847167799</v>
      </c>
      <c r="K51" s="528">
        <f>'Schedule 1'!E50</f>
        <v>0</v>
      </c>
      <c r="L51" s="594">
        <f t="shared" si="2"/>
        <v>10225.501847167799</v>
      </c>
      <c r="N51" s="184">
        <f t="shared" si="3"/>
        <v>368118.06649804075</v>
      </c>
      <c r="O51" s="184">
        <f>'[2]Schedule 4'!$G$7</f>
        <v>7073.2912115584331</v>
      </c>
      <c r="P51">
        <f t="shared" si="4"/>
        <v>212198.73634675299</v>
      </c>
      <c r="R51" s="184">
        <f t="shared" si="5"/>
        <v>580316.80284479377</v>
      </c>
    </row>
    <row r="52" spans="1:18" ht="31.5">
      <c r="A52" s="574">
        <v>45</v>
      </c>
      <c r="B52" s="573" t="s">
        <v>1223</v>
      </c>
      <c r="C52" s="545" t="s">
        <v>1164</v>
      </c>
      <c r="D52" s="1184">
        <f t="shared" si="0"/>
        <v>9537.3392122839487</v>
      </c>
      <c r="E52" s="557">
        <f t="shared" si="1"/>
        <v>9537.3392122839487</v>
      </c>
      <c r="I52" s="593">
        <f>'Таблиця цін схема №2'!IG29</f>
        <v>7947.7826769032908</v>
      </c>
      <c r="K52" s="528">
        <f>'Schedule 1'!E51</f>
        <v>0</v>
      </c>
      <c r="L52" s="594">
        <f t="shared" si="2"/>
        <v>7947.7826769032908</v>
      </c>
      <c r="N52" s="184">
        <f t="shared" si="3"/>
        <v>286120.17636851844</v>
      </c>
      <c r="O52" s="184">
        <f>'[2]Schedule 4'!$G$7</f>
        <v>7073.2912115584331</v>
      </c>
      <c r="P52">
        <f t="shared" si="4"/>
        <v>212198.73634675299</v>
      </c>
      <c r="R52" s="184">
        <f t="shared" si="5"/>
        <v>498318.91271527146</v>
      </c>
    </row>
    <row r="53" spans="1:18" ht="31.5">
      <c r="A53" s="574">
        <v>46</v>
      </c>
      <c r="B53" s="573" t="s">
        <v>1222</v>
      </c>
      <c r="C53" s="545" t="s">
        <v>1164</v>
      </c>
      <c r="D53" s="1184">
        <f t="shared" si="0"/>
        <v>14905.179898981331</v>
      </c>
      <c r="E53" s="557">
        <f t="shared" si="1"/>
        <v>14905.179898981331</v>
      </c>
      <c r="I53" s="593">
        <f>'Таблиця цін схема №2'!IG30</f>
        <v>12420.98324915111</v>
      </c>
      <c r="K53" s="528">
        <f>'Schedule 1'!E52</f>
        <v>0</v>
      </c>
      <c r="L53" s="594">
        <f t="shared" si="2"/>
        <v>12420.98324915111</v>
      </c>
      <c r="N53" s="184">
        <f t="shared" si="3"/>
        <v>447155.39696943993</v>
      </c>
      <c r="O53" s="184">
        <f>'[2]Schedule 4'!$G$7</f>
        <v>7073.2912115584331</v>
      </c>
      <c r="P53">
        <f t="shared" si="4"/>
        <v>212198.73634675299</v>
      </c>
      <c r="R53" s="184">
        <f t="shared" si="5"/>
        <v>659354.13331619289</v>
      </c>
    </row>
    <row r="54" spans="1:18" ht="31.5">
      <c r="A54" s="574">
        <v>47</v>
      </c>
      <c r="B54" s="573" t="s">
        <v>1221</v>
      </c>
      <c r="C54" s="545" t="s">
        <v>1164</v>
      </c>
      <c r="D54" s="1184">
        <f t="shared" si="0"/>
        <v>10089.747940517938</v>
      </c>
      <c r="E54" s="557">
        <f t="shared" si="1"/>
        <v>10089.747940517938</v>
      </c>
      <c r="I54" s="593">
        <f>'Таблиця цін схема №2'!IG31</f>
        <v>8408.1232837649495</v>
      </c>
      <c r="K54" s="528">
        <f>'Schedule 1'!E53</f>
        <v>0</v>
      </c>
      <c r="L54" s="594">
        <f t="shared" si="2"/>
        <v>8408.1232837649495</v>
      </c>
      <c r="N54" s="184">
        <f t="shared" si="3"/>
        <v>302692.43821553816</v>
      </c>
      <c r="O54" s="184">
        <f>'[2]Schedule 4'!$G$7</f>
        <v>7073.2912115584331</v>
      </c>
      <c r="P54">
        <f t="shared" si="4"/>
        <v>212198.73634675299</v>
      </c>
      <c r="R54" s="184">
        <f t="shared" si="5"/>
        <v>514891.17456229113</v>
      </c>
    </row>
    <row r="55" spans="1:18" ht="31.5">
      <c r="A55" s="574">
        <v>48</v>
      </c>
      <c r="B55" s="573" t="s">
        <v>1220</v>
      </c>
      <c r="C55" s="545" t="s">
        <v>1164</v>
      </c>
      <c r="D55" s="1184">
        <f t="shared" si="0"/>
        <v>13907.96396148269</v>
      </c>
      <c r="E55" s="557">
        <f t="shared" si="1"/>
        <v>13907.96396148269</v>
      </c>
      <c r="I55" s="593">
        <f>'Таблиця цін схема №2'!IG32</f>
        <v>11589.969967902241</v>
      </c>
      <c r="K55" s="528">
        <f>'Schedule 1'!E54</f>
        <v>0</v>
      </c>
      <c r="L55" s="594">
        <f t="shared" si="2"/>
        <v>11589.969967902241</v>
      </c>
      <c r="N55" s="184">
        <f t="shared" si="3"/>
        <v>417238.91884448071</v>
      </c>
      <c r="O55" s="184">
        <f>'[2]Schedule 4'!$G$7</f>
        <v>7073.2912115584331</v>
      </c>
      <c r="P55">
        <f t="shared" si="4"/>
        <v>212198.73634675299</v>
      </c>
      <c r="R55" s="184">
        <f t="shared" si="5"/>
        <v>629437.65519123373</v>
      </c>
    </row>
    <row r="56" spans="1:18" ht="31.5">
      <c r="A56" s="574">
        <v>49</v>
      </c>
      <c r="B56" s="573" t="s">
        <v>1219</v>
      </c>
      <c r="C56" s="545" t="s">
        <v>1164</v>
      </c>
      <c r="D56" s="1184">
        <f t="shared" si="0"/>
        <v>12086.400006131513</v>
      </c>
      <c r="E56" s="557">
        <f t="shared" si="1"/>
        <v>12086.400006131513</v>
      </c>
      <c r="I56" s="593">
        <f>'Таблиця цін схема №2'!IG33</f>
        <v>10072.000005109594</v>
      </c>
      <c r="K56" s="528">
        <f>'Schedule 1'!E55</f>
        <v>0</v>
      </c>
      <c r="L56" s="594">
        <f t="shared" si="2"/>
        <v>10072.000005109594</v>
      </c>
      <c r="N56" s="184">
        <f t="shared" si="3"/>
        <v>362592.00018394541</v>
      </c>
      <c r="O56" s="184">
        <f>'[2]Schedule 4'!$G$7</f>
        <v>7073.2912115584331</v>
      </c>
      <c r="P56">
        <f t="shared" si="4"/>
        <v>212198.73634675299</v>
      </c>
      <c r="R56" s="184">
        <f t="shared" si="5"/>
        <v>574790.73653069837</v>
      </c>
    </row>
    <row r="57" spans="1:18" ht="31.5">
      <c r="A57" s="574">
        <v>50</v>
      </c>
      <c r="B57" s="573" t="s">
        <v>1218</v>
      </c>
      <c r="C57" s="545" t="s">
        <v>1164</v>
      </c>
      <c r="D57" s="1184">
        <f t="shared" si="0"/>
        <v>13663.639448434558</v>
      </c>
      <c r="E57" s="557">
        <f t="shared" si="1"/>
        <v>13663.639448434558</v>
      </c>
      <c r="I57" s="593">
        <f>'Таблиця цін схема №2'!IG34</f>
        <v>11386.366207028799</v>
      </c>
      <c r="K57" s="528">
        <f>'Schedule 1'!E56</f>
        <v>0</v>
      </c>
      <c r="L57" s="594">
        <f t="shared" si="2"/>
        <v>11386.366207028799</v>
      </c>
      <c r="N57" s="184">
        <f t="shared" si="3"/>
        <v>409909.18345303676</v>
      </c>
      <c r="O57" s="184">
        <f>'[2]Schedule 4'!$G$7</f>
        <v>7073.2912115584331</v>
      </c>
      <c r="P57">
        <f t="shared" si="4"/>
        <v>212198.73634675299</v>
      </c>
      <c r="R57" s="184">
        <f t="shared" si="5"/>
        <v>622107.91979978979</v>
      </c>
    </row>
    <row r="58" spans="1:18" ht="31.5">
      <c r="A58" s="574">
        <v>51</v>
      </c>
      <c r="B58" s="573" t="s">
        <v>1217</v>
      </c>
      <c r="C58" s="545" t="s">
        <v>1164</v>
      </c>
      <c r="D58" s="1184">
        <f t="shared" si="0"/>
        <v>12124.024505461499</v>
      </c>
      <c r="E58" s="557">
        <f t="shared" si="1"/>
        <v>12124.024505461499</v>
      </c>
      <c r="I58" s="593">
        <f>'Таблиця цін схема №2'!IG35</f>
        <v>10103.35375455125</v>
      </c>
      <c r="K58" s="528">
        <f>'Schedule 1'!E57</f>
        <v>0</v>
      </c>
      <c r="L58" s="594">
        <f t="shared" si="2"/>
        <v>10103.35375455125</v>
      </c>
      <c r="N58" s="184">
        <f t="shared" si="3"/>
        <v>363720.73516384495</v>
      </c>
      <c r="O58" s="184">
        <f>'[2]Schedule 4'!$G$7</f>
        <v>7073.2912115584331</v>
      </c>
      <c r="P58">
        <f t="shared" si="4"/>
        <v>212198.73634675299</v>
      </c>
      <c r="R58" s="184">
        <f t="shared" si="5"/>
        <v>575919.47151059797</v>
      </c>
    </row>
    <row r="59" spans="1:18" ht="31.5">
      <c r="A59" s="574">
        <v>52</v>
      </c>
      <c r="B59" s="573" t="s">
        <v>1216</v>
      </c>
      <c r="C59" s="545" t="s">
        <v>1164</v>
      </c>
      <c r="D59" s="1184">
        <f t="shared" si="0"/>
        <v>11637.856540274668</v>
      </c>
      <c r="E59" s="557">
        <f t="shared" si="1"/>
        <v>11637.856540274668</v>
      </c>
      <c r="I59" s="593">
        <f>'Таблиця цін схема №2'!IG36</f>
        <v>9698.2137835622234</v>
      </c>
      <c r="K59" s="528">
        <f>'Schedule 1'!E58</f>
        <v>0</v>
      </c>
      <c r="L59" s="594">
        <f t="shared" si="2"/>
        <v>9698.2137835622234</v>
      </c>
      <c r="N59" s="184">
        <f t="shared" si="3"/>
        <v>349135.69620824006</v>
      </c>
      <c r="O59" s="184">
        <f>'[2]Schedule 4'!$G$7</f>
        <v>7073.2912115584331</v>
      </c>
      <c r="P59">
        <f t="shared" si="4"/>
        <v>212198.73634675299</v>
      </c>
      <c r="R59" s="184">
        <f t="shared" si="5"/>
        <v>561334.43255499308</v>
      </c>
    </row>
    <row r="60" spans="1:18" ht="31.5">
      <c r="A60" s="574">
        <v>53</v>
      </c>
      <c r="B60" s="573" t="s">
        <v>1215</v>
      </c>
      <c r="C60" s="545" t="s">
        <v>1164</v>
      </c>
      <c r="D60" s="1184">
        <f t="shared" si="0"/>
        <v>14950.97412193371</v>
      </c>
      <c r="E60" s="557">
        <f t="shared" si="1"/>
        <v>14950.97412193371</v>
      </c>
      <c r="I60" s="593">
        <f>'Таблиця цін схема №2'!IG37</f>
        <v>12459.145101611426</v>
      </c>
      <c r="K60" s="528">
        <f>'Schedule 1'!E59</f>
        <v>0</v>
      </c>
      <c r="L60" s="594">
        <f t="shared" si="2"/>
        <v>12459.145101611426</v>
      </c>
      <c r="N60" s="184">
        <f t="shared" si="3"/>
        <v>448529.22365801129</v>
      </c>
      <c r="O60" s="184">
        <f>'[2]Schedule 4'!$G$7</f>
        <v>7073.2912115584331</v>
      </c>
      <c r="P60">
        <f t="shared" si="4"/>
        <v>212198.73634675299</v>
      </c>
      <c r="R60" s="184">
        <f t="shared" si="5"/>
        <v>660727.96000476426</v>
      </c>
    </row>
    <row r="61" spans="1:18" ht="31.5">
      <c r="A61" s="574">
        <v>54</v>
      </c>
      <c r="B61" s="573" t="s">
        <v>1214</v>
      </c>
      <c r="C61" s="545" t="s">
        <v>1164</v>
      </c>
      <c r="D61" s="1184">
        <f t="shared" si="0"/>
        <v>12547.843099144788</v>
      </c>
      <c r="E61" s="557">
        <f t="shared" si="1"/>
        <v>12547.843099144788</v>
      </c>
      <c r="I61" s="593">
        <f>'Таблиця цін схема №2'!IG38</f>
        <v>10456.535915953989</v>
      </c>
      <c r="K61" s="528">
        <f>'Schedule 1'!H60</f>
        <v>10456.535915953989</v>
      </c>
      <c r="N61" s="184">
        <f t="shared" si="3"/>
        <v>376435.29297434364</v>
      </c>
      <c r="O61" s="184">
        <f>'[2]Schedule 4'!$G$7</f>
        <v>7073.2912115584331</v>
      </c>
      <c r="P61">
        <f t="shared" si="4"/>
        <v>212198.73634675299</v>
      </c>
      <c r="R61" s="184">
        <f t="shared" si="5"/>
        <v>588634.0293210966</v>
      </c>
    </row>
    <row r="62" spans="1:18" ht="31.5">
      <c r="A62" s="574">
        <v>55</v>
      </c>
      <c r="B62" s="573" t="s">
        <v>1213</v>
      </c>
      <c r="C62" s="545" t="s">
        <v>1164</v>
      </c>
      <c r="D62" s="1184">
        <f t="shared" si="0"/>
        <v>13465.98027916854</v>
      </c>
      <c r="E62" s="557">
        <f t="shared" si="1"/>
        <v>13465.98027916854</v>
      </c>
      <c r="I62" s="593">
        <f>'Таблиця цін схема №2'!IG39</f>
        <v>11221.65023264045</v>
      </c>
      <c r="K62" s="528">
        <f>'Schedule 1'!H61</f>
        <v>11221.65023264045</v>
      </c>
      <c r="N62" s="184">
        <f t="shared" si="3"/>
        <v>403979.40837505617</v>
      </c>
      <c r="O62" s="184">
        <f>'[2]Schedule 4'!$G$7</f>
        <v>7073.2912115584331</v>
      </c>
      <c r="P62">
        <f t="shared" si="4"/>
        <v>212198.73634675299</v>
      </c>
      <c r="R62" s="184">
        <f t="shared" si="5"/>
        <v>616178.14472180919</v>
      </c>
    </row>
    <row r="63" spans="1:18" ht="31.5">
      <c r="A63" s="574">
        <v>56</v>
      </c>
      <c r="B63" s="573" t="s">
        <v>1212</v>
      </c>
      <c r="C63" s="545" t="s">
        <v>1164</v>
      </c>
      <c r="D63" s="1184">
        <f t="shared" si="0"/>
        <v>12259.447303332752</v>
      </c>
      <c r="E63" s="557">
        <f t="shared" si="1"/>
        <v>12259.447303332752</v>
      </c>
      <c r="I63" s="593">
        <f>'Таблиця цін схема №2'!IG40</f>
        <v>10216.206086110627</v>
      </c>
      <c r="K63" s="528">
        <f>'Schedule 1'!H62</f>
        <v>10216.206086110627</v>
      </c>
      <c r="N63" s="184">
        <f t="shared" si="3"/>
        <v>367783.4190999826</v>
      </c>
      <c r="O63" s="184">
        <f>'[2]Schedule 4'!$G$7</f>
        <v>7073.2912115584331</v>
      </c>
      <c r="P63">
        <f t="shared" si="4"/>
        <v>212198.73634675299</v>
      </c>
      <c r="R63" s="184">
        <f t="shared" si="5"/>
        <v>579982.15544673556</v>
      </c>
    </row>
    <row r="64" spans="1:18" ht="31.5">
      <c r="A64" s="574">
        <v>57</v>
      </c>
      <c r="B64" s="573" t="s">
        <v>1211</v>
      </c>
      <c r="C64" s="545" t="s">
        <v>1164</v>
      </c>
      <c r="D64" s="1184">
        <f t="shared" si="0"/>
        <v>13156.85105443344</v>
      </c>
      <c r="E64" s="557">
        <f t="shared" si="1"/>
        <v>13156.85105443344</v>
      </c>
      <c r="I64" s="593">
        <f>'Таблиця цін схема №2'!IG41</f>
        <v>10964.042545361201</v>
      </c>
      <c r="K64" s="528">
        <f>'Schedule 1'!H63</f>
        <v>10964.042545361201</v>
      </c>
      <c r="N64" s="184">
        <f t="shared" si="3"/>
        <v>394705.53163300321</v>
      </c>
      <c r="O64" s="184">
        <f>'[2]Schedule 4'!$G$7</f>
        <v>7073.2912115584331</v>
      </c>
      <c r="P64">
        <f t="shared" si="4"/>
        <v>212198.73634675299</v>
      </c>
      <c r="R64" s="184">
        <f t="shared" si="5"/>
        <v>606904.26797975623</v>
      </c>
    </row>
    <row r="65" spans="1:18" ht="31.5">
      <c r="A65" s="574">
        <v>58</v>
      </c>
      <c r="B65" s="573" t="s">
        <v>1210</v>
      </c>
      <c r="C65" s="545" t="s">
        <v>1164</v>
      </c>
      <c r="D65" s="1184">
        <f t="shared" si="0"/>
        <v>12631.860642254514</v>
      </c>
      <c r="E65" s="557">
        <f t="shared" si="1"/>
        <v>12631.860642254514</v>
      </c>
      <c r="I65" s="593">
        <f>'Таблиця цін схема №2'!IG42</f>
        <v>10526.550535212096</v>
      </c>
      <c r="K65" s="528">
        <f>'Schedule 1'!H64</f>
        <v>10526.550535212096</v>
      </c>
      <c r="N65" s="184">
        <f t="shared" si="3"/>
        <v>378955.81926763541</v>
      </c>
      <c r="O65" s="184">
        <f>'[2]Schedule 4'!$G$7</f>
        <v>7073.2912115584331</v>
      </c>
      <c r="P65">
        <f t="shared" si="4"/>
        <v>212198.73634675299</v>
      </c>
      <c r="R65" s="184">
        <f t="shared" si="5"/>
        <v>591154.55561438843</v>
      </c>
    </row>
    <row r="66" spans="1:18" ht="31.5">
      <c r="A66" s="574">
        <v>59</v>
      </c>
      <c r="B66" s="573" t="s">
        <v>1209</v>
      </c>
      <c r="C66" s="545" t="s">
        <v>1164</v>
      </c>
      <c r="D66" s="1184">
        <f t="shared" si="0"/>
        <v>10304.628521395549</v>
      </c>
      <c r="E66" s="557">
        <f t="shared" si="1"/>
        <v>10304.628521395549</v>
      </c>
      <c r="I66" s="593">
        <f>'Таблиця цін схема №2'!IG43</f>
        <v>8587.1904344962913</v>
      </c>
      <c r="K66" s="528">
        <f>'Schedule 1'!H65</f>
        <v>8587.1904344962913</v>
      </c>
      <c r="N66" s="184">
        <f t="shared" si="3"/>
        <v>309138.85564186645</v>
      </c>
      <c r="O66" s="184">
        <f>'[2]Schedule 4'!$G$7</f>
        <v>7073.2912115584331</v>
      </c>
      <c r="P66">
        <f t="shared" si="4"/>
        <v>212198.73634675299</v>
      </c>
      <c r="R66" s="184">
        <f t="shared" si="5"/>
        <v>521337.59198861942</v>
      </c>
    </row>
    <row r="67" spans="1:18" ht="31.5">
      <c r="A67" s="574">
        <v>60</v>
      </c>
      <c r="B67" s="573" t="s">
        <v>1208</v>
      </c>
      <c r="C67" s="545" t="s">
        <v>1164</v>
      </c>
      <c r="D67" s="1184">
        <f t="shared" si="0"/>
        <v>14995.825823328418</v>
      </c>
      <c r="E67" s="557">
        <f t="shared" si="1"/>
        <v>14995.825823328418</v>
      </c>
      <c r="I67" s="593">
        <f>'Таблиця цін схема №2'!IG44</f>
        <v>12496.521519440348</v>
      </c>
      <c r="K67" s="528">
        <f>'Schedule 1'!H66</f>
        <v>12496.521519440348</v>
      </c>
      <c r="N67" s="184">
        <f t="shared" si="3"/>
        <v>449874.77469985251</v>
      </c>
      <c r="O67" s="184">
        <f>'[2]Schedule 4'!$G$7</f>
        <v>7073.2912115584331</v>
      </c>
      <c r="P67">
        <f t="shared" si="4"/>
        <v>212198.73634675299</v>
      </c>
      <c r="R67" s="184">
        <f t="shared" si="5"/>
        <v>662073.51104660553</v>
      </c>
    </row>
    <row r="68" spans="1:18" ht="31.5">
      <c r="A68" s="574">
        <v>61</v>
      </c>
      <c r="B68" s="573" t="s">
        <v>1207</v>
      </c>
      <c r="C68" s="545" t="s">
        <v>1164</v>
      </c>
      <c r="D68" s="1184">
        <f t="shared" si="0"/>
        <v>12047.856771201587</v>
      </c>
      <c r="E68" s="557">
        <f t="shared" si="1"/>
        <v>12047.856771201587</v>
      </c>
      <c r="I68" s="593">
        <f>'Таблиця цін схема №2'!IG45</f>
        <v>10039.880642667989</v>
      </c>
      <c r="K68" s="528">
        <f>'Schedule 1'!H67</f>
        <v>10039.880642667989</v>
      </c>
      <c r="N68" s="184">
        <f t="shared" si="3"/>
        <v>361435.70313604758</v>
      </c>
      <c r="O68" s="184">
        <f>'[2]Schedule 4'!$G$7</f>
        <v>7073.2912115584331</v>
      </c>
      <c r="P68">
        <f t="shared" si="4"/>
        <v>212198.73634675299</v>
      </c>
      <c r="R68" s="184">
        <f t="shared" si="5"/>
        <v>573634.43948280055</v>
      </c>
    </row>
    <row r="69" spans="1:18" ht="31.5">
      <c r="A69" s="574">
        <v>62</v>
      </c>
      <c r="B69" s="573" t="s">
        <v>1206</v>
      </c>
      <c r="C69" s="545" t="s">
        <v>1164</v>
      </c>
      <c r="D69" s="1184">
        <f t="shared" si="0"/>
        <v>13672.511689813857</v>
      </c>
      <c r="E69" s="557">
        <f t="shared" si="1"/>
        <v>13672.511689813857</v>
      </c>
      <c r="I69" s="593">
        <f>'Таблиця цін схема №2'!IG46</f>
        <v>11393.759741511547</v>
      </c>
      <c r="K69" s="528">
        <f>'Schedule 1'!H68</f>
        <v>11393.759741511547</v>
      </c>
      <c r="N69" s="184">
        <f t="shared" si="3"/>
        <v>410175.35069441568</v>
      </c>
      <c r="O69" s="184">
        <f>'[2]Schedule 4'!$G$7</f>
        <v>7073.2912115584331</v>
      </c>
      <c r="P69">
        <f t="shared" si="4"/>
        <v>212198.73634675299</v>
      </c>
      <c r="R69" s="184">
        <f t="shared" si="5"/>
        <v>622374.08704116871</v>
      </c>
    </row>
    <row r="70" spans="1:18" ht="31.5">
      <c r="A70" s="574">
        <v>63</v>
      </c>
      <c r="B70" s="573" t="s">
        <v>1205</v>
      </c>
      <c r="C70" s="545" t="s">
        <v>1164</v>
      </c>
      <c r="D70" s="1184">
        <f t="shared" si="0"/>
        <v>10705.474128212656</v>
      </c>
      <c r="E70" s="557">
        <f t="shared" si="1"/>
        <v>10705.474128212656</v>
      </c>
      <c r="I70" s="593">
        <f>'Таблиця цін схема №2'!IG47</f>
        <v>8921.228440177214</v>
      </c>
      <c r="K70" s="528">
        <f>'Schedule 1'!H69</f>
        <v>8921.228440177214</v>
      </c>
      <c r="N70" s="184">
        <f t="shared" si="3"/>
        <v>321164.22384637967</v>
      </c>
      <c r="O70" s="184">
        <f>'[2]Schedule 4'!$G$7</f>
        <v>7073.2912115584331</v>
      </c>
      <c r="P70">
        <f t="shared" si="4"/>
        <v>212198.73634675299</v>
      </c>
      <c r="R70" s="184">
        <f t="shared" si="5"/>
        <v>533362.96019313263</v>
      </c>
    </row>
    <row r="71" spans="1:18" ht="31.5">
      <c r="A71" s="574">
        <v>64</v>
      </c>
      <c r="B71" s="573" t="s">
        <v>1204</v>
      </c>
      <c r="C71" s="545" t="s">
        <v>1164</v>
      </c>
      <c r="D71" s="1184">
        <f t="shared" si="0"/>
        <v>11145.560775391641</v>
      </c>
      <c r="E71" s="557">
        <f t="shared" si="1"/>
        <v>11145.560775391641</v>
      </c>
      <c r="I71" s="593">
        <f>'Таблиця цін схема №2'!IG48</f>
        <v>9287.9673128263676</v>
      </c>
      <c r="K71" s="528">
        <f>'Schedule 1'!H70</f>
        <v>9287.9673128263676</v>
      </c>
      <c r="N71" s="184">
        <f t="shared" si="3"/>
        <v>334366.82326174923</v>
      </c>
      <c r="O71" s="184">
        <f>'[2]Schedule 4'!$G$7</f>
        <v>7073.2912115584331</v>
      </c>
      <c r="P71">
        <f t="shared" si="4"/>
        <v>212198.73634675299</v>
      </c>
      <c r="R71" s="184">
        <f t="shared" si="5"/>
        <v>546565.5596085022</v>
      </c>
    </row>
    <row r="72" spans="1:18" ht="31.5">
      <c r="A72" s="574">
        <v>65</v>
      </c>
      <c r="B72" s="573" t="s">
        <v>1203</v>
      </c>
      <c r="C72" s="545" t="s">
        <v>1164</v>
      </c>
      <c r="D72" s="1184">
        <f t="shared" si="0"/>
        <v>10734.324871057564</v>
      </c>
      <c r="E72" s="557">
        <f t="shared" si="1"/>
        <v>10734.324871057564</v>
      </c>
      <c r="I72" s="593">
        <f>'Таблиця цін схема №2'!IG49</f>
        <v>8945.2707258813043</v>
      </c>
      <c r="K72" s="528">
        <f>'Schedule 1'!H71</f>
        <v>8945.2707258813043</v>
      </c>
      <c r="N72" s="184">
        <f t="shared" si="3"/>
        <v>322029.74613172695</v>
      </c>
      <c r="O72" s="184">
        <f>'[2]Schedule 4'!$G$7</f>
        <v>7073.2912115584331</v>
      </c>
      <c r="P72">
        <f t="shared" si="4"/>
        <v>212198.73634675299</v>
      </c>
      <c r="R72" s="184">
        <f t="shared" si="5"/>
        <v>534228.48247847997</v>
      </c>
    </row>
    <row r="73" spans="1:18" ht="31.5">
      <c r="A73" s="574">
        <v>66</v>
      </c>
      <c r="B73" s="573" t="s">
        <v>1202</v>
      </c>
      <c r="C73" s="545" t="s">
        <v>1164</v>
      </c>
      <c r="D73" s="1184">
        <f t="shared" ref="D73:D110" si="6">I73*1.2</f>
        <v>10545.928318976041</v>
      </c>
      <c r="E73" s="557">
        <f t="shared" ref="E73:E110" si="7">D73</f>
        <v>10545.928318976041</v>
      </c>
      <c r="I73" s="593">
        <f>'Таблиця цін схема №2'!IG50</f>
        <v>8788.2735991467016</v>
      </c>
      <c r="K73" s="528">
        <f>'Schedule 1'!H72</f>
        <v>8788.2735991467016</v>
      </c>
      <c r="N73" s="184">
        <f t="shared" ref="N73:N110" si="8">E73*$N$6</f>
        <v>316377.84956928121</v>
      </c>
      <c r="O73" s="184">
        <f>'[2]Schedule 4'!$G$7</f>
        <v>7073.2912115584331</v>
      </c>
      <c r="P73">
        <f t="shared" ref="P73:P110" si="9">O73*$N$6</f>
        <v>212198.73634675299</v>
      </c>
      <c r="R73" s="184">
        <f t="shared" ref="R73:R110" si="10">P73+N73</f>
        <v>528576.58591603418</v>
      </c>
    </row>
    <row r="74" spans="1:18" ht="31.5">
      <c r="A74" s="574">
        <v>67</v>
      </c>
      <c r="B74" s="573" t="s">
        <v>1201</v>
      </c>
      <c r="C74" s="545" t="s">
        <v>1164</v>
      </c>
      <c r="D74" s="1184">
        <f t="shared" si="6"/>
        <v>11835.808003078124</v>
      </c>
      <c r="E74" s="557">
        <f t="shared" si="7"/>
        <v>11835.808003078124</v>
      </c>
      <c r="I74" s="593">
        <f>'Таблиця цін схема №2'!IG51</f>
        <v>9863.1733358984366</v>
      </c>
      <c r="K74" s="528">
        <f>'Schedule 1'!H73</f>
        <v>9863.1733358984366</v>
      </c>
      <c r="N74" s="184">
        <f t="shared" si="8"/>
        <v>355074.24009234371</v>
      </c>
      <c r="O74" s="184">
        <f>'[2]Schedule 4'!$G$7</f>
        <v>7073.2912115584331</v>
      </c>
      <c r="P74">
        <f t="shared" si="9"/>
        <v>212198.73634675299</v>
      </c>
      <c r="R74" s="184">
        <f t="shared" si="10"/>
        <v>567272.97643909673</v>
      </c>
    </row>
    <row r="75" spans="1:18" ht="31.5">
      <c r="A75" s="574">
        <v>68</v>
      </c>
      <c r="B75" s="573" t="s">
        <v>1200</v>
      </c>
      <c r="C75" s="545" t="s">
        <v>1164</v>
      </c>
      <c r="D75" s="1184">
        <f t="shared" si="6"/>
        <v>10613.804234806927</v>
      </c>
      <c r="E75" s="557">
        <f t="shared" si="7"/>
        <v>10613.804234806927</v>
      </c>
      <c r="I75" s="593">
        <f>'Таблиця цін схема №2'!IG52</f>
        <v>8844.8368623391052</v>
      </c>
      <c r="K75" s="528">
        <f>'Schedule 1'!H74</f>
        <v>8844.8368623391052</v>
      </c>
      <c r="N75" s="184">
        <f t="shared" si="8"/>
        <v>318414.12704420782</v>
      </c>
      <c r="O75" s="184">
        <f>'[2]Schedule 4'!$G$7</f>
        <v>7073.2912115584331</v>
      </c>
      <c r="P75">
        <f t="shared" si="9"/>
        <v>212198.73634675299</v>
      </c>
      <c r="R75" s="184">
        <f t="shared" si="10"/>
        <v>530612.86339096085</v>
      </c>
    </row>
    <row r="76" spans="1:18" ht="31.5">
      <c r="A76" s="574">
        <v>69</v>
      </c>
      <c r="B76" s="573" t="s">
        <v>1199</v>
      </c>
      <c r="C76" s="545" t="s">
        <v>1164</v>
      </c>
      <c r="D76" s="1184">
        <f t="shared" si="6"/>
        <v>14135.337558003785</v>
      </c>
      <c r="E76" s="557">
        <f t="shared" si="7"/>
        <v>14135.337558003785</v>
      </c>
      <c r="I76" s="593">
        <f>'Таблиця цін схема №2'!IG53</f>
        <v>11779.447965003154</v>
      </c>
      <c r="K76" s="528">
        <f>'Schedule 1'!H75</f>
        <v>11779.447965003154</v>
      </c>
      <c r="N76" s="184">
        <f t="shared" si="8"/>
        <v>424060.12674011354</v>
      </c>
      <c r="O76" s="184">
        <f>'[2]Schedule 4'!$G$7</f>
        <v>7073.2912115584331</v>
      </c>
      <c r="P76">
        <f t="shared" si="9"/>
        <v>212198.73634675299</v>
      </c>
      <c r="R76" s="184">
        <f t="shared" si="10"/>
        <v>636258.86308686656</v>
      </c>
    </row>
    <row r="77" spans="1:18" ht="31.5">
      <c r="A77" s="574">
        <v>70</v>
      </c>
      <c r="B77" s="573" t="s">
        <v>1198</v>
      </c>
      <c r="C77" s="545" t="s">
        <v>1164</v>
      </c>
      <c r="D77" s="1184">
        <f t="shared" si="6"/>
        <v>11626.274910041237</v>
      </c>
      <c r="E77" s="557">
        <f t="shared" si="7"/>
        <v>11626.274910041237</v>
      </c>
      <c r="I77" s="593">
        <f>'Таблиця цін схема №2'!IG54</f>
        <v>9688.5624250343644</v>
      </c>
      <c r="K77" s="528">
        <f>'Schedule 1'!H76</f>
        <v>9688.5624250343644</v>
      </c>
      <c r="N77" s="184">
        <f t="shared" si="8"/>
        <v>348788.24730123708</v>
      </c>
      <c r="O77" s="184">
        <f>'[2]Schedule 4'!$G$7</f>
        <v>7073.2912115584331</v>
      </c>
      <c r="P77">
        <f t="shared" si="9"/>
        <v>212198.73634675299</v>
      </c>
      <c r="R77" s="184">
        <f t="shared" si="10"/>
        <v>560986.98364799004</v>
      </c>
    </row>
    <row r="78" spans="1:18" ht="31.5">
      <c r="A78" s="574">
        <v>71</v>
      </c>
      <c r="B78" s="573" t="s">
        <v>1197</v>
      </c>
      <c r="C78" s="545" t="s">
        <v>1164</v>
      </c>
      <c r="D78" s="1184">
        <f t="shared" si="6"/>
        <v>13002.844609331494</v>
      </c>
      <c r="E78" s="557">
        <f t="shared" si="7"/>
        <v>13002.844609331494</v>
      </c>
      <c r="I78" s="593">
        <f>'Таблиця цін схема №2'!IG55</f>
        <v>10835.703841109578</v>
      </c>
      <c r="K78" s="528">
        <f>'Schedule 1'!H77</f>
        <v>10835.703841109578</v>
      </c>
      <c r="N78" s="184">
        <f t="shared" si="8"/>
        <v>390085.33827994484</v>
      </c>
      <c r="O78" s="184">
        <f>'[2]Schedule 4'!$G$7</f>
        <v>7073.2912115584331</v>
      </c>
      <c r="P78">
        <f t="shared" si="9"/>
        <v>212198.73634675299</v>
      </c>
      <c r="R78" s="184">
        <f t="shared" si="10"/>
        <v>602284.07462669781</v>
      </c>
    </row>
    <row r="79" spans="1:18">
      <c r="A79" s="574">
        <v>72</v>
      </c>
      <c r="B79" s="573" t="s">
        <v>1196</v>
      </c>
      <c r="C79" s="545" t="s">
        <v>1164</v>
      </c>
      <c r="D79" s="1184">
        <f t="shared" si="6"/>
        <v>8999.1563340402936</v>
      </c>
      <c r="E79" s="557">
        <f t="shared" si="7"/>
        <v>8999.1563340402936</v>
      </c>
      <c r="I79" s="593">
        <f>'Таблиця цін схема №2'!IG56</f>
        <v>7499.2969450335786</v>
      </c>
      <c r="K79" s="528">
        <f>'Schedule 1'!H78</f>
        <v>7499.2969450335786</v>
      </c>
      <c r="N79" s="184">
        <f t="shared" si="8"/>
        <v>269974.69002120884</v>
      </c>
      <c r="O79" s="184">
        <f>'[2]Schedule 4'!$G$7</f>
        <v>7073.2912115584331</v>
      </c>
      <c r="P79">
        <f t="shared" si="9"/>
        <v>212198.73634675299</v>
      </c>
      <c r="R79" s="184">
        <f t="shared" si="10"/>
        <v>482173.4263679618</v>
      </c>
    </row>
    <row r="80" spans="1:18" ht="31.5">
      <c r="A80" s="574">
        <v>73</v>
      </c>
      <c r="B80" s="573" t="s">
        <v>1195</v>
      </c>
      <c r="C80" s="545" t="s">
        <v>1164</v>
      </c>
      <c r="D80" s="1184">
        <f t="shared" si="6"/>
        <v>8633.5975466835225</v>
      </c>
      <c r="E80" s="557">
        <f t="shared" si="7"/>
        <v>8633.5975466835225</v>
      </c>
      <c r="I80" s="593">
        <f>'Таблиця цін схема №2'!IG57</f>
        <v>7194.6646222362688</v>
      </c>
      <c r="K80" s="528">
        <f>'Schedule 1'!H79</f>
        <v>7194.6646222362688</v>
      </c>
      <c r="N80" s="184">
        <f t="shared" si="8"/>
        <v>259007.92640050568</v>
      </c>
      <c r="O80" s="184">
        <f>'[2]Schedule 4'!$G$7</f>
        <v>7073.2912115584331</v>
      </c>
      <c r="P80">
        <f t="shared" si="9"/>
        <v>212198.73634675299</v>
      </c>
      <c r="R80" s="184">
        <f t="shared" si="10"/>
        <v>471206.66274725867</v>
      </c>
    </row>
    <row r="81" spans="1:18" ht="31.5">
      <c r="A81" s="574">
        <v>74</v>
      </c>
      <c r="B81" s="573" t="s">
        <v>1194</v>
      </c>
      <c r="C81" s="545" t="s">
        <v>1164</v>
      </c>
      <c r="D81" s="1184">
        <f t="shared" si="6"/>
        <v>8864.1815558034887</v>
      </c>
      <c r="E81" s="557">
        <f t="shared" si="7"/>
        <v>8864.1815558034887</v>
      </c>
      <c r="I81" s="593">
        <f>'Таблиця цін схема №2'!IG58</f>
        <v>7386.8179631695748</v>
      </c>
      <c r="K81" s="528">
        <f>'Schedule 1'!H80</f>
        <v>7386.8179631695748</v>
      </c>
      <c r="N81" s="184">
        <f t="shared" si="8"/>
        <v>265925.44667410466</v>
      </c>
      <c r="O81" s="184">
        <f>'[2]Schedule 4'!$G$7</f>
        <v>7073.2912115584331</v>
      </c>
      <c r="P81">
        <f t="shared" si="9"/>
        <v>212198.73634675299</v>
      </c>
      <c r="R81" s="184">
        <f t="shared" si="10"/>
        <v>478124.18302085763</v>
      </c>
    </row>
    <row r="82" spans="1:18" ht="31.5">
      <c r="A82" s="574">
        <v>75</v>
      </c>
      <c r="B82" s="573" t="s">
        <v>1193</v>
      </c>
      <c r="C82" s="545" t="s">
        <v>1164</v>
      </c>
      <c r="D82" s="1184">
        <f t="shared" si="6"/>
        <v>11808.438279514672</v>
      </c>
      <c r="E82" s="557">
        <f t="shared" si="7"/>
        <v>11808.438279514672</v>
      </c>
      <c r="I82" s="593">
        <f>'Таблиця цін схема №1'!JS28</f>
        <v>9840.3652329288943</v>
      </c>
      <c r="K82" s="528">
        <f>'Schedule 1'!H81</f>
        <v>9840.3652329288943</v>
      </c>
      <c r="N82" s="184">
        <f t="shared" si="8"/>
        <v>354253.14838544017</v>
      </c>
      <c r="O82" s="184">
        <f>'[2]Schedule 4'!$G$7</f>
        <v>7073.2912115584331</v>
      </c>
      <c r="P82">
        <f t="shared" si="9"/>
        <v>212198.73634675299</v>
      </c>
      <c r="R82" s="184">
        <f t="shared" si="10"/>
        <v>566451.8847321932</v>
      </c>
    </row>
    <row r="83" spans="1:18" ht="31.5">
      <c r="A83" s="574">
        <v>76</v>
      </c>
      <c r="B83" s="573" t="s">
        <v>1192</v>
      </c>
      <c r="C83" s="545" t="s">
        <v>1164</v>
      </c>
      <c r="D83" s="1184">
        <f t="shared" si="6"/>
        <v>14028.920150585433</v>
      </c>
      <c r="E83" s="557">
        <f t="shared" si="7"/>
        <v>14028.920150585433</v>
      </c>
      <c r="I83" s="593">
        <f>'Таблиця цін схема №1'!JS29</f>
        <v>11690.766792154527</v>
      </c>
      <c r="K83" s="528">
        <f>'Schedule 1'!H82</f>
        <v>11690.766792154527</v>
      </c>
      <c r="N83" s="184">
        <f t="shared" si="8"/>
        <v>420867.60451756296</v>
      </c>
      <c r="O83" s="184">
        <f>'[2]Schedule 4'!$G$7</f>
        <v>7073.2912115584331</v>
      </c>
      <c r="P83">
        <f t="shared" si="9"/>
        <v>212198.73634675299</v>
      </c>
      <c r="R83" s="184">
        <f t="shared" si="10"/>
        <v>633066.34086431598</v>
      </c>
    </row>
    <row r="84" spans="1:18" ht="31.5">
      <c r="A84" s="574">
        <v>77</v>
      </c>
      <c r="B84" s="573" t="s">
        <v>1191</v>
      </c>
      <c r="C84" s="545" t="s">
        <v>1164</v>
      </c>
      <c r="D84" s="1184">
        <f t="shared" si="6"/>
        <v>14558.612539235695</v>
      </c>
      <c r="E84" s="557">
        <f t="shared" si="7"/>
        <v>14558.612539235695</v>
      </c>
      <c r="I84" s="593">
        <f>'Таблиця цін схема №1'!JS30</f>
        <v>12132.177116029747</v>
      </c>
      <c r="K84" s="528">
        <f>'Schedule 1'!H83</f>
        <v>12132.177116029747</v>
      </c>
      <c r="N84" s="184">
        <f t="shared" si="8"/>
        <v>436758.37617707084</v>
      </c>
      <c r="O84" s="184">
        <f>'[2]Schedule 4'!$G$7</f>
        <v>7073.2912115584331</v>
      </c>
      <c r="P84">
        <f t="shared" si="9"/>
        <v>212198.73634675299</v>
      </c>
      <c r="R84" s="184">
        <f t="shared" si="10"/>
        <v>648957.11252382386</v>
      </c>
    </row>
    <row r="85" spans="1:18" ht="31.5">
      <c r="A85" s="574">
        <v>78</v>
      </c>
      <c r="B85" s="573" t="s">
        <v>1190</v>
      </c>
      <c r="C85" s="545" t="s">
        <v>1164</v>
      </c>
      <c r="D85" s="1184">
        <f t="shared" si="6"/>
        <v>14513.023963837819</v>
      </c>
      <c r="E85" s="557">
        <f t="shared" si="7"/>
        <v>14513.023963837819</v>
      </c>
      <c r="I85" s="593">
        <f>'Таблиця цін схема №1'!JS31</f>
        <v>12094.186636531516</v>
      </c>
      <c r="K85" s="528">
        <f>'Schedule 1'!H84</f>
        <v>12094.186636531516</v>
      </c>
      <c r="N85" s="184">
        <f t="shared" si="8"/>
        <v>435390.71891513455</v>
      </c>
      <c r="O85" s="184">
        <f>'[2]Schedule 4'!$G$7</f>
        <v>7073.2912115584331</v>
      </c>
      <c r="P85">
        <f t="shared" si="9"/>
        <v>212198.73634675299</v>
      </c>
      <c r="R85" s="184">
        <f t="shared" si="10"/>
        <v>647589.45526188752</v>
      </c>
    </row>
    <row r="86" spans="1:18" ht="31.5">
      <c r="A86" s="574">
        <v>79</v>
      </c>
      <c r="B86" s="573" t="s">
        <v>1189</v>
      </c>
      <c r="C86" s="545" t="s">
        <v>1164</v>
      </c>
      <c r="D86" s="1184">
        <f t="shared" si="6"/>
        <v>13712.607083891256</v>
      </c>
      <c r="E86" s="557">
        <f t="shared" si="7"/>
        <v>13712.607083891256</v>
      </c>
      <c r="I86" s="593">
        <f>'Таблиця цін схема №1'!JS32</f>
        <v>11427.17256990938</v>
      </c>
      <c r="K86" s="528">
        <f>'Schedule 1'!H85</f>
        <v>11427.17256990938</v>
      </c>
      <c r="N86" s="184">
        <f t="shared" si="8"/>
        <v>411378.21251673769</v>
      </c>
      <c r="O86" s="184">
        <f>'[2]Schedule 4'!$G$7</f>
        <v>7073.2912115584331</v>
      </c>
      <c r="P86">
        <f t="shared" si="9"/>
        <v>212198.73634675299</v>
      </c>
      <c r="R86" s="184">
        <f t="shared" si="10"/>
        <v>623576.94886349072</v>
      </c>
    </row>
    <row r="87" spans="1:18" ht="31.5">
      <c r="A87" s="574">
        <v>80</v>
      </c>
      <c r="B87" s="573" t="s">
        <v>1188</v>
      </c>
      <c r="C87" s="545" t="s">
        <v>1164</v>
      </c>
      <c r="D87" s="1184">
        <f t="shared" si="6"/>
        <v>13920.160810140756</v>
      </c>
      <c r="E87" s="557">
        <f t="shared" si="7"/>
        <v>13920.160810140756</v>
      </c>
      <c r="I87" s="593">
        <f>'Таблиця цін схема №1'!JS33</f>
        <v>11600.13400845063</v>
      </c>
      <c r="K87" s="528">
        <f>'Schedule 1'!H86</f>
        <v>11600.13400845063</v>
      </c>
      <c r="N87" s="184">
        <f t="shared" si="8"/>
        <v>417604.82430422271</v>
      </c>
      <c r="O87" s="184">
        <f>'[2]Schedule 4'!$G$7</f>
        <v>7073.2912115584331</v>
      </c>
      <c r="P87">
        <f t="shared" si="9"/>
        <v>212198.73634675299</v>
      </c>
      <c r="R87" s="184">
        <f t="shared" si="10"/>
        <v>629803.56065097568</v>
      </c>
    </row>
    <row r="88" spans="1:18" ht="31.5">
      <c r="A88" s="574">
        <v>81</v>
      </c>
      <c r="B88" s="573" t="s">
        <v>1187</v>
      </c>
      <c r="C88" s="545" t="s">
        <v>1164</v>
      </c>
      <c r="D88" s="1184">
        <f t="shared" si="6"/>
        <v>13712.607083891256</v>
      </c>
      <c r="E88" s="557">
        <f t="shared" si="7"/>
        <v>13712.607083891256</v>
      </c>
      <c r="I88" s="593">
        <f>'Таблиця цін схема №1'!JS34</f>
        <v>11427.17256990938</v>
      </c>
      <c r="K88" s="528">
        <f>'Schedule 1'!H87</f>
        <v>11427.17256990938</v>
      </c>
      <c r="N88" s="184">
        <f t="shared" si="8"/>
        <v>411378.21251673769</v>
      </c>
      <c r="O88" s="184">
        <f>'[2]Schedule 4'!$G$7</f>
        <v>7073.2912115584331</v>
      </c>
      <c r="P88">
        <f t="shared" si="9"/>
        <v>212198.73634675299</v>
      </c>
      <c r="R88" s="184">
        <f t="shared" si="10"/>
        <v>623576.94886349072</v>
      </c>
    </row>
    <row r="89" spans="1:18" ht="31.5">
      <c r="A89" s="574">
        <v>82</v>
      </c>
      <c r="B89" s="573" t="s">
        <v>1186</v>
      </c>
      <c r="C89" s="545" t="s">
        <v>1164</v>
      </c>
      <c r="D89" s="1184">
        <f t="shared" si="6"/>
        <v>18817.812763999475</v>
      </c>
      <c r="E89" s="557">
        <f t="shared" si="7"/>
        <v>18817.812763999475</v>
      </c>
      <c r="I89" s="593">
        <f>'Таблиця цін схема №1'!JS35</f>
        <v>15681.510636666229</v>
      </c>
      <c r="K89" s="528">
        <f>'Schedule 1'!H88</f>
        <v>15681.510636666229</v>
      </c>
      <c r="N89" s="184">
        <f t="shared" si="8"/>
        <v>564534.38291998429</v>
      </c>
      <c r="O89" s="184">
        <f>'[2]Schedule 4'!$G$7</f>
        <v>7073.2912115584331</v>
      </c>
      <c r="P89">
        <f t="shared" si="9"/>
        <v>212198.73634675299</v>
      </c>
      <c r="R89" s="184">
        <f t="shared" si="10"/>
        <v>776733.11926673725</v>
      </c>
    </row>
    <row r="90" spans="1:18" ht="31.5">
      <c r="A90" s="574">
        <v>83</v>
      </c>
      <c r="B90" s="573" t="s">
        <v>1185</v>
      </c>
      <c r="C90" s="545" t="s">
        <v>1164</v>
      </c>
      <c r="D90" s="1184">
        <f t="shared" si="6"/>
        <v>25318.583397650971</v>
      </c>
      <c r="E90" s="557">
        <f t="shared" si="7"/>
        <v>25318.583397650971</v>
      </c>
      <c r="I90" s="593">
        <f>'Таблиця цін схема №1'!JS36</f>
        <v>21098.819498042478</v>
      </c>
      <c r="K90" s="528">
        <f>'Schedule 1'!H89</f>
        <v>21098.819498042478</v>
      </c>
      <c r="N90" s="184">
        <f t="shared" si="8"/>
        <v>759557.50192952913</v>
      </c>
      <c r="O90" s="184">
        <f>'[2]Schedule 4'!$G$7</f>
        <v>7073.2912115584331</v>
      </c>
      <c r="P90">
        <f t="shared" si="9"/>
        <v>212198.73634675299</v>
      </c>
      <c r="R90" s="184">
        <f t="shared" si="10"/>
        <v>971756.23827628209</v>
      </c>
    </row>
    <row r="91" spans="1:18" ht="31.5">
      <c r="A91" s="574">
        <v>84</v>
      </c>
      <c r="B91" s="573" t="s">
        <v>1184</v>
      </c>
      <c r="C91" s="545" t="s">
        <v>1164</v>
      </c>
      <c r="D91" s="1184">
        <f t="shared" si="6"/>
        <v>20422.841527625711</v>
      </c>
      <c r="E91" s="557">
        <f t="shared" si="7"/>
        <v>20422.841527625711</v>
      </c>
      <c r="I91" s="593">
        <f>'Таблиця цін схема №1'!JS37</f>
        <v>17019.034606354759</v>
      </c>
      <c r="K91" s="528">
        <f>'Schedule 1'!H90</f>
        <v>17019.034606354759</v>
      </c>
      <c r="N91" s="184">
        <f t="shared" si="8"/>
        <v>612685.24582877138</v>
      </c>
      <c r="O91" s="184">
        <f>'[2]Schedule 4'!$G$7</f>
        <v>7073.2912115584331</v>
      </c>
      <c r="P91">
        <f t="shared" si="9"/>
        <v>212198.73634675299</v>
      </c>
      <c r="R91" s="184">
        <f t="shared" si="10"/>
        <v>824883.98217552435</v>
      </c>
    </row>
    <row r="92" spans="1:18" ht="31.5">
      <c r="A92" s="574">
        <v>85</v>
      </c>
      <c r="B92" s="573" t="s">
        <v>1183</v>
      </c>
      <c r="C92" s="545" t="s">
        <v>1164</v>
      </c>
      <c r="D92" s="1184">
        <f t="shared" si="6"/>
        <v>14247.699894923635</v>
      </c>
      <c r="E92" s="557">
        <f t="shared" si="7"/>
        <v>14247.699894923635</v>
      </c>
      <c r="I92" s="593">
        <f>'Таблиця цін схема №1'!JS38</f>
        <v>11873.083245769696</v>
      </c>
      <c r="K92" s="528">
        <f>'Schedule 1'!H91</f>
        <v>11873.083245769696</v>
      </c>
      <c r="N92" s="184">
        <f t="shared" si="8"/>
        <v>427430.99684770906</v>
      </c>
      <c r="O92" s="184">
        <f>'[2]Schedule 4'!$G$7</f>
        <v>7073.2912115584331</v>
      </c>
      <c r="P92">
        <f t="shared" si="9"/>
        <v>212198.73634675299</v>
      </c>
      <c r="R92" s="184">
        <f t="shared" si="10"/>
        <v>639629.73319446202</v>
      </c>
    </row>
    <row r="93" spans="1:18" ht="31.5">
      <c r="A93" s="574">
        <v>86</v>
      </c>
      <c r="B93" s="573" t="s">
        <v>1182</v>
      </c>
      <c r="C93" s="545" t="s">
        <v>1164</v>
      </c>
      <c r="D93" s="1184">
        <f t="shared" si="6"/>
        <v>11999.179520363848</v>
      </c>
      <c r="E93" s="557">
        <f t="shared" si="7"/>
        <v>11999.179520363848</v>
      </c>
      <c r="I93" s="593">
        <f>'Таблиця цін схема №1'!JS39</f>
        <v>9999.3162669698741</v>
      </c>
      <c r="K93" s="528">
        <f>'Schedule 1'!H92</f>
        <v>9999.3162669698741</v>
      </c>
      <c r="N93" s="184">
        <f t="shared" si="8"/>
        <v>359975.38561091543</v>
      </c>
      <c r="O93" s="184">
        <f>'[2]Schedule 4'!$G$7</f>
        <v>7073.2912115584331</v>
      </c>
      <c r="P93">
        <f t="shared" si="9"/>
        <v>212198.73634675299</v>
      </c>
      <c r="R93" s="184">
        <f t="shared" si="10"/>
        <v>572174.12195766845</v>
      </c>
    </row>
    <row r="94" spans="1:18" ht="31.5">
      <c r="A94" s="574">
        <v>87</v>
      </c>
      <c r="B94" s="573" t="s">
        <v>1181</v>
      </c>
      <c r="C94" s="545" t="s">
        <v>1164</v>
      </c>
      <c r="D94" s="1184">
        <f t="shared" si="6"/>
        <v>30614.170122138232</v>
      </c>
      <c r="E94" s="557">
        <f t="shared" si="7"/>
        <v>30614.170122138232</v>
      </c>
      <c r="I94" s="593">
        <f>'Таблиця цін схема №1'!JS40</f>
        <v>25511.808435115196</v>
      </c>
      <c r="K94" s="528">
        <f>'Schedule 1'!H93</f>
        <v>25511.808435115196</v>
      </c>
      <c r="N94" s="184">
        <f t="shared" si="8"/>
        <v>918425.10366414697</v>
      </c>
      <c r="O94" s="184">
        <f>'[2]Schedule 4'!$G$7</f>
        <v>7073.2912115584331</v>
      </c>
      <c r="P94">
        <f t="shared" si="9"/>
        <v>212198.73634675299</v>
      </c>
      <c r="R94" s="184">
        <f t="shared" si="10"/>
        <v>1130623.8400109001</v>
      </c>
    </row>
    <row r="95" spans="1:18">
      <c r="A95" s="574">
        <v>88</v>
      </c>
      <c r="B95" s="573" t="s">
        <v>1180</v>
      </c>
      <c r="C95" s="545" t="s">
        <v>1164</v>
      </c>
      <c r="D95" s="1184">
        <f t="shared" si="6"/>
        <v>12558.03273147021</v>
      </c>
      <c r="E95" s="557">
        <f t="shared" si="7"/>
        <v>12558.03273147021</v>
      </c>
      <c r="I95" s="593">
        <f>'Таблиця цін схема №2'!IG59</f>
        <v>10465.027276225175</v>
      </c>
      <c r="K95" s="528">
        <f>'Schedule 1'!H94</f>
        <v>10465.027276225175</v>
      </c>
      <c r="N95" s="184">
        <f t="shared" si="8"/>
        <v>376740.98194410629</v>
      </c>
      <c r="O95" s="184">
        <f>'[2]Schedule 4'!$G$7</f>
        <v>7073.2912115584331</v>
      </c>
      <c r="P95">
        <f t="shared" si="9"/>
        <v>212198.73634675299</v>
      </c>
      <c r="R95" s="184">
        <f t="shared" si="10"/>
        <v>588939.71829085925</v>
      </c>
    </row>
    <row r="96" spans="1:18">
      <c r="A96" s="574">
        <v>89</v>
      </c>
      <c r="B96" s="573" t="s">
        <v>1179</v>
      </c>
      <c r="C96" s="545" t="s">
        <v>1164</v>
      </c>
      <c r="D96" s="1184">
        <f t="shared" si="6"/>
        <v>11220.492836244399</v>
      </c>
      <c r="E96" s="557">
        <f t="shared" si="7"/>
        <v>11220.492836244399</v>
      </c>
      <c r="I96" s="593">
        <f>'Таблиця цін схема №2'!IG60</f>
        <v>9350.4106968703327</v>
      </c>
      <c r="K96" s="528">
        <f>'Schedule 1'!H95</f>
        <v>9350.4106968703327</v>
      </c>
      <c r="N96" s="184">
        <f t="shared" si="8"/>
        <v>336614.78508733195</v>
      </c>
      <c r="O96" s="184">
        <f>'[2]Schedule 4'!$G$7</f>
        <v>7073.2912115584331</v>
      </c>
      <c r="P96">
        <f t="shared" si="9"/>
        <v>212198.73634675299</v>
      </c>
      <c r="R96" s="184">
        <f t="shared" si="10"/>
        <v>548813.52143408498</v>
      </c>
    </row>
    <row r="97" spans="1:18" ht="31.5">
      <c r="A97" s="574">
        <v>90</v>
      </c>
      <c r="B97" s="573" t="s">
        <v>1178</v>
      </c>
      <c r="C97" s="545" t="s">
        <v>1164</v>
      </c>
      <c r="D97" s="1184">
        <f t="shared" si="6"/>
        <v>10726.327866737995</v>
      </c>
      <c r="E97" s="557">
        <f t="shared" si="7"/>
        <v>10726.327866737995</v>
      </c>
      <c r="I97" s="593">
        <f>'Таблиця цін схема №2'!IG61</f>
        <v>8938.6065556149952</v>
      </c>
      <c r="K97" s="528">
        <f>'Schedule 1'!H96</f>
        <v>8938.6065556149952</v>
      </c>
      <c r="N97" s="184">
        <f t="shared" si="8"/>
        <v>321789.83600213984</v>
      </c>
      <c r="O97" s="184">
        <f>'[2]Schedule 4'!$G$7</f>
        <v>7073.2912115584331</v>
      </c>
      <c r="P97">
        <f t="shared" si="9"/>
        <v>212198.73634675299</v>
      </c>
      <c r="R97" s="184">
        <f t="shared" si="10"/>
        <v>533988.57234889281</v>
      </c>
    </row>
    <row r="98" spans="1:18" ht="31.5">
      <c r="A98" s="574">
        <v>91</v>
      </c>
      <c r="B98" s="573" t="s">
        <v>1177</v>
      </c>
      <c r="C98" s="545" t="s">
        <v>1164</v>
      </c>
      <c r="D98" s="1184">
        <f t="shared" si="6"/>
        <v>11739.669654229336</v>
      </c>
      <c r="E98" s="557">
        <f t="shared" si="7"/>
        <v>11739.669654229336</v>
      </c>
      <c r="I98" s="593">
        <f>'Таблиця цін схема №2'!IG62</f>
        <v>9783.0580451911137</v>
      </c>
      <c r="K98" s="528">
        <f>'Schedule 1'!H97</f>
        <v>9783.0580451911137</v>
      </c>
      <c r="N98" s="184">
        <f t="shared" si="8"/>
        <v>352190.08962688007</v>
      </c>
      <c r="O98" s="184">
        <f>'[2]Schedule 4'!$G$7</f>
        <v>7073.2912115584331</v>
      </c>
      <c r="P98">
        <f t="shared" si="9"/>
        <v>212198.73634675299</v>
      </c>
      <c r="R98" s="184">
        <f t="shared" si="10"/>
        <v>564388.82597363309</v>
      </c>
    </row>
    <row r="99" spans="1:18" ht="31.5">
      <c r="A99" s="574">
        <v>92</v>
      </c>
      <c r="B99" s="573" t="s">
        <v>1176</v>
      </c>
      <c r="C99" s="545" t="s">
        <v>1164</v>
      </c>
      <c r="D99" s="1184">
        <f t="shared" si="6"/>
        <v>13454.301739741326</v>
      </c>
      <c r="E99" s="557">
        <f t="shared" si="7"/>
        <v>13454.301739741326</v>
      </c>
      <c r="I99" s="593">
        <f>'Таблиця цін схема №2'!IG63</f>
        <v>11211.918116451105</v>
      </c>
      <c r="K99" s="528">
        <f>'Schedule 1'!H98</f>
        <v>11211.918116451105</v>
      </c>
      <c r="N99" s="184">
        <f t="shared" si="8"/>
        <v>403629.05219223979</v>
      </c>
      <c r="O99" s="184">
        <f>'[2]Schedule 4'!$G$7</f>
        <v>7073.2912115584331</v>
      </c>
      <c r="P99">
        <f t="shared" si="9"/>
        <v>212198.73634675299</v>
      </c>
      <c r="R99" s="184">
        <f t="shared" si="10"/>
        <v>615827.78853899275</v>
      </c>
    </row>
    <row r="100" spans="1:18" ht="31.5">
      <c r="A100" s="574">
        <v>93</v>
      </c>
      <c r="B100" s="573" t="s">
        <v>1175</v>
      </c>
      <c r="C100" s="545" t="s">
        <v>1164</v>
      </c>
      <c r="D100" s="1184">
        <f t="shared" si="6"/>
        <v>7780.9479853545117</v>
      </c>
      <c r="E100" s="557">
        <f t="shared" si="7"/>
        <v>7780.9479853545117</v>
      </c>
      <c r="I100" s="593">
        <f>'Таблиця цін схема №2'!IG64</f>
        <v>6484.1233211287599</v>
      </c>
      <c r="K100" s="528">
        <f>'Schedule 1'!H99</f>
        <v>6484.1233211287599</v>
      </c>
      <c r="N100" s="184">
        <f t="shared" si="8"/>
        <v>233428.43956063536</v>
      </c>
      <c r="O100" s="184">
        <f>'[2]Schedule 4'!$G$7</f>
        <v>7073.2912115584331</v>
      </c>
      <c r="P100">
        <f t="shared" si="9"/>
        <v>212198.73634675299</v>
      </c>
      <c r="R100" s="184">
        <f t="shared" si="10"/>
        <v>445627.17590738833</v>
      </c>
    </row>
    <row r="101" spans="1:18" ht="31.5">
      <c r="A101" s="574">
        <v>94</v>
      </c>
      <c r="B101" s="573" t="s">
        <v>1174</v>
      </c>
      <c r="C101" s="545" t="s">
        <v>1164</v>
      </c>
      <c r="D101" s="1184">
        <f t="shared" si="6"/>
        <v>6505.0233537267241</v>
      </c>
      <c r="E101" s="557">
        <f t="shared" si="7"/>
        <v>6505.0233537267241</v>
      </c>
      <c r="I101" s="593">
        <f>'Таблиця цін схема №3'!FA11</f>
        <v>5420.8527947722705</v>
      </c>
      <c r="K101" s="528">
        <f>'Schedule 1'!H100</f>
        <v>5420.8527947722705</v>
      </c>
      <c r="N101" s="184">
        <f t="shared" si="8"/>
        <v>195150.70061180173</v>
      </c>
      <c r="O101" s="184">
        <f>'[2]Schedule 4'!$G$7</f>
        <v>7073.2912115584331</v>
      </c>
      <c r="P101">
        <f t="shared" si="9"/>
        <v>212198.73634675299</v>
      </c>
      <c r="R101" s="184">
        <f t="shared" si="10"/>
        <v>407349.43695855472</v>
      </c>
    </row>
    <row r="102" spans="1:18" ht="31.5">
      <c r="A102" s="574">
        <v>95</v>
      </c>
      <c r="B102" s="573" t="s">
        <v>1173</v>
      </c>
      <c r="C102" s="545" t="s">
        <v>1164</v>
      </c>
      <c r="D102" s="1184">
        <f t="shared" si="6"/>
        <v>8127.5758199104766</v>
      </c>
      <c r="E102" s="557">
        <f t="shared" si="7"/>
        <v>8127.5758199104766</v>
      </c>
      <c r="I102" s="593">
        <f>'Таблиця цін схема №2'!IG65</f>
        <v>6772.9798499253975</v>
      </c>
      <c r="K102" s="528">
        <f>'Schedule 1'!H101</f>
        <v>6772.9798499253975</v>
      </c>
      <c r="N102" s="184">
        <f t="shared" si="8"/>
        <v>243827.2745973143</v>
      </c>
      <c r="O102" s="184">
        <f>'[2]Schedule 4'!$G$7</f>
        <v>7073.2912115584331</v>
      </c>
      <c r="P102">
        <f t="shared" si="9"/>
        <v>212198.73634675299</v>
      </c>
      <c r="R102" s="184">
        <f t="shared" si="10"/>
        <v>456026.01094406727</v>
      </c>
    </row>
    <row r="103" spans="1:18" ht="31.5">
      <c r="A103" s="574">
        <v>96</v>
      </c>
      <c r="B103" s="573" t="s">
        <v>1172</v>
      </c>
      <c r="C103" s="545" t="s">
        <v>1164</v>
      </c>
      <c r="D103" s="1184">
        <f t="shared" si="6"/>
        <v>9145.4138783753351</v>
      </c>
      <c r="E103" s="557">
        <f t="shared" si="7"/>
        <v>9145.4138783753351</v>
      </c>
      <c r="I103" s="593">
        <f>'Таблиця цін схема №2'!IG66</f>
        <v>7621.1782319794456</v>
      </c>
      <c r="K103" s="528">
        <f>'Schedule 1'!H102</f>
        <v>7621.1782319794456</v>
      </c>
      <c r="N103" s="184">
        <f t="shared" si="8"/>
        <v>274362.41635126004</v>
      </c>
      <c r="O103" s="184">
        <f>'[2]Schedule 4'!$G$7</f>
        <v>7073.2912115584331</v>
      </c>
      <c r="P103">
        <f t="shared" si="9"/>
        <v>212198.73634675299</v>
      </c>
      <c r="R103" s="184">
        <f t="shared" si="10"/>
        <v>486561.152698013</v>
      </c>
    </row>
    <row r="104" spans="1:18" ht="31.5">
      <c r="A104" s="574">
        <v>97</v>
      </c>
      <c r="B104" s="573" t="s">
        <v>1171</v>
      </c>
      <c r="C104" s="545" t="s">
        <v>1164</v>
      </c>
      <c r="D104" s="1184">
        <f t="shared" si="6"/>
        <v>8503.1486874684506</v>
      </c>
      <c r="E104" s="557">
        <f t="shared" si="7"/>
        <v>8503.1486874684506</v>
      </c>
      <c r="I104" s="593">
        <f>'Таблиця цін схема №2'!IG67</f>
        <v>7085.9572395570431</v>
      </c>
      <c r="K104" s="528">
        <f>'Schedule 1'!H103</f>
        <v>7085.9572395570431</v>
      </c>
      <c r="N104" s="184">
        <f t="shared" si="8"/>
        <v>255094.46062405352</v>
      </c>
      <c r="O104" s="184">
        <f>'[2]Schedule 4'!$G$7</f>
        <v>7073.2912115584331</v>
      </c>
      <c r="P104">
        <f t="shared" si="9"/>
        <v>212198.73634675299</v>
      </c>
      <c r="R104" s="184">
        <f t="shared" si="10"/>
        <v>467293.19697080652</v>
      </c>
    </row>
    <row r="105" spans="1:18" ht="31.5">
      <c r="A105" s="574">
        <v>98</v>
      </c>
      <c r="B105" s="573" t="s">
        <v>1170</v>
      </c>
      <c r="C105" s="545" t="s">
        <v>1164</v>
      </c>
      <c r="D105" s="1184">
        <f t="shared" si="6"/>
        <v>7924.9295282478442</v>
      </c>
      <c r="E105" s="557">
        <f t="shared" si="7"/>
        <v>7924.9295282478442</v>
      </c>
      <c r="I105" s="593">
        <f>'Таблиця цін схема №2'!IG68</f>
        <v>6604.107940206537</v>
      </c>
      <c r="K105" s="528">
        <f>'Schedule 1'!H104</f>
        <v>6604.107940206537</v>
      </c>
      <c r="N105" s="184">
        <f t="shared" si="8"/>
        <v>237747.88584743533</v>
      </c>
      <c r="O105" s="184">
        <f>'[2]Schedule 4'!$G$7</f>
        <v>7073.2912115584331</v>
      </c>
      <c r="P105">
        <f t="shared" si="9"/>
        <v>212198.73634675299</v>
      </c>
      <c r="R105" s="184">
        <f t="shared" si="10"/>
        <v>449946.6221941883</v>
      </c>
    </row>
    <row r="106" spans="1:18" ht="31.5">
      <c r="A106" s="574">
        <v>99</v>
      </c>
      <c r="B106" s="573" t="s">
        <v>1169</v>
      </c>
      <c r="C106" s="545" t="s">
        <v>1164</v>
      </c>
      <c r="D106" s="1184">
        <f t="shared" si="6"/>
        <v>8403.3867552044885</v>
      </c>
      <c r="E106" s="557">
        <f t="shared" si="7"/>
        <v>8403.3867552044885</v>
      </c>
      <c r="I106" s="593">
        <f>'Таблиця цін схема №2'!IG69</f>
        <v>7002.8222960037401</v>
      </c>
      <c r="K106" s="528">
        <f>'Schedule 1'!H105</f>
        <v>7002.8222960037401</v>
      </c>
      <c r="N106" s="184">
        <f t="shared" si="8"/>
        <v>252101.60265613467</v>
      </c>
      <c r="O106" s="184">
        <f>'[2]Schedule 4'!$G$7</f>
        <v>7073.2912115584331</v>
      </c>
      <c r="P106">
        <f t="shared" si="9"/>
        <v>212198.73634675299</v>
      </c>
      <c r="R106" s="184">
        <f t="shared" si="10"/>
        <v>464300.33900288766</v>
      </c>
    </row>
    <row r="107" spans="1:18">
      <c r="A107" s="574">
        <v>100</v>
      </c>
      <c r="B107" s="573" t="s">
        <v>1168</v>
      </c>
      <c r="C107" s="545" t="s">
        <v>1164</v>
      </c>
      <c r="D107" s="1184">
        <f t="shared" si="6"/>
        <v>7789.6872665991586</v>
      </c>
      <c r="E107" s="557">
        <f t="shared" si="7"/>
        <v>7789.6872665991586</v>
      </c>
      <c r="I107" s="593">
        <f>'Таблиця цін схема №2'!IG70</f>
        <v>6491.4060554992993</v>
      </c>
      <c r="K107" s="528">
        <f>'Schedule 1'!H106</f>
        <v>6491.4060554992993</v>
      </c>
      <c r="N107" s="184">
        <f t="shared" si="8"/>
        <v>233690.61799797477</v>
      </c>
      <c r="O107" s="184">
        <f>'[2]Schedule 4'!$G$7</f>
        <v>7073.2912115584331</v>
      </c>
      <c r="P107">
        <f t="shared" si="9"/>
        <v>212198.73634675299</v>
      </c>
      <c r="R107" s="184">
        <f t="shared" si="10"/>
        <v>445889.35434472776</v>
      </c>
    </row>
    <row r="108" spans="1:18">
      <c r="A108" s="574">
        <v>101</v>
      </c>
      <c r="B108" s="573" t="s">
        <v>1167</v>
      </c>
      <c r="C108" s="545" t="s">
        <v>1164</v>
      </c>
      <c r="D108" s="1184">
        <f t="shared" si="6"/>
        <v>7789.6872665991586</v>
      </c>
      <c r="E108" s="557">
        <f t="shared" si="7"/>
        <v>7789.6872665991586</v>
      </c>
      <c r="I108" s="593">
        <f>'Таблиця цін схема №2'!IG71</f>
        <v>6491.4060554992993</v>
      </c>
      <c r="K108" s="528">
        <f>'Schedule 1'!H107</f>
        <v>6491.4060554992993</v>
      </c>
      <c r="N108" s="184">
        <f t="shared" si="8"/>
        <v>233690.61799797477</v>
      </c>
      <c r="O108" s="184">
        <f>'[2]Schedule 4'!$G$7</f>
        <v>7073.2912115584331</v>
      </c>
      <c r="P108">
        <f t="shared" si="9"/>
        <v>212198.73634675299</v>
      </c>
      <c r="R108" s="184">
        <f t="shared" si="10"/>
        <v>445889.35434472776</v>
      </c>
    </row>
    <row r="109" spans="1:18" ht="31.5">
      <c r="A109" s="574">
        <v>102</v>
      </c>
      <c r="B109" s="573" t="s">
        <v>1166</v>
      </c>
      <c r="C109" s="545" t="s">
        <v>1164</v>
      </c>
      <c r="D109" s="1184">
        <f t="shared" si="6"/>
        <v>8697.5749086597789</v>
      </c>
      <c r="E109" s="557">
        <f t="shared" si="7"/>
        <v>8697.5749086597789</v>
      </c>
      <c r="I109" s="593">
        <f>'Таблиця цін схема №2'!IG72</f>
        <v>7247.9790905498157</v>
      </c>
      <c r="K109" s="528">
        <f>'Schedule 1'!H108</f>
        <v>7247.9790905498157</v>
      </c>
      <c r="N109" s="184">
        <f t="shared" si="8"/>
        <v>260927.24725979337</v>
      </c>
      <c r="O109" s="184">
        <f>'[2]Schedule 4'!$G$7</f>
        <v>7073.2912115584331</v>
      </c>
      <c r="P109">
        <f t="shared" si="9"/>
        <v>212198.73634675299</v>
      </c>
      <c r="R109" s="184">
        <f t="shared" si="10"/>
        <v>473125.98360654636</v>
      </c>
    </row>
    <row r="110" spans="1:18">
      <c r="A110" s="574">
        <v>103</v>
      </c>
      <c r="B110" s="573" t="s">
        <v>1165</v>
      </c>
      <c r="C110" s="545" t="s">
        <v>1164</v>
      </c>
      <c r="D110" s="1184">
        <f t="shared" si="6"/>
        <v>8245.3502058568683</v>
      </c>
      <c r="E110" s="557">
        <f t="shared" si="7"/>
        <v>8245.3502058568683</v>
      </c>
      <c r="I110" s="593">
        <f>'Таблиця цін схема №2'!IG73</f>
        <v>6871.12517154739</v>
      </c>
      <c r="K110" s="528">
        <f>'Schedule 1'!H109</f>
        <v>6871.12517154739</v>
      </c>
      <c r="N110" s="184">
        <f t="shared" si="8"/>
        <v>247360.50617570605</v>
      </c>
      <c r="O110" s="184">
        <f>'[2]Schedule 4'!$G$7</f>
        <v>7073.2912115584331</v>
      </c>
      <c r="P110">
        <f t="shared" si="9"/>
        <v>212198.73634675299</v>
      </c>
      <c r="R110" s="184">
        <f t="shared" si="10"/>
        <v>459559.24252245901</v>
      </c>
    </row>
    <row r="111" spans="1:18" ht="31.5">
      <c r="A111" s="574">
        <v>104</v>
      </c>
      <c r="B111" s="573" t="s">
        <v>1163</v>
      </c>
      <c r="C111" s="545" t="s">
        <v>1162</v>
      </c>
      <c r="D111" s="557">
        <f>[2]Расходы!$C$191/'[2]Расчеты услуги'!$F$2</f>
        <v>14.063783275788095</v>
      </c>
      <c r="E111" s="557">
        <f>D111*103</f>
        <v>1448.5696774061739</v>
      </c>
    </row>
    <row r="112" spans="1:18">
      <c r="A112" s="574" t="s">
        <v>1274</v>
      </c>
      <c r="B112" s="1476" t="s">
        <v>1275</v>
      </c>
      <c r="C112" s="1476"/>
      <c r="D112" s="1476"/>
      <c r="E112" s="557">
        <f>SUM(E8:E111)</f>
        <v>1327796.0586475735</v>
      </c>
    </row>
    <row r="113" spans="1:5">
      <c r="A113" s="574" t="s">
        <v>1276</v>
      </c>
      <c r="B113" s="1476" t="s">
        <v>1277</v>
      </c>
      <c r="C113" s="1476"/>
      <c r="D113" s="1476"/>
      <c r="E113" s="557">
        <f>E112/6</f>
        <v>221299.3431079289</v>
      </c>
    </row>
    <row r="114" spans="1:5">
      <c r="A114" s="553"/>
      <c r="B114" s="553"/>
      <c r="C114" s="585"/>
      <c r="D114" s="1173"/>
      <c r="E114" s="1173"/>
    </row>
    <row r="115" spans="1:5">
      <c r="A115" s="552" t="s">
        <v>1160</v>
      </c>
      <c r="B115" s="571"/>
      <c r="C115" s="551"/>
      <c r="D115" s="551"/>
      <c r="E115" s="567"/>
    </row>
    <row r="116" spans="1:5">
      <c r="A116" s="550"/>
      <c r="B116" s="571"/>
      <c r="C116" s="551"/>
      <c r="D116" s="571"/>
      <c r="E116" s="571"/>
    </row>
    <row r="117" spans="1:5">
      <c r="A117" s="552" t="s">
        <v>1159</v>
      </c>
      <c r="B117" s="571"/>
      <c r="C117" s="551"/>
      <c r="D117" s="571"/>
      <c r="E117" s="571"/>
    </row>
    <row r="118" spans="1:5">
      <c r="A118" s="552"/>
      <c r="B118" s="571"/>
      <c r="C118" s="551"/>
      <c r="D118" s="551"/>
      <c r="E118" s="567"/>
    </row>
    <row r="119" spans="1:5">
      <c r="A119" s="1475" t="s">
        <v>1139</v>
      </c>
      <c r="B119" s="1475"/>
      <c r="C119" s="551"/>
      <c r="D119" s="551"/>
      <c r="E119" s="567"/>
    </row>
    <row r="120" spans="1:5">
      <c r="A120" s="1475"/>
      <c r="B120" s="1475"/>
      <c r="C120" s="551"/>
      <c r="D120" s="551"/>
      <c r="E120" s="567"/>
    </row>
    <row r="121" spans="1:5">
      <c r="A121" s="1475"/>
      <c r="B121" s="1475"/>
      <c r="C121" s="551"/>
      <c r="D121" s="551"/>
      <c r="E121" s="567"/>
    </row>
    <row r="122" spans="1:5">
      <c r="A122" s="586"/>
      <c r="B122" s="586"/>
      <c r="C122" s="551"/>
      <c r="D122" s="551"/>
      <c r="E122" s="567"/>
    </row>
    <row r="123" spans="1:5">
      <c r="A123" s="586"/>
      <c r="B123" s="586"/>
      <c r="C123" s="551"/>
      <c r="D123" s="551"/>
      <c r="E123" s="567"/>
    </row>
    <row r="124" spans="1:5">
      <c r="A124" s="587"/>
      <c r="B124" s="587"/>
      <c r="C124" s="588"/>
      <c r="D124" s="551"/>
      <c r="E124" s="1185"/>
    </row>
    <row r="125" spans="1:5" hidden="1">
      <c r="A125" s="587"/>
      <c r="B125" s="587"/>
      <c r="C125" s="588"/>
      <c r="D125" s="551"/>
      <c r="E125" s="1185"/>
    </row>
    <row r="126" spans="1:5" ht="18.75" hidden="1">
      <c r="A126" s="589" t="s">
        <v>1278</v>
      </c>
      <c r="B126" s="590"/>
      <c r="C126" s="590"/>
      <c r="D126" s="568"/>
      <c r="E126" s="590"/>
    </row>
    <row r="127" spans="1:5">
      <c r="A127" s="591"/>
      <c r="B127" s="591"/>
      <c r="C127" s="591"/>
      <c r="D127" s="567"/>
      <c r="E127" s="1186"/>
    </row>
    <row r="128" spans="1:5">
      <c r="A128" s="591"/>
      <c r="B128" s="591"/>
      <c r="C128" s="591"/>
      <c r="D128" s="1187" t="s">
        <v>1288</v>
      </c>
      <c r="E128" s="1188">
        <f>'Таблиця цін схема №3'!FA15+'Таблиця цін схема №2'!IG78+'Таблиця цін схема №1'!JS43</f>
        <v>1105289.574141806</v>
      </c>
    </row>
    <row r="129" spans="4:5">
      <c r="D129" s="1189"/>
      <c r="E129" s="1190">
        <f>SUM(E8:E110)/1.2</f>
        <v>1105289.574141806</v>
      </c>
    </row>
  </sheetData>
  <autoFilter ref="A7:R7"/>
  <mergeCells count="4">
    <mergeCell ref="B112:D112"/>
    <mergeCell ref="B113:D113"/>
    <mergeCell ref="A119:B121"/>
    <mergeCell ref="A4:E4"/>
  </mergeCells>
  <pageMargins left="0.70866141732283472" right="0" top="0.35433070866141736" bottom="0.35433070866141736" header="0.31496062992125984" footer="0.31496062992125984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167"/>
  <sheetViews>
    <sheetView topLeftCell="A127" workbookViewId="0">
      <selection activeCell="M156" sqref="M156"/>
    </sheetView>
  </sheetViews>
  <sheetFormatPr defaultRowHeight="12.75"/>
  <cols>
    <col min="1" max="1" width="5.85546875" customWidth="1"/>
    <col min="2" max="2" width="73.85546875" customWidth="1"/>
    <col min="4" max="4" width="11.5703125" customWidth="1"/>
    <col min="5" max="5" width="11.140625" customWidth="1"/>
    <col min="6" max="6" width="12.85546875" customWidth="1"/>
  </cols>
  <sheetData>
    <row r="4" spans="1:8" ht="18.75">
      <c r="A4" s="536" t="s">
        <v>1127</v>
      </c>
      <c r="B4" s="537"/>
      <c r="C4" s="537"/>
      <c r="D4" s="537"/>
      <c r="E4" s="537"/>
      <c r="F4" s="537"/>
    </row>
    <row r="5" spans="1:8" ht="15.75">
      <c r="A5" s="263"/>
      <c r="B5" s="263"/>
      <c r="C5" s="263"/>
      <c r="D5" s="263"/>
      <c r="E5" s="263"/>
      <c r="F5" s="263"/>
    </row>
    <row r="6" spans="1:8" ht="15.75">
      <c r="A6" s="538" t="s">
        <v>687</v>
      </c>
      <c r="B6" s="530" t="s">
        <v>688</v>
      </c>
      <c r="C6" s="538" t="s">
        <v>607</v>
      </c>
      <c r="D6" s="1479" t="s">
        <v>1128</v>
      </c>
      <c r="E6" s="1480"/>
      <c r="F6" s="538" t="s">
        <v>1129</v>
      </c>
    </row>
    <row r="7" spans="1:8" ht="15.75">
      <c r="A7" s="1481"/>
      <c r="B7" s="562"/>
      <c r="C7" s="1481"/>
      <c r="D7" s="530" t="s">
        <v>1130</v>
      </c>
      <c r="E7" s="538" t="s">
        <v>1131</v>
      </c>
      <c r="F7" s="1478" t="s">
        <v>1145</v>
      </c>
    </row>
    <row r="8" spans="1:8" ht="47.25">
      <c r="A8" s="1481"/>
      <c r="B8" s="562"/>
      <c r="C8" s="1481"/>
      <c r="D8" s="539" t="s">
        <v>1132</v>
      </c>
      <c r="E8" s="540" t="s">
        <v>1146</v>
      </c>
      <c r="F8" s="1478"/>
    </row>
    <row r="9" spans="1:8" ht="31.5">
      <c r="A9" s="541"/>
      <c r="B9" s="542"/>
      <c r="C9" s="543">
        <v>1</v>
      </c>
      <c r="D9" s="544">
        <v>2</v>
      </c>
      <c r="E9" s="543">
        <v>3</v>
      </c>
      <c r="F9" s="543" t="s">
        <v>1133</v>
      </c>
    </row>
    <row r="10" spans="1:8" ht="15.75">
      <c r="A10" s="545">
        <v>1</v>
      </c>
      <c r="B10" s="546" t="str">
        <f>'Запасні частини'!M18</f>
        <v>Threaded screen filter, IVR 924 Dn20</v>
      </c>
      <c r="C10" s="547">
        <f>'Запасні частини'!N18</f>
        <v>3</v>
      </c>
      <c r="D10" s="548" t="s">
        <v>115</v>
      </c>
      <c r="E10" s="557">
        <f>'Запасні частини'!O18</f>
        <v>4.0019999999999998</v>
      </c>
      <c r="F10" s="557">
        <f>E10*C10</f>
        <v>12.006</v>
      </c>
      <c r="H10" s="596"/>
    </row>
    <row r="11" spans="1:8" ht="15.75">
      <c r="A11" s="545">
        <f>A10+1</f>
        <v>2</v>
      </c>
      <c r="B11" s="546" t="str">
        <f>'Запасні частини'!M19</f>
        <v>Threaded screen filter, IVR 924 Dn25</v>
      </c>
      <c r="C11" s="547">
        <f>'Запасні частини'!N19</f>
        <v>3</v>
      </c>
      <c r="D11" s="548" t="s">
        <v>115</v>
      </c>
      <c r="E11" s="557">
        <f>'Запасні частини'!O19</f>
        <v>5.4969999999999999</v>
      </c>
      <c r="F11" s="557">
        <f t="shared" ref="F11:F74" si="0">E11*C11</f>
        <v>16.491</v>
      </c>
      <c r="H11" s="596"/>
    </row>
    <row r="12" spans="1:8" ht="15.75">
      <c r="A12" s="545">
        <f t="shared" ref="A12:A75" si="1">A11+1</f>
        <v>3</v>
      </c>
      <c r="B12" s="546" t="str">
        <f>'Запасні частини'!M20</f>
        <v>Threaded screen filter, IVR 924 Dn32</v>
      </c>
      <c r="C12" s="547">
        <f>'Запасні частини'!N20</f>
        <v>2</v>
      </c>
      <c r="D12" s="548" t="s">
        <v>115</v>
      </c>
      <c r="E12" s="557">
        <f>'Запасні частини'!O20</f>
        <v>10.902000000000001</v>
      </c>
      <c r="F12" s="557">
        <f t="shared" si="0"/>
        <v>21.804000000000002</v>
      </c>
      <c r="H12" s="596"/>
    </row>
    <row r="13" spans="1:8" ht="15.75">
      <c r="A13" s="545">
        <f t="shared" si="1"/>
        <v>4</v>
      </c>
      <c r="B13" s="546" t="str">
        <f>'Запасні частини'!M21</f>
        <v>Threaded check valve, IVR 999/H Dn20</v>
      </c>
      <c r="C13" s="547">
        <f>'Запасні частини'!N21</f>
        <v>3</v>
      </c>
      <c r="D13" s="548" t="s">
        <v>115</v>
      </c>
      <c r="E13" s="557">
        <f>'Запасні частини'!O21</f>
        <v>6.4399999999999995</v>
      </c>
      <c r="F13" s="557">
        <f t="shared" si="0"/>
        <v>19.32</v>
      </c>
      <c r="H13" s="596"/>
    </row>
    <row r="14" spans="1:8" ht="15.75">
      <c r="A14" s="545">
        <f t="shared" si="1"/>
        <v>5</v>
      </c>
      <c r="B14" s="546" t="str">
        <f>'Запасні частини'!M22</f>
        <v>Threaded check valve, IVR 999/H Dn25</v>
      </c>
      <c r="C14" s="547">
        <f>'Запасні частини'!N22</f>
        <v>3</v>
      </c>
      <c r="D14" s="548" t="s">
        <v>115</v>
      </c>
      <c r="E14" s="557">
        <f>'Запасні частини'!O22</f>
        <v>9.8899999999999988</v>
      </c>
      <c r="F14" s="557">
        <f t="shared" si="0"/>
        <v>29.669999999999995</v>
      </c>
      <c r="H14" s="596"/>
    </row>
    <row r="15" spans="1:8" ht="15.75">
      <c r="A15" s="545">
        <f t="shared" si="1"/>
        <v>6</v>
      </c>
      <c r="B15" s="546" t="str">
        <f>'Запасні частини'!M23</f>
        <v>Threaded check valve, IVR 999/H Dn32</v>
      </c>
      <c r="C15" s="547">
        <f>'Запасні частини'!N23</f>
        <v>8</v>
      </c>
      <c r="D15" s="548" t="s">
        <v>115</v>
      </c>
      <c r="E15" s="557">
        <f>'Запасні частини'!O23</f>
        <v>15.295000000000002</v>
      </c>
      <c r="F15" s="557">
        <f t="shared" si="0"/>
        <v>122.36000000000001</v>
      </c>
      <c r="H15" s="596"/>
    </row>
    <row r="16" spans="1:8" ht="15.75">
      <c r="A16" s="545">
        <f t="shared" si="1"/>
        <v>7</v>
      </c>
      <c r="B16" s="546" t="str">
        <f>'Запасні частини'!M24</f>
        <v>Interflanged check valve, IVR 656 Dn40</v>
      </c>
      <c r="C16" s="547">
        <f>'Запасні частини'!N24</f>
        <v>3</v>
      </c>
      <c r="D16" s="548" t="s">
        <v>115</v>
      </c>
      <c r="E16" s="557">
        <f>'Запасні частини'!O24</f>
        <v>27.715000000000003</v>
      </c>
      <c r="F16" s="557">
        <f t="shared" si="0"/>
        <v>83.14500000000001</v>
      </c>
      <c r="H16" s="596"/>
    </row>
    <row r="17" spans="1:8" ht="15.75">
      <c r="A17" s="545">
        <f t="shared" si="1"/>
        <v>8</v>
      </c>
      <c r="B17" s="546" t="str">
        <f>'Запасні частини'!M25</f>
        <v>Interflanged check valve, IVR 656 Dn50</v>
      </c>
      <c r="C17" s="547">
        <f>'Запасні частини'!N25</f>
        <v>3</v>
      </c>
      <c r="D17" s="548" t="s">
        <v>115</v>
      </c>
      <c r="E17" s="557">
        <f>'Запасні частини'!O25</f>
        <v>38.869999999999997</v>
      </c>
      <c r="F17" s="557">
        <f t="shared" si="0"/>
        <v>116.60999999999999</v>
      </c>
      <c r="H17" s="596"/>
    </row>
    <row r="18" spans="1:8" ht="15.75">
      <c r="A18" s="545">
        <f t="shared" si="1"/>
        <v>9</v>
      </c>
      <c r="B18" s="546" t="str">
        <f>'Запасні частини'!M26</f>
        <v>Interflanged check valve, IVR 656 Dn65</v>
      </c>
      <c r="C18" s="547">
        <f>'Запасні частини'!N26</f>
        <v>5</v>
      </c>
      <c r="D18" s="548" t="s">
        <v>115</v>
      </c>
      <c r="E18" s="557">
        <f>'Запасні частини'!O26</f>
        <v>57.269999999999996</v>
      </c>
      <c r="F18" s="557">
        <f t="shared" si="0"/>
        <v>286.34999999999997</v>
      </c>
      <c r="H18" s="596"/>
    </row>
    <row r="19" spans="1:8" ht="15.75">
      <c r="A19" s="545">
        <f t="shared" si="1"/>
        <v>10</v>
      </c>
      <c r="B19" s="546" t="str">
        <f>'Запасні частини'!M27</f>
        <v>Interflanged check valve, IVR 656 Dn80</v>
      </c>
      <c r="C19" s="547">
        <f>'Запасні частини'!N27</f>
        <v>4</v>
      </c>
      <c r="D19" s="548" t="s">
        <v>115</v>
      </c>
      <c r="E19" s="557">
        <f>'Запасні частини'!O27</f>
        <v>81.764999999999986</v>
      </c>
      <c r="F19" s="557">
        <f t="shared" si="0"/>
        <v>327.05999999999995</v>
      </c>
      <c r="H19" s="596"/>
    </row>
    <row r="20" spans="1:8" ht="15.75">
      <c r="A20" s="545">
        <f t="shared" si="1"/>
        <v>11</v>
      </c>
      <c r="B20" s="546" t="str">
        <f>'Запасні частини'!M28</f>
        <v>Interflanged check valve, IVR 656 Dn100</v>
      </c>
      <c r="C20" s="547">
        <f>'Запасні частини'!N28</f>
        <v>1</v>
      </c>
      <c r="D20" s="548" t="s">
        <v>115</v>
      </c>
      <c r="E20" s="557">
        <f>'Запасні частини'!O28</f>
        <v>119.48500000000001</v>
      </c>
      <c r="F20" s="557">
        <f t="shared" si="0"/>
        <v>119.48500000000001</v>
      </c>
      <c r="H20" s="596"/>
    </row>
    <row r="21" spans="1:8" ht="15.75">
      <c r="A21" s="545">
        <f t="shared" si="1"/>
        <v>12</v>
      </c>
      <c r="B21" s="546" t="str">
        <f>'Запасні частини'!M29</f>
        <v>Interflanged check valve, IVR 656 Dn125</v>
      </c>
      <c r="C21" s="547">
        <f>'Запасні частини'!N29</f>
        <v>1</v>
      </c>
      <c r="D21" s="548" t="s">
        <v>115</v>
      </c>
      <c r="E21" s="557">
        <f>'Запасні частини'!O29</f>
        <v>247.59500000000003</v>
      </c>
      <c r="F21" s="557">
        <f t="shared" si="0"/>
        <v>247.59500000000003</v>
      </c>
      <c r="H21" s="596"/>
    </row>
    <row r="22" spans="1:8" ht="15.75">
      <c r="A22" s="545">
        <f t="shared" si="1"/>
        <v>13</v>
      </c>
      <c r="B22" s="546" t="str">
        <f>'Запасні частини'!M30</f>
        <v>Expansion tank with replaceable membrane, ROZ-NAVI  300 l</v>
      </c>
      <c r="C22" s="547">
        <f>'Запасні частини'!N30</f>
        <v>1</v>
      </c>
      <c r="D22" s="548" t="s">
        <v>115</v>
      </c>
      <c r="E22" s="557">
        <f>'Запасні частини'!O30</f>
        <v>245.58939999999998</v>
      </c>
      <c r="F22" s="557">
        <f t="shared" si="0"/>
        <v>245.58939999999998</v>
      </c>
      <c r="H22" s="596"/>
    </row>
    <row r="23" spans="1:8" ht="15.75">
      <c r="A23" s="545">
        <f t="shared" si="1"/>
        <v>14</v>
      </c>
      <c r="B23" s="546" t="str">
        <f>'Запасні частини'!M31</f>
        <v>Expansion tank with replaceable membrane, ROZ-NAVI  500 l</v>
      </c>
      <c r="C23" s="547">
        <f>'Запасні частини'!N31</f>
        <v>1</v>
      </c>
      <c r="D23" s="548" t="s">
        <v>115</v>
      </c>
      <c r="E23" s="557">
        <f>'Запасні частини'!O31</f>
        <v>402.04919999999998</v>
      </c>
      <c r="F23" s="557">
        <f t="shared" si="0"/>
        <v>402.04919999999998</v>
      </c>
      <c r="H23" s="596"/>
    </row>
    <row r="24" spans="1:8" ht="15.75">
      <c r="A24" s="545">
        <f t="shared" si="1"/>
        <v>15</v>
      </c>
      <c r="B24" s="546" t="str">
        <f>'Запасні частини'!M32</f>
        <v>Expansion tank with replaceable membrane, ROZ-NAVI  750 l</v>
      </c>
      <c r="C24" s="547">
        <f>'Запасні частини'!N32</f>
        <v>1</v>
      </c>
      <c r="D24" s="548" t="s">
        <v>115</v>
      </c>
      <c r="E24" s="557">
        <f>'Запасні частини'!O32</f>
        <v>606.87339999999995</v>
      </c>
      <c r="F24" s="557">
        <f t="shared" si="0"/>
        <v>606.87339999999995</v>
      </c>
      <c r="H24" s="596"/>
    </row>
    <row r="25" spans="1:8" ht="15.75">
      <c r="A25" s="545">
        <f t="shared" si="1"/>
        <v>16</v>
      </c>
      <c r="B25" s="546" t="str">
        <f>'Запасні частини'!M33</f>
        <v>Expansion tank with replaceable membrane, ROZ-NAVI  1000 l</v>
      </c>
      <c r="C25" s="547">
        <f>'Запасні частини'!N33</f>
        <v>1</v>
      </c>
      <c r="D25" s="548" t="s">
        <v>115</v>
      </c>
      <c r="E25" s="557">
        <f>'Запасні частини'!O33</f>
        <v>971.20029999999997</v>
      </c>
      <c r="F25" s="557">
        <f t="shared" si="0"/>
        <v>971.20029999999997</v>
      </c>
      <c r="H25" s="596"/>
    </row>
    <row r="26" spans="1:8" ht="15.75">
      <c r="A26" s="545">
        <f t="shared" si="1"/>
        <v>17</v>
      </c>
      <c r="B26" s="546" t="str">
        <f>'Запасні частини'!M34</f>
        <v>Threaded ball valve with electric drive 218, IVR 230 Dn20</v>
      </c>
      <c r="C26" s="547">
        <f>'Запасні частини'!N34</f>
        <v>1</v>
      </c>
      <c r="D26" s="548" t="s">
        <v>115</v>
      </c>
      <c r="E26" s="557">
        <f>'Запасні частини'!O34</f>
        <v>127.85538999999999</v>
      </c>
      <c r="F26" s="557">
        <f t="shared" si="0"/>
        <v>127.85538999999999</v>
      </c>
      <c r="H26" s="596"/>
    </row>
    <row r="27" spans="1:8" ht="15.75">
      <c r="A27" s="545">
        <f t="shared" si="1"/>
        <v>18</v>
      </c>
      <c r="B27" s="546" t="str">
        <f>'Запасні частини'!M35</f>
        <v>Threaded ball valve with electric drive 218, IVR 230 Dn25</v>
      </c>
      <c r="C27" s="547">
        <f>'Запасні частини'!N35</f>
        <v>2</v>
      </c>
      <c r="D27" s="548" t="s">
        <v>115</v>
      </c>
      <c r="E27" s="557">
        <f>'Запасні частини'!O35</f>
        <v>130.35272999999998</v>
      </c>
      <c r="F27" s="557">
        <f t="shared" si="0"/>
        <v>260.70545999999996</v>
      </c>
      <c r="H27" s="596"/>
    </row>
    <row r="28" spans="1:8" ht="15.75">
      <c r="A28" s="545">
        <f t="shared" si="1"/>
        <v>19</v>
      </c>
      <c r="B28" s="546" t="str">
        <f>'Запасні частини'!M36</f>
        <v>Safety valve,  adjustment range 0,1-1,2 Мpa, IVR (Valtec) 369 Dn15</v>
      </c>
      <c r="C28" s="547">
        <f>'Запасні частини'!N36</f>
        <v>1</v>
      </c>
      <c r="D28" s="548" t="s">
        <v>115</v>
      </c>
      <c r="E28" s="557">
        <f>'Запасні частини'!O36</f>
        <v>19.928350000000002</v>
      </c>
      <c r="F28" s="557">
        <f t="shared" si="0"/>
        <v>19.928350000000002</v>
      </c>
    </row>
    <row r="29" spans="1:8" ht="15.75">
      <c r="A29" s="545">
        <f t="shared" si="1"/>
        <v>20</v>
      </c>
      <c r="B29" s="546" t="str">
        <f>'Запасні частини'!M37</f>
        <v>Safety valve,  adjustment range 0,1-1,2 Мpa, IVR (Valtec) 369 Dn20</v>
      </c>
      <c r="C29" s="547">
        <f>'Запасні частини'!N37</f>
        <v>1</v>
      </c>
      <c r="D29" s="548" t="s">
        <v>115</v>
      </c>
      <c r="E29" s="557">
        <f>'Запасні частини'!O37</f>
        <v>24.577800000000003</v>
      </c>
      <c r="F29" s="557">
        <f t="shared" si="0"/>
        <v>24.577800000000003</v>
      </c>
    </row>
    <row r="30" spans="1:8" ht="15.75">
      <c r="A30" s="545">
        <f t="shared" si="1"/>
        <v>21</v>
      </c>
      <c r="B30" s="546" t="str">
        <f>'Запасні частини'!M38</f>
        <v>Safety valve,  adjustment range 0,1-1,2 Мpa, IVR (Valtec) 369 Dn25</v>
      </c>
      <c r="C30" s="547">
        <f>'Запасні частини'!N38</f>
        <v>3</v>
      </c>
      <c r="D30" s="548" t="s">
        <v>115</v>
      </c>
      <c r="E30" s="557">
        <f>'Запасні частини'!O38</f>
        <v>33.218899999999998</v>
      </c>
      <c r="F30" s="557">
        <f t="shared" si="0"/>
        <v>99.656700000000001</v>
      </c>
    </row>
    <row r="31" spans="1:8" ht="15.75">
      <c r="A31" s="545">
        <f t="shared" si="1"/>
        <v>22</v>
      </c>
      <c r="B31" s="546" t="str">
        <f>'Запасні частини'!M39</f>
        <v>Safety valve,  adjustment range 0,1-1,2 Мpa, IVR (Valtec) 369 Dn32</v>
      </c>
      <c r="C31" s="547">
        <f>'Запасні частини'!N39</f>
        <v>3</v>
      </c>
      <c r="D31" s="548" t="s">
        <v>115</v>
      </c>
      <c r="E31" s="557">
        <f>'Запасні частини'!O39</f>
        <v>50.351599999999998</v>
      </c>
      <c r="F31" s="557">
        <f t="shared" si="0"/>
        <v>151.0548</v>
      </c>
    </row>
    <row r="32" spans="1:8" ht="15.75">
      <c r="A32" s="545">
        <f t="shared" si="1"/>
        <v>23</v>
      </c>
      <c r="B32" s="546" t="str">
        <f>'Запасні частини'!M40</f>
        <v>Safety valve,  adjustment range 0,1-1,2 Мpa, IVR (Valtec) 369 Dn40</v>
      </c>
      <c r="C32" s="547">
        <f>'Запасні частини'!N40</f>
        <v>1</v>
      </c>
      <c r="D32" s="548" t="s">
        <v>115</v>
      </c>
      <c r="E32" s="557">
        <f>'Запасні частини'!O40</f>
        <v>64.569050000000004</v>
      </c>
      <c r="F32" s="557">
        <f t="shared" si="0"/>
        <v>64.569050000000004</v>
      </c>
    </row>
    <row r="33" spans="1:6" ht="15.75">
      <c r="A33" s="545">
        <f t="shared" si="1"/>
        <v>24</v>
      </c>
      <c r="B33" s="546" t="str">
        <f>'Запасні частини'!M41</f>
        <v>Safety valve,  adjustment range 0,1-1,2 Мpa, IVR (Valtec) 369 Dn50</v>
      </c>
      <c r="C33" s="547">
        <f>'Запасні частини'!N41</f>
        <v>1</v>
      </c>
      <c r="D33" s="548" t="s">
        <v>115</v>
      </c>
      <c r="E33" s="557">
        <f>'Запасні частини'!O41</f>
        <v>73.165300000000002</v>
      </c>
      <c r="F33" s="557">
        <f t="shared" si="0"/>
        <v>73.165300000000002</v>
      </c>
    </row>
    <row r="34" spans="1:6" ht="15.75">
      <c r="A34" s="545">
        <f t="shared" si="1"/>
        <v>25</v>
      </c>
      <c r="B34" s="546" t="str">
        <f>'Запасні частини'!M42</f>
        <v>Pump, WILO  Yonos PICO 25/1-8-130</v>
      </c>
      <c r="C34" s="547">
        <f>'Запасні частини'!N42</f>
        <v>1</v>
      </c>
      <c r="D34" s="548" t="s">
        <v>115</v>
      </c>
      <c r="E34" s="557">
        <f>'Запасні частини'!O42</f>
        <v>353.28</v>
      </c>
      <c r="F34" s="557">
        <f t="shared" si="0"/>
        <v>353.28</v>
      </c>
    </row>
    <row r="35" spans="1:6" ht="15.75">
      <c r="A35" s="545">
        <f t="shared" si="1"/>
        <v>26</v>
      </c>
      <c r="B35" s="546" t="str">
        <f>'Запасні частини'!M43</f>
        <v>Pump, WILO  Yonos MAXO 25/0,5-7 PN 10</v>
      </c>
      <c r="C35" s="547">
        <f>'Запасні частини'!N43</f>
        <v>1</v>
      </c>
      <c r="D35" s="548" t="s">
        <v>115</v>
      </c>
      <c r="E35" s="557">
        <f>'Запасні частини'!O43</f>
        <v>531.29999999999995</v>
      </c>
      <c r="F35" s="557">
        <f t="shared" si="0"/>
        <v>531.29999999999995</v>
      </c>
    </row>
    <row r="36" spans="1:6" ht="15.75">
      <c r="A36" s="545">
        <f t="shared" si="1"/>
        <v>27</v>
      </c>
      <c r="B36" s="546" t="str">
        <f>'Запасні частини'!M44</f>
        <v>Pump, WILO  Yonos MAXO 25/0,5-10 PN 10</v>
      </c>
      <c r="C36" s="547">
        <f>'Запасні частини'!N44</f>
        <v>1</v>
      </c>
      <c r="D36" s="548" t="s">
        <v>115</v>
      </c>
      <c r="E36" s="557">
        <f>'Запасні частини'!O44</f>
        <v>580.98</v>
      </c>
      <c r="F36" s="557">
        <f t="shared" si="0"/>
        <v>580.98</v>
      </c>
    </row>
    <row r="37" spans="1:6" ht="15.75">
      <c r="A37" s="545">
        <f t="shared" si="1"/>
        <v>28</v>
      </c>
      <c r="B37" s="546" t="str">
        <f>'Запасні частини'!M45</f>
        <v>Pump, WILO  Yonos MAXO 25/0,5-12 PN 10</v>
      </c>
      <c r="C37" s="547">
        <f>'Запасні частини'!N45</f>
        <v>2</v>
      </c>
      <c r="D37" s="548" t="s">
        <v>115</v>
      </c>
      <c r="E37" s="557">
        <f>'Запасні частини'!O45</f>
        <v>749.34</v>
      </c>
      <c r="F37" s="557">
        <f t="shared" si="0"/>
        <v>1498.68</v>
      </c>
    </row>
    <row r="38" spans="1:6" ht="15.75">
      <c r="A38" s="545">
        <f t="shared" si="1"/>
        <v>29</v>
      </c>
      <c r="B38" s="546" t="str">
        <f>'Запасні частини'!M46</f>
        <v>Pump, WILO  Yonos MAXO 30/0,5-12 PN 10</v>
      </c>
      <c r="C38" s="547">
        <f>'Запасні частини'!N46</f>
        <v>1</v>
      </c>
      <c r="D38" s="548" t="s">
        <v>115</v>
      </c>
      <c r="E38" s="557">
        <f>'Запасні частини'!O46</f>
        <v>855.6</v>
      </c>
      <c r="F38" s="557">
        <f t="shared" si="0"/>
        <v>855.6</v>
      </c>
    </row>
    <row r="39" spans="1:6" ht="15.75">
      <c r="A39" s="545">
        <f t="shared" si="1"/>
        <v>30</v>
      </c>
      <c r="B39" s="546" t="str">
        <f>'Запасні частини'!M47</f>
        <v>Pump, WILO  Yonos MAXO 40/0,5-8 PN 6/10</v>
      </c>
      <c r="C39" s="547">
        <f>'Запасні частини'!N47</f>
        <v>1</v>
      </c>
      <c r="D39" s="548" t="s">
        <v>115</v>
      </c>
      <c r="E39" s="557">
        <f>'Запасні частини'!O47</f>
        <v>847.31999999999994</v>
      </c>
      <c r="F39" s="557">
        <f t="shared" si="0"/>
        <v>847.31999999999994</v>
      </c>
    </row>
    <row r="40" spans="1:6" ht="15.75">
      <c r="A40" s="545">
        <f t="shared" si="1"/>
        <v>31</v>
      </c>
      <c r="B40" s="546" t="str">
        <f>'Запасні частини'!M48</f>
        <v>Pump, WILO  Yonos MAXO 40/0,5-12 PN 6/10</v>
      </c>
      <c r="C40" s="547">
        <f>'Запасні частини'!N48</f>
        <v>4</v>
      </c>
      <c r="D40" s="548" t="s">
        <v>115</v>
      </c>
      <c r="E40" s="557">
        <f>'Запасні частини'!O48</f>
        <v>1356.54</v>
      </c>
      <c r="F40" s="557">
        <f t="shared" si="0"/>
        <v>5426.16</v>
      </c>
    </row>
    <row r="41" spans="1:6" ht="15.75">
      <c r="A41" s="545">
        <f t="shared" si="1"/>
        <v>32</v>
      </c>
      <c r="B41" s="546" t="str">
        <f>'Запасні частини'!M49</f>
        <v>Pump, WILO  Yonos MAXO 40/0,5-16 PN 6/10</v>
      </c>
      <c r="C41" s="547">
        <f>'Запасні частини'!N49</f>
        <v>4</v>
      </c>
      <c r="D41" s="548" t="s">
        <v>115</v>
      </c>
      <c r="E41" s="557">
        <f>'Запасні частини'!O49</f>
        <v>1611.84</v>
      </c>
      <c r="F41" s="557">
        <f t="shared" si="0"/>
        <v>6447.36</v>
      </c>
    </row>
    <row r="42" spans="1:6" ht="15.75">
      <c r="A42" s="545">
        <f t="shared" si="1"/>
        <v>33</v>
      </c>
      <c r="B42" s="546" t="str">
        <f>'Запасні частини'!M50</f>
        <v>Pump, WILO  Yonos MAXO 50/0,5-12 PN 6/10</v>
      </c>
      <c r="C42" s="547">
        <f>'Запасні частини'!N50</f>
        <v>4</v>
      </c>
      <c r="D42" s="548" t="s">
        <v>115</v>
      </c>
      <c r="E42" s="557">
        <f>'Запасні частини'!O50</f>
        <v>1356.54</v>
      </c>
      <c r="F42" s="557">
        <f t="shared" si="0"/>
        <v>5426.16</v>
      </c>
    </row>
    <row r="43" spans="1:6" ht="15.75">
      <c r="A43" s="545">
        <f t="shared" si="1"/>
        <v>34</v>
      </c>
      <c r="B43" s="546" t="str">
        <f>'Запасні частини'!M51</f>
        <v>Pump, WILO  Yonos MAXO 50/0,5-16 PN 6/10</v>
      </c>
      <c r="C43" s="547">
        <f>'Запасні частини'!N51</f>
        <v>1</v>
      </c>
      <c r="D43" s="548" t="s">
        <v>115</v>
      </c>
      <c r="E43" s="557">
        <f>'Запасні частини'!O51</f>
        <v>1824.36</v>
      </c>
      <c r="F43" s="557">
        <f t="shared" si="0"/>
        <v>1824.36</v>
      </c>
    </row>
    <row r="44" spans="1:6" ht="15.75">
      <c r="A44" s="545">
        <f t="shared" si="1"/>
        <v>35</v>
      </c>
      <c r="B44" s="546" t="str">
        <f>'Запасні частини'!M52</f>
        <v>Pump, WILO  Yonos MAXO 65/0,5-12 PN 6/10</v>
      </c>
      <c r="C44" s="547">
        <f>'Запасні частини'!N52</f>
        <v>1</v>
      </c>
      <c r="D44" s="548" t="s">
        <v>115</v>
      </c>
      <c r="E44" s="557">
        <f>'Запасні частини'!O52</f>
        <v>1651.86</v>
      </c>
      <c r="F44" s="557">
        <f t="shared" si="0"/>
        <v>1651.86</v>
      </c>
    </row>
    <row r="45" spans="1:6" ht="15.75">
      <c r="A45" s="545">
        <f t="shared" si="1"/>
        <v>36</v>
      </c>
      <c r="B45" s="546" t="str">
        <f>'Запасні частини'!M53</f>
        <v>Pump, WILO  Yonos MAXO 65/0,5-16 PN 6/10</v>
      </c>
      <c r="C45" s="547">
        <f>'Запасні частини'!N53</f>
        <v>1</v>
      </c>
      <c r="D45" s="548" t="s">
        <v>115</v>
      </c>
      <c r="E45" s="557">
        <f>'Запасні частини'!O53</f>
        <v>1883.7</v>
      </c>
      <c r="F45" s="557">
        <f t="shared" si="0"/>
        <v>1883.7</v>
      </c>
    </row>
    <row r="46" spans="1:6" ht="15.75">
      <c r="A46" s="545">
        <f t="shared" si="1"/>
        <v>37</v>
      </c>
      <c r="B46" s="546" t="str">
        <f>'Запасні частини'!M54</f>
        <v>Pump, WILO  TOP-Z 25/6 3- PN 10</v>
      </c>
      <c r="C46" s="547">
        <f>'Запасні частини'!N54</f>
        <v>1</v>
      </c>
      <c r="D46" s="548" t="s">
        <v>115</v>
      </c>
      <c r="E46" s="557">
        <f>'Запасні частини'!O54</f>
        <v>481.62</v>
      </c>
      <c r="F46" s="557">
        <f t="shared" si="0"/>
        <v>481.62</v>
      </c>
    </row>
    <row r="47" spans="1:6" ht="15.75">
      <c r="A47" s="545">
        <f t="shared" si="1"/>
        <v>38</v>
      </c>
      <c r="B47" s="546" t="str">
        <f>'Запасні частини'!M55</f>
        <v>Pump, WILO  TOP-Z 25/10 3- PN 10</v>
      </c>
      <c r="C47" s="547">
        <f>'Запасні частини'!N55</f>
        <v>8</v>
      </c>
      <c r="D47" s="548" t="s">
        <v>115</v>
      </c>
      <c r="E47" s="557">
        <f>'Запасні частини'!O55</f>
        <v>843.18</v>
      </c>
      <c r="F47" s="557">
        <f t="shared" si="0"/>
        <v>6745.44</v>
      </c>
    </row>
    <row r="48" spans="1:6" ht="15.75">
      <c r="A48" s="545">
        <f t="shared" si="1"/>
        <v>39</v>
      </c>
      <c r="B48" s="546" t="str">
        <f>'Запасні частини'!M56</f>
        <v>Pump, WILO  TOP-Z 65/10 3- GG PN 6/10</v>
      </c>
      <c r="C48" s="547">
        <f>'Запасні частини'!N56</f>
        <v>1</v>
      </c>
      <c r="D48" s="548" t="s">
        <v>115</v>
      </c>
      <c r="E48" s="557">
        <f>'Запасні частини'!O56</f>
        <v>1798.1399999999999</v>
      </c>
      <c r="F48" s="557">
        <f t="shared" si="0"/>
        <v>1798.1399999999999</v>
      </c>
    </row>
    <row r="49" spans="1:8" ht="15.75">
      <c r="A49" s="545">
        <f t="shared" si="1"/>
        <v>40</v>
      </c>
      <c r="B49" s="546" t="str">
        <f>'Запасні частини'!M57</f>
        <v>Pump, WILO  Star-Z 20/7 3- PN 10</v>
      </c>
      <c r="C49" s="547">
        <f>'Запасні частини'!N57</f>
        <v>1</v>
      </c>
      <c r="D49" s="548" t="s">
        <v>115</v>
      </c>
      <c r="E49" s="557">
        <f>'Запасні частини'!O57</f>
        <v>151.80000000000001</v>
      </c>
      <c r="F49" s="557">
        <f t="shared" si="0"/>
        <v>151.80000000000001</v>
      </c>
    </row>
    <row r="50" spans="1:8" ht="15.75">
      <c r="A50" s="545">
        <f t="shared" si="1"/>
        <v>41</v>
      </c>
      <c r="B50" s="546" t="str">
        <f>'Запасні частини'!M58</f>
        <v>Flood pump , WILO  TМW32/8</v>
      </c>
      <c r="C50" s="547">
        <f>'Запасні частини'!N58</f>
        <v>10</v>
      </c>
      <c r="D50" s="548" t="s">
        <v>115</v>
      </c>
      <c r="E50" s="557">
        <f>'Запасні частини'!O58</f>
        <v>179.4</v>
      </c>
      <c r="F50" s="557">
        <f t="shared" si="0"/>
        <v>1794</v>
      </c>
    </row>
    <row r="51" spans="1:8" ht="15.75">
      <c r="A51" s="545">
        <f t="shared" si="1"/>
        <v>42</v>
      </c>
      <c r="B51" s="546" t="str">
        <f>'Запасні частини'!M59</f>
        <v>Hot water flow meter, threaded with pulsed output , Apator js90-2.5NK Dn20</v>
      </c>
      <c r="C51" s="547">
        <f>'Запасні частини'!N59</f>
        <v>1</v>
      </c>
      <c r="D51" s="548" t="s">
        <v>115</v>
      </c>
      <c r="E51" s="557">
        <f>'Запасні частини'!O59</f>
        <v>34.145684999999993</v>
      </c>
      <c r="F51" s="557">
        <f t="shared" si="0"/>
        <v>34.145684999999993</v>
      </c>
      <c r="H51" s="596"/>
    </row>
    <row r="52" spans="1:8" ht="15.75">
      <c r="A52" s="545">
        <f t="shared" si="1"/>
        <v>43</v>
      </c>
      <c r="B52" s="546" t="str">
        <f>'Запасні частини'!M60</f>
        <v>Hot water flow meter, threaded with pulsed output , Apator js130-3.5NK Dn25</v>
      </c>
      <c r="C52" s="547">
        <f>'Запасні частини'!N60</f>
        <v>2</v>
      </c>
      <c r="D52" s="548" t="s">
        <v>115</v>
      </c>
      <c r="E52" s="557">
        <f>'Запасні частини'!O60</f>
        <v>129.26580749999999</v>
      </c>
      <c r="F52" s="557">
        <f t="shared" si="0"/>
        <v>258.53161499999999</v>
      </c>
      <c r="H52" s="596"/>
    </row>
    <row r="53" spans="1:8" ht="15.75">
      <c r="A53" s="545">
        <f t="shared" si="1"/>
        <v>44</v>
      </c>
      <c r="B53" s="546" t="str">
        <f>'Запасні частини'!M61</f>
        <v>Threaded vibration damper, VITECH V.I.T. АB-G Dn20</v>
      </c>
      <c r="C53" s="547">
        <f>'Запасні частини'!N61</f>
        <v>4</v>
      </c>
      <c r="D53" s="548" t="s">
        <v>115</v>
      </c>
      <c r="E53" s="557">
        <f>'Запасні частини'!O61</f>
        <v>19.751249999999995</v>
      </c>
      <c r="F53" s="557">
        <f t="shared" si="0"/>
        <v>79.004999999999981</v>
      </c>
    </row>
    <row r="54" spans="1:8" ht="15.75">
      <c r="A54" s="545">
        <f t="shared" si="1"/>
        <v>45</v>
      </c>
      <c r="B54" s="546" t="str">
        <f>'Запасні частини'!M62</f>
        <v>Threaded vibration damper, VITECH V.I.T. АB-G Dn25</v>
      </c>
      <c r="C54" s="547">
        <f>'Запасні частини'!N62</f>
        <v>2</v>
      </c>
      <c r="D54" s="548" t="s">
        <v>115</v>
      </c>
      <c r="E54" s="557">
        <f>'Запасні частини'!O62</f>
        <v>19.751249999999995</v>
      </c>
      <c r="F54" s="557">
        <f t="shared" si="0"/>
        <v>39.502499999999991</v>
      </c>
    </row>
    <row r="55" spans="1:8" ht="15.75">
      <c r="A55" s="545">
        <f t="shared" si="1"/>
        <v>46</v>
      </c>
      <c r="B55" s="546" t="str">
        <f>'Запасні частини'!M63</f>
        <v>Threaded vibration damper, VITECH V.I.T. АB-G Dn32</v>
      </c>
      <c r="C55" s="547">
        <f>'Запасні частини'!N63</f>
        <v>10</v>
      </c>
      <c r="D55" s="548" t="s">
        <v>115</v>
      </c>
      <c r="E55" s="557">
        <f>'Запасні частини'!O63</f>
        <v>22.683750000000003</v>
      </c>
      <c r="F55" s="557">
        <f t="shared" si="0"/>
        <v>226.83750000000003</v>
      </c>
    </row>
    <row r="56" spans="1:8" ht="15.75">
      <c r="A56" s="545">
        <f t="shared" si="1"/>
        <v>47</v>
      </c>
      <c r="B56" s="546" t="str">
        <f>'Запасні частини'!M64</f>
        <v>Flanged vibration damper, VITECH V.I.T. АB-E Dn40</v>
      </c>
      <c r="C56" s="547">
        <f>'Запасні частини'!N64</f>
        <v>9</v>
      </c>
      <c r="D56" s="548" t="s">
        <v>115</v>
      </c>
      <c r="E56" s="557">
        <f>'Запасні частини'!O64</f>
        <v>28.997249999999994</v>
      </c>
      <c r="F56" s="557">
        <f t="shared" si="0"/>
        <v>260.97524999999996</v>
      </c>
    </row>
    <row r="57" spans="1:8" ht="15.75">
      <c r="A57" s="545">
        <f t="shared" si="1"/>
        <v>48</v>
      </c>
      <c r="B57" s="546" t="str">
        <f>'Запасні частини'!M65</f>
        <v>Flanged vibration damper, VITECH V.I.T. АB-E Dn50</v>
      </c>
      <c r="C57" s="547">
        <f>'Запасні частини'!N65</f>
        <v>11</v>
      </c>
      <c r="D57" s="548" t="s">
        <v>115</v>
      </c>
      <c r="E57" s="557">
        <f>'Запасні частини'!O65</f>
        <v>35.535000000000004</v>
      </c>
      <c r="F57" s="557">
        <f t="shared" si="0"/>
        <v>390.88500000000005</v>
      </c>
    </row>
    <row r="58" spans="1:8" ht="15.75">
      <c r="A58" s="545">
        <f t="shared" si="1"/>
        <v>49</v>
      </c>
      <c r="B58" s="546" t="str">
        <f>'Запасні частини'!M66</f>
        <v>Flanged vibration damper, VITECH V.I.T. АB-E Dn65</v>
      </c>
      <c r="C58" s="547">
        <f>'Запасні частини'!N66</f>
        <v>1</v>
      </c>
      <c r="D58" s="548" t="s">
        <v>115</v>
      </c>
      <c r="E58" s="557">
        <f>'Запасні частини'!O66</f>
        <v>45.419249999999998</v>
      </c>
      <c r="F58" s="557">
        <f t="shared" si="0"/>
        <v>45.419249999999998</v>
      </c>
    </row>
    <row r="59" spans="1:8" ht="15.75">
      <c r="A59" s="545">
        <f t="shared" si="1"/>
        <v>50</v>
      </c>
      <c r="B59" s="546" t="str">
        <f>'Запасні частини'!M67</f>
        <v>Flanged vibration damper, VITECH V.I.T. АB-E Dn80</v>
      </c>
      <c r="C59" s="547">
        <f>'Запасні частини'!N67</f>
        <v>1</v>
      </c>
      <c r="D59" s="548" t="s">
        <v>115</v>
      </c>
      <c r="E59" s="557">
        <f>'Запасні частини'!O67</f>
        <v>54.1995</v>
      </c>
      <c r="F59" s="557">
        <f t="shared" si="0"/>
        <v>54.1995</v>
      </c>
    </row>
    <row r="60" spans="1:8" ht="15.75">
      <c r="A60" s="545">
        <f t="shared" si="1"/>
        <v>51</v>
      </c>
      <c r="B60" s="546" t="str">
        <f>'Запасні частини'!M68</f>
        <v>Flanged vibration damper, VITECH V.I.T. АB-E Dn100</v>
      </c>
      <c r="C60" s="547">
        <f>'Запасні частини'!N68</f>
        <v>1</v>
      </c>
      <c r="D60" s="548" t="s">
        <v>115</v>
      </c>
      <c r="E60" s="557">
        <f>'Запасні частини'!O68</f>
        <v>70.017750000000007</v>
      </c>
      <c r="F60" s="557">
        <f t="shared" si="0"/>
        <v>70.017750000000007</v>
      </c>
    </row>
    <row r="61" spans="1:8" ht="15.75">
      <c r="A61" s="545">
        <f t="shared" si="1"/>
        <v>52</v>
      </c>
      <c r="B61" s="546" t="str">
        <f>'Запасні частини'!M69</f>
        <v>Threaded ball valve, EVOLUTION F.I.V. Dn15</v>
      </c>
      <c r="C61" s="547">
        <f>'Запасні частини'!N69</f>
        <v>44</v>
      </c>
      <c r="D61" s="548" t="s">
        <v>115</v>
      </c>
      <c r="E61" s="557">
        <f>'Запасні частини'!O69</f>
        <v>4.048</v>
      </c>
      <c r="F61" s="557">
        <f t="shared" si="0"/>
        <v>178.11199999999999</v>
      </c>
      <c r="H61" s="596"/>
    </row>
    <row r="62" spans="1:8" ht="15.75">
      <c r="A62" s="545">
        <f t="shared" si="1"/>
        <v>53</v>
      </c>
      <c r="B62" s="546" t="str">
        <f>'Запасні частини'!M70</f>
        <v>Threaded ball valve, EVOLUTION F.I.V. Dn20</v>
      </c>
      <c r="C62" s="547">
        <f>'Запасні частини'!N70</f>
        <v>20</v>
      </c>
      <c r="D62" s="548" t="s">
        <v>115</v>
      </c>
      <c r="E62" s="557">
        <f>'Запасні частини'!O70</f>
        <v>5.8765000000000001</v>
      </c>
      <c r="F62" s="557">
        <f t="shared" si="0"/>
        <v>117.53</v>
      </c>
      <c r="H62" s="596"/>
    </row>
    <row r="63" spans="1:8" ht="15.75">
      <c r="A63" s="545">
        <f t="shared" si="1"/>
        <v>54</v>
      </c>
      <c r="B63" s="546" t="str">
        <f>'Запасні частини'!M71</f>
        <v>Threaded ball valve, EVOLUTION F.I.V. Dn25</v>
      </c>
      <c r="C63" s="547">
        <f>'Запасні частини'!N71</f>
        <v>9</v>
      </c>
      <c r="D63" s="548" t="s">
        <v>115</v>
      </c>
      <c r="E63" s="557">
        <f>'Запасні частини'!O71</f>
        <v>10.361499999999999</v>
      </c>
      <c r="F63" s="557">
        <f t="shared" si="0"/>
        <v>93.253500000000003</v>
      </c>
      <c r="H63" s="596"/>
    </row>
    <row r="64" spans="1:8" ht="15.75">
      <c r="A64" s="545">
        <f t="shared" si="1"/>
        <v>55</v>
      </c>
      <c r="B64" s="546" t="str">
        <f>'Запасні частини'!M72</f>
        <v>Threaded ball valve, EVOLUTION F.I.V. Dn32</v>
      </c>
      <c r="C64" s="547">
        <f>'Запасні частини'!N72</f>
        <v>25</v>
      </c>
      <c r="D64" s="548" t="s">
        <v>115</v>
      </c>
      <c r="E64" s="557">
        <f>'Запасні частини'!O72</f>
        <v>17.054500000000001</v>
      </c>
      <c r="F64" s="557">
        <f t="shared" si="0"/>
        <v>426.36250000000001</v>
      </c>
      <c r="H64" s="596"/>
    </row>
    <row r="65" spans="1:8" ht="15.75">
      <c r="A65" s="545">
        <f t="shared" si="1"/>
        <v>56</v>
      </c>
      <c r="B65" s="546" t="str">
        <f>'Запасні частини'!M73</f>
        <v>Cold water flow meter, threaded with pulsed output , Apator js-1.5NK Dn15</v>
      </c>
      <c r="C65" s="547">
        <f>'Запасні частини'!N73</f>
        <v>1</v>
      </c>
      <c r="D65" s="548" t="s">
        <v>115</v>
      </c>
      <c r="E65" s="557">
        <f>'Запасні частини'!O73</f>
        <v>28.04824125</v>
      </c>
      <c r="F65" s="557">
        <f t="shared" si="0"/>
        <v>28.04824125</v>
      </c>
      <c r="H65" s="596"/>
    </row>
    <row r="66" spans="1:8" ht="15.75">
      <c r="A66" s="545">
        <f t="shared" si="1"/>
        <v>57</v>
      </c>
      <c r="B66" s="546" t="str">
        <f>'Запасні частини'!M74</f>
        <v>Cold water flow meter, threaded with pulsed output , Apator js-2.5NK Dn20</v>
      </c>
      <c r="C66" s="547">
        <f>'Запасні частини'!N74</f>
        <v>1</v>
      </c>
      <c r="D66" s="548" t="s">
        <v>115</v>
      </c>
      <c r="E66" s="557">
        <f>'Запасні частини'!O74</f>
        <v>34.145684999999993</v>
      </c>
      <c r="F66" s="557">
        <f t="shared" si="0"/>
        <v>34.145684999999993</v>
      </c>
      <c r="H66" s="596"/>
    </row>
    <row r="67" spans="1:8" ht="15.75">
      <c r="A67" s="545">
        <f t="shared" si="1"/>
        <v>58</v>
      </c>
      <c r="B67" s="546" t="str">
        <f>'Запасні частини'!M75</f>
        <v>Cold water flow meter, threaded with pulsed output , Apator js-3.5NK Dn25</v>
      </c>
      <c r="C67" s="547">
        <f>'Запасні частини'!N75</f>
        <v>1</v>
      </c>
      <c r="D67" s="548" t="s">
        <v>115</v>
      </c>
      <c r="E67" s="557">
        <f>'Запасні частини'!O75</f>
        <v>109.75398749999999</v>
      </c>
      <c r="F67" s="557">
        <f t="shared" si="0"/>
        <v>109.75398749999999</v>
      </c>
      <c r="H67" s="596"/>
    </row>
    <row r="68" spans="1:8" ht="15.75">
      <c r="A68" s="545">
        <f t="shared" si="1"/>
        <v>59</v>
      </c>
      <c r="B68" s="546" t="str">
        <f>'Запасні частини'!M76</f>
        <v>Cold water flow meter, threaded with pulsed output , Apator js-6NK Dn32</v>
      </c>
      <c r="C68" s="547">
        <f>'Запасні частини'!N76</f>
        <v>3</v>
      </c>
      <c r="D68" s="548" t="s">
        <v>115</v>
      </c>
      <c r="E68" s="557">
        <f>'Запасні частини'!O76</f>
        <v>123.16836375000001</v>
      </c>
      <c r="F68" s="557">
        <f t="shared" si="0"/>
        <v>369.50509125000002</v>
      </c>
      <c r="H68" s="596"/>
    </row>
    <row r="69" spans="1:8" ht="15.75">
      <c r="A69" s="545">
        <f t="shared" si="1"/>
        <v>60</v>
      </c>
      <c r="B69" s="546" t="str">
        <f>'Запасні частини'!M77</f>
        <v>Cold water flow meter, flanger with pulsed output , Apator MWN-40NK Dn40</v>
      </c>
      <c r="C69" s="547">
        <f>'Запасні частини'!N77</f>
        <v>2</v>
      </c>
      <c r="D69" s="548" t="s">
        <v>115</v>
      </c>
      <c r="E69" s="557">
        <f>'Запасні частини'!O77</f>
        <v>202.43513250000001</v>
      </c>
      <c r="F69" s="557">
        <f t="shared" si="0"/>
        <v>404.87026500000002</v>
      </c>
      <c r="H69" s="596"/>
    </row>
    <row r="70" spans="1:8" ht="15.75">
      <c r="A70" s="545">
        <f t="shared" si="1"/>
        <v>61</v>
      </c>
      <c r="B70" s="546" t="str">
        <f>'Запасні частини'!M78</f>
        <v>Cold water flow meter, flanger with pulsed output , Apator MWN-65NK Dn65</v>
      </c>
      <c r="C70" s="547">
        <f>'Запасні частини'!N78</f>
        <v>1</v>
      </c>
      <c r="D70" s="548" t="s">
        <v>115</v>
      </c>
      <c r="E70" s="557">
        <f>'Запасні частини'!O78</f>
        <v>224.38593</v>
      </c>
      <c r="F70" s="557">
        <f t="shared" si="0"/>
        <v>224.38593</v>
      </c>
      <c r="H70" s="596"/>
    </row>
    <row r="71" spans="1:8" ht="15.75">
      <c r="A71" s="545">
        <f t="shared" si="1"/>
        <v>62</v>
      </c>
      <c r="B71" s="546" t="str">
        <f>'Запасні частини'!M79</f>
        <v>Cold water flow meter, flanger with pulsed output , Apator MWN-80NK Dn80</v>
      </c>
      <c r="C71" s="547">
        <f>'Запасні частини'!N79</f>
        <v>1</v>
      </c>
      <c r="D71" s="548" t="s">
        <v>115</v>
      </c>
      <c r="E71" s="557">
        <f>'Запасні частини'!O79</f>
        <v>234.14184000000003</v>
      </c>
      <c r="F71" s="557">
        <f t="shared" si="0"/>
        <v>234.14184000000003</v>
      </c>
      <c r="H71" s="596"/>
    </row>
    <row r="72" spans="1:8" ht="15.75">
      <c r="A72" s="545">
        <f t="shared" si="1"/>
        <v>63</v>
      </c>
      <c r="B72" s="546" t="str">
        <f>'Запасні частини'!M80</f>
        <v>Flanged  ball valve, cast iron, Duyar T-0520 Dn40</v>
      </c>
      <c r="C72" s="547">
        <f>'Запасні частини'!N80</f>
        <v>11</v>
      </c>
      <c r="D72" s="548" t="s">
        <v>115</v>
      </c>
      <c r="E72" s="557">
        <f>'Запасні частини'!O80</f>
        <v>72.191249999999997</v>
      </c>
      <c r="F72" s="557">
        <f t="shared" si="0"/>
        <v>794.10374999999999</v>
      </c>
      <c r="H72" s="596"/>
    </row>
    <row r="73" spans="1:8" ht="31.5">
      <c r="A73" s="545">
        <f t="shared" si="1"/>
        <v>64</v>
      </c>
      <c r="B73" s="546" t="str">
        <f>'Запасні частини'!M81</f>
        <v>Flanged ball valve, cast iron, "Zavod gazovogo oborudovaniy Alfa-Gazkomplekt" LLC КЗК 41нж Dn50</v>
      </c>
      <c r="C73" s="547">
        <f>'Запасні частини'!N81</f>
        <v>6</v>
      </c>
      <c r="D73" s="548" t="s">
        <v>115</v>
      </c>
      <c r="E73" s="557">
        <f>'Запасні частини'!O81</f>
        <v>52.079984473001403</v>
      </c>
      <c r="F73" s="557">
        <f t="shared" si="0"/>
        <v>312.47990683800845</v>
      </c>
      <c r="H73" s="596"/>
    </row>
    <row r="74" spans="1:8" ht="31.5">
      <c r="A74" s="545">
        <f t="shared" si="1"/>
        <v>65</v>
      </c>
      <c r="B74" s="546" t="str">
        <f>'Запасні частини'!M82</f>
        <v>Flanged ball valve, cast iron, "Zavod gazovogo oborudovaniy Alfa-Gazkomplekt" LLC КЗК 41нж Dn65</v>
      </c>
      <c r="C74" s="547">
        <f>'Запасні частини'!N82</f>
        <v>3</v>
      </c>
      <c r="D74" s="548" t="s">
        <v>115</v>
      </c>
      <c r="E74" s="557">
        <f>'Запасні частини'!O82</f>
        <v>59.128424622550909</v>
      </c>
      <c r="F74" s="557">
        <f t="shared" si="0"/>
        <v>177.38527386765273</v>
      </c>
      <c r="H74" s="596"/>
    </row>
    <row r="75" spans="1:8" ht="31.5">
      <c r="A75" s="545">
        <f t="shared" si="1"/>
        <v>66</v>
      </c>
      <c r="B75" s="546" t="str">
        <f>'Запасні частини'!M83</f>
        <v>Flanged ball valve, cast iron, "Zavod gazovogo oborudovaniy Alfa-Gazkomplekt" LLC КЗК 41нж Dn80</v>
      </c>
      <c r="C75" s="547">
        <f>'Запасні частини'!N83</f>
        <v>1</v>
      </c>
      <c r="D75" s="548" t="s">
        <v>115</v>
      </c>
      <c r="E75" s="557">
        <f>'Запасні частини'!O83</f>
        <v>93.979201993993499</v>
      </c>
      <c r="F75" s="557">
        <f t="shared" ref="F75:F135" si="2">E75*C75</f>
        <v>93.979201993993499</v>
      </c>
      <c r="H75" s="596"/>
    </row>
    <row r="76" spans="1:8" ht="31.5">
      <c r="A76" s="545">
        <f t="shared" ref="A76:A139" si="3">A75+1</f>
        <v>67</v>
      </c>
      <c r="B76" s="546" t="str">
        <f>'Запасні частини'!M84</f>
        <v>Flanged ball valve, cast iron, "Zavod gazovogo oborudovaniy Alfa-Gazkomplekt" LLC КЗК 41нж Dn100</v>
      </c>
      <c r="C76" s="547">
        <f>'Запасні частини'!N84</f>
        <v>1</v>
      </c>
      <c r="D76" s="548" t="s">
        <v>115</v>
      </c>
      <c r="E76" s="557">
        <f>'Запасні частини'!O84</f>
        <v>146.0591864669949</v>
      </c>
      <c r="F76" s="557">
        <f t="shared" si="2"/>
        <v>146.0591864669949</v>
      </c>
      <c r="H76" s="596"/>
    </row>
    <row r="77" spans="1:8" ht="15.75">
      <c r="A77" s="545">
        <f t="shared" si="3"/>
        <v>68</v>
      </c>
      <c r="B77" s="546" t="str">
        <f>'Запасні частини'!M85</f>
        <v>Electromagnetic water treatment device, EZV,  Dn20</v>
      </c>
      <c r="C77" s="547">
        <f>'Запасні частини'!N85</f>
        <v>1</v>
      </c>
      <c r="D77" s="548" t="s">
        <v>115</v>
      </c>
      <c r="E77" s="557">
        <f>'Запасні частини'!O85</f>
        <v>179.6875</v>
      </c>
      <c r="F77" s="557">
        <f t="shared" si="2"/>
        <v>179.6875</v>
      </c>
      <c r="H77" s="596"/>
    </row>
    <row r="78" spans="1:8" ht="15.75">
      <c r="A78" s="545">
        <f t="shared" si="3"/>
        <v>69</v>
      </c>
      <c r="B78" s="546" t="str">
        <f>'Запасні частини'!M86</f>
        <v>Electromagnetic water treatment device, EZV,  Dn25</v>
      </c>
      <c r="C78" s="547">
        <f>'Запасні частини'!N86</f>
        <v>1</v>
      </c>
      <c r="D78" s="548" t="s">
        <v>115</v>
      </c>
      <c r="E78" s="557">
        <f>'Запасні частини'!O86</f>
        <v>222.8125</v>
      </c>
      <c r="F78" s="557">
        <f t="shared" si="2"/>
        <v>222.8125</v>
      </c>
      <c r="H78" s="596"/>
    </row>
    <row r="79" spans="1:8" ht="15.75">
      <c r="A79" s="545">
        <f t="shared" si="3"/>
        <v>70</v>
      </c>
      <c r="B79" s="546" t="str">
        <f>'Запасні частини'!M87</f>
        <v>Electromagnetic water treatment device, EZV,  Dn32</v>
      </c>
      <c r="C79" s="547">
        <f>'Запасні частини'!N87</f>
        <v>1</v>
      </c>
      <c r="D79" s="548" t="s">
        <v>115</v>
      </c>
      <c r="E79" s="557">
        <f>'Запасні частини'!O87</f>
        <v>273.125</v>
      </c>
      <c r="F79" s="557">
        <f t="shared" si="2"/>
        <v>273.125</v>
      </c>
      <c r="H79" s="596"/>
    </row>
    <row r="80" spans="1:8" ht="15.75">
      <c r="A80" s="545">
        <f t="shared" si="3"/>
        <v>71</v>
      </c>
      <c r="B80" s="546" t="str">
        <f>'Запасні частини'!M88</f>
        <v>Electromagnetic water treatment device, EZV,  Dn40</v>
      </c>
      <c r="C80" s="547">
        <f>'Запасні частини'!N88</f>
        <v>2</v>
      </c>
      <c r="D80" s="548" t="s">
        <v>115</v>
      </c>
      <c r="E80" s="557">
        <f>'Запасні частини'!O88</f>
        <v>352.1875</v>
      </c>
      <c r="F80" s="557">
        <f t="shared" si="2"/>
        <v>704.375</v>
      </c>
      <c r="H80" s="596"/>
    </row>
    <row r="81" spans="1:8" ht="15.75">
      <c r="A81" s="545">
        <f t="shared" si="3"/>
        <v>72</v>
      </c>
      <c r="B81" s="546" t="str">
        <f>'Запасні частини'!M89</f>
        <v>Electromagnetic water treatment device, EZV,  Dn50</v>
      </c>
      <c r="C81" s="547">
        <f>'Запасні частини'!N89</f>
        <v>1</v>
      </c>
      <c r="D81" s="548" t="s">
        <v>115</v>
      </c>
      <c r="E81" s="557">
        <f>'Запасні частини'!O89</f>
        <v>646.875</v>
      </c>
      <c r="F81" s="557">
        <f t="shared" si="2"/>
        <v>646.875</v>
      </c>
      <c r="H81" s="596"/>
    </row>
    <row r="82" spans="1:8" ht="15.75">
      <c r="A82" s="545">
        <f t="shared" si="3"/>
        <v>73</v>
      </c>
      <c r="B82" s="546" t="str">
        <f>'Запасні частини'!M90</f>
        <v>Electromagnetic water treatment device, EZV,  Dn65</v>
      </c>
      <c r="C82" s="547">
        <f>'Запасні частини'!N90</f>
        <v>1</v>
      </c>
      <c r="D82" s="548" t="s">
        <v>115</v>
      </c>
      <c r="E82" s="557">
        <f>'Запасні частини'!O90</f>
        <v>776.25</v>
      </c>
      <c r="F82" s="557">
        <f t="shared" si="2"/>
        <v>776.25</v>
      </c>
      <c r="H82" s="596"/>
    </row>
    <row r="83" spans="1:8" ht="15.75">
      <c r="A83" s="545">
        <f t="shared" si="3"/>
        <v>74</v>
      </c>
      <c r="B83" s="546" t="str">
        <f>'Запасні частини'!M91</f>
        <v>Electromagnetic water treatment device, EZV,  Dn80</v>
      </c>
      <c r="C83" s="547">
        <f>'Запасні частини'!N91</f>
        <v>1</v>
      </c>
      <c r="D83" s="548" t="s">
        <v>115</v>
      </c>
      <c r="E83" s="557">
        <f>'Запасні частини'!O91</f>
        <v>1423.125</v>
      </c>
      <c r="F83" s="557">
        <f t="shared" si="2"/>
        <v>1423.125</v>
      </c>
      <c r="H83" s="596"/>
    </row>
    <row r="84" spans="1:8" ht="15.75">
      <c r="A84" s="545">
        <f t="shared" si="3"/>
        <v>75</v>
      </c>
      <c r="B84" s="546" t="str">
        <f>'Запасні частини'!M92</f>
        <v>Electromagnetic water treatment device, EZV,  Dn100</v>
      </c>
      <c r="C84" s="547">
        <f>'Запасні частини'!N92</f>
        <v>1</v>
      </c>
      <c r="D84" s="548" t="s">
        <v>115</v>
      </c>
      <c r="E84" s="557">
        <f>'Запасні частини'!O92</f>
        <v>2192.1875</v>
      </c>
      <c r="F84" s="557">
        <f t="shared" si="2"/>
        <v>2192.1875</v>
      </c>
      <c r="H84" s="596"/>
    </row>
    <row r="85" spans="1:8" ht="15.75">
      <c r="A85" s="545">
        <f t="shared" si="3"/>
        <v>76</v>
      </c>
      <c r="B85" s="546" t="str">
        <f>'Запасні частини'!M93</f>
        <v>Threaded balancing valve, Zetkama 221H Dn15</v>
      </c>
      <c r="C85" s="547">
        <f>'Запасні частини'!N93</f>
        <v>1</v>
      </c>
      <c r="D85" s="548" t="s">
        <v>115</v>
      </c>
      <c r="E85" s="557">
        <f>'Запасні частини'!O93</f>
        <v>37.420999999999999</v>
      </c>
      <c r="F85" s="557">
        <f t="shared" si="2"/>
        <v>37.420999999999999</v>
      </c>
      <c r="H85" s="596"/>
    </row>
    <row r="86" spans="1:8" ht="15.75">
      <c r="A86" s="545">
        <f t="shared" si="3"/>
        <v>77</v>
      </c>
      <c r="B86" s="546" t="str">
        <f>'Запасні частини'!M94</f>
        <v>Threaded balancing valve, Zetkama 221H Dn20</v>
      </c>
      <c r="C86" s="547">
        <f>'Запасні частини'!N94</f>
        <v>1</v>
      </c>
      <c r="D86" s="548" t="s">
        <v>115</v>
      </c>
      <c r="E86" s="557">
        <f>'Запасні частини'!O94</f>
        <v>41.238999999999997</v>
      </c>
      <c r="F86" s="557">
        <f t="shared" si="2"/>
        <v>41.238999999999997</v>
      </c>
      <c r="H86" s="596"/>
    </row>
    <row r="87" spans="1:8" ht="15.75">
      <c r="A87" s="545">
        <f t="shared" si="3"/>
        <v>78</v>
      </c>
      <c r="B87" s="546" t="str">
        <f>'Запасні частини'!M95</f>
        <v>Threaded balancing valve, Zetkama 221H Dn25</v>
      </c>
      <c r="C87" s="547">
        <f>'Запасні частини'!N95</f>
        <v>4</v>
      </c>
      <c r="D87" s="548" t="s">
        <v>115</v>
      </c>
      <c r="E87" s="557">
        <f>'Запасні частини'!O95</f>
        <v>43.527500000000003</v>
      </c>
      <c r="F87" s="557">
        <f t="shared" si="2"/>
        <v>174.11</v>
      </c>
      <c r="H87" s="596"/>
    </row>
    <row r="88" spans="1:8" ht="15.75">
      <c r="A88" s="545">
        <f t="shared" si="3"/>
        <v>79</v>
      </c>
      <c r="B88" s="546" t="str">
        <f>'Запасні частини'!M96</f>
        <v>Threaded balancing valve, Zetkama 221H Dn32</v>
      </c>
      <c r="C88" s="547">
        <f>'Запасні частини'!N96</f>
        <v>7</v>
      </c>
      <c r="D88" s="548" t="s">
        <v>115</v>
      </c>
      <c r="E88" s="557">
        <f>'Запасні частини'!O96</f>
        <v>61.087999999999994</v>
      </c>
      <c r="F88" s="557">
        <f t="shared" si="2"/>
        <v>427.61599999999999</v>
      </c>
      <c r="H88" s="596"/>
    </row>
    <row r="89" spans="1:8" ht="15.75">
      <c r="A89" s="545">
        <f t="shared" si="3"/>
        <v>80</v>
      </c>
      <c r="B89" s="546" t="str">
        <f>'Запасні частини'!M97</f>
        <v>Flanged balancing valve, Zetkama 447 Dn40</v>
      </c>
      <c r="C89" s="547">
        <f>'Запасні частини'!N97</f>
        <v>1</v>
      </c>
      <c r="D89" s="548" t="s">
        <v>115</v>
      </c>
      <c r="E89" s="557">
        <f>'Запасні частини'!O97</f>
        <v>71.012500000000003</v>
      </c>
      <c r="F89" s="557">
        <f t="shared" si="2"/>
        <v>71.012500000000003</v>
      </c>
      <c r="H89" s="596"/>
    </row>
    <row r="90" spans="1:8" ht="15.75">
      <c r="A90" s="545">
        <f t="shared" si="3"/>
        <v>81</v>
      </c>
      <c r="B90" s="546" t="str">
        <f>'Запасні частини'!M98</f>
        <v>Heat meter , AXIS SKS-3-К6-2-0-49-00-00-00-00-4-3-1-02-0 Dn15</v>
      </c>
      <c r="C90" s="547">
        <f>'Запасні частини'!N98</f>
        <v>1</v>
      </c>
      <c r="D90" s="548" t="s">
        <v>115</v>
      </c>
      <c r="E90" s="557">
        <f>'Запасні частини'!O98</f>
        <v>425.01239999999996</v>
      </c>
      <c r="F90" s="557">
        <f t="shared" si="2"/>
        <v>425.01239999999996</v>
      </c>
      <c r="H90" s="596"/>
    </row>
    <row r="91" spans="1:8" ht="15.75">
      <c r="A91" s="545">
        <f t="shared" si="3"/>
        <v>82</v>
      </c>
      <c r="B91" s="546" t="str">
        <f>'Запасні частини'!M99</f>
        <v>Heat meter , AXIS SKS-3-К6-2-0-51-00-00-00-00-4-3-1-02-0 Dn20</v>
      </c>
      <c r="C91" s="547">
        <f>'Запасні частини'!N99</f>
        <v>1</v>
      </c>
      <c r="D91" s="548" t="s">
        <v>115</v>
      </c>
      <c r="E91" s="557">
        <f>'Запасні частини'!O99</f>
        <v>478.74959999999999</v>
      </c>
      <c r="F91" s="557">
        <f t="shared" si="2"/>
        <v>478.74959999999999</v>
      </c>
      <c r="H91" s="596"/>
    </row>
    <row r="92" spans="1:8" ht="15.75">
      <c r="A92" s="545">
        <f t="shared" si="3"/>
        <v>83</v>
      </c>
      <c r="B92" s="546" t="str">
        <f>'Запасні частини'!M100</f>
        <v>Heat meter , AXIS SKS-3-К6-2-0-17-00-00-00-00-4-3-1-02-0 Dn25</v>
      </c>
      <c r="C92" s="547">
        <f>'Запасні частини'!N100</f>
        <v>2</v>
      </c>
      <c r="D92" s="548" t="s">
        <v>115</v>
      </c>
      <c r="E92" s="557">
        <f>'Запасні частини'!O100</f>
        <v>588.6665999999999</v>
      </c>
      <c r="F92" s="557">
        <f t="shared" si="2"/>
        <v>1177.3331999999998</v>
      </c>
      <c r="H92" s="596"/>
    </row>
    <row r="93" spans="1:8" ht="15.75">
      <c r="A93" s="545">
        <f t="shared" si="3"/>
        <v>84</v>
      </c>
      <c r="B93" s="546" t="str">
        <f>'Запасні частини'!M101</f>
        <v>Heat meter , AXIS SKS-3-К6-2-0-18-00-00-00-00-4-3-1-02-0 Dn25</v>
      </c>
      <c r="C93" s="547">
        <f>'Запасні частини'!N101</f>
        <v>3</v>
      </c>
      <c r="D93" s="548" t="s">
        <v>115</v>
      </c>
      <c r="E93" s="557">
        <f>'Запасні частини'!O101</f>
        <v>588.6665999999999</v>
      </c>
      <c r="F93" s="557">
        <f t="shared" si="2"/>
        <v>1765.9997999999996</v>
      </c>
      <c r="H93" s="596"/>
    </row>
    <row r="94" spans="1:8" ht="15.75">
      <c r="A94" s="545">
        <f t="shared" si="3"/>
        <v>85</v>
      </c>
      <c r="B94" s="546" t="str">
        <f>'Запасні частини'!M102</f>
        <v>Heat meter , AXIS SKS-3-К6-2-0-19-00-00-00-00-4-3-1-02-0 Dn40</v>
      </c>
      <c r="C94" s="547">
        <f>'Запасні частини'!N102</f>
        <v>4</v>
      </c>
      <c r="D94" s="548" t="s">
        <v>115</v>
      </c>
      <c r="E94" s="557">
        <f>'Запасні частини'!O102</f>
        <v>647.28899999999987</v>
      </c>
      <c r="F94" s="557">
        <f t="shared" si="2"/>
        <v>2589.1559999999995</v>
      </c>
      <c r="H94" s="596"/>
    </row>
    <row r="95" spans="1:8" ht="15.75">
      <c r="A95" s="545">
        <f t="shared" si="3"/>
        <v>86</v>
      </c>
      <c r="B95" s="546" t="str">
        <f>'Запасні частини'!M103</f>
        <v>Heat meter , AXIS SKS-3-К6-2-0-20-00-00-00-00-4-3-1-02-0 Dn50</v>
      </c>
      <c r="C95" s="547">
        <f>'Запасні частини'!N103</f>
        <v>1</v>
      </c>
      <c r="D95" s="548" t="s">
        <v>115</v>
      </c>
      <c r="E95" s="557">
        <f>'Запасні частини'!O103</f>
        <v>632.63339999999994</v>
      </c>
      <c r="F95" s="557">
        <f t="shared" si="2"/>
        <v>632.63339999999994</v>
      </c>
      <c r="H95" s="596"/>
    </row>
    <row r="96" spans="1:8" ht="15.75">
      <c r="A96" s="545">
        <f t="shared" si="3"/>
        <v>87</v>
      </c>
      <c r="B96" s="546" t="str">
        <f>'Запасні частини'!M104</f>
        <v>Heat meter , AXIS SKS-3-К6-2-0-21-00-00-00-00-4-3-1-02-0 Dn65</v>
      </c>
      <c r="C96" s="547">
        <f>'Запасні частини'!N104</f>
        <v>1</v>
      </c>
      <c r="D96" s="548" t="s">
        <v>115</v>
      </c>
      <c r="E96" s="557">
        <f>'Запасні частини'!O104</f>
        <v>1008.7937999999999</v>
      </c>
      <c r="F96" s="557">
        <f t="shared" si="2"/>
        <v>1008.7937999999999</v>
      </c>
      <c r="H96" s="596"/>
    </row>
    <row r="97" spans="1:8" ht="15.75">
      <c r="A97" s="545">
        <f t="shared" si="3"/>
        <v>88</v>
      </c>
      <c r="B97" s="546" t="str">
        <f>'Запасні частини'!M105</f>
        <v>Heat meter , AXIS SKS-3-К6-2-0-23-00-00-00-00-4-3-1-02-0 Dn80</v>
      </c>
      <c r="C97" s="547">
        <f>'Запасні частини'!N105</f>
        <v>1</v>
      </c>
      <c r="D97" s="548" t="s">
        <v>115</v>
      </c>
      <c r="E97" s="557">
        <f>'Запасні частини'!O105</f>
        <v>1096.7274</v>
      </c>
      <c r="F97" s="557">
        <f t="shared" si="2"/>
        <v>1096.7274</v>
      </c>
      <c r="H97" s="596"/>
    </row>
    <row r="98" spans="1:8" ht="15.75">
      <c r="A98" s="545">
        <f t="shared" si="3"/>
        <v>89</v>
      </c>
      <c r="B98" s="546" t="str">
        <f>'Запасні частини'!M106</f>
        <v>Two-way control valve, pressure balanced, Кvs = 0,63, Danfoss VB2 Dn15</v>
      </c>
      <c r="C98" s="547">
        <f>'Запасні частини'!N106</f>
        <v>1</v>
      </c>
      <c r="D98" s="548" t="s">
        <v>115</v>
      </c>
      <c r="E98" s="557">
        <f>'Запасні частини'!O106</f>
        <v>300.2785870431282</v>
      </c>
      <c r="F98" s="557">
        <f t="shared" si="2"/>
        <v>300.2785870431282</v>
      </c>
      <c r="H98" s="596"/>
    </row>
    <row r="99" spans="1:8" ht="15.75">
      <c r="A99" s="545">
        <f t="shared" si="3"/>
        <v>90</v>
      </c>
      <c r="B99" s="546" t="str">
        <f>'Запасні частини'!M107</f>
        <v>Two-way control valve, pressure balanced, Кvs = 1,0, Danfoss VB2 Dn15</v>
      </c>
      <c r="C99" s="547">
        <f>'Запасні частини'!N107</f>
        <v>1</v>
      </c>
      <c r="D99" s="548" t="s">
        <v>115</v>
      </c>
      <c r="E99" s="557">
        <f>'Запасні частини'!O107</f>
        <v>300.2785870431282</v>
      </c>
      <c r="F99" s="557">
        <f t="shared" si="2"/>
        <v>300.2785870431282</v>
      </c>
      <c r="H99" s="596"/>
    </row>
    <row r="100" spans="1:8" ht="15.75">
      <c r="A100" s="545">
        <f t="shared" si="3"/>
        <v>91</v>
      </c>
      <c r="B100" s="546" t="str">
        <f>'Запасні частини'!M108</f>
        <v>Two-way control valve, pressure balanced, Кvs = 1,6, Danfoss VB2 Dn15</v>
      </c>
      <c r="C100" s="547">
        <f>'Запасні частини'!N108</f>
        <v>1</v>
      </c>
      <c r="D100" s="548" t="s">
        <v>115</v>
      </c>
      <c r="E100" s="557">
        <f>'Запасні частини'!O108</f>
        <v>300.2785870431282</v>
      </c>
      <c r="F100" s="557">
        <f t="shared" si="2"/>
        <v>300.2785870431282</v>
      </c>
      <c r="H100" s="596"/>
    </row>
    <row r="101" spans="1:8" ht="15.75">
      <c r="A101" s="545">
        <f t="shared" si="3"/>
        <v>92</v>
      </c>
      <c r="B101" s="546" t="str">
        <f>'Запасні частини'!M109</f>
        <v>Two-way control valve, pressure balanced, Кvs = 2,5, Danfoss VB2 Dn15</v>
      </c>
      <c r="C101" s="547">
        <f>'Запасні частини'!N109</f>
        <v>1</v>
      </c>
      <c r="D101" s="548" t="s">
        <v>115</v>
      </c>
      <c r="E101" s="557">
        <f>'Запасні частини'!O109</f>
        <v>300.2785870431282</v>
      </c>
      <c r="F101" s="557">
        <f t="shared" si="2"/>
        <v>300.2785870431282</v>
      </c>
      <c r="H101" s="596"/>
    </row>
    <row r="102" spans="1:8" ht="15.75">
      <c r="A102" s="545">
        <f t="shared" si="3"/>
        <v>93</v>
      </c>
      <c r="B102" s="546" t="str">
        <f>'Запасні частини'!M110</f>
        <v>Two-way control valve, pressure balanced, Кvs = 4,0, Danfoss VB2 Dn15</v>
      </c>
      <c r="C102" s="547">
        <f>'Запасні частини'!N110</f>
        <v>1</v>
      </c>
      <c r="D102" s="548" t="s">
        <v>115</v>
      </c>
      <c r="E102" s="557">
        <f>'Запасні частини'!O110</f>
        <v>300.2785870431282</v>
      </c>
      <c r="F102" s="557">
        <f t="shared" si="2"/>
        <v>300.2785870431282</v>
      </c>
      <c r="H102" s="596"/>
    </row>
    <row r="103" spans="1:8" ht="15.75">
      <c r="A103" s="545">
        <f t="shared" si="3"/>
        <v>94</v>
      </c>
      <c r="B103" s="546" t="str">
        <f>'Запасні частини'!M111</f>
        <v>Two-way control valve, pressure balanced, Кvs = 6,3, Danfoss VB2 Dn20</v>
      </c>
      <c r="C103" s="547">
        <f>'Запасні частини'!N111</f>
        <v>3</v>
      </c>
      <c r="D103" s="548" t="s">
        <v>115</v>
      </c>
      <c r="E103" s="557">
        <f>'Запасні частини'!O111</f>
        <v>325.28081394161029</v>
      </c>
      <c r="F103" s="557">
        <f t="shared" si="2"/>
        <v>975.84244182483087</v>
      </c>
      <c r="H103" s="596"/>
    </row>
    <row r="104" spans="1:8" ht="15.75">
      <c r="A104" s="545">
        <f t="shared" si="3"/>
        <v>95</v>
      </c>
      <c r="B104" s="546" t="str">
        <f>'Запасні частини'!M112</f>
        <v>Two-way control valve, pressure balanced, Кvs = 10,0, Danfoss VB2 Dn25</v>
      </c>
      <c r="C104" s="547">
        <f>'Запасні частини'!N112</f>
        <v>6</v>
      </c>
      <c r="D104" s="548" t="s">
        <v>115</v>
      </c>
      <c r="E104" s="557">
        <f>'Запасні частини'!O112</f>
        <v>337.8270374078084</v>
      </c>
      <c r="F104" s="557">
        <f t="shared" si="2"/>
        <v>2026.9622244468505</v>
      </c>
      <c r="H104" s="596"/>
    </row>
    <row r="105" spans="1:8" ht="15.75">
      <c r="A105" s="545">
        <f t="shared" si="3"/>
        <v>96</v>
      </c>
      <c r="B105" s="546" t="str">
        <f>'Запасні частини'!M113</f>
        <v>Two-way control valve, pressure balanced, Кvs = 16,0, Danfoss VB2 Dn32</v>
      </c>
      <c r="C105" s="547">
        <f>'Запасні частини'!N113</f>
        <v>5</v>
      </c>
      <c r="D105" s="548" t="s">
        <v>115</v>
      </c>
      <c r="E105" s="557">
        <f>'Запасні частини'!O113</f>
        <v>375.30030441089332</v>
      </c>
      <c r="F105" s="557">
        <f t="shared" si="2"/>
        <v>1876.5015220544665</v>
      </c>
      <c r="H105" s="596"/>
    </row>
    <row r="106" spans="1:8" ht="15.75">
      <c r="A106" s="545">
        <f t="shared" si="3"/>
        <v>97</v>
      </c>
      <c r="B106" s="546" t="str">
        <f>'Запасні частини'!M114</f>
        <v>Two-way control valve, pressure balanced, Кvs = 25,0, Danfoss VB2 Dn40</v>
      </c>
      <c r="C106" s="547">
        <f>'Запасні частини'!N114</f>
        <v>2</v>
      </c>
      <c r="D106" s="548" t="s">
        <v>115</v>
      </c>
      <c r="E106" s="557">
        <f>'Запасні частини'!O114</f>
        <v>450.3887470120743</v>
      </c>
      <c r="F106" s="557">
        <f t="shared" si="2"/>
        <v>900.77749402414861</v>
      </c>
      <c r="H106" s="596"/>
    </row>
    <row r="107" spans="1:8" ht="15.75">
      <c r="A107" s="545">
        <f t="shared" si="3"/>
        <v>98</v>
      </c>
      <c r="B107" s="546" t="str">
        <f>'Запасні частини'!M115</f>
        <v>Two-way control valve, pressure balanced, Кvs = 40,0, Danfoss VB2 Dn50</v>
      </c>
      <c r="C107" s="547">
        <f>'Запасні частини'!N115</f>
        <v>1</v>
      </c>
      <c r="D107" s="548" t="s">
        <v>115</v>
      </c>
      <c r="E107" s="557">
        <f>'Запасні частини'!O115</f>
        <v>550.47518744764739</v>
      </c>
      <c r="F107" s="557">
        <f t="shared" si="2"/>
        <v>550.47518744764739</v>
      </c>
      <c r="H107" s="596"/>
    </row>
    <row r="108" spans="1:8" ht="15.75">
      <c r="A108" s="545">
        <f t="shared" si="3"/>
        <v>99</v>
      </c>
      <c r="B108" s="546" t="str">
        <f>'Запасні частини'!M116</f>
        <v>Two-way control valve, pressure balanced, Кvs = 63,0, LDM RV133R Dn65</v>
      </c>
      <c r="C108" s="547">
        <f>'Запасні частини'!N116</f>
        <v>1</v>
      </c>
      <c r="D108" s="548" t="s">
        <v>115</v>
      </c>
      <c r="E108" s="557">
        <f>'Запасні частини'!O116</f>
        <v>782</v>
      </c>
      <c r="F108" s="557">
        <f t="shared" si="2"/>
        <v>782</v>
      </c>
      <c r="H108" s="596"/>
    </row>
    <row r="109" spans="1:8" ht="15.75">
      <c r="A109" s="545">
        <f t="shared" si="3"/>
        <v>100</v>
      </c>
      <c r="B109" s="546" t="str">
        <f>'Запасні частини'!M117</f>
        <v>Electrical drive of the control valve, Belimo NV230A-RE</v>
      </c>
      <c r="C109" s="547">
        <f>'Запасні частини'!N117</f>
        <v>1</v>
      </c>
      <c r="D109" s="548" t="s">
        <v>115</v>
      </c>
      <c r="E109" s="557">
        <f>'Запасні частини'!O117</f>
        <v>540.5</v>
      </c>
      <c r="F109" s="557">
        <f t="shared" si="2"/>
        <v>540.5</v>
      </c>
      <c r="H109" s="596"/>
    </row>
    <row r="110" spans="1:8" ht="15.75">
      <c r="A110" s="545">
        <f t="shared" si="3"/>
        <v>101</v>
      </c>
      <c r="B110" s="546" t="str">
        <f>'Запасні частини'!M118</f>
        <v>Electrical drive of the control valve, Danfoss AMV20</v>
      </c>
      <c r="C110" s="547">
        <f>'Запасні частини'!N118</f>
        <v>10</v>
      </c>
      <c r="D110" s="548" t="s">
        <v>115</v>
      </c>
      <c r="E110" s="557">
        <f>'Запасні частини'!O118</f>
        <v>507.83400412691282</v>
      </c>
      <c r="F110" s="557">
        <f t="shared" si="2"/>
        <v>5078.3400412691281</v>
      </c>
      <c r="H110" s="596"/>
    </row>
    <row r="111" spans="1:8" ht="15.75">
      <c r="A111" s="545">
        <f t="shared" si="3"/>
        <v>102</v>
      </c>
      <c r="B111" s="546" t="str">
        <f>'Запасні частини'!M119</f>
        <v>Electrical drive of the control valve, Danfoss AMV33</v>
      </c>
      <c r="C111" s="547">
        <f>'Запасні частини'!N119</f>
        <v>10</v>
      </c>
      <c r="D111" s="548" t="s">
        <v>115</v>
      </c>
      <c r="E111" s="557">
        <f>'Запасні частини'!O119</f>
        <v>725.29294951682425</v>
      </c>
      <c r="F111" s="557">
        <f t="shared" si="2"/>
        <v>7252.9294951682423</v>
      </c>
      <c r="H111" s="596"/>
    </row>
    <row r="112" spans="1:8" ht="15.75">
      <c r="A112" s="545">
        <f t="shared" si="3"/>
        <v>103</v>
      </c>
      <c r="B112" s="546" t="str">
        <f>'Запасні частини'!M120</f>
        <v>Pressure difference regulating valve, Кvs = 4,0, Danfoss AVP Dn15</v>
      </c>
      <c r="C112" s="547">
        <f>'Запасні частини'!N120</f>
        <v>3</v>
      </c>
      <c r="D112" s="548" t="s">
        <v>115</v>
      </c>
      <c r="E112" s="557">
        <f>'Запасні частини'!O120</f>
        <v>649.94253989008519</v>
      </c>
      <c r="F112" s="557">
        <f t="shared" si="2"/>
        <v>1949.8276196702554</v>
      </c>
      <c r="H112" s="596"/>
    </row>
    <row r="113" spans="1:8" ht="15.75">
      <c r="A113" s="545">
        <f t="shared" si="3"/>
        <v>104</v>
      </c>
      <c r="B113" s="546" t="str">
        <f>'Запасні частини'!M121</f>
        <v>Pressure difference regulating valve, Кvs = 6,3, Danfoss AVP Dn20</v>
      </c>
      <c r="C113" s="547">
        <f>'Запасні частини'!N121</f>
        <v>3</v>
      </c>
      <c r="D113" s="548" t="s">
        <v>115</v>
      </c>
      <c r="E113" s="557">
        <f>'Запасні частини'!O121</f>
        <v>673.74982123521363</v>
      </c>
      <c r="F113" s="557">
        <f t="shared" si="2"/>
        <v>2021.2494637056409</v>
      </c>
      <c r="H113" s="596"/>
    </row>
    <row r="114" spans="1:8" ht="15.75">
      <c r="A114" s="545">
        <f t="shared" si="3"/>
        <v>105</v>
      </c>
      <c r="B114" s="546" t="str">
        <f>'Запасні частини'!M122</f>
        <v>Pressure difference regulating valve, Кvs = 8,0, Danfoss AVP Dn25</v>
      </c>
      <c r="C114" s="547">
        <f>'Запасні частини'!N122</f>
        <v>3</v>
      </c>
      <c r="D114" s="548" t="s">
        <v>115</v>
      </c>
      <c r="E114" s="557">
        <f>'Запасні частини'!O122</f>
        <v>723.7455819559932</v>
      </c>
      <c r="F114" s="557">
        <f t="shared" si="2"/>
        <v>2171.2367458679796</v>
      </c>
      <c r="H114" s="596"/>
    </row>
    <row r="115" spans="1:8" ht="15.75">
      <c r="A115" s="545">
        <f t="shared" si="3"/>
        <v>106</v>
      </c>
      <c r="B115" s="546" t="str">
        <f>'Запасні частини'!M123</f>
        <v>Pressure difference regulating valve, Кvs = 12,5, Danfoss AVP Dn32</v>
      </c>
      <c r="C115" s="547">
        <f>'Запасні частини'!N123</f>
        <v>7</v>
      </c>
      <c r="D115" s="548" t="s">
        <v>115</v>
      </c>
      <c r="E115" s="557">
        <f>'Запасні частини'!O123</f>
        <v>1155.4531431957014</v>
      </c>
      <c r="F115" s="557">
        <f t="shared" si="2"/>
        <v>8088.1720023699099</v>
      </c>
      <c r="H115" s="596"/>
    </row>
    <row r="116" spans="1:8" ht="15.75">
      <c r="A116" s="545">
        <f t="shared" si="3"/>
        <v>107</v>
      </c>
      <c r="B116" s="546" t="str">
        <f>'Запасні частини'!M124</f>
        <v>Pressure difference regulating valve, Кvs = 16,0, Danfoss AVP Dn40</v>
      </c>
      <c r="C116" s="547">
        <f>'Запасні частини'!N124</f>
        <v>2</v>
      </c>
      <c r="D116" s="548" t="s">
        <v>115</v>
      </c>
      <c r="E116" s="557">
        <f>'Запасні частини'!O124</f>
        <v>1189.5773830197288</v>
      </c>
      <c r="F116" s="557">
        <f t="shared" si="2"/>
        <v>2379.1547660394576</v>
      </c>
      <c r="H116" s="596"/>
    </row>
    <row r="117" spans="1:8" ht="15.75">
      <c r="A117" s="545">
        <f t="shared" si="3"/>
        <v>108</v>
      </c>
      <c r="B117" s="546" t="str">
        <f>'Запасні частини'!M125</f>
        <v>Pressure difference regulating valve, Кvs = 20,0, Danfoss AVP Dn50</v>
      </c>
      <c r="C117" s="547">
        <f>'Запасні частини'!N125</f>
        <v>1</v>
      </c>
      <c r="D117" s="548" t="s">
        <v>115</v>
      </c>
      <c r="E117" s="557">
        <f>'Запасні частини'!O125</f>
        <v>1252.270125509905</v>
      </c>
      <c r="F117" s="557">
        <f t="shared" si="2"/>
        <v>1252.270125509905</v>
      </c>
      <c r="H117" s="596"/>
    </row>
    <row r="118" spans="1:8" ht="15.75">
      <c r="A118" s="545">
        <f t="shared" si="3"/>
        <v>109</v>
      </c>
      <c r="B118" s="546" t="str">
        <f>'Запасні частини'!M126</f>
        <v>Pressure difference regulating valve, Кvs = 32,0, Danfoss AFP-9 VFG 2 Dn50</v>
      </c>
      <c r="C118" s="547">
        <f>'Запасні частини'!N126</f>
        <v>1</v>
      </c>
      <c r="D118" s="548" t="s">
        <v>115</v>
      </c>
      <c r="E118" s="557">
        <f>'Запасні частини'!O126</f>
        <v>2923.7893027151817</v>
      </c>
      <c r="F118" s="557">
        <f t="shared" si="2"/>
        <v>2923.7893027151817</v>
      </c>
      <c r="H118" s="596"/>
    </row>
    <row r="119" spans="1:8" ht="15.75">
      <c r="A119" s="545">
        <f t="shared" si="3"/>
        <v>110</v>
      </c>
      <c r="B119" s="546" t="str">
        <f>'Запасні частини'!M127</f>
        <v>Pressure difference regulating valve, Кvs = 50,0, Danfoss AFP-9 VFG 2 Dn65</v>
      </c>
      <c r="C119" s="547">
        <f>'Запасні частини'!N127</f>
        <v>1</v>
      </c>
      <c r="D119" s="548" t="s">
        <v>115</v>
      </c>
      <c r="E119" s="557">
        <f>'Запасні частини'!O127</f>
        <v>2923.7893027151817</v>
      </c>
      <c r="F119" s="557">
        <f t="shared" si="2"/>
        <v>2923.7893027151817</v>
      </c>
      <c r="H119" s="596"/>
    </row>
    <row r="120" spans="1:8" ht="15.75">
      <c r="A120" s="545">
        <f t="shared" si="3"/>
        <v>111</v>
      </c>
      <c r="B120" s="546" t="str">
        <f>'Запасні частини'!M128</f>
        <v>Pressure relay, WIKA PSM01</v>
      </c>
      <c r="C120" s="547">
        <f>'Запасні частини'!N128</f>
        <v>22</v>
      </c>
      <c r="D120" s="548" t="s">
        <v>115</v>
      </c>
      <c r="E120" s="557">
        <f>'Запасні частини'!O128</f>
        <v>46.901231999999993</v>
      </c>
      <c r="F120" s="557">
        <f t="shared" si="2"/>
        <v>1031.827104</v>
      </c>
      <c r="H120" s="596"/>
    </row>
    <row r="121" spans="1:8" ht="15.75">
      <c r="A121" s="545">
        <f t="shared" si="3"/>
        <v>112</v>
      </c>
      <c r="B121" s="546" t="str">
        <f>'Запасні частини'!M129</f>
        <v>Indicating pressure gauge, Skloprylad 0-1,0</v>
      </c>
      <c r="C121" s="547">
        <f>'Запасні частини'!N129</f>
        <v>68</v>
      </c>
      <c r="D121" s="548" t="s">
        <v>115</v>
      </c>
      <c r="E121" s="557">
        <f>'Запасні частини'!O129</f>
        <v>6.4515000000000002</v>
      </c>
      <c r="F121" s="557">
        <f t="shared" si="2"/>
        <v>438.702</v>
      </c>
      <c r="H121" s="596"/>
    </row>
    <row r="122" spans="1:8" ht="15.75">
      <c r="A122" s="545">
        <f t="shared" si="3"/>
        <v>113</v>
      </c>
      <c r="B122" s="546" t="str">
        <f>'Запасні частини'!M130</f>
        <v>Indicating pressure gauge, Skloprylad 0-1,6</v>
      </c>
      <c r="C122" s="547">
        <f>'Запасні частини'!N130</f>
        <v>20</v>
      </c>
      <c r="D122" s="548" t="s">
        <v>115</v>
      </c>
      <c r="E122" s="557">
        <f>'Запасні частини'!O130</f>
        <v>6.4515000000000002</v>
      </c>
      <c r="F122" s="557">
        <f t="shared" si="2"/>
        <v>129.03</v>
      </c>
      <c r="H122" s="596"/>
    </row>
    <row r="123" spans="1:8" ht="15.75">
      <c r="A123" s="545">
        <f t="shared" si="3"/>
        <v>114</v>
      </c>
      <c r="B123" s="546" t="str">
        <f>'Запасні частини'!M131</f>
        <v>Threaded three-way valve, Skloprylad Art.101112 Dn15</v>
      </c>
      <c r="C123" s="547">
        <f>'Запасні частини'!N131</f>
        <v>192</v>
      </c>
      <c r="D123" s="548" t="s">
        <v>115</v>
      </c>
      <c r="E123" s="557">
        <f>'Запасні частини'!O131</f>
        <v>4.5565628128383757</v>
      </c>
      <c r="F123" s="557">
        <f t="shared" si="2"/>
        <v>874.86006006496814</v>
      </c>
      <c r="H123" s="596"/>
    </row>
    <row r="124" spans="1:8" ht="15.75">
      <c r="A124" s="545">
        <f t="shared" si="3"/>
        <v>115</v>
      </c>
      <c r="B124" s="546" t="str">
        <f>'Запасні частини'!M132</f>
        <v>Automatic air vent, DN 15, completed with check valve, IVR 832 Dn15</v>
      </c>
      <c r="C124" s="547">
        <f>'Запасні частини'!N132</f>
        <v>10</v>
      </c>
      <c r="D124" s="548" t="s">
        <v>115</v>
      </c>
      <c r="E124" s="557">
        <f>'Запасні частини'!O132</f>
        <v>5.5786499999999988</v>
      </c>
      <c r="F124" s="557">
        <f t="shared" si="2"/>
        <v>55.78649999999999</v>
      </c>
      <c r="H124" s="596"/>
    </row>
    <row r="125" spans="1:8" ht="15.75">
      <c r="A125" s="545">
        <f t="shared" si="3"/>
        <v>116</v>
      </c>
      <c r="B125" s="546" t="str">
        <f>'Запасні частини'!M133</f>
        <v>Bimetallic thermometer, stainless steel, Skloprylad 0-150 °C</v>
      </c>
      <c r="C125" s="547">
        <f>'Запасні частини'!N133</f>
        <v>5</v>
      </c>
      <c r="D125" s="548" t="s">
        <v>115</v>
      </c>
      <c r="E125" s="557">
        <f>'Запасні частини'!O133</f>
        <v>20.079000000000001</v>
      </c>
      <c r="F125" s="557">
        <f t="shared" si="2"/>
        <v>100.39500000000001</v>
      </c>
      <c r="H125" s="596"/>
    </row>
    <row r="126" spans="1:8" ht="15.75">
      <c r="A126" s="545">
        <f t="shared" si="3"/>
        <v>117</v>
      </c>
      <c r="B126" s="546" t="str">
        <f>'Запасні частини'!M134</f>
        <v>Bimetallic thermometer, stainless steel, Skloprylad 0-120 °C</v>
      </c>
      <c r="C126" s="547">
        <f>'Запасні частини'!N134</f>
        <v>15</v>
      </c>
      <c r="D126" s="548" t="s">
        <v>115</v>
      </c>
      <c r="E126" s="557">
        <f>'Запасні частини'!O134</f>
        <v>20.079000000000001</v>
      </c>
      <c r="F126" s="557">
        <f t="shared" si="2"/>
        <v>301.185</v>
      </c>
      <c r="H126" s="596"/>
    </row>
    <row r="127" spans="1:8" ht="15.75">
      <c r="A127" s="545">
        <f t="shared" si="3"/>
        <v>118</v>
      </c>
      <c r="B127" s="546" t="str">
        <f>'Запасні частини'!M135</f>
        <v>Ambient air temperature sensor, TERA ТСП 2-10Г</v>
      </c>
      <c r="C127" s="547">
        <f>'Запасні частини'!N135</f>
        <v>5</v>
      </c>
      <c r="D127" s="548" t="s">
        <v>115</v>
      </c>
      <c r="E127" s="557">
        <f>'Запасні частини'!O135</f>
        <v>23.259852493513392</v>
      </c>
      <c r="F127" s="557">
        <f t="shared" si="2"/>
        <v>116.29926246756696</v>
      </c>
      <c r="H127" s="596"/>
    </row>
    <row r="128" spans="1:8" ht="15.75">
      <c r="A128" s="545">
        <f t="shared" si="3"/>
        <v>119</v>
      </c>
      <c r="B128" s="546" t="str">
        <f>'Запасні частини'!M136</f>
        <v>Water temperature sensor, embedded, TERA ТСП 1-5</v>
      </c>
      <c r="C128" s="547">
        <f>'Запасні частини'!N136</f>
        <v>35</v>
      </c>
      <c r="D128" s="548" t="s">
        <v>115</v>
      </c>
      <c r="E128" s="557">
        <f>'Запасні частини'!O136</f>
        <v>22.789956483543421</v>
      </c>
      <c r="F128" s="557">
        <f t="shared" si="2"/>
        <v>797.64847692401975</v>
      </c>
      <c r="H128" s="596"/>
    </row>
    <row r="129" spans="1:8" ht="15.75">
      <c r="A129" s="545">
        <f t="shared" si="3"/>
        <v>120</v>
      </c>
      <c r="B129" s="546" t="str">
        <f>'Запасні частини'!M137</f>
        <v>Pressure sensor, WIKA A-10</v>
      </c>
      <c r="C129" s="547">
        <f>'Запасні частини'!N137</f>
        <v>31</v>
      </c>
      <c r="D129" s="548" t="s">
        <v>115</v>
      </c>
      <c r="E129" s="557">
        <f>'Запасні частини'!O137</f>
        <v>128.03229617447442</v>
      </c>
      <c r="F129" s="557">
        <f t="shared" si="2"/>
        <v>3969.001181408707</v>
      </c>
      <c r="H129" s="596"/>
    </row>
    <row r="130" spans="1:8" ht="15.75">
      <c r="A130" s="545">
        <f t="shared" si="3"/>
        <v>121</v>
      </c>
      <c r="B130" s="546" t="str">
        <f>'Запасні частини'!M138</f>
        <v>Flanged screen filter, Zetkama 821A Dn40</v>
      </c>
      <c r="C130" s="547">
        <f>'Запасні частини'!N138</f>
        <v>3</v>
      </c>
      <c r="D130" s="548" t="s">
        <v>115</v>
      </c>
      <c r="E130" s="557">
        <f>'Запасні частини'!O138</f>
        <v>38.156999999999996</v>
      </c>
      <c r="F130" s="557">
        <f t="shared" si="2"/>
        <v>114.47099999999999</v>
      </c>
      <c r="H130" s="596"/>
    </row>
    <row r="131" spans="1:8" ht="15.75">
      <c r="A131" s="545">
        <f t="shared" si="3"/>
        <v>122</v>
      </c>
      <c r="B131" s="546" t="str">
        <f>'Запасні частини'!M139</f>
        <v>Flanged screen filter, Zetkama 821A Dn50</v>
      </c>
      <c r="C131" s="547">
        <f>'Запасні частини'!N139</f>
        <v>3</v>
      </c>
      <c r="D131" s="548" t="s">
        <v>115</v>
      </c>
      <c r="E131" s="557">
        <f>'Запасні частини'!O139</f>
        <v>43.182499999999997</v>
      </c>
      <c r="F131" s="557">
        <f t="shared" si="2"/>
        <v>129.54749999999999</v>
      </c>
      <c r="H131" s="596"/>
    </row>
    <row r="132" spans="1:8" ht="15.75">
      <c r="A132" s="545">
        <f t="shared" si="3"/>
        <v>123</v>
      </c>
      <c r="B132" s="546" t="str">
        <f>'Запасні частини'!M140</f>
        <v>Flanged screen filter, Zetkama 821A Dn65</v>
      </c>
      <c r="C132" s="547">
        <f>'Запасні частини'!N140</f>
        <v>2</v>
      </c>
      <c r="D132" s="548" t="s">
        <v>115</v>
      </c>
      <c r="E132" s="557">
        <f>'Запасні частини'!O140</f>
        <v>65.274000000000001</v>
      </c>
      <c r="F132" s="557">
        <f t="shared" si="2"/>
        <v>130.548</v>
      </c>
      <c r="H132" s="596"/>
    </row>
    <row r="133" spans="1:8" ht="15.75">
      <c r="A133" s="545">
        <f t="shared" si="3"/>
        <v>124</v>
      </c>
      <c r="B133" s="546" t="str">
        <f>'Запасні частини'!M141</f>
        <v>Flanged screen filter, Zetkama 821A Dn80</v>
      </c>
      <c r="C133" s="547">
        <f>'Запасні частини'!N141</f>
        <v>2</v>
      </c>
      <c r="D133" s="548" t="s">
        <v>115</v>
      </c>
      <c r="E133" s="557">
        <f>'Запасні частини'!O141</f>
        <v>82.339999999999989</v>
      </c>
      <c r="F133" s="557">
        <f t="shared" si="2"/>
        <v>164.67999999999998</v>
      </c>
      <c r="H133" s="596"/>
    </row>
    <row r="134" spans="1:8" ht="15.75">
      <c r="A134" s="545">
        <f t="shared" si="3"/>
        <v>125</v>
      </c>
      <c r="B134" s="546" t="str">
        <f>'Запасні частини'!M142</f>
        <v>Flanged screen filter, Zetkama 821A Dn100</v>
      </c>
      <c r="C134" s="547">
        <f>'Запасні частини'!N142</f>
        <v>1</v>
      </c>
      <c r="D134" s="548" t="s">
        <v>115</v>
      </c>
      <c r="E134" s="557">
        <f>'Запасні частини'!O142</f>
        <v>116.48350000000001</v>
      </c>
      <c r="F134" s="557">
        <f t="shared" si="2"/>
        <v>116.48350000000001</v>
      </c>
      <c r="H134" s="596"/>
    </row>
    <row r="135" spans="1:8" ht="15.75">
      <c r="A135" s="545">
        <f t="shared" si="3"/>
        <v>126</v>
      </c>
      <c r="B135" s="546" t="str">
        <f>'Запасні частини'!M143</f>
        <v>Flanged screen filter, Zetkama 821A Dn125</v>
      </c>
      <c r="C135" s="547">
        <f>'Запасні частини'!N143</f>
        <v>1</v>
      </c>
      <c r="D135" s="548" t="s">
        <v>115</v>
      </c>
      <c r="E135" s="557">
        <f>'Запасні частини'!O143</f>
        <v>174.71950000000001</v>
      </c>
      <c r="F135" s="557">
        <f t="shared" si="2"/>
        <v>174.71950000000001</v>
      </c>
      <c r="H135" s="596"/>
    </row>
    <row r="136" spans="1:8" ht="15.75">
      <c r="A136" s="545">
        <f t="shared" si="3"/>
        <v>127</v>
      </c>
      <c r="B136" s="546" t="str">
        <f>'Запасні частини'!M144</f>
        <v>Flanged mud trap, ENERGO-INVEST EI-FG Dn40</v>
      </c>
      <c r="C136" s="547">
        <f>'Запасні частини'!N144</f>
        <v>1</v>
      </c>
      <c r="D136" s="548" t="s">
        <v>115</v>
      </c>
      <c r="E136" s="557">
        <f>'Запасні частини'!O144</f>
        <v>104.35607221416362</v>
      </c>
      <c r="F136" s="557">
        <f t="shared" ref="F136:F150" si="4">E136*C136</f>
        <v>104.35607221416362</v>
      </c>
      <c r="H136" s="596"/>
    </row>
    <row r="137" spans="1:8" ht="15.75">
      <c r="A137" s="545">
        <f t="shared" si="3"/>
        <v>128</v>
      </c>
      <c r="B137" s="546" t="str">
        <f>'Запасні частини'!M145</f>
        <v>Flanged mud trap, ENERGO-INVEST EI-FG Dn50</v>
      </c>
      <c r="C137" s="547">
        <f>'Запасні частини'!N145</f>
        <v>2</v>
      </c>
      <c r="D137" s="548" t="s">
        <v>115</v>
      </c>
      <c r="E137" s="557">
        <f>'Запасні частини'!O145</f>
        <v>115.04620644098037</v>
      </c>
      <c r="F137" s="557">
        <f t="shared" si="4"/>
        <v>230.09241288196074</v>
      </c>
      <c r="H137" s="596"/>
    </row>
    <row r="138" spans="1:8" ht="15.75">
      <c r="A138" s="545">
        <f t="shared" si="3"/>
        <v>129</v>
      </c>
      <c r="B138" s="546" t="str">
        <f>'Запасні частини'!M146</f>
        <v>Flanged mud trap, ENERGO-INVEST EI-FG Dn65</v>
      </c>
      <c r="C138" s="547">
        <f>'Запасні частини'!N146</f>
        <v>4</v>
      </c>
      <c r="D138" s="548" t="s">
        <v>115</v>
      </c>
      <c r="E138" s="557">
        <f>'Запасні частини'!O146</f>
        <v>152.20714922943864</v>
      </c>
      <c r="F138" s="557">
        <f t="shared" si="4"/>
        <v>608.82859691775457</v>
      </c>
      <c r="H138" s="596"/>
    </row>
    <row r="139" spans="1:8" ht="15.75">
      <c r="A139" s="545">
        <f t="shared" si="3"/>
        <v>130</v>
      </c>
      <c r="B139" s="546" t="str">
        <f>'Запасні частини'!M147</f>
        <v>Flanged mud trap, ENERGO-INVEST EI-FG Dn80</v>
      </c>
      <c r="C139" s="547">
        <f>'Запасні частини'!N147</f>
        <v>1</v>
      </c>
      <c r="D139" s="548" t="s">
        <v>115</v>
      </c>
      <c r="E139" s="557">
        <f>'Запасні частини'!O147</f>
        <v>159.56885338563481</v>
      </c>
      <c r="F139" s="557">
        <f t="shared" si="4"/>
        <v>159.56885338563481</v>
      </c>
      <c r="H139" s="596"/>
    </row>
    <row r="140" spans="1:8" ht="15.75">
      <c r="A140" s="545">
        <f t="shared" ref="A140:A150" si="5">A139+1</f>
        <v>131</v>
      </c>
      <c r="B140" s="546" t="str">
        <f>'Запасні частини'!M148</f>
        <v>Flanged mud trap, ENERGO-INVEST EI-FG Dn100</v>
      </c>
      <c r="C140" s="547">
        <f>'Запасні частини'!N148</f>
        <v>1</v>
      </c>
      <c r="D140" s="548" t="s">
        <v>115</v>
      </c>
      <c r="E140" s="557">
        <f>'Запасні частини'!O148</f>
        <v>216.62206059615502</v>
      </c>
      <c r="F140" s="557">
        <f t="shared" si="4"/>
        <v>216.62206059615502</v>
      </c>
      <c r="H140" s="596"/>
    </row>
    <row r="141" spans="1:8" ht="15.75">
      <c r="A141" s="545">
        <f t="shared" si="5"/>
        <v>132</v>
      </c>
      <c r="B141" s="546" t="str">
        <f>'Запасні частини'!M149</f>
        <v>Flanged mud trap, ENERGO-INVEST EI-FG Dn125</v>
      </c>
      <c r="C141" s="547">
        <f>'Запасні частини'!N149</f>
        <v>1</v>
      </c>
      <c r="D141" s="548" t="s">
        <v>115</v>
      </c>
      <c r="E141" s="557">
        <f>'Запасні частини'!O149</f>
        <v>232.63768293596473</v>
      </c>
      <c r="F141" s="557">
        <f t="shared" si="4"/>
        <v>232.63768293596473</v>
      </c>
      <c r="H141" s="596"/>
    </row>
    <row r="142" spans="1:8" ht="15.75">
      <c r="A142" s="545">
        <f t="shared" si="5"/>
        <v>133</v>
      </c>
      <c r="B142" s="546" t="str">
        <f>'Запасні частини'!M150</f>
        <v>Flanged full bore ball valve, BREEZE 11с36п Dn20</v>
      </c>
      <c r="C142" s="547">
        <f>'Запасні частини'!N150</f>
        <v>3</v>
      </c>
      <c r="D142" s="548" t="s">
        <v>115</v>
      </c>
      <c r="E142" s="557">
        <f>'Запасні частини'!O150</f>
        <v>18.607881994810711</v>
      </c>
      <c r="F142" s="557">
        <f t="shared" si="4"/>
        <v>55.823645984432133</v>
      </c>
      <c r="H142" s="596"/>
    </row>
    <row r="143" spans="1:8" ht="15.75">
      <c r="A143" s="545">
        <f t="shared" si="5"/>
        <v>134</v>
      </c>
      <c r="B143" s="546" t="str">
        <f>'Запасні частини'!M151</f>
        <v>Flanged full bore ball valve, BREEZE 11с36п Dn25</v>
      </c>
      <c r="C143" s="547">
        <f>'Запасні частини'!N151</f>
        <v>2</v>
      </c>
      <c r="D143" s="548" t="s">
        <v>115</v>
      </c>
      <c r="E143" s="557">
        <f>'Запасні частини'!O151</f>
        <v>18.983798802786684</v>
      </c>
      <c r="F143" s="557">
        <f t="shared" si="4"/>
        <v>37.967597605573367</v>
      </c>
      <c r="H143" s="596"/>
    </row>
    <row r="144" spans="1:8" ht="15.75">
      <c r="A144" s="545">
        <f t="shared" si="5"/>
        <v>135</v>
      </c>
      <c r="B144" s="546" t="str">
        <f>'Запасні частини'!M152</f>
        <v>Flanged full bore ball valve, BREEZE 11с36п Dn32</v>
      </c>
      <c r="C144" s="547">
        <f>'Запасні частини'!N152</f>
        <v>4</v>
      </c>
      <c r="D144" s="548" t="s">
        <v>115</v>
      </c>
      <c r="E144" s="557">
        <f>'Запасні частини'!O152</f>
        <v>20.58144523668458</v>
      </c>
      <c r="F144" s="557">
        <f t="shared" si="4"/>
        <v>82.32578094673832</v>
      </c>
      <c r="H144" s="596"/>
    </row>
    <row r="145" spans="1:8" ht="15.75">
      <c r="A145" s="545">
        <f t="shared" si="5"/>
        <v>136</v>
      </c>
      <c r="B145" s="546" t="str">
        <f>'Запасні частини'!M153</f>
        <v>Flanged full bore ball valve, BREEZE 11с36п Dn40</v>
      </c>
      <c r="C145" s="547">
        <f>'Запасні частини'!N153</f>
        <v>20</v>
      </c>
      <c r="D145" s="548" t="s">
        <v>115</v>
      </c>
      <c r="E145" s="557">
        <f>'Запасні частини'!O153</f>
        <v>23.541790099495369</v>
      </c>
      <c r="F145" s="557">
        <f t="shared" si="4"/>
        <v>470.8358019899074</v>
      </c>
      <c r="H145" s="596"/>
    </row>
    <row r="146" spans="1:8" ht="15.75">
      <c r="A146" s="545">
        <f t="shared" si="5"/>
        <v>137</v>
      </c>
      <c r="B146" s="546" t="str">
        <f>'Запасні частини'!M154</f>
        <v>Flanged full bore ball valve, BREEZE 11с36п Dn50</v>
      </c>
      <c r="C146" s="547">
        <f>'Запасні частини'!N154</f>
        <v>23</v>
      </c>
      <c r="D146" s="548" t="s">
        <v>115</v>
      </c>
      <c r="E146" s="557">
        <f>'Запасні частини'!O154</f>
        <v>29.744417431098942</v>
      </c>
      <c r="F146" s="557">
        <f t="shared" si="4"/>
        <v>684.12160091527562</v>
      </c>
      <c r="H146" s="596"/>
    </row>
    <row r="147" spans="1:8" ht="15.75">
      <c r="A147" s="545">
        <f t="shared" si="5"/>
        <v>138</v>
      </c>
      <c r="B147" s="546" t="str">
        <f>'Запасні частини'!M155</f>
        <v>Flanged full bore ball valve, BREEZE 11с36п Dn65</v>
      </c>
      <c r="C147" s="547">
        <f>'Запасні частини'!N155</f>
        <v>16</v>
      </c>
      <c r="D147" s="548" t="s">
        <v>115</v>
      </c>
      <c r="E147" s="557">
        <f>'Запасні частини'!O155</f>
        <v>38.578462418534329</v>
      </c>
      <c r="F147" s="557">
        <f t="shared" si="4"/>
        <v>617.25539869654926</v>
      </c>
      <c r="H147" s="596"/>
    </row>
    <row r="148" spans="1:8" ht="15.75">
      <c r="A148" s="545">
        <f t="shared" si="5"/>
        <v>139</v>
      </c>
      <c r="B148" s="546" t="str">
        <f>'Запасні частини'!M156</f>
        <v>Flanged full bore ball valve, BREEZE 11с36п Dn80</v>
      </c>
      <c r="C148" s="547">
        <f>'Запасні частини'!N156</f>
        <v>9</v>
      </c>
      <c r="D148" s="548" t="s">
        <v>115</v>
      </c>
      <c r="E148" s="557">
        <f>'Запасні частини'!O156</f>
        <v>48.164341021921665</v>
      </c>
      <c r="F148" s="557">
        <f t="shared" si="4"/>
        <v>433.47906919729496</v>
      </c>
      <c r="H148" s="596"/>
    </row>
    <row r="149" spans="1:8" ht="15.75">
      <c r="A149" s="545">
        <f t="shared" si="5"/>
        <v>140</v>
      </c>
      <c r="B149" s="546" t="str">
        <f>'Запасні частини'!M157</f>
        <v>Flanged full bore ball valve, BREEZE 11с36п Dn100</v>
      </c>
      <c r="C149" s="547">
        <f>'Запасні частини'!N157</f>
        <v>3</v>
      </c>
      <c r="D149" s="548" t="s">
        <v>115</v>
      </c>
      <c r="E149" s="557">
        <f>'Запасні частини'!O157</f>
        <v>78.002737655014613</v>
      </c>
      <c r="F149" s="557">
        <f t="shared" si="4"/>
        <v>234.00821296504384</v>
      </c>
      <c r="H149" s="596"/>
    </row>
    <row r="150" spans="1:8" ht="15.75">
      <c r="A150" s="545">
        <f t="shared" si="5"/>
        <v>141</v>
      </c>
      <c r="B150" s="546" t="str">
        <f>'Запасні частини'!M158</f>
        <v>Flanged full bore ball valve, BREEZE 11с36п Dn125</v>
      </c>
      <c r="C150" s="547">
        <f>'Запасні частини'!N158</f>
        <v>1</v>
      </c>
      <c r="D150" s="548" t="s">
        <v>115</v>
      </c>
      <c r="E150" s="557">
        <f>'Запасні частини'!O158</f>
        <v>114.37268882669008</v>
      </c>
      <c r="F150" s="557">
        <f t="shared" si="4"/>
        <v>114.37268882669008</v>
      </c>
      <c r="H150" s="596"/>
    </row>
    <row r="151" spans="1:8" ht="15.75">
      <c r="A151" s="1476" t="s">
        <v>1134</v>
      </c>
      <c r="B151" s="1476"/>
      <c r="C151" s="1476"/>
      <c r="D151" s="1476"/>
      <c r="E151" s="1476"/>
      <c r="F151" s="558">
        <f>SUM(F10:F150)</f>
        <v>122417.4483901355</v>
      </c>
    </row>
    <row r="152" spans="1:8" ht="15.75">
      <c r="A152" s="550"/>
      <c r="B152" s="550"/>
      <c r="C152" s="551"/>
      <c r="D152" s="551"/>
      <c r="E152" s="552"/>
      <c r="F152" s="551"/>
    </row>
    <row r="153" spans="1:8" ht="15.75">
      <c r="A153" s="553"/>
      <c r="B153" s="553"/>
      <c r="C153" s="551"/>
      <c r="D153" s="551"/>
      <c r="E153" s="552"/>
      <c r="F153" s="551"/>
    </row>
    <row r="154" spans="1:8" ht="15.75">
      <c r="A154" s="551" t="s">
        <v>1135</v>
      </c>
      <c r="B154" s="550"/>
      <c r="C154" s="551" t="s">
        <v>1136</v>
      </c>
      <c r="D154" s="551"/>
      <c r="E154" s="554"/>
      <c r="F154" s="554"/>
    </row>
    <row r="155" spans="1:8" ht="15.75">
      <c r="A155" s="550"/>
      <c r="B155" s="550"/>
      <c r="C155" s="551"/>
      <c r="D155" s="551"/>
      <c r="E155" s="551"/>
      <c r="F155" s="551"/>
    </row>
    <row r="156" spans="1:8" ht="15.75">
      <c r="A156" s="551" t="s">
        <v>1137</v>
      </c>
      <c r="B156" s="550"/>
      <c r="C156" s="537" t="s">
        <v>1138</v>
      </c>
      <c r="D156" s="537"/>
      <c r="E156" s="537"/>
      <c r="F156" s="551"/>
    </row>
    <row r="157" spans="1:8" ht="15.75">
      <c r="A157" s="551"/>
      <c r="B157" s="550"/>
      <c r="C157" s="537"/>
      <c r="D157" s="537"/>
      <c r="E157" s="537"/>
      <c r="F157" s="551"/>
    </row>
    <row r="158" spans="1:8">
      <c r="A158" s="1475" t="s">
        <v>1139</v>
      </c>
      <c r="B158" s="1475"/>
      <c r="C158" s="1475"/>
      <c r="D158" s="1475"/>
      <c r="E158" s="1475"/>
      <c r="F158" s="1475"/>
    </row>
    <row r="159" spans="1:8">
      <c r="A159" s="1475"/>
      <c r="B159" s="1475"/>
      <c r="C159" s="1475"/>
      <c r="D159" s="1475"/>
      <c r="E159" s="1475"/>
      <c r="F159" s="1475"/>
    </row>
    <row r="160" spans="1:8">
      <c r="A160" s="1475"/>
      <c r="B160" s="1475"/>
      <c r="C160" s="1475"/>
      <c r="D160" s="1475"/>
      <c r="E160" s="1475"/>
      <c r="F160" s="1475"/>
    </row>
    <row r="161" spans="1:6">
      <c r="A161" s="1475"/>
      <c r="B161" s="1475"/>
      <c r="C161" s="1475"/>
      <c r="D161" s="1475"/>
      <c r="E161" s="1475"/>
      <c r="F161" s="1475"/>
    </row>
    <row r="167" spans="1:6">
      <c r="A167" s="17" t="s">
        <v>1140</v>
      </c>
    </row>
  </sheetData>
  <mergeCells count="6">
    <mergeCell ref="F7:F8"/>
    <mergeCell ref="A158:F161"/>
    <mergeCell ref="A151:E151"/>
    <mergeCell ref="D6:E6"/>
    <mergeCell ref="A7:A8"/>
    <mergeCell ref="C7:C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DY83"/>
  <sheetViews>
    <sheetView topLeftCell="O5" zoomScale="55" zoomScaleNormal="55" workbookViewId="0">
      <selection activeCell="AM62" sqref="AM62"/>
    </sheetView>
  </sheetViews>
  <sheetFormatPr defaultRowHeight="12.75"/>
  <cols>
    <col min="1" max="1" width="3.28515625" bestFit="1" customWidth="1"/>
    <col min="2" max="2" width="45.42578125" customWidth="1"/>
    <col min="3" max="3" width="7.85546875" style="276" bestFit="1" customWidth="1"/>
    <col min="4" max="4" width="7.140625" style="276" bestFit="1" customWidth="1"/>
    <col min="5" max="5" width="7.85546875" style="276" bestFit="1" customWidth="1"/>
    <col min="6" max="6" width="7.140625" style="276" bestFit="1" customWidth="1"/>
    <col min="7" max="7" width="7.85546875" style="276" bestFit="1" customWidth="1"/>
    <col min="8" max="8" width="7.140625" style="276" bestFit="1" customWidth="1"/>
    <col min="9" max="9" width="7.85546875" style="276" bestFit="1" customWidth="1"/>
    <col min="10" max="10" width="7.140625" style="276" bestFit="1" customWidth="1"/>
    <col min="11" max="11" width="7.85546875" style="276" bestFit="1" customWidth="1"/>
    <col min="12" max="12" width="7.140625" style="276" bestFit="1" customWidth="1"/>
    <col min="13" max="13" width="9.85546875" style="276" customWidth="1"/>
    <col min="14" max="14" width="9.7109375" style="276" customWidth="1"/>
    <col min="15" max="15" width="9.28515625" style="276" bestFit="1" customWidth="1"/>
    <col min="16" max="16" width="7.85546875" style="276" bestFit="1" customWidth="1"/>
    <col min="17" max="17" width="7.140625" style="276" bestFit="1" customWidth="1"/>
    <col min="18" max="18" width="9.28515625" style="276" bestFit="1" customWidth="1"/>
    <col min="19" max="19" width="9.85546875" style="276" customWidth="1"/>
    <col min="20" max="20" width="7.140625" style="276" bestFit="1" customWidth="1"/>
    <col min="21" max="21" width="8.85546875" style="276" bestFit="1" customWidth="1"/>
    <col min="22" max="22" width="7.140625" style="276" bestFit="1" customWidth="1"/>
    <col min="23" max="23" width="9.28515625" style="276" bestFit="1" customWidth="1"/>
    <col min="24" max="24" width="7.85546875" style="276" bestFit="1" customWidth="1"/>
    <col min="25" max="25" width="28.85546875" style="276" customWidth="1"/>
    <col min="26" max="26" width="9.28515625" style="276" bestFit="1" customWidth="1"/>
    <col min="27" max="27" width="7.85546875" style="276" bestFit="1" customWidth="1"/>
    <col min="28" max="28" width="7.140625" style="276" bestFit="1" customWidth="1"/>
    <col min="29" max="29" width="7.85546875" style="276" bestFit="1" customWidth="1"/>
    <col min="30" max="30" width="24.42578125" style="276" customWidth="1"/>
    <col min="31" max="31" width="7" style="276" bestFit="1" customWidth="1"/>
    <col min="32" max="32" width="8.7109375" style="276" bestFit="1" customWidth="1"/>
    <col min="33" max="33" width="7.85546875" style="276" bestFit="1" customWidth="1"/>
    <col min="34" max="34" width="8.7109375" style="276" bestFit="1" customWidth="1"/>
    <col min="35" max="35" width="5.85546875" style="276" bestFit="1" customWidth="1"/>
    <col min="36" max="36" width="7.140625" style="276" bestFit="1" customWidth="1"/>
    <col min="37" max="37" width="26.42578125" style="276" bestFit="1" customWidth="1"/>
    <col min="38" max="38" width="7.140625" style="276" bestFit="1" customWidth="1"/>
    <col min="39" max="39" width="26.7109375" style="276" bestFit="1" customWidth="1"/>
    <col min="40" max="40" width="7.140625" style="276" bestFit="1" customWidth="1"/>
    <col min="41" max="41" width="7.85546875" style="276" bestFit="1" customWidth="1"/>
    <col min="42" max="42" width="7.140625" style="276" bestFit="1" customWidth="1"/>
    <col min="43" max="43" width="7.85546875" style="276" bestFit="1" customWidth="1"/>
    <col min="44" max="44" width="10.28515625" style="276" customWidth="1"/>
    <col min="45" max="45" width="7.85546875" style="276" bestFit="1" customWidth="1"/>
    <col min="46" max="46" width="7.140625" style="276" bestFit="1" customWidth="1"/>
    <col min="47" max="47" width="7.85546875" style="276" bestFit="1" customWidth="1"/>
    <col min="48" max="48" width="7.140625" style="276" bestFit="1" customWidth="1"/>
    <col min="49" max="49" width="7.85546875" style="276" bestFit="1" customWidth="1"/>
    <col min="50" max="50" width="12.28515625" style="276" bestFit="1" customWidth="1"/>
    <col min="51" max="51" width="7.85546875" style="276" bestFit="1" customWidth="1"/>
    <col min="52" max="52" width="12.28515625" style="276" bestFit="1" customWidth="1"/>
    <col min="53" max="53" width="7.85546875" style="276" bestFit="1" customWidth="1"/>
    <col min="54" max="54" width="12.28515625" style="276" bestFit="1" customWidth="1"/>
    <col min="55" max="55" width="7.85546875" style="276" bestFit="1" customWidth="1"/>
    <col min="56" max="56" width="12.28515625" style="276" bestFit="1" customWidth="1"/>
    <col min="57" max="57" width="7.85546875" style="276" bestFit="1" customWidth="1"/>
    <col min="58" max="58" width="7.140625" style="276" bestFit="1" customWidth="1"/>
    <col min="59" max="59" width="7.85546875" style="276" bestFit="1" customWidth="1"/>
    <col min="60" max="60" width="7.140625" style="276" bestFit="1" customWidth="1"/>
    <col min="61" max="61" width="7.85546875" style="276" bestFit="1" customWidth="1"/>
    <col min="62" max="62" width="7.140625" style="276" bestFit="1" customWidth="1"/>
    <col min="63" max="63" width="7.85546875" style="276" bestFit="1" customWidth="1"/>
    <col min="64" max="64" width="9.42578125" style="276" customWidth="1"/>
    <col min="65" max="65" width="7.85546875" style="276" bestFit="1" customWidth="1"/>
    <col min="66" max="66" width="7.140625" style="276" bestFit="1" customWidth="1"/>
    <col min="67" max="67" width="7.85546875" style="276" bestFit="1" customWidth="1"/>
    <col min="68" max="68" width="7.140625" style="276" bestFit="1" customWidth="1"/>
    <col min="69" max="69" width="7.85546875" style="276" bestFit="1" customWidth="1"/>
    <col min="70" max="70" width="7.140625" style="276" bestFit="1" customWidth="1"/>
    <col min="71" max="71" width="7.85546875" style="276" customWidth="1"/>
    <col min="72" max="72" width="7.140625" style="276" bestFit="1" customWidth="1"/>
    <col min="73" max="73" width="7.85546875" style="276" bestFit="1" customWidth="1"/>
    <col min="74" max="74" width="7.140625" style="276" bestFit="1" customWidth="1"/>
    <col min="75" max="75" width="7.85546875" style="276" bestFit="1" customWidth="1"/>
    <col min="76" max="76" width="7.140625" style="276" bestFit="1" customWidth="1"/>
    <col min="77" max="77" width="7.85546875" style="276" bestFit="1" customWidth="1"/>
    <col min="78" max="78" width="7.140625" style="276" bestFit="1" customWidth="1"/>
    <col min="79" max="79" width="7.85546875" style="276" bestFit="1" customWidth="1"/>
    <col min="80" max="80" width="7.140625" style="276" bestFit="1" customWidth="1"/>
    <col min="81" max="81" width="7.85546875" style="276" bestFit="1" customWidth="1"/>
    <col min="82" max="82" width="7.140625" style="276" bestFit="1" customWidth="1"/>
    <col min="83" max="83" width="12.28515625" style="276" bestFit="1" customWidth="1"/>
    <col min="84" max="84" width="7.85546875" style="276" bestFit="1" customWidth="1"/>
    <col min="85" max="85" width="7.140625" style="276" bestFit="1" customWidth="1"/>
    <col min="86" max="86" width="12.28515625" style="276" bestFit="1" customWidth="1"/>
    <col min="87" max="87" width="10" style="276" bestFit="1" customWidth="1"/>
    <col min="88" max="88" width="9" style="276" bestFit="1" customWidth="1"/>
    <col min="89" max="89" width="28.28515625" style="276" bestFit="1" customWidth="1"/>
    <col min="90" max="90" width="7.140625" style="276" bestFit="1" customWidth="1"/>
    <col min="91" max="91" width="12.28515625" style="276" bestFit="1" customWidth="1"/>
    <col min="92" max="92" width="10" style="276" bestFit="1" customWidth="1"/>
    <col min="93" max="93" width="9" style="276" bestFit="1" customWidth="1"/>
    <col min="94" max="94" width="24.7109375" style="276" bestFit="1" customWidth="1"/>
    <col min="95" max="95" width="7.140625" style="276" bestFit="1" customWidth="1"/>
    <col min="96" max="96" width="12.28515625" style="276" bestFit="1" customWidth="1"/>
    <col min="97" max="97" width="5.140625" style="276" bestFit="1" customWidth="1"/>
    <col min="98" max="98" width="7.28515625" style="276" bestFit="1" customWidth="1"/>
    <col min="99" max="99" width="7.140625" style="276" bestFit="1" customWidth="1"/>
    <col min="100" max="100" width="9.28515625" style="276" bestFit="1" customWidth="1"/>
    <col min="101" max="101" width="7.85546875" style="276" bestFit="1" customWidth="1"/>
    <col min="102" max="102" width="7.140625" style="276" bestFit="1" customWidth="1"/>
    <col min="103" max="103" width="7.85546875" style="276" bestFit="1" customWidth="1"/>
    <col min="104" max="104" width="7.140625" style="276" bestFit="1" customWidth="1"/>
    <col min="105" max="105" width="7.85546875" style="276" bestFit="1" customWidth="1"/>
    <col min="106" max="106" width="7.140625" style="276" bestFit="1" customWidth="1"/>
    <col min="107" max="107" width="7.85546875" style="276" bestFit="1" customWidth="1"/>
    <col min="108" max="108" width="8.7109375" style="276" bestFit="1" customWidth="1"/>
    <col min="109" max="109" width="7.140625" style="276" bestFit="1" customWidth="1"/>
    <col min="110" max="110" width="7.85546875" style="276" bestFit="1" customWidth="1"/>
    <col min="111" max="111" width="7.140625" style="276" bestFit="1" customWidth="1"/>
    <col min="112" max="112" width="7.85546875" style="276" bestFit="1" customWidth="1"/>
    <col min="113" max="113" width="7.140625" style="276" bestFit="1" customWidth="1"/>
    <col min="114" max="114" width="10.5703125" style="276" bestFit="1" customWidth="1"/>
    <col min="115" max="115" width="7.140625" style="276" bestFit="1" customWidth="1"/>
    <col min="116" max="116" width="10.5703125" style="276" bestFit="1" customWidth="1"/>
    <col min="117" max="117" width="7.140625" style="276" bestFit="1" customWidth="1"/>
    <col min="118" max="118" width="10.5703125" style="276" bestFit="1" customWidth="1"/>
    <col min="119" max="119" width="7.140625" style="276" bestFit="1" customWidth="1"/>
    <col min="120" max="120" width="10.5703125" style="276" bestFit="1" customWidth="1"/>
    <col min="121" max="123" width="7.140625" style="276" bestFit="1" customWidth="1"/>
    <col min="124" max="124" width="5.140625" style="276" bestFit="1" customWidth="1"/>
    <col min="125" max="125" width="7.140625" style="276" bestFit="1" customWidth="1"/>
    <col min="126" max="126" width="7.7109375" style="276" bestFit="1" customWidth="1"/>
    <col min="127" max="127" width="7.140625" style="276" bestFit="1" customWidth="1"/>
    <col min="128" max="128" width="9.7109375" style="276" bestFit="1" customWidth="1"/>
    <col min="129" max="129" width="7.140625" style="276" bestFit="1" customWidth="1"/>
  </cols>
  <sheetData>
    <row r="2" spans="1:66" ht="18">
      <c r="B2" s="1156" t="s">
        <v>1394</v>
      </c>
    </row>
    <row r="3" spans="1:66" ht="13.5" thickBot="1"/>
    <row r="4" spans="1:66" s="1068" customFormat="1" ht="87.75" customHeight="1" thickBot="1">
      <c r="A4" s="1067" t="str">
        <f>'Таблиця цін схема №1'!B3</f>
        <v>№</v>
      </c>
      <c r="B4" s="1067" t="str">
        <f>'Таблиця цін схема №1'!C3</f>
        <v>Adress</v>
      </c>
      <c r="C4" s="1482" t="str">
        <f>'Таблиця цін схема №1'!AB3</f>
        <v>Flanged full bore ball valve, PN16, type 11с36п</v>
      </c>
      <c r="D4" s="1483"/>
      <c r="E4" s="1482" t="str">
        <f>'Таблиця цін схема №1'!AF3</f>
        <v>Flanged mud trap EI-FG, PN16</v>
      </c>
      <c r="F4" s="1483"/>
      <c r="G4" s="1482" t="str">
        <f>'Таблиця цін схема №1'!AJ3</f>
        <v>Flanged screen filter, PN16, type 821А</v>
      </c>
      <c r="H4" s="1484"/>
      <c r="I4" s="1482" t="str">
        <f>'Таблиця цін схема №1'!AN3</f>
        <v>Flanged full bore ball valve (heating system), PN16, type 11с36п</v>
      </c>
      <c r="J4" s="1483"/>
      <c r="K4" s="1482" t="str">
        <f>'Таблиця цін схема №1'!AR3</f>
        <v>Flanged full bore ball valve (HWS), PN16,type  11с36п</v>
      </c>
      <c r="L4" s="1483"/>
      <c r="M4" s="1482" t="str">
        <f>'Таблиця цін схема №1'!AV3</f>
        <v>Electrical drive of the control valve (heating system) AMV20</v>
      </c>
      <c r="N4" s="1483"/>
      <c r="O4" s="1482" t="str">
        <f>'Таблиця цін схема №1'!AZ3</f>
        <v>Two-way control valve, pressure balanced (heating system) VB2</v>
      </c>
      <c r="P4" s="1484"/>
      <c r="Q4" s="1483"/>
      <c r="R4" s="1482" t="str">
        <f>'Таблиця цін схема №1'!BE3</f>
        <v xml:space="preserve">Pressure difference regulating valve with impulse tubes (heating system) AVP or AFP-9 VFG 2 (DN50 and above) </v>
      </c>
      <c r="S4" s="1484"/>
      <c r="T4" s="1483"/>
      <c r="U4" s="1482" t="str">
        <f>'Таблиця цін схема №1'!BJ3</f>
        <v>Electrical drive of the control valve (HWS) AMV33 for Danfoss or Belimo NV230A-RE for LDM</v>
      </c>
      <c r="V4" s="1483"/>
      <c r="W4" s="1482" t="str">
        <f>'Таблиця цін схема №1'!BN3</f>
        <v>Two-way control valve, pressure balanced (HWS) VB2 (DN15-DN50) or RV113R (DN65 and above)</v>
      </c>
      <c r="X4" s="1484"/>
      <c r="Y4" s="1483"/>
      <c r="Z4" s="1482" t="str">
        <f>'Таблиця цін схема №1'!BS3</f>
        <v xml:space="preserve">Pressure difference regulating valve with impulse tubes (HWS) AVP (DN15-DN50) or AFP-9 VFG 2 (DN65 and above) </v>
      </c>
      <c r="AA4" s="1484"/>
      <c r="AB4" s="1484"/>
      <c r="AC4" s="1482" t="str">
        <f>'Таблиця цін схема №1'!BX3</f>
        <v>Heat meter (heating system), SKS or existed</v>
      </c>
      <c r="AD4" s="1484"/>
      <c r="AE4" s="1484"/>
      <c r="AF4" s="1483"/>
      <c r="AG4" s="1482" t="str">
        <f>'Таблиця цін схема №1'!CD3</f>
        <v>Heat meter (HWS), SKS</v>
      </c>
      <c r="AH4" s="1484"/>
      <c r="AI4" s="1484"/>
      <c r="AJ4" s="1483"/>
      <c r="AK4" s="1482" t="str">
        <f>'Таблиця цін схема №1'!CJ3</f>
        <v>Plate-type heat exchanger of the heating system</v>
      </c>
      <c r="AL4" s="1483"/>
      <c r="AM4" s="1482" t="str">
        <f>'Таблиця цін схема №1'!CN3</f>
        <v>Plate-type heat exchanger of the HWS system</v>
      </c>
      <c r="AN4" s="1483"/>
      <c r="AO4" s="1482" t="str">
        <f>'Таблиця цін схема №1'!CR3</f>
        <v>Threaded ball valve, type FIV (DN15-32) or flanged full-bore valve, type 11с36п, PN16 (DN40 and above)</v>
      </c>
      <c r="AP4" s="1483"/>
      <c r="AQ4" s="1482" t="str">
        <f>'Таблиця цін схема №1'!CV3</f>
        <v>Threaded ball valve type FIV (DN15-32) or flanged valve type T-0520 (for DN40) or КЗК 41нж, PN16 (DN50 and above)</v>
      </c>
      <c r="AR4" s="1483"/>
      <c r="AS4" s="1482" t="str">
        <f>'Таблиця цін схема №1'!CZ3</f>
        <v>Threaded ball valve type FIV (DN15-32) or flanged valve type T-0520 (for DN40) or КЗК 41нж, PN16 (DN50 and above)</v>
      </c>
      <c r="AT4" s="1484"/>
      <c r="AU4" s="1482" t="str">
        <f>'Таблиця цін схема №1'!DD3</f>
        <v>Threaded ball valve, type FIV (DN15-32) or flanged full-bore valve, type 11с36п, PN16 (DN40 and above)</v>
      </c>
      <c r="AV4" s="1483"/>
      <c r="AW4" s="1482" t="str">
        <f>'Таблиця цін схема №1'!DH3</f>
        <v>Threaded ball valve, type FIV (DN15-32) or flanged full-bore valve, type 11с36п, PN16 (DN40 and above)</v>
      </c>
      <c r="AX4" s="1483"/>
      <c r="AY4" s="1482" t="str">
        <f>'Таблиця цін схема №1'!DL3</f>
        <v>Flanged full bore ball valve, PN16, type 11с36п</v>
      </c>
      <c r="AZ4" s="1483"/>
      <c r="BA4" s="1482" t="str">
        <f>'Таблиця цін схема №1'!DP3</f>
        <v>Threaded ball valve, type FIV</v>
      </c>
      <c r="BB4" s="1483"/>
      <c r="BC4" s="1482" t="str">
        <f>'Таблиця цін схема №1'!DT3</f>
        <v>Threaded ball valve DN20, type FIV</v>
      </c>
      <c r="BD4" s="1483"/>
      <c r="BE4" s="1482" t="str">
        <f>'Таблиця цін схема №1'!DX3</f>
        <v>Threaded ball valve DN15, type FIV</v>
      </c>
      <c r="BF4" s="1483"/>
      <c r="BG4" s="1482" t="str">
        <f>'Таблиця цін схема №1'!EB3</f>
        <v>Threaded three-way valve DN15 (Art.101112) Skloplylad (for manometers)</v>
      </c>
      <c r="BH4" s="1483"/>
      <c r="BI4" s="1482" t="str">
        <f>'Таблиця цін схема №1'!EF3</f>
        <v xml:space="preserve">Threaded screen filter IVR 924 (DN15-32) or flanged screen filter Zetkama 821A (DN40 and above) </v>
      </c>
      <c r="BJ4" s="1483"/>
      <c r="BK4" s="1482" t="str">
        <f>'Таблиця цін схема №1'!EJ3</f>
        <v xml:space="preserve">Threaded screen filter IVR 924 (DN15-32) or flanged screen filter Zetkama 821A (DN40 and above) </v>
      </c>
      <c r="BL4" s="1483"/>
      <c r="BM4" s="1482" t="str">
        <f>'Таблиця цін схема №1'!EN3</f>
        <v xml:space="preserve">Threaded screen filter IVR 924 (DN15-32) or flanged screen filter Zetkama 821A (DN40 and above) </v>
      </c>
      <c r="BN4" s="1483"/>
    </row>
    <row r="5" spans="1:66" s="1064" customFormat="1">
      <c r="A5" s="1069"/>
      <c r="B5" s="1069"/>
      <c r="C5" s="1082">
        <f>'Таблиця цін схема №1'!AB4</f>
        <v>1</v>
      </c>
      <c r="D5" s="1083"/>
      <c r="E5" s="1082">
        <f>'Таблиця цін схема №1'!AF4</f>
        <v>3</v>
      </c>
      <c r="F5" s="1083"/>
      <c r="G5" s="1082">
        <f>'Таблиця цін схема №1'!AJ4</f>
        <v>2</v>
      </c>
      <c r="H5" s="1084"/>
      <c r="I5" s="1082">
        <f>'Таблиця цін схема №1'!AN4</f>
        <v>4</v>
      </c>
      <c r="J5" s="1083"/>
      <c r="K5" s="1082">
        <f>'Таблиця цін схема №1'!AR4</f>
        <v>26</v>
      </c>
      <c r="L5" s="1083"/>
      <c r="M5" s="1082" t="str">
        <f>'Таблиця цін схема №1'!AV4</f>
        <v>5.1</v>
      </c>
      <c r="N5" s="1083"/>
      <c r="O5" s="1082" t="str">
        <f>'Таблиця цін схема №1'!AZ4</f>
        <v>5.2</v>
      </c>
      <c r="P5" s="1084"/>
      <c r="Q5" s="1083"/>
      <c r="R5" s="1082">
        <f>'Таблиця цін схема №1'!BE4</f>
        <v>6</v>
      </c>
      <c r="S5" s="1084"/>
      <c r="T5" s="1083"/>
      <c r="U5" s="1082" t="str">
        <f>'Таблиця цін схема №1'!BJ4</f>
        <v>28.1</v>
      </c>
      <c r="V5" s="1083"/>
      <c r="W5" s="1082" t="str">
        <f>'Таблиця цін схема №1'!BN4</f>
        <v>28.2</v>
      </c>
      <c r="X5" s="1084"/>
      <c r="Y5" s="1083"/>
      <c r="Z5" s="1082">
        <f>'Таблиця цін схема №1'!BS4</f>
        <v>29</v>
      </c>
      <c r="AA5" s="1084"/>
      <c r="AB5" s="1084"/>
      <c r="AC5" s="1082" t="str">
        <f>'Таблиця цін схема №1'!BX4</f>
        <v>7</v>
      </c>
      <c r="AD5" s="1084"/>
      <c r="AE5" s="1084" t="str">
        <f>'Таблиця цін схема №1'!BZ4</f>
        <v>7.2</v>
      </c>
      <c r="AF5" s="1083"/>
      <c r="AG5" s="1082" t="str">
        <f>'Таблиця цін схема №1'!CD4</f>
        <v>27</v>
      </c>
      <c r="AH5" s="1084"/>
      <c r="AI5" s="1084" t="str">
        <f>'Таблиця цін схема №1'!CF4</f>
        <v>27.2</v>
      </c>
      <c r="AJ5" s="1083"/>
      <c r="AK5" s="1082">
        <f>'Таблиця цін схема №1'!CJ4</f>
        <v>8</v>
      </c>
      <c r="AL5" s="1083"/>
      <c r="AM5" s="1082">
        <f>'Таблиця цін схема №1'!CN4</f>
        <v>40</v>
      </c>
      <c r="AN5" s="1083"/>
      <c r="AO5" s="1082">
        <f>'Таблиця цін схема №1'!CR4</f>
        <v>9</v>
      </c>
      <c r="AP5" s="1083"/>
      <c r="AQ5" s="1082">
        <f>'Таблиця цін схема №1'!CV4</f>
        <v>30</v>
      </c>
      <c r="AR5" s="1083"/>
      <c r="AS5" s="1082">
        <f>'Таблиця цін схема №1'!CZ4</f>
        <v>31</v>
      </c>
      <c r="AT5" s="1084"/>
      <c r="AU5" s="1082">
        <f>'Таблиця цін схема №1'!DD4</f>
        <v>10</v>
      </c>
      <c r="AV5" s="1083"/>
      <c r="AW5" s="1082">
        <f>'Таблиця цін схема №1'!DH4</f>
        <v>11</v>
      </c>
      <c r="AX5" s="1083"/>
      <c r="AY5" s="1082">
        <f>'Таблиця цін схема №1'!DL4</f>
        <v>20</v>
      </c>
      <c r="AZ5" s="1083"/>
      <c r="BA5" s="1082">
        <f>'Таблиця цін схема №1'!DP4</f>
        <v>23</v>
      </c>
      <c r="BB5" s="1083"/>
      <c r="BC5" s="1082">
        <f>'Таблиця цін схема №1'!DT4</f>
        <v>47</v>
      </c>
      <c r="BD5" s="1083"/>
      <c r="BE5" s="1082">
        <f>'Таблиця цін схема №1'!DX4</f>
        <v>48</v>
      </c>
      <c r="BF5" s="1083"/>
      <c r="BG5" s="1082">
        <f>'Таблиця цін схема №1'!EB4</f>
        <v>49</v>
      </c>
      <c r="BH5" s="1083"/>
      <c r="BI5" s="1082">
        <f>'Таблиця цін схема №1'!EF4</f>
        <v>12</v>
      </c>
      <c r="BJ5" s="1083"/>
      <c r="BK5" s="1082">
        <f>'Таблиця цін схема №1'!EJ4</f>
        <v>32</v>
      </c>
      <c r="BL5" s="1083"/>
      <c r="BM5" s="1082">
        <f>'Таблиця цін схема №1'!EN4</f>
        <v>33</v>
      </c>
      <c r="BN5" s="1083"/>
    </row>
    <row r="6" spans="1:66" s="1068" customFormat="1">
      <c r="A6" s="1070"/>
      <c r="B6" s="1070"/>
      <c r="C6" s="1073" t="str">
        <f>'Таблиця цін схема №1'!AB5</f>
        <v>DN, mm</v>
      </c>
      <c r="D6" s="1072" t="str">
        <f>'Таблиця цін схема №1'!AC5</f>
        <v>number</v>
      </c>
      <c r="E6" s="1073" t="str">
        <f>'Таблиця цін схема №1'!AF5</f>
        <v>DN, mm</v>
      </c>
      <c r="F6" s="1072" t="str">
        <f>'Таблиця цін схема №1'!AG5</f>
        <v>number</v>
      </c>
      <c r="G6" s="1073" t="str">
        <f>'Таблиця цін схема №1'!AJ5</f>
        <v>DN, mm</v>
      </c>
      <c r="H6" s="1087" t="str">
        <f>'Таблиця цін схема №1'!AK5</f>
        <v>number</v>
      </c>
      <c r="I6" s="1073" t="str">
        <f>'Таблиця цін схема №1'!AN5</f>
        <v>DN, mm</v>
      </c>
      <c r="J6" s="1072" t="str">
        <f>'Таблиця цін схема №1'!AO5</f>
        <v>number</v>
      </c>
      <c r="K6" s="1073" t="str">
        <f>'Таблиця цін схема №1'!AR5</f>
        <v>DN, mm</v>
      </c>
      <c r="L6" s="1072" t="str">
        <f>'Таблиця цін схема №1'!AS5</f>
        <v>number</v>
      </c>
      <c r="M6" s="1073" t="str">
        <f>'Таблиця цін схема №1'!AV5</f>
        <v>type of</v>
      </c>
      <c r="N6" s="1072" t="str">
        <f>'Таблиця цін схема №1'!AW5</f>
        <v>number</v>
      </c>
      <c r="O6" s="1073" t="str">
        <f>'Таблиця цін схема №1'!AZ5</f>
        <v>Kvs, m3/h</v>
      </c>
      <c r="P6" s="160" t="str">
        <f>'Таблиця цін схема №1'!BA5</f>
        <v>DN, mm</v>
      </c>
      <c r="Q6" s="1072" t="str">
        <f>'Таблиця цін схема №1'!BB5</f>
        <v>number</v>
      </c>
      <c r="R6" s="1073" t="str">
        <f>'Таблиця цін схема №1'!BE5</f>
        <v>Kvs, m3/h</v>
      </c>
      <c r="S6" s="1071" t="str">
        <f>'Таблиця цін схема №1'!BF5</f>
        <v>DN, mm</v>
      </c>
      <c r="T6" s="1072" t="str">
        <f>'Таблиця цін схема №1'!BG5</f>
        <v>number</v>
      </c>
      <c r="U6" s="1073" t="str">
        <f>'Таблиця цін схема №1'!BJ5</f>
        <v>type of</v>
      </c>
      <c r="V6" s="1072" t="str">
        <f>'Таблиця цін схема №1'!BK5</f>
        <v>number</v>
      </c>
      <c r="W6" s="1073" t="str">
        <f>'Таблиця цін схема №1'!BN5</f>
        <v>Kvs, m3/h</v>
      </c>
      <c r="X6" s="1071" t="str">
        <f>'Таблиця цін схема №1'!BO5</f>
        <v>DN, mm</v>
      </c>
      <c r="Y6" s="1072" t="str">
        <f>'Таблиця цін схема №1'!BP5</f>
        <v>number</v>
      </c>
      <c r="Z6" s="1073" t="str">
        <f>'Таблиця цін схема №1'!BS5</f>
        <v>Kvs, m3/h</v>
      </c>
      <c r="AA6" s="1071" t="str">
        <f>'Таблиця цін схема №1'!BT5</f>
        <v>DN, mm</v>
      </c>
      <c r="AB6" s="1087" t="str">
        <f>'Таблиця цін схема №1'!BU5</f>
        <v>number</v>
      </c>
      <c r="AC6" s="1073" t="str">
        <f>'Таблиця цін схема №1'!BX5</f>
        <v>DN, mm</v>
      </c>
      <c r="AD6" s="1071" t="str">
        <f>'Таблиця цін схема №1'!BY5</f>
        <v>Qн, m3/h</v>
      </c>
      <c r="AE6" s="1071" t="str">
        <f>'Таблиця цін схема №1'!BZ5</f>
        <v>type</v>
      </c>
      <c r="AF6" s="1072" t="str">
        <f>'Таблиця цін схема №1'!CA5</f>
        <v>number</v>
      </c>
      <c r="AG6" s="1073" t="str">
        <f>'Таблиця цін схема №1'!CD5</f>
        <v>DN, mm</v>
      </c>
      <c r="AH6" s="1071" t="str">
        <f>'Таблиця цін схема №1'!CE5</f>
        <v>Qн, m3/h</v>
      </c>
      <c r="AI6" s="1071" t="str">
        <f>'Таблиця цін схема №1'!CF5</f>
        <v>type</v>
      </c>
      <c r="AJ6" s="1072" t="str">
        <f>'Таблиця цін схема №1'!CG5</f>
        <v>number</v>
      </c>
      <c r="AK6" s="1073" t="str">
        <f>'Таблиця цін схема №1'!CJ5</f>
        <v>heat exchanger</v>
      </c>
      <c r="AL6" s="1072" t="str">
        <f>'Таблиця цін схема №1'!CK5</f>
        <v>number</v>
      </c>
      <c r="AM6" s="1073" t="str">
        <f>'Таблиця цін схема №1'!CN5</f>
        <v>heat exchanger</v>
      </c>
      <c r="AN6" s="1072" t="str">
        <f>'Таблиця цін схема №1'!CO5</f>
        <v>number</v>
      </c>
      <c r="AO6" s="1073" t="str">
        <f>'Таблиця цін схема №1'!CR5</f>
        <v>DN, mm</v>
      </c>
      <c r="AP6" s="1072" t="str">
        <f>'Таблиця цін схема №1'!CS5</f>
        <v>number</v>
      </c>
      <c r="AQ6" s="1073" t="str">
        <f>'Таблиця цін схема №1'!CV5</f>
        <v>DN, mm</v>
      </c>
      <c r="AR6" s="1072" t="str">
        <f>'Таблиця цін схема №1'!CW5</f>
        <v>number</v>
      </c>
      <c r="AS6" s="1073" t="str">
        <f>'Таблиця цін схема №1'!CZ5</f>
        <v>DN, mm</v>
      </c>
      <c r="AT6" s="1087" t="str">
        <f>'Таблиця цін схема №1'!DA5</f>
        <v>number</v>
      </c>
      <c r="AU6" s="1073" t="str">
        <f>'Таблиця цін схема №1'!DD5</f>
        <v>DN, mm</v>
      </c>
      <c r="AV6" s="1072" t="str">
        <f>'Таблиця цін схема №1'!DE5</f>
        <v>number</v>
      </c>
      <c r="AW6" s="1073" t="str">
        <f>'Таблиця цін схема №1'!DH5</f>
        <v>DN, mm</v>
      </c>
      <c r="AX6" s="1072" t="str">
        <f>'Таблиця цін схема №1'!DI5</f>
        <v>number</v>
      </c>
      <c r="AY6" s="1073" t="str">
        <f>'Таблиця цін схема №1'!DL5</f>
        <v>DN, mm</v>
      </c>
      <c r="AZ6" s="1072" t="str">
        <f>'Таблиця цін схема №1'!DM5</f>
        <v>number</v>
      </c>
      <c r="BA6" s="1073" t="str">
        <f>'Таблиця цін схема №1'!DP5</f>
        <v>DN, mm</v>
      </c>
      <c r="BB6" s="1072" t="str">
        <f>'Таблиця цін схема №1'!DQ5</f>
        <v>number</v>
      </c>
      <c r="BC6" s="1073" t="str">
        <f>'Таблиця цін схема №1'!DT5</f>
        <v>DN, mm</v>
      </c>
      <c r="BD6" s="1072" t="str">
        <f>'Таблиця цін схема №1'!DU5</f>
        <v>number</v>
      </c>
      <c r="BE6" s="1073" t="str">
        <f>'Таблиця цін схема №1'!DX5</f>
        <v>DN, mm</v>
      </c>
      <c r="BF6" s="1072" t="str">
        <f>'Таблиця цін схема №1'!DY5</f>
        <v>number</v>
      </c>
      <c r="BG6" s="1073" t="str">
        <f>'Таблиця цін схема №1'!EB5</f>
        <v>DN, mm</v>
      </c>
      <c r="BH6" s="1072" t="str">
        <f>'Таблиця цін схема №1'!EC5</f>
        <v>number</v>
      </c>
      <c r="BI6" s="1073" t="str">
        <f>'Таблиця цін схема №1'!EF5</f>
        <v>DN, mm</v>
      </c>
      <c r="BJ6" s="1072" t="str">
        <f>'Таблиця цін схема №1'!EG5</f>
        <v>number</v>
      </c>
      <c r="BK6" s="1073" t="str">
        <f>'Таблиця цін схема №1'!EJ5</f>
        <v>DN, mm</v>
      </c>
      <c r="BL6" s="1072" t="str">
        <f>'Таблиця цін схема №1'!EK5</f>
        <v>number</v>
      </c>
      <c r="BM6" s="1073" t="str">
        <f>'Таблиця цін схема №1'!EN5</f>
        <v>DN, mm</v>
      </c>
      <c r="BN6" s="1072" t="str">
        <f>'Таблиця цін схема №1'!EO5</f>
        <v>number</v>
      </c>
    </row>
    <row r="7" spans="1:66" s="1068" customFormat="1" ht="13.5" thickBot="1">
      <c r="A7" s="1074"/>
      <c r="B7" s="1074"/>
      <c r="C7" s="1077"/>
      <c r="D7" s="1076" t="str">
        <f>'Таблиця цін схема №1'!AC6</f>
        <v>pcs.</v>
      </c>
      <c r="E7" s="1077"/>
      <c r="F7" s="1076" t="str">
        <f>'Таблиця цін схема №1'!AG6</f>
        <v>pcs.</v>
      </c>
      <c r="G7" s="1077"/>
      <c r="H7" s="1122" t="str">
        <f>'Таблиця цін схема №1'!AK6</f>
        <v>pcs.</v>
      </c>
      <c r="I7" s="1077"/>
      <c r="J7" s="1076" t="str">
        <f>'Таблиця цін схема №1'!AO6</f>
        <v>pcs.</v>
      </c>
      <c r="K7" s="1077"/>
      <c r="L7" s="1076" t="str">
        <f>'Таблиця цін схема №1'!AS6</f>
        <v>pcs.</v>
      </c>
      <c r="M7" s="1077" t="str">
        <f>'Таблиця цін схема №1'!AV6</f>
        <v>drive</v>
      </c>
      <c r="N7" s="1076" t="str">
        <f>'Таблиця цін схема №1'!AW6</f>
        <v>pcs.</v>
      </c>
      <c r="O7" s="1077"/>
      <c r="P7" s="1078"/>
      <c r="Q7" s="1076" t="str">
        <f>'Таблиця цін схема №1'!BB6</f>
        <v>pcs.</v>
      </c>
      <c r="R7" s="1077"/>
      <c r="S7" s="1075"/>
      <c r="T7" s="1076" t="str">
        <f>'Таблиця цін схема №1'!BG6</f>
        <v>pcs.</v>
      </c>
      <c r="U7" s="1088" t="str">
        <f>'Таблиця цін схема №1'!BJ6</f>
        <v>drive</v>
      </c>
      <c r="V7" s="1085" t="str">
        <f>'Таблиця цін схема №1'!BK6</f>
        <v>pcs.</v>
      </c>
      <c r="W7" s="1088">
        <f>'Таблиця цін схема №1'!BN6</f>
        <v>0</v>
      </c>
      <c r="X7" s="1089">
        <f>'Таблиця цін схема №1'!BO6</f>
        <v>0</v>
      </c>
      <c r="Y7" s="1085" t="str">
        <f>'Таблиця цін схема №1'!BP6</f>
        <v>pcs.</v>
      </c>
      <c r="Z7" s="1088"/>
      <c r="AA7" s="1089"/>
      <c r="AB7" s="1086" t="str">
        <f>'Таблиця цін схема №1'!BU6</f>
        <v>pcs.</v>
      </c>
      <c r="AC7" s="1088"/>
      <c r="AD7" s="1089"/>
      <c r="AE7" s="1089"/>
      <c r="AF7" s="1085" t="str">
        <f>'Таблиця цін схема №1'!CA6</f>
        <v>set.</v>
      </c>
      <c r="AG7" s="1088"/>
      <c r="AH7" s="1089"/>
      <c r="AI7" s="1089"/>
      <c r="AJ7" s="1085" t="str">
        <f>'Таблиця цін схема №1'!CG6</f>
        <v>set.</v>
      </c>
      <c r="AK7" s="1088" t="str">
        <f>'Таблиця цін схема №1'!CJ6</f>
        <v>model</v>
      </c>
      <c r="AL7" s="1085" t="str">
        <f>'Таблиця цін схема №1'!CK6</f>
        <v>pcs.</v>
      </c>
      <c r="AM7" s="1088" t="str">
        <f>'Таблиця цін схема №1'!CN6</f>
        <v>model</v>
      </c>
      <c r="AN7" s="1085" t="str">
        <f>'Таблиця цін схема №1'!CO6</f>
        <v>pcs.</v>
      </c>
      <c r="AO7" s="1088"/>
      <c r="AP7" s="1085" t="str">
        <f>'Таблиця цін схема №1'!CS6</f>
        <v>pcs.</v>
      </c>
      <c r="AQ7" s="1088"/>
      <c r="AR7" s="1085" t="str">
        <f>'Таблиця цін схема №1'!CW6</f>
        <v>pcs.</v>
      </c>
      <c r="AS7" s="1088"/>
      <c r="AT7" s="1086" t="str">
        <f>'Таблиця цін схема №1'!DA6</f>
        <v>pcs.</v>
      </c>
      <c r="AU7" s="1088"/>
      <c r="AV7" s="1085" t="str">
        <f>'Таблиця цін схема №1'!DE6</f>
        <v>pcs.</v>
      </c>
      <c r="AW7" s="1088"/>
      <c r="AX7" s="1085" t="str">
        <f>'Таблиця цін схема №1'!DI6</f>
        <v>pcs.</v>
      </c>
      <c r="AY7" s="1088"/>
      <c r="AZ7" s="1085" t="str">
        <f>'Таблиця цін схема №1'!DM6</f>
        <v>pcs.</v>
      </c>
      <c r="BA7" s="1088"/>
      <c r="BB7" s="1085" t="str">
        <f>'Таблиця цін схема №1'!DQ6</f>
        <v>pcs.</v>
      </c>
      <c r="BC7" s="1088"/>
      <c r="BD7" s="1085" t="str">
        <f>'Таблиця цін схема №1'!DU6</f>
        <v>pcs.</v>
      </c>
      <c r="BE7" s="1088"/>
      <c r="BF7" s="1085" t="str">
        <f>'Таблиця цін схема №1'!DY6</f>
        <v>pcs.</v>
      </c>
      <c r="BG7" s="1088"/>
      <c r="BH7" s="1085" t="str">
        <f>'Таблиця цін схема №1'!EC6</f>
        <v>pcs.</v>
      </c>
      <c r="BI7" s="1088"/>
      <c r="BJ7" s="1085" t="str">
        <f>'Таблиця цін схема №1'!EG6</f>
        <v>pcs.</v>
      </c>
      <c r="BK7" s="1088"/>
      <c r="BL7" s="1085" t="str">
        <f>'Таблиця цін схема №1'!EK6</f>
        <v>pcs.</v>
      </c>
      <c r="BM7" s="1088"/>
      <c r="BN7" s="1085" t="str">
        <f>'Таблиця цін схема №1'!EO6</f>
        <v>pcs.</v>
      </c>
    </row>
    <row r="8" spans="1:66">
      <c r="A8" s="1117">
        <f>'Таблиця цін схема №1'!B8</f>
        <v>1</v>
      </c>
      <c r="B8" s="1117" t="str">
        <f>'Таблиця цін схема №1'!C8</f>
        <v>16 Korabelov Avenue</v>
      </c>
      <c r="C8" s="1119">
        <f>'Таблиця цін схема №1'!AB8</f>
        <v>65</v>
      </c>
      <c r="D8" s="1120">
        <f>'Таблиця цін схема №1'!AC8</f>
        <v>2</v>
      </c>
      <c r="E8" s="1119">
        <f>'Таблиця цін схема №1'!AF8</f>
        <v>65</v>
      </c>
      <c r="F8" s="1120">
        <f>'Таблиця цін схема №1'!AG8</f>
        <v>2</v>
      </c>
      <c r="G8" s="1119">
        <f>'Таблиця цін схема №1'!AJ8</f>
        <v>65</v>
      </c>
      <c r="H8" s="1121">
        <f>'Таблиця цін схема №1'!AK8</f>
        <v>1</v>
      </c>
      <c r="I8" s="1119">
        <f>'Таблиця цін схема №1'!AN8</f>
        <v>40</v>
      </c>
      <c r="J8" s="1120">
        <f>'Таблиця цін схема №1'!AO8</f>
        <v>3</v>
      </c>
      <c r="K8" s="1119">
        <f>'Таблиця цін схема №1'!AR8</f>
        <v>50</v>
      </c>
      <c r="L8" s="1120">
        <f>'Таблиця цін схема №1'!AS8</f>
        <v>4</v>
      </c>
      <c r="M8" s="1119" t="str">
        <f>'Таблиця цін схема №1'!AV8</f>
        <v>AMV20</v>
      </c>
      <c r="N8" s="1120">
        <f>'Таблиця цін схема №1'!AW8</f>
        <v>1</v>
      </c>
      <c r="O8" s="1119">
        <f>'Таблиця цін схема №1'!AZ8</f>
        <v>10</v>
      </c>
      <c r="P8" s="1">
        <f>'Таблиця цін схема №1'!BA8</f>
        <v>25</v>
      </c>
      <c r="Q8" s="1120">
        <f>'Таблиця цін схема №1'!BB8</f>
        <v>1</v>
      </c>
      <c r="R8" s="1119">
        <f>'Таблиця цін схема №1'!BE8</f>
        <v>8</v>
      </c>
      <c r="S8" s="1">
        <f>'Таблиця цін схема №1'!BF8</f>
        <v>25</v>
      </c>
      <c r="T8" s="1120">
        <f>'Таблиця цін схема №1'!BG8</f>
        <v>1</v>
      </c>
      <c r="U8" s="1119" t="str">
        <f>'Таблиця цін схема №1'!BJ8</f>
        <v>AMV33</v>
      </c>
      <c r="V8" s="1120">
        <f>'Таблиця цін схема №1'!BK8</f>
        <v>1</v>
      </c>
      <c r="W8" s="1119">
        <f>'Таблиця цін схема №1'!BN8</f>
        <v>16</v>
      </c>
      <c r="X8" s="1">
        <f>'Таблиця цін схема №1'!BO8</f>
        <v>32</v>
      </c>
      <c r="Y8" s="1120">
        <f>'Таблиця цін схема №1'!BP8</f>
        <v>1</v>
      </c>
      <c r="Z8" s="1119">
        <f>'Таблиця цін схема №1'!BS8</f>
        <v>12.5</v>
      </c>
      <c r="AA8" s="1">
        <f>'Таблиця цін схема №1'!BT8</f>
        <v>32</v>
      </c>
      <c r="AB8" s="1121">
        <f>'Таблиця цін схема №1'!BU8</f>
        <v>1</v>
      </c>
      <c r="AC8" s="1119">
        <f>'Таблиця цін схема №1'!BX8</f>
        <v>25</v>
      </c>
      <c r="AD8" s="1">
        <f>'Таблиця цін схема №1'!BY8</f>
        <v>6</v>
      </c>
      <c r="AE8" s="1" t="str">
        <f>'Таблиця цін схема №1'!BZ8</f>
        <v>Pt500</v>
      </c>
      <c r="AF8" s="1120">
        <f>'Таблиця цін схема №1'!CA8</f>
        <v>1</v>
      </c>
      <c r="AG8" s="1119">
        <f>'Таблиця цін схема №1'!CD8</f>
        <v>40</v>
      </c>
      <c r="AH8" s="1">
        <f>'Таблиця цін схема №1'!CE8</f>
        <v>10</v>
      </c>
      <c r="AI8" s="1" t="str">
        <f>'Таблиця цін схема №1'!CF8</f>
        <v>Pt500</v>
      </c>
      <c r="AJ8" s="1120">
        <f>'Таблиця цін схема №1'!CG8</f>
        <v>1</v>
      </c>
      <c r="AK8" s="1167" t="str">
        <f>'Таблиця цін схема №1'!CJ8</f>
        <v>ЕІ-ТО-16+027M50HS-239000</v>
      </c>
      <c r="AL8" s="1120">
        <f>'Таблиця цін схема №1'!CK8</f>
        <v>1</v>
      </c>
      <c r="AM8" s="1167" t="str">
        <f>'Таблиця цін схема №1'!CN8</f>
        <v>ЕІ-ТО-16+019M30HS-283000</v>
      </c>
      <c r="AN8" s="1120">
        <f>'Таблиця цін схема №1'!CO8</f>
        <v>1</v>
      </c>
      <c r="AO8" s="1119">
        <f>'Таблиця цін схема №1'!CR8</f>
        <v>65</v>
      </c>
      <c r="AP8" s="1120">
        <f>'Таблиця цін схема №1'!CS8</f>
        <v>4</v>
      </c>
      <c r="AQ8" s="1119">
        <f>'Таблиця цін схема №1'!CV8</f>
        <v>50</v>
      </c>
      <c r="AR8" s="1120">
        <f>'Таблиця цін схема №1'!CW8</f>
        <v>6</v>
      </c>
      <c r="AS8" s="1119">
        <f>'Таблиця цін схема №1'!CZ8</f>
        <v>32</v>
      </c>
      <c r="AT8" s="1121">
        <f>'Таблиця цін схема №1'!DA8</f>
        <v>3</v>
      </c>
      <c r="AU8" s="1119">
        <f>'Таблиця цін схема №1'!DD8</f>
        <v>40</v>
      </c>
      <c r="AV8" s="1120">
        <f>'Таблиця цін схема №1'!DE8</f>
        <v>4</v>
      </c>
      <c r="AW8" s="1119">
        <f>'Таблиця цін схема №1'!DH8</f>
        <v>32</v>
      </c>
      <c r="AX8" s="1120">
        <f>'Таблиця цін схема №1'!DI8</f>
        <v>1</v>
      </c>
      <c r="AY8" s="1119">
        <f>'Таблиця цін схема №1'!DL8</f>
        <v>20</v>
      </c>
      <c r="AZ8" s="1120">
        <f>'Таблиця цін схема №1'!DM8</f>
        <v>1</v>
      </c>
      <c r="BA8" s="1119">
        <f>'Таблиця цін схема №1'!DP8</f>
        <v>20</v>
      </c>
      <c r="BB8" s="1120">
        <f>'Таблиця цін схема №1'!DQ8</f>
        <v>2</v>
      </c>
      <c r="BC8" s="1119">
        <f>'Таблиця цін схема №1'!DT8</f>
        <v>20</v>
      </c>
      <c r="BD8" s="1120">
        <f>'Таблиця цін схема №1'!DU8</f>
        <v>2</v>
      </c>
      <c r="BE8" s="1119">
        <f>'Таблиця цін схема №1'!DX8</f>
        <v>15</v>
      </c>
      <c r="BF8" s="1120">
        <f>'Таблиця цін схема №1'!DY8</f>
        <v>10</v>
      </c>
      <c r="BG8" s="1119">
        <f>'Таблиця цін схема №1'!EB8</f>
        <v>15</v>
      </c>
      <c r="BH8" s="1120">
        <f>'Таблиця цін схема №1'!EC8</f>
        <v>38</v>
      </c>
      <c r="BI8" s="1119">
        <f>'Таблиця цін схема №1'!EF8</f>
        <v>65</v>
      </c>
      <c r="BJ8" s="1120">
        <f>'Таблиця цін схема №1'!EG8</f>
        <v>1</v>
      </c>
      <c r="BK8" s="1119">
        <f>'Таблиця цін схема №1'!EJ8</f>
        <v>50</v>
      </c>
      <c r="BL8" s="1120">
        <f>'Таблиця цін схема №1'!EK8</f>
        <v>1</v>
      </c>
      <c r="BM8" s="1119">
        <f>'Таблиця цін схема №1'!EN8</f>
        <v>32</v>
      </c>
      <c r="BN8" s="1120">
        <f>'Таблиця цін схема №1'!EO8</f>
        <v>1</v>
      </c>
    </row>
    <row r="9" spans="1:66">
      <c r="A9" s="1115">
        <f>'Таблиця цін схема №1'!B9</f>
        <v>2</v>
      </c>
      <c r="B9" s="1115" t="str">
        <f>'Таблиця цін схема №1'!C9</f>
        <v>18а Korabelov Avenue</v>
      </c>
      <c r="C9" s="47">
        <f>'Таблиця цін схема №1'!AB9</f>
        <v>100</v>
      </c>
      <c r="D9" s="380">
        <f>'Таблиця цін схема №1'!AC9</f>
        <v>2</v>
      </c>
      <c r="E9" s="47">
        <f>'Таблиця цін схема №1'!AF9</f>
        <v>100</v>
      </c>
      <c r="F9" s="380">
        <f>'Таблиця цін схема №1'!AG9</f>
        <v>2</v>
      </c>
      <c r="G9" s="47">
        <f>'Таблиця цін схема №1'!AJ9</f>
        <v>100</v>
      </c>
      <c r="H9" s="78">
        <f>'Таблиця цін схема №1'!AK9</f>
        <v>1</v>
      </c>
      <c r="I9" s="47">
        <f>'Таблиця цін схема №1'!AN9</f>
        <v>80</v>
      </c>
      <c r="J9" s="380">
        <f>'Таблиця цін схема №1'!AO9</f>
        <v>3</v>
      </c>
      <c r="K9" s="47">
        <f>'Таблиця цін схема №1'!AR9</f>
        <v>80</v>
      </c>
      <c r="L9" s="380">
        <f>'Таблиця цін схема №1'!AS9</f>
        <v>4</v>
      </c>
      <c r="M9" s="47" t="str">
        <f>'Таблиця цін схема №1'!AV9</f>
        <v>AMV20</v>
      </c>
      <c r="N9" s="380">
        <f>'Таблиця цін схема №1'!AW9</f>
        <v>1</v>
      </c>
      <c r="O9" s="47">
        <f>'Таблиця цін схема №1'!AZ9</f>
        <v>40</v>
      </c>
      <c r="P9" s="379">
        <f>'Таблиця цін схема №1'!BA9</f>
        <v>50</v>
      </c>
      <c r="Q9" s="380">
        <f>'Таблиця цін схема №1'!BB9</f>
        <v>1</v>
      </c>
      <c r="R9" s="47">
        <f>'Таблиця цін схема №1'!BE9</f>
        <v>32</v>
      </c>
      <c r="S9" s="379">
        <f>'Таблиця цін схема №1'!BF9</f>
        <v>50</v>
      </c>
      <c r="T9" s="380">
        <f>'Таблиця цін схема №1'!BG9</f>
        <v>1</v>
      </c>
      <c r="U9" s="47" t="str">
        <f>'Таблиця цін схема №1'!BJ9</f>
        <v>AMV33</v>
      </c>
      <c r="V9" s="380">
        <f>'Таблиця цін схема №1'!BK9</f>
        <v>1</v>
      </c>
      <c r="W9" s="47">
        <f>'Таблиця цін схема №1'!BN9</f>
        <v>40</v>
      </c>
      <c r="X9" s="379">
        <f>'Таблиця цін схема №1'!BO9</f>
        <v>50</v>
      </c>
      <c r="Y9" s="380">
        <f>'Таблиця цін схема №1'!BP9</f>
        <v>1</v>
      </c>
      <c r="Z9" s="47">
        <f>'Таблиця цін схема №1'!BS9</f>
        <v>50</v>
      </c>
      <c r="AA9" s="379">
        <f>'Таблиця цін схема №1'!BT9</f>
        <v>65</v>
      </c>
      <c r="AB9" s="78">
        <f>'Таблиця цін схема №1'!BU9</f>
        <v>1</v>
      </c>
      <c r="AC9" s="47">
        <f>'Таблиця цін схема №1'!BX9</f>
        <v>65</v>
      </c>
      <c r="AD9" s="379">
        <f>'Таблиця цін схема №1'!BY9</f>
        <v>25</v>
      </c>
      <c r="AE9" s="379" t="str">
        <f>'Таблиця цін схема №1'!BZ9</f>
        <v>Pt500</v>
      </c>
      <c r="AF9" s="380">
        <f>'Таблиця цін схема №1'!CA9</f>
        <v>1</v>
      </c>
      <c r="AG9" s="47">
        <f>'Таблиця цін схема №1'!CD9</f>
        <v>65</v>
      </c>
      <c r="AH9" s="379">
        <f>'Таблиця цін схема №1'!CE9</f>
        <v>25</v>
      </c>
      <c r="AI9" s="379" t="str">
        <f>'Таблиця цін схема №1'!CF9</f>
        <v>Pt500</v>
      </c>
      <c r="AJ9" s="380">
        <f>'Таблиця цін схема №1'!CG9</f>
        <v>1</v>
      </c>
      <c r="AK9" s="1168" t="str">
        <f>'Таблиця цін схема №1'!CJ9</f>
        <v>ЕІ-ТО-30+073A00HS-935000</v>
      </c>
      <c r="AL9" s="380">
        <f>'Таблиця цін схема №1'!CK9</f>
        <v>1</v>
      </c>
      <c r="AM9" s="1168" t="str">
        <f>'Таблиця цін схема №1'!CN9</f>
        <v>ЕІ-ТО-16+053M20HS-813000</v>
      </c>
      <c r="AN9" s="380">
        <f>'Таблиця цін схема №1'!CO9</f>
        <v>1</v>
      </c>
      <c r="AO9" s="47">
        <f>'Таблиця цін схема №1'!CR9</f>
        <v>125</v>
      </c>
      <c r="AP9" s="380">
        <f>'Таблиця цін схема №1'!CS9</f>
        <v>4</v>
      </c>
      <c r="AQ9" s="47">
        <f>'Таблиця цін схема №1'!CV9</f>
        <v>80</v>
      </c>
      <c r="AR9" s="380">
        <f>'Таблиця цін схема №1'!CW9</f>
        <v>6</v>
      </c>
      <c r="AS9" s="47">
        <f>'Таблиця цін схема №1'!CZ9</f>
        <v>50</v>
      </c>
      <c r="AT9" s="78">
        <f>'Таблиця цін схема №1'!DA9</f>
        <v>3</v>
      </c>
      <c r="AU9" s="47">
        <f>'Таблиця цін схема №1'!DD9</f>
        <v>50</v>
      </c>
      <c r="AV9" s="380">
        <f>'Таблиця цін схема №1'!DE9</f>
        <v>12</v>
      </c>
      <c r="AW9" s="47">
        <f>'Таблиця цін схема №1'!DH9</f>
        <v>50</v>
      </c>
      <c r="AX9" s="380">
        <f>'Таблиця цін схема №1'!DI9</f>
        <v>2</v>
      </c>
      <c r="AY9" s="47">
        <f>'Таблиця цін схема №1'!DL9</f>
        <v>25</v>
      </c>
      <c r="AZ9" s="380">
        <f>'Таблиця цін схема №1'!DM9</f>
        <v>1</v>
      </c>
      <c r="BA9" s="47">
        <f>'Таблиця цін схема №1'!DP9</f>
        <v>25</v>
      </c>
      <c r="BB9" s="380">
        <f>'Таблиця цін схема №1'!DQ9</f>
        <v>2</v>
      </c>
      <c r="BC9" s="47">
        <f>'Таблиця цін схема №1'!DT9</f>
        <v>20</v>
      </c>
      <c r="BD9" s="380">
        <f>'Таблиця цін схема №1'!DU9</f>
        <v>2</v>
      </c>
      <c r="BE9" s="47">
        <f>'Таблиця цін схема №1'!DX9</f>
        <v>15</v>
      </c>
      <c r="BF9" s="380">
        <f>'Таблиця цін схема №1'!DY9</f>
        <v>10</v>
      </c>
      <c r="BG9" s="47">
        <f>'Таблиця цін схема №1'!EB9</f>
        <v>15</v>
      </c>
      <c r="BH9" s="380">
        <f>'Таблиця цін схема №1'!EC9</f>
        <v>42</v>
      </c>
      <c r="BI9" s="47">
        <f>'Таблиця цін схема №1'!EF9</f>
        <v>125</v>
      </c>
      <c r="BJ9" s="380">
        <f>'Таблиця цін схема №1'!EG9</f>
        <v>1</v>
      </c>
      <c r="BK9" s="47">
        <f>'Таблиця цін схема №1'!EJ9</f>
        <v>80</v>
      </c>
      <c r="BL9" s="380">
        <f>'Таблиця цін схема №1'!EK9</f>
        <v>1</v>
      </c>
      <c r="BM9" s="47">
        <f>'Таблиця цін схема №1'!EN9</f>
        <v>50</v>
      </c>
      <c r="BN9" s="380">
        <f>'Таблиця цін схема №1'!EO9</f>
        <v>1</v>
      </c>
    </row>
    <row r="10" spans="1:66">
      <c r="A10" s="1115">
        <f>'Таблиця цін схема №1'!B10</f>
        <v>3</v>
      </c>
      <c r="B10" s="1115" t="str">
        <f>'Таблиця цін схема №1'!C10</f>
        <v>20_1 Korabelov Avenue</v>
      </c>
      <c r="C10" s="47">
        <f>'Таблиця цін схема №1'!AB10</f>
        <v>65</v>
      </c>
      <c r="D10" s="380">
        <f>'Таблиця цін схема №1'!AC10</f>
        <v>2</v>
      </c>
      <c r="E10" s="47">
        <f>'Таблиця цін схема №1'!AF10</f>
        <v>65</v>
      </c>
      <c r="F10" s="380">
        <f>'Таблиця цін схема №1'!AG10</f>
        <v>2</v>
      </c>
      <c r="G10" s="47">
        <f>'Таблиця цін схема №1'!AJ10</f>
        <v>65</v>
      </c>
      <c r="H10" s="78">
        <f>'Таблиця цін схема №1'!AK10</f>
        <v>1</v>
      </c>
      <c r="I10" s="47">
        <f>'Таблиця цін схема №1'!AN10</f>
        <v>40</v>
      </c>
      <c r="J10" s="380">
        <f>'Таблиця цін схема №1'!AO10</f>
        <v>3</v>
      </c>
      <c r="K10" s="47">
        <f>'Таблиця цін схема №1'!AR10</f>
        <v>40</v>
      </c>
      <c r="L10" s="380">
        <f>'Таблиця цін схема №1'!AS10</f>
        <v>4</v>
      </c>
      <c r="M10" s="47" t="str">
        <f>'Таблиця цін схема №1'!AV10</f>
        <v>AMV20</v>
      </c>
      <c r="N10" s="380">
        <f>'Таблиця цін схема №1'!AW10</f>
        <v>1</v>
      </c>
      <c r="O10" s="47">
        <f>'Таблиця цін схема №1'!AZ10</f>
        <v>10</v>
      </c>
      <c r="P10" s="379">
        <f>'Таблиця цін схема №1'!BA10</f>
        <v>25</v>
      </c>
      <c r="Q10" s="380">
        <f>'Таблиця цін схема №1'!BB10</f>
        <v>1</v>
      </c>
      <c r="R10" s="47">
        <f>'Таблиця цін схема №1'!BE10</f>
        <v>8</v>
      </c>
      <c r="S10" s="379">
        <f>'Таблиця цін схема №1'!BF10</f>
        <v>25</v>
      </c>
      <c r="T10" s="380">
        <f>'Таблиця цін схема №1'!BG10</f>
        <v>1</v>
      </c>
      <c r="U10" s="47" t="str">
        <f>'Таблиця цін схема №1'!BJ10</f>
        <v>AMV33</v>
      </c>
      <c r="V10" s="380">
        <f>'Таблиця цін схема №1'!BK10</f>
        <v>1</v>
      </c>
      <c r="W10" s="47">
        <f>'Таблиця цін схема №1'!BN10</f>
        <v>10</v>
      </c>
      <c r="X10" s="379">
        <f>'Таблиця цін схема №1'!BO10</f>
        <v>25</v>
      </c>
      <c r="Y10" s="380">
        <f>'Таблиця цін схема №1'!BP10</f>
        <v>1</v>
      </c>
      <c r="Z10" s="47">
        <f>'Таблиця цін схема №1'!BS10</f>
        <v>12.5</v>
      </c>
      <c r="AA10" s="379">
        <f>'Таблиця цін схема №1'!BT10</f>
        <v>32</v>
      </c>
      <c r="AB10" s="78">
        <f>'Таблиця цін схема №1'!BU10</f>
        <v>1</v>
      </c>
      <c r="AC10" s="47">
        <f>'Таблиця цін схема №1'!BX10</f>
        <v>25</v>
      </c>
      <c r="AD10" s="379">
        <f>'Таблиця цін схема №1'!BY10</f>
        <v>6</v>
      </c>
      <c r="AE10" s="379" t="str">
        <f>'Таблиця цін схема №1'!BZ10</f>
        <v>Pt500</v>
      </c>
      <c r="AF10" s="380">
        <f>'Таблиця цін схема №1'!CA10</f>
        <v>1</v>
      </c>
      <c r="AG10" s="47">
        <f>'Таблиця цін схема №1'!CD10</f>
        <v>25</v>
      </c>
      <c r="AH10" s="379">
        <f>'Таблиця цін схема №1'!CE10</f>
        <v>6</v>
      </c>
      <c r="AI10" s="379" t="str">
        <f>'Таблиця цін схема №1'!CF10</f>
        <v>Pt500</v>
      </c>
      <c r="AJ10" s="380">
        <f>'Таблиця цін схема №1'!CG10</f>
        <v>1</v>
      </c>
      <c r="AK10" s="1168" t="str">
        <f>'Таблиця цін схема №1'!CJ10</f>
        <v>ЕІ-ТО-16+027M50HS-239000</v>
      </c>
      <c r="AL10" s="380">
        <f>'Таблиця цін схема №1'!CK10</f>
        <v>1</v>
      </c>
      <c r="AM10" s="1168" t="str">
        <f>'Таблиця цін схема №1'!CN10</f>
        <v>ЕІ-ТО-16+015M30HS-224000</v>
      </c>
      <c r="AN10" s="380">
        <f>'Таблиця цін схема №1'!CO10</f>
        <v>1</v>
      </c>
      <c r="AO10" s="47">
        <f>'Таблиця цін схема №1'!CR10</f>
        <v>65</v>
      </c>
      <c r="AP10" s="380">
        <f>'Таблиця цін схема №1'!CS10</f>
        <v>4</v>
      </c>
      <c r="AQ10" s="47">
        <f>'Таблиця цін схема №1'!CV10</f>
        <v>40</v>
      </c>
      <c r="AR10" s="380">
        <f>'Таблиця цін схема №1'!CW10</f>
        <v>6</v>
      </c>
      <c r="AS10" s="47">
        <f>'Таблиця цін схема №1'!CZ10</f>
        <v>25</v>
      </c>
      <c r="AT10" s="78">
        <f>'Таблиця цін схема №1'!DA10</f>
        <v>3</v>
      </c>
      <c r="AU10" s="47">
        <f>'Таблиця цін схема №1'!DD10</f>
        <v>40</v>
      </c>
      <c r="AV10" s="380">
        <f>'Таблиця цін схема №1'!DE10</f>
        <v>4</v>
      </c>
      <c r="AW10" s="47">
        <f>'Таблиця цін схема №1'!DH10</f>
        <v>32</v>
      </c>
      <c r="AX10" s="380">
        <f>'Таблиця цін схема №1'!DI10</f>
        <v>1</v>
      </c>
      <c r="AY10" s="47">
        <f>'Таблиця цін схема №1'!DL10</f>
        <v>20</v>
      </c>
      <c r="AZ10" s="380">
        <f>'Таблиця цін схема №1'!DM10</f>
        <v>1</v>
      </c>
      <c r="BA10" s="47">
        <f>'Таблиця цін схема №1'!DP10</f>
        <v>20</v>
      </c>
      <c r="BB10" s="380">
        <f>'Таблиця цін схема №1'!DQ10</f>
        <v>2</v>
      </c>
      <c r="BC10" s="47">
        <f>'Таблиця цін схема №1'!DT10</f>
        <v>20</v>
      </c>
      <c r="BD10" s="380">
        <f>'Таблиця цін схема №1'!DU10</f>
        <v>2</v>
      </c>
      <c r="BE10" s="47">
        <f>'Таблиця цін схема №1'!DX10</f>
        <v>15</v>
      </c>
      <c r="BF10" s="380">
        <f>'Таблиця цін схема №1'!DY10</f>
        <v>10</v>
      </c>
      <c r="BG10" s="47">
        <f>'Таблиця цін схема №1'!EB10</f>
        <v>15</v>
      </c>
      <c r="BH10" s="380">
        <f>'Таблиця цін схема №1'!EC10</f>
        <v>38</v>
      </c>
      <c r="BI10" s="47">
        <f>'Таблиця цін схема №1'!EF10</f>
        <v>65</v>
      </c>
      <c r="BJ10" s="380">
        <f>'Таблиця цін схема №1'!EG10</f>
        <v>1</v>
      </c>
      <c r="BK10" s="47">
        <f>'Таблиця цін схема №1'!EJ10</f>
        <v>40</v>
      </c>
      <c r="BL10" s="380">
        <f>'Таблиця цін схема №1'!EK10</f>
        <v>1</v>
      </c>
      <c r="BM10" s="47">
        <f>'Таблиця цін схема №1'!EN10</f>
        <v>25</v>
      </c>
      <c r="BN10" s="380">
        <f>'Таблиця цін схема №1'!EO10</f>
        <v>1</v>
      </c>
    </row>
    <row r="11" spans="1:66">
      <c r="A11" s="1115">
        <f>'Таблиця цін схема №1'!B11</f>
        <v>4</v>
      </c>
      <c r="B11" s="1115" t="str">
        <f>'Таблиця цін схема №1'!C11</f>
        <v>20_2 Korabelov Avenue</v>
      </c>
      <c r="C11" s="47">
        <f>'Таблиця цін схема №1'!AB11</f>
        <v>65</v>
      </c>
      <c r="D11" s="380">
        <f>'Таблиця цін схема №1'!AC11</f>
        <v>2</v>
      </c>
      <c r="E11" s="47">
        <f>'Таблиця цін схема №1'!AF11</f>
        <v>65</v>
      </c>
      <c r="F11" s="380">
        <f>'Таблиця цін схема №1'!AG11</f>
        <v>2</v>
      </c>
      <c r="G11" s="47">
        <f>'Таблиця цін схема №1'!AJ11</f>
        <v>65</v>
      </c>
      <c r="H11" s="78">
        <f>'Таблиця цін схема №1'!AK11</f>
        <v>1</v>
      </c>
      <c r="I11" s="47">
        <f>'Таблиця цін схема №1'!AN11</f>
        <v>40</v>
      </c>
      <c r="J11" s="380">
        <f>'Таблиця цін схема №1'!AO11</f>
        <v>3</v>
      </c>
      <c r="K11" s="47">
        <f>'Таблиця цін схема №1'!AR11</f>
        <v>40</v>
      </c>
      <c r="L11" s="380">
        <f>'Таблиця цін схема №1'!AS11</f>
        <v>4</v>
      </c>
      <c r="M11" s="47" t="str">
        <f>'Таблиця цін схема №1'!AV11</f>
        <v>AMV20</v>
      </c>
      <c r="N11" s="380">
        <f>'Таблиця цін схема №1'!AW11</f>
        <v>1</v>
      </c>
      <c r="O11" s="47">
        <f>'Таблиця цін схема №1'!AZ11</f>
        <v>10</v>
      </c>
      <c r="P11" s="379">
        <f>'Таблиця цін схема №1'!BA11</f>
        <v>25</v>
      </c>
      <c r="Q11" s="380">
        <f>'Таблиця цін схема №1'!BB11</f>
        <v>1</v>
      </c>
      <c r="R11" s="47">
        <f>'Таблиця цін схема №1'!BE11</f>
        <v>12.5</v>
      </c>
      <c r="S11" s="379">
        <f>'Таблиця цін схема №1'!BF11</f>
        <v>32</v>
      </c>
      <c r="T11" s="380">
        <f>'Таблиця цін схема №1'!BG11</f>
        <v>1</v>
      </c>
      <c r="U11" s="47" t="str">
        <f>'Таблиця цін схема №1'!BJ11</f>
        <v>AMV33</v>
      </c>
      <c r="V11" s="380">
        <f>'Таблиця цін схема №1'!BK11</f>
        <v>1</v>
      </c>
      <c r="W11" s="47">
        <f>'Таблиця цін схема №1'!BN11</f>
        <v>10</v>
      </c>
      <c r="X11" s="379">
        <f>'Таблиця цін схема №1'!BO11</f>
        <v>25</v>
      </c>
      <c r="Y11" s="380">
        <f>'Таблиця цін схема №1'!BP11</f>
        <v>1</v>
      </c>
      <c r="Z11" s="47">
        <f>'Таблиця цін схема №1'!BS11</f>
        <v>12.5</v>
      </c>
      <c r="AA11" s="379">
        <f>'Таблиця цін схема №1'!BT11</f>
        <v>32</v>
      </c>
      <c r="AB11" s="78">
        <f>'Таблиця цін схема №1'!BU11</f>
        <v>1</v>
      </c>
      <c r="AC11" s="47">
        <f>'Таблиця цін схема №1'!BX11</f>
        <v>25</v>
      </c>
      <c r="AD11" s="379">
        <f>'Таблиця цін схема №1'!BY11</f>
        <v>6</v>
      </c>
      <c r="AE11" s="379" t="str">
        <f>'Таблиця цін схема №1'!BZ11</f>
        <v>Pt500</v>
      </c>
      <c r="AF11" s="380">
        <f>'Таблиця цін схема №1'!CA11</f>
        <v>1</v>
      </c>
      <c r="AG11" s="47">
        <f>'Таблиця цін схема №1'!CD11</f>
        <v>25</v>
      </c>
      <c r="AH11" s="379">
        <f>'Таблиця цін схема №1'!CE11</f>
        <v>6</v>
      </c>
      <c r="AI11" s="379" t="str">
        <f>'Таблиця цін схема №1'!CF11</f>
        <v>Pt500</v>
      </c>
      <c r="AJ11" s="380">
        <f>'Таблиця цін схема №1'!CG11</f>
        <v>1</v>
      </c>
      <c r="AK11" s="1168" t="str">
        <f>'Таблиця цін схема №1'!CJ11</f>
        <v xml:space="preserve">ЕІ-ТО-16+035M50HS-296000 </v>
      </c>
      <c r="AL11" s="380">
        <f>'Таблиця цін схема №1'!CK11</f>
        <v>1</v>
      </c>
      <c r="AM11" s="1168" t="str">
        <f>'Таблиця цін схема №1'!CN11</f>
        <v>EI-TO-16-015M30HS-223000</v>
      </c>
      <c r="AN11" s="380">
        <f>'Таблиця цін схема №1'!CO11</f>
        <v>1</v>
      </c>
      <c r="AO11" s="47">
        <f>'Таблиця цін схема №1'!CR11</f>
        <v>80</v>
      </c>
      <c r="AP11" s="380">
        <f>'Таблиця цін схема №1'!CS11</f>
        <v>4</v>
      </c>
      <c r="AQ11" s="47">
        <f>'Таблиця цін схема №1'!CV11</f>
        <v>40</v>
      </c>
      <c r="AR11" s="380">
        <f>'Таблиця цін схема №1'!CW11</f>
        <v>6</v>
      </c>
      <c r="AS11" s="47">
        <f>'Таблиця цін схема №1'!CZ11</f>
        <v>25</v>
      </c>
      <c r="AT11" s="78">
        <f>'Таблиця цін схема №1'!DA11</f>
        <v>3</v>
      </c>
      <c r="AU11" s="47">
        <f>'Таблиця цін схема №1'!DD11</f>
        <v>50</v>
      </c>
      <c r="AV11" s="380">
        <f>'Таблиця цін схема №1'!DE11</f>
        <v>4</v>
      </c>
      <c r="AW11" s="47">
        <f>'Таблиця цін схема №1'!DH11</f>
        <v>32</v>
      </c>
      <c r="AX11" s="380">
        <f>'Таблиця цін схема №1'!DI11</f>
        <v>1</v>
      </c>
      <c r="AY11" s="47">
        <f>'Таблиця цін схема №1'!DL11</f>
        <v>25</v>
      </c>
      <c r="AZ11" s="380">
        <f>'Таблиця цін схема №1'!DM11</f>
        <v>1</v>
      </c>
      <c r="BA11" s="47">
        <f>'Таблиця цін схема №1'!DP11</f>
        <v>25</v>
      </c>
      <c r="BB11" s="380">
        <f>'Таблиця цін схема №1'!DQ11</f>
        <v>2</v>
      </c>
      <c r="BC11" s="47">
        <f>'Таблиця цін схема №1'!DT11</f>
        <v>20</v>
      </c>
      <c r="BD11" s="380">
        <f>'Таблиця цін схема №1'!DU11</f>
        <v>2</v>
      </c>
      <c r="BE11" s="47">
        <f>'Таблиця цін схема №1'!DX11</f>
        <v>15</v>
      </c>
      <c r="BF11" s="380">
        <f>'Таблиця цін схема №1'!DY11</f>
        <v>10</v>
      </c>
      <c r="BG11" s="47">
        <f>'Таблиця цін схема №1'!EB11</f>
        <v>15</v>
      </c>
      <c r="BH11" s="380">
        <f>'Таблиця цін схема №1'!EC11</f>
        <v>38</v>
      </c>
      <c r="BI11" s="47">
        <f>'Таблиця цін схема №1'!EF11</f>
        <v>80</v>
      </c>
      <c r="BJ11" s="380">
        <f>'Таблиця цін схема №1'!EG11</f>
        <v>1</v>
      </c>
      <c r="BK11" s="47">
        <f>'Таблиця цін схема №1'!EJ11</f>
        <v>40</v>
      </c>
      <c r="BL11" s="380">
        <f>'Таблиця цін схема №1'!EK11</f>
        <v>1</v>
      </c>
      <c r="BM11" s="47">
        <f>'Таблиця цін схема №1'!EN11</f>
        <v>25</v>
      </c>
      <c r="BN11" s="380">
        <f>'Таблиця цін схема №1'!EO11</f>
        <v>1</v>
      </c>
    </row>
    <row r="12" spans="1:66">
      <c r="A12" s="1115">
        <f>'Таблиця цін схема №1'!B12</f>
        <v>6</v>
      </c>
      <c r="B12" s="1115" t="str">
        <f>'Таблиця цін схема №1'!C12</f>
        <v>323_2 Bogoyavlenskiy Avenue (Oktyabrskiy)</v>
      </c>
      <c r="C12" s="47">
        <f>'Таблиця цін схема №1'!AB12</f>
        <v>65</v>
      </c>
      <c r="D12" s="380">
        <f>'Таблиця цін схема №1'!AC12</f>
        <v>2</v>
      </c>
      <c r="E12" s="47">
        <f>'Таблиця цін схема №1'!AF12</f>
        <v>65</v>
      </c>
      <c r="F12" s="380">
        <f>'Таблиця цін схема №1'!AG12</f>
        <v>2</v>
      </c>
      <c r="G12" s="47">
        <f>'Таблиця цін схема №1'!AJ12</f>
        <v>65</v>
      </c>
      <c r="H12" s="78">
        <f>'Таблиця цін схема №1'!AK12</f>
        <v>1</v>
      </c>
      <c r="I12" s="47">
        <f>'Таблиця цін схема №1'!AN12</f>
        <v>40</v>
      </c>
      <c r="J12" s="380">
        <f>'Таблиця цін схема №1'!AO12</f>
        <v>3</v>
      </c>
      <c r="K12" s="47">
        <f>'Таблиця цін схема №1'!AR12</f>
        <v>50</v>
      </c>
      <c r="L12" s="380">
        <f>'Таблиця цін схема №1'!AS12</f>
        <v>4</v>
      </c>
      <c r="M12" s="47" t="str">
        <f>'Таблиця цін схема №1'!AV12</f>
        <v>AMV20</v>
      </c>
      <c r="N12" s="380">
        <f>'Таблиця цін схема №1'!AW12</f>
        <v>1</v>
      </c>
      <c r="O12" s="47">
        <f>'Таблиця цін схема №1'!AZ12</f>
        <v>10</v>
      </c>
      <c r="P12" s="379">
        <f>'Таблиця цін схема №1'!BA12</f>
        <v>25</v>
      </c>
      <c r="Q12" s="380">
        <f>'Таблиця цін схема №1'!BB12</f>
        <v>1</v>
      </c>
      <c r="R12" s="47">
        <f>'Таблиця цін схема №1'!BE12</f>
        <v>8</v>
      </c>
      <c r="S12" s="379">
        <f>'Таблиця цін схема №1'!BF12</f>
        <v>25</v>
      </c>
      <c r="T12" s="380">
        <f>'Таблиця цін схема №1'!BG12</f>
        <v>1</v>
      </c>
      <c r="U12" s="47" t="str">
        <f>'Таблиця цін схема №1'!BJ12</f>
        <v>AMV33</v>
      </c>
      <c r="V12" s="380">
        <f>'Таблиця цін схема №1'!BK12</f>
        <v>1</v>
      </c>
      <c r="W12" s="47">
        <f>'Таблиця цін схема №1'!BN12</f>
        <v>16</v>
      </c>
      <c r="X12" s="379">
        <f>'Таблиця цін схема №1'!BO12</f>
        <v>32</v>
      </c>
      <c r="Y12" s="380">
        <f>'Таблиця цін схема №1'!BP12</f>
        <v>1</v>
      </c>
      <c r="Z12" s="47">
        <f>'Таблиця цін схема №1'!BS12</f>
        <v>20</v>
      </c>
      <c r="AA12" s="379">
        <f>'Таблиця цін схема №1'!BT12</f>
        <v>40</v>
      </c>
      <c r="AB12" s="78">
        <f>'Таблиця цін схема №1'!BU12</f>
        <v>1</v>
      </c>
      <c r="AC12" s="47">
        <f>'Таблиця цін схема №1'!BX12</f>
        <v>25</v>
      </c>
      <c r="AD12" s="379">
        <f>'Таблиця цін схема №1'!BY12</f>
        <v>6</v>
      </c>
      <c r="AE12" s="379" t="str">
        <f>'Таблиця цін схема №1'!BZ12</f>
        <v>Pt500</v>
      </c>
      <c r="AF12" s="380">
        <f>'Таблиця цін схема №1'!CA12</f>
        <v>1</v>
      </c>
      <c r="AG12" s="47">
        <f>'Таблиця цін схема №1'!CD12</f>
        <v>40</v>
      </c>
      <c r="AH12" s="379">
        <f>'Таблиця цін схема №1'!CE12</f>
        <v>10</v>
      </c>
      <c r="AI12" s="379" t="str">
        <f>'Таблиця цін схема №1'!CF12</f>
        <v>Pt500</v>
      </c>
      <c r="AJ12" s="380">
        <f>'Таблиця цін схема №1'!CG12</f>
        <v>1</v>
      </c>
      <c r="AK12" s="1168" t="str">
        <f>'Таблиця цін схема №1'!CJ12</f>
        <v xml:space="preserve">ЕІ-ТО-16+029M50HS-257000 </v>
      </c>
      <c r="AL12" s="380">
        <f>'Таблиця цін схема №1'!CK12</f>
        <v>1</v>
      </c>
      <c r="AM12" s="1168" t="str">
        <f>'Таблиця цін схема №1'!CN12</f>
        <v>EI-TO-16-019M30HS-298000</v>
      </c>
      <c r="AN12" s="380">
        <f>'Таблиця цін схема №1'!CO12</f>
        <v>1</v>
      </c>
      <c r="AO12" s="47">
        <f>'Таблиця цін схема №1'!CR12</f>
        <v>65</v>
      </c>
      <c r="AP12" s="380">
        <f>'Таблиця цін схема №1'!CS12</f>
        <v>4</v>
      </c>
      <c r="AQ12" s="47">
        <f>'Таблиця цін схема №1'!CV12</f>
        <v>50</v>
      </c>
      <c r="AR12" s="380">
        <f>'Таблиця цін схема №1'!CW12</f>
        <v>6</v>
      </c>
      <c r="AS12" s="47">
        <f>'Таблиця цін схема №1'!CZ12</f>
        <v>32</v>
      </c>
      <c r="AT12" s="78">
        <f>'Таблиця цін схема №1'!DA12</f>
        <v>3</v>
      </c>
      <c r="AU12" s="47">
        <f>'Таблиця цін схема №1'!DD12</f>
        <v>50</v>
      </c>
      <c r="AV12" s="380">
        <f>'Таблиця цін схема №1'!DE12</f>
        <v>4</v>
      </c>
      <c r="AW12" s="47">
        <f>'Таблиця цін схема №1'!DH12</f>
        <v>32</v>
      </c>
      <c r="AX12" s="380">
        <f>'Таблиця цін схема №1'!DI12</f>
        <v>1</v>
      </c>
      <c r="AY12" s="47">
        <f>'Таблиця цін схема №1'!DL12</f>
        <v>25</v>
      </c>
      <c r="AZ12" s="380">
        <f>'Таблиця цін схема №1'!DM12</f>
        <v>1</v>
      </c>
      <c r="BA12" s="47">
        <f>'Таблиця цін схема №1'!DP12</f>
        <v>25</v>
      </c>
      <c r="BB12" s="380">
        <f>'Таблиця цін схема №1'!DQ12</f>
        <v>2</v>
      </c>
      <c r="BC12" s="47">
        <f>'Таблиця цін схема №1'!DT12</f>
        <v>20</v>
      </c>
      <c r="BD12" s="380">
        <f>'Таблиця цін схема №1'!DU12</f>
        <v>2</v>
      </c>
      <c r="BE12" s="47">
        <f>'Таблиця цін схема №1'!DX12</f>
        <v>15</v>
      </c>
      <c r="BF12" s="380">
        <f>'Таблиця цін схема №1'!DY12</f>
        <v>10</v>
      </c>
      <c r="BG12" s="47">
        <f>'Таблиця цін схема №1'!EB12</f>
        <v>15</v>
      </c>
      <c r="BH12" s="380">
        <f>'Таблиця цін схема №1'!EC12</f>
        <v>38</v>
      </c>
      <c r="BI12" s="47">
        <f>'Таблиця цін схема №1'!EF12</f>
        <v>65</v>
      </c>
      <c r="BJ12" s="380">
        <f>'Таблиця цін схема №1'!EG12</f>
        <v>1</v>
      </c>
      <c r="BK12" s="47">
        <f>'Таблиця цін схема №1'!EJ12</f>
        <v>50</v>
      </c>
      <c r="BL12" s="380">
        <f>'Таблиця цін схема №1'!EK12</f>
        <v>1</v>
      </c>
      <c r="BM12" s="47">
        <f>'Таблиця цін схема №1'!EN12</f>
        <v>32</v>
      </c>
      <c r="BN12" s="380">
        <f>'Таблиця цін схема №1'!EO12</f>
        <v>1</v>
      </c>
    </row>
    <row r="13" spans="1:66">
      <c r="A13" s="1115">
        <f>'Таблиця цін схема №1'!B13</f>
        <v>7</v>
      </c>
      <c r="B13" s="1115" t="str">
        <f>'Таблиця цін схема №1'!C13</f>
        <v>323_3 Bogoyavlenskiy Avenue (Oktyabrskiy)</v>
      </c>
      <c r="C13" s="47">
        <f>'Таблиця цін схема №1'!AB13</f>
        <v>65</v>
      </c>
      <c r="D13" s="380">
        <f>'Таблиця цін схема №1'!AC13</f>
        <v>2</v>
      </c>
      <c r="E13" s="47">
        <f>'Таблиця цін схема №1'!AF13</f>
        <v>65</v>
      </c>
      <c r="F13" s="380">
        <f>'Таблиця цін схема №1'!AG13</f>
        <v>2</v>
      </c>
      <c r="G13" s="47">
        <f>'Таблиця цін схема №1'!AJ13</f>
        <v>65</v>
      </c>
      <c r="H13" s="78">
        <f>'Таблиця цін схема №1'!AK13</f>
        <v>1</v>
      </c>
      <c r="I13" s="47">
        <f>'Таблиця цін схема №1'!AN13</f>
        <v>40</v>
      </c>
      <c r="J13" s="380">
        <f>'Таблиця цін схема №1'!AO13</f>
        <v>3</v>
      </c>
      <c r="K13" s="47">
        <f>'Таблиця цін схема №1'!AR13</f>
        <v>50</v>
      </c>
      <c r="L13" s="380">
        <f>'Таблиця цін схема №1'!AS13</f>
        <v>4</v>
      </c>
      <c r="M13" s="47" t="str">
        <f>'Таблиця цін схема №1'!AV13</f>
        <v>AMV20</v>
      </c>
      <c r="N13" s="380">
        <f>'Таблиця цін схема №1'!AW13</f>
        <v>1</v>
      </c>
      <c r="O13" s="47">
        <f>'Таблиця цін схема №1'!AZ13</f>
        <v>10</v>
      </c>
      <c r="P13" s="379">
        <f>'Таблиця цін схема №1'!BA13</f>
        <v>25</v>
      </c>
      <c r="Q13" s="380">
        <f>'Таблиця цін схема №1'!BB13</f>
        <v>1</v>
      </c>
      <c r="R13" s="47">
        <f>'Таблиця цін схема №1'!BE13</f>
        <v>12.5</v>
      </c>
      <c r="S13" s="379">
        <f>'Таблиця цін схема №1'!BF13</f>
        <v>32</v>
      </c>
      <c r="T13" s="380">
        <f>'Таблиця цін схема №1'!BG13</f>
        <v>1</v>
      </c>
      <c r="U13" s="47" t="str">
        <f>'Таблиця цін схема №1'!BJ13</f>
        <v>AMV33</v>
      </c>
      <c r="V13" s="380">
        <f>'Таблиця цін схема №1'!BK13</f>
        <v>1</v>
      </c>
      <c r="W13" s="47">
        <f>'Таблиця цін схема №1'!BN13</f>
        <v>16</v>
      </c>
      <c r="X13" s="379">
        <f>'Таблиця цін схема №1'!BO13</f>
        <v>32</v>
      </c>
      <c r="Y13" s="380">
        <f>'Таблиця цін схема №1'!BP13</f>
        <v>1</v>
      </c>
      <c r="Z13" s="47">
        <f>'Таблиця цін схема №1'!BS13</f>
        <v>20</v>
      </c>
      <c r="AA13" s="379">
        <f>'Таблиця цін схема №1'!BT13</f>
        <v>40</v>
      </c>
      <c r="AB13" s="78">
        <f>'Таблиця цін схема №1'!BU13</f>
        <v>1</v>
      </c>
      <c r="AC13" s="47">
        <f>'Таблиця цін схема №1'!BX13</f>
        <v>25</v>
      </c>
      <c r="AD13" s="379">
        <f>'Таблиця цін схема №1'!BY13</f>
        <v>6</v>
      </c>
      <c r="AE13" s="379" t="str">
        <f>'Таблиця цін схема №1'!BZ13</f>
        <v>Pt500</v>
      </c>
      <c r="AF13" s="380">
        <f>'Таблиця цін схема №1'!CA13</f>
        <v>1</v>
      </c>
      <c r="AG13" s="47">
        <f>'Таблиця цін схема №1'!CD13</f>
        <v>40</v>
      </c>
      <c r="AH13" s="379">
        <f>'Таблиця цін схема №1'!CE13</f>
        <v>10</v>
      </c>
      <c r="AI13" s="379" t="str">
        <f>'Таблиця цін схема №1'!CF13</f>
        <v>Pt500</v>
      </c>
      <c r="AJ13" s="380">
        <f>'Таблиця цін схема №1'!CG13</f>
        <v>1</v>
      </c>
      <c r="AK13" s="1168" t="str">
        <f>'Таблиця цін схема №1'!CJ13</f>
        <v xml:space="preserve">ЕІ-ТО-16+035M50HS-298000 </v>
      </c>
      <c r="AL13" s="380">
        <f>'Таблиця цін схема №1'!CK13</f>
        <v>1</v>
      </c>
      <c r="AM13" s="1168" t="str">
        <f>'Таблиця цін схема №1'!CN13</f>
        <v>EI-TO-16-019M30HS-298000</v>
      </c>
      <c r="AN13" s="380">
        <f>'Таблиця цін схема №1'!CO13</f>
        <v>1</v>
      </c>
      <c r="AO13" s="47">
        <f>'Таблиця цін схема №1'!CR13</f>
        <v>80</v>
      </c>
      <c r="AP13" s="380">
        <f>'Таблиця цін схема №1'!CS13</f>
        <v>4</v>
      </c>
      <c r="AQ13" s="47">
        <f>'Таблиця цін схема №1'!CV13</f>
        <v>50</v>
      </c>
      <c r="AR13" s="380">
        <f>'Таблиця цін схема №1'!CW13</f>
        <v>6</v>
      </c>
      <c r="AS13" s="47">
        <f>'Таблиця цін схема №1'!CZ13</f>
        <v>32</v>
      </c>
      <c r="AT13" s="78">
        <f>'Таблиця цін схема №1'!DA13</f>
        <v>3</v>
      </c>
      <c r="AU13" s="47">
        <f>'Таблиця цін схема №1'!DD13</f>
        <v>50</v>
      </c>
      <c r="AV13" s="380">
        <f>'Таблиця цін схема №1'!DE13</f>
        <v>4</v>
      </c>
      <c r="AW13" s="47">
        <f>'Таблиця цін схема №1'!DH13</f>
        <v>50</v>
      </c>
      <c r="AX13" s="380">
        <f>'Таблиця цін схема №1'!DI13</f>
        <v>1</v>
      </c>
      <c r="AY13" s="47">
        <f>'Таблиця цін схема №1'!DL13</f>
        <v>25</v>
      </c>
      <c r="AZ13" s="380">
        <f>'Таблиця цін схема №1'!DM13</f>
        <v>1</v>
      </c>
      <c r="BA13" s="47">
        <f>'Таблиця цін схема №1'!DP13</f>
        <v>25</v>
      </c>
      <c r="BB13" s="380">
        <f>'Таблиця цін схема №1'!DQ13</f>
        <v>2</v>
      </c>
      <c r="BC13" s="47">
        <f>'Таблиця цін схема №1'!DT13</f>
        <v>20</v>
      </c>
      <c r="BD13" s="380">
        <f>'Таблиця цін схема №1'!DU13</f>
        <v>2</v>
      </c>
      <c r="BE13" s="47">
        <f>'Таблиця цін схема №1'!DX13</f>
        <v>15</v>
      </c>
      <c r="BF13" s="380">
        <f>'Таблиця цін схема №1'!DY13</f>
        <v>10</v>
      </c>
      <c r="BG13" s="47">
        <f>'Таблиця цін схема №1'!EB13</f>
        <v>15</v>
      </c>
      <c r="BH13" s="380">
        <f>'Таблиця цін схема №1'!EC13</f>
        <v>38</v>
      </c>
      <c r="BI13" s="47">
        <f>'Таблиця цін схема №1'!EF13</f>
        <v>80</v>
      </c>
      <c r="BJ13" s="380">
        <f>'Таблиця цін схема №1'!EG13</f>
        <v>1</v>
      </c>
      <c r="BK13" s="47">
        <f>'Таблиця цін схема №1'!EJ13</f>
        <v>50</v>
      </c>
      <c r="BL13" s="380">
        <f>'Таблиця цін схема №1'!EK13</f>
        <v>1</v>
      </c>
      <c r="BM13" s="47">
        <f>'Таблиця цін схема №1'!EN13</f>
        <v>32</v>
      </c>
      <c r="BN13" s="380">
        <f>'Таблиця цін схема №1'!EO13</f>
        <v>1</v>
      </c>
    </row>
    <row r="14" spans="1:66">
      <c r="A14" s="1115">
        <f>'Таблиця цін схема №1'!B14</f>
        <v>8</v>
      </c>
      <c r="B14" s="1115" t="str">
        <f>'Таблиця цін схема №1'!C14</f>
        <v>(input 1) 325_1 Bogoyavlenskiy Avenue (Oktyabrskiy)</v>
      </c>
      <c r="C14" s="47">
        <f>'Таблиця цін схема №1'!AB14</f>
        <v>50</v>
      </c>
      <c r="D14" s="380">
        <f>'Таблиця цін схема №1'!AC14</f>
        <v>2</v>
      </c>
      <c r="E14" s="47">
        <f>'Таблиця цін схема №1'!AF14</f>
        <v>50</v>
      </c>
      <c r="F14" s="380">
        <f>'Таблиця цін схема №1'!AG14</f>
        <v>2</v>
      </c>
      <c r="G14" s="47">
        <f>'Таблиця цін схема №1'!AJ14</f>
        <v>50</v>
      </c>
      <c r="H14" s="78" t="s">
        <v>115</v>
      </c>
      <c r="I14" s="47">
        <f>'Таблиця цін схема №1'!AN14</f>
        <v>40</v>
      </c>
      <c r="J14" s="380">
        <f>'Таблиця цін схема №1'!AO14</f>
        <v>1</v>
      </c>
      <c r="K14" s="47">
        <f>'Таблиця цін схема №1'!AR14</f>
        <v>32</v>
      </c>
      <c r="L14" s="380">
        <f>'Таблиця цін схема №1'!AS14</f>
        <v>4</v>
      </c>
      <c r="M14" s="47" t="str">
        <f>'Таблиця цін схема №1'!AV14</f>
        <v>AMV20</v>
      </c>
      <c r="N14" s="380">
        <f>'Таблиця цін схема №1'!AW14</f>
        <v>1</v>
      </c>
      <c r="O14" s="47">
        <f>'Таблиця цін схема №1'!AZ14</f>
        <v>10</v>
      </c>
      <c r="P14" s="379">
        <f>'Таблиця цін схема №1'!BA14</f>
        <v>25</v>
      </c>
      <c r="Q14" s="380">
        <f>'Таблиця цін схема №1'!BB14</f>
        <v>1</v>
      </c>
      <c r="R14" s="47">
        <f>'Таблиця цін схема №1'!BE14</f>
        <v>8</v>
      </c>
      <c r="S14" s="379">
        <f>'Таблиця цін схема №1'!BF14</f>
        <v>25</v>
      </c>
      <c r="T14" s="380">
        <f>'Таблиця цін схема №1'!BG14</f>
        <v>1</v>
      </c>
      <c r="U14" s="47" t="str">
        <f>'Таблиця цін схема №1'!BJ14</f>
        <v>AMV33</v>
      </c>
      <c r="V14" s="380">
        <f>'Таблиця цін схема №1'!BK14</f>
        <v>1</v>
      </c>
      <c r="W14" s="47">
        <f>'Таблиця цін схема №1'!BN14</f>
        <v>6.3</v>
      </c>
      <c r="X14" s="379">
        <f>'Таблиця цін схема №1'!BO14</f>
        <v>20</v>
      </c>
      <c r="Y14" s="380">
        <f>'Таблиця цін схема №1'!BP14</f>
        <v>1</v>
      </c>
      <c r="Z14" s="47">
        <f>'Таблиця цін схема №1'!BS14</f>
        <v>6.3</v>
      </c>
      <c r="AA14" s="379">
        <f>'Таблиця цін схема №1'!BT14</f>
        <v>20</v>
      </c>
      <c r="AB14" s="78">
        <f>'Таблиця цін схема №1'!BU14</f>
        <v>1</v>
      </c>
      <c r="AC14" s="47" t="str">
        <f>'Таблиця цін схема №1'!BX14</f>
        <v>-</v>
      </c>
      <c r="AD14" s="379" t="str">
        <f>'Таблиця цін схема №1'!BY14</f>
        <v>-</v>
      </c>
      <c r="AE14" s="379" t="str">
        <f>'Таблиця цін схема №1'!BZ14</f>
        <v>existed</v>
      </c>
      <c r="AF14" s="380" t="s">
        <v>115</v>
      </c>
      <c r="AG14" s="47">
        <f>'Таблиця цін схема №1'!CD14</f>
        <v>20</v>
      </c>
      <c r="AH14" s="379">
        <f>'Таблиця цін схема №1'!CE14</f>
        <v>2.5</v>
      </c>
      <c r="AI14" s="379" t="str">
        <f>'Таблиця цін схема №1'!CF14</f>
        <v>Pt500</v>
      </c>
      <c r="AJ14" s="380">
        <f>'Таблиця цін схема №1'!CG14</f>
        <v>1</v>
      </c>
      <c r="AK14" s="1168" t="str">
        <f>'Таблиця цін схема №1'!CJ14</f>
        <v>ЕІ-ТО-16+029M55HS-251000</v>
      </c>
      <c r="AL14" s="380">
        <f>'Таблиця цін схема №1'!CK14</f>
        <v>1</v>
      </c>
      <c r="AM14" s="1168" t="str">
        <f>'Таблиця цін схема №1'!CN14</f>
        <v xml:space="preserve">ЕІ-ТО-4+027A00HS-97000 </v>
      </c>
      <c r="AN14" s="380">
        <f>'Таблиця цін схема №1'!CO14</f>
        <v>1</v>
      </c>
      <c r="AO14" s="47">
        <f>'Таблиця цін схема №1'!CR14</f>
        <v>65</v>
      </c>
      <c r="AP14" s="380">
        <f>'Таблиця цін схема №1'!CS14</f>
        <v>4</v>
      </c>
      <c r="AQ14" s="47">
        <f>'Таблиця цін схема №1'!CV14</f>
        <v>32</v>
      </c>
      <c r="AR14" s="380">
        <f>'Таблиця цін схема №1'!CW14</f>
        <v>6</v>
      </c>
      <c r="AS14" s="47">
        <f>'Таблиця цін схема №1'!CZ14</f>
        <v>20</v>
      </c>
      <c r="AT14" s="78">
        <f>'Таблиця цін схема №1'!DA14</f>
        <v>3</v>
      </c>
      <c r="AU14" s="47">
        <f>'Таблиця цін схема №1'!DD14</f>
        <v>50</v>
      </c>
      <c r="AV14" s="380">
        <f>'Таблиця цін схема №1'!DE14</f>
        <v>4</v>
      </c>
      <c r="AW14" s="47">
        <f>'Таблиця цін схема №1'!DH14</f>
        <v>32</v>
      </c>
      <c r="AX14" s="380">
        <f>'Таблиця цін схема №1'!DI14</f>
        <v>1</v>
      </c>
      <c r="AY14" s="47">
        <f>'Таблиця цін схема №1'!DL14</f>
        <v>25</v>
      </c>
      <c r="AZ14" s="380">
        <f>'Таблиця цін схема №1'!DM14</f>
        <v>1</v>
      </c>
      <c r="BA14" s="47">
        <f>'Таблиця цін схема №1'!DP14</f>
        <v>25</v>
      </c>
      <c r="BB14" s="380">
        <f>'Таблиця цін схема №1'!DQ14</f>
        <v>2</v>
      </c>
      <c r="BC14" s="47">
        <f>'Таблиця цін схема №1'!DT14</f>
        <v>20</v>
      </c>
      <c r="BD14" s="380">
        <f>'Таблиця цін схема №1'!DU14</f>
        <v>2</v>
      </c>
      <c r="BE14" s="47">
        <f>'Таблиця цін схема №1'!DX14</f>
        <v>15</v>
      </c>
      <c r="BF14" s="380">
        <f>'Таблиця цін схема №1'!DY14</f>
        <v>10</v>
      </c>
      <c r="BG14" s="47">
        <f>'Таблиця цін схема №1'!EB14</f>
        <v>15</v>
      </c>
      <c r="BH14" s="380">
        <f>'Таблиця цін схема №1'!EC14</f>
        <v>38</v>
      </c>
      <c r="BI14" s="47">
        <f>'Таблиця цін схема №1'!EF14</f>
        <v>65</v>
      </c>
      <c r="BJ14" s="380">
        <f>'Таблиця цін схема №1'!EG14</f>
        <v>1</v>
      </c>
      <c r="BK14" s="47">
        <f>'Таблиця цін схема №1'!EJ14</f>
        <v>32</v>
      </c>
      <c r="BL14" s="380">
        <f>'Таблиця цін схема №1'!EK14</f>
        <v>1</v>
      </c>
      <c r="BM14" s="47">
        <f>'Таблиця цін схема №1'!EN14</f>
        <v>20</v>
      </c>
      <c r="BN14" s="380">
        <f>'Таблиця цін схема №1'!EO14</f>
        <v>1</v>
      </c>
    </row>
    <row r="15" spans="1:66">
      <c r="A15" s="1115">
        <f>'Таблиця цін схема №1'!B15</f>
        <v>9</v>
      </c>
      <c r="B15" s="1115" t="str">
        <f>'Таблиця цін схема №1'!C15</f>
        <v>(input 2) 325_1 Bogoyavlenskiy Avenue (Oktyabrskiy)</v>
      </c>
      <c r="C15" s="47">
        <f>'Таблиця цін схема №1'!AB15</f>
        <v>50</v>
      </c>
      <c r="D15" s="380">
        <f>'Таблиця цін схема №1'!AC15</f>
        <v>2</v>
      </c>
      <c r="E15" s="47">
        <f>'Таблиця цін схема №1'!AF15</f>
        <v>50</v>
      </c>
      <c r="F15" s="380">
        <f>'Таблиця цін схема №1'!AG15</f>
        <v>2</v>
      </c>
      <c r="G15" s="47">
        <f>'Таблиця цін схема №1'!AJ15</f>
        <v>50</v>
      </c>
      <c r="H15" s="78" t="s">
        <v>115</v>
      </c>
      <c r="I15" s="47">
        <f>'Таблиця цін схема №1'!AN15</f>
        <v>32</v>
      </c>
      <c r="J15" s="380">
        <f>'Таблиця цін схема №1'!AO15</f>
        <v>1</v>
      </c>
      <c r="K15" s="47">
        <f>'Таблиця цін схема №1'!AR15</f>
        <v>32</v>
      </c>
      <c r="L15" s="380">
        <f>'Таблиця цін схема №1'!AS15</f>
        <v>4</v>
      </c>
      <c r="M15" s="47" t="str">
        <f>'Таблиця цін схема №1'!AV15</f>
        <v>AMV20</v>
      </c>
      <c r="N15" s="380">
        <f>'Таблиця цін схема №1'!AW15</f>
        <v>1</v>
      </c>
      <c r="O15" s="47">
        <f>'Таблиця цін схема №1'!AZ15</f>
        <v>4</v>
      </c>
      <c r="P15" s="379">
        <f>'Таблиця цін схема №1'!BA15</f>
        <v>15</v>
      </c>
      <c r="Q15" s="380">
        <f>'Таблиця цін схема №1'!BB15</f>
        <v>1</v>
      </c>
      <c r="R15" s="47">
        <f>'Таблиця цін схема №1'!BE15</f>
        <v>4</v>
      </c>
      <c r="S15" s="379">
        <f>'Таблиця цін схема №1'!BF15</f>
        <v>15</v>
      </c>
      <c r="T15" s="380">
        <f>'Таблиця цін схема №1'!BG15</f>
        <v>1</v>
      </c>
      <c r="U15" s="47" t="str">
        <f>'Таблиця цін схема №1'!BJ15</f>
        <v>AMV33</v>
      </c>
      <c r="V15" s="380">
        <f>'Таблиця цін схема №1'!BK15</f>
        <v>1</v>
      </c>
      <c r="W15" s="47">
        <f>'Таблиця цін схема №1'!BN15</f>
        <v>4</v>
      </c>
      <c r="X15" s="379">
        <f>'Таблиця цін схема №1'!BO15</f>
        <v>15</v>
      </c>
      <c r="Y15" s="380">
        <f>'Таблиця цін схема №1'!BP15</f>
        <v>1</v>
      </c>
      <c r="Z15" s="47">
        <f>'Таблиця цін схема №1'!BS15</f>
        <v>4</v>
      </c>
      <c r="AA15" s="379">
        <f>'Таблиця цін схема №1'!BT15</f>
        <v>15</v>
      </c>
      <c r="AB15" s="78">
        <f>'Таблиця цін схема №1'!BU15</f>
        <v>1</v>
      </c>
      <c r="AC15" s="47" t="str">
        <f>'Таблиця цін схема №1'!BX15</f>
        <v>-</v>
      </c>
      <c r="AD15" s="379" t="str">
        <f>'Таблиця цін схема №1'!BY15</f>
        <v>-</v>
      </c>
      <c r="AE15" s="379" t="str">
        <f>'Таблиця цін схема №1'!BZ15</f>
        <v>existed</v>
      </c>
      <c r="AF15" s="380" t="s">
        <v>115</v>
      </c>
      <c r="AG15" s="47">
        <f>'Таблиця цін схема №1'!CD15</f>
        <v>20</v>
      </c>
      <c r="AH15" s="379">
        <f>'Таблиця цін схема №1'!CE15</f>
        <v>2.5</v>
      </c>
      <c r="AI15" s="379" t="str">
        <f>'Таблиця цін схема №1'!CF15</f>
        <v>Pt500</v>
      </c>
      <c r="AJ15" s="380">
        <f>'Таблиця цін схема №1'!CG15</f>
        <v>1</v>
      </c>
      <c r="AK15" s="1168" t="str">
        <f>'Таблиця цін схема №1'!CJ15</f>
        <v xml:space="preserve">ЕІ-ТО-16+015M60HS-111000 </v>
      </c>
      <c r="AL15" s="380">
        <f>'Таблиця цін схема №1'!CK15</f>
        <v>1</v>
      </c>
      <c r="AM15" s="1168" t="str">
        <f>'Таблиця цін схема №1'!CN15</f>
        <v>ЕІ-ТО-4+021A00HS- 74000</v>
      </c>
      <c r="AN15" s="380">
        <f>'Таблиця цін схема №1'!CO15</f>
        <v>1</v>
      </c>
      <c r="AO15" s="47">
        <f>'Таблиця цін схема №1'!CR15</f>
        <v>50</v>
      </c>
      <c r="AP15" s="380">
        <f>'Таблиця цін схема №1'!CS15</f>
        <v>4</v>
      </c>
      <c r="AQ15" s="47">
        <f>'Таблиця цін схема №1'!CV15</f>
        <v>32</v>
      </c>
      <c r="AR15" s="380">
        <f>'Таблиця цін схема №1'!CW15</f>
        <v>6</v>
      </c>
      <c r="AS15" s="47">
        <f>'Таблиця цін схема №1'!CZ15</f>
        <v>20</v>
      </c>
      <c r="AT15" s="78">
        <f>'Таблиця цін схема №1'!DA15</f>
        <v>3</v>
      </c>
      <c r="AU15" s="47">
        <f>'Таблиця цін схема №1'!DD15</f>
        <v>20</v>
      </c>
      <c r="AV15" s="380">
        <f>'Таблиця цін схема №1'!DE15</f>
        <v>8</v>
      </c>
      <c r="AW15" s="47">
        <f>'Таблиця цін схема №1'!DH15</f>
        <v>32</v>
      </c>
      <c r="AX15" s="380">
        <f>'Таблиця цін схема №1'!DI15</f>
        <v>1</v>
      </c>
      <c r="AY15" s="47">
        <f>'Таблиця цін схема №1'!DL15</f>
        <v>25</v>
      </c>
      <c r="AZ15" s="380">
        <f>'Таблиця цін схема №1'!DM15</f>
        <v>1</v>
      </c>
      <c r="BA15" s="47">
        <f>'Таблиця цін схема №1'!DP15</f>
        <v>25</v>
      </c>
      <c r="BB15" s="380">
        <f>'Таблиця цін схема №1'!DQ15</f>
        <v>2</v>
      </c>
      <c r="BC15" s="47">
        <f>'Таблиця цін схема №1'!DT15</f>
        <v>20</v>
      </c>
      <c r="BD15" s="380">
        <f>'Таблиця цін схема №1'!DU15</f>
        <v>2</v>
      </c>
      <c r="BE15" s="47">
        <f>'Таблиця цін схема №1'!DX15</f>
        <v>15</v>
      </c>
      <c r="BF15" s="380">
        <f>'Таблиця цін схема №1'!DY15</f>
        <v>10</v>
      </c>
      <c r="BG15" s="47">
        <f>'Таблиця цін схема №1'!EB15</f>
        <v>15</v>
      </c>
      <c r="BH15" s="380">
        <f>'Таблиця цін схема №1'!EC15</f>
        <v>40</v>
      </c>
      <c r="BI15" s="47">
        <f>'Таблиця цін схема №1'!EF15</f>
        <v>50</v>
      </c>
      <c r="BJ15" s="380">
        <f>'Таблиця цін схема №1'!EG15</f>
        <v>1</v>
      </c>
      <c r="BK15" s="47">
        <f>'Таблиця цін схема №1'!EJ15</f>
        <v>32</v>
      </c>
      <c r="BL15" s="380">
        <f>'Таблиця цін схема №1'!EK15</f>
        <v>1</v>
      </c>
      <c r="BM15" s="47">
        <f>'Таблиця цін схема №1'!EN15</f>
        <v>20</v>
      </c>
      <c r="BN15" s="380">
        <f>'Таблиця цін схема №1'!EO15</f>
        <v>1</v>
      </c>
    </row>
    <row r="16" spans="1:66">
      <c r="A16" s="1115">
        <f>'Таблиця цін схема №1'!B16</f>
        <v>10</v>
      </c>
      <c r="B16" s="1115" t="str">
        <f>'Таблиця цін схема №1'!C16</f>
        <v>(input 3) 325_1 Bogoyavlenskiy Avenue (Oktyabrskiy)</v>
      </c>
      <c r="C16" s="47">
        <f>'Таблиця цін схема №1'!AB16</f>
        <v>65</v>
      </c>
      <c r="D16" s="380">
        <f>'Таблиця цін схема №1'!AC16</f>
        <v>2</v>
      </c>
      <c r="E16" s="47">
        <f>'Таблиця цін схема №1'!AF16</f>
        <v>65</v>
      </c>
      <c r="F16" s="380">
        <f>'Таблиця цін схема №1'!AG16</f>
        <v>2</v>
      </c>
      <c r="G16" s="47">
        <f>'Таблиця цін схема №1'!AJ16</f>
        <v>65</v>
      </c>
      <c r="H16" s="78" t="s">
        <v>115</v>
      </c>
      <c r="I16" s="47">
        <f>'Таблиця цін схема №1'!AN16</f>
        <v>40</v>
      </c>
      <c r="J16" s="380">
        <f>'Таблиця цін схема №1'!AO16</f>
        <v>1</v>
      </c>
      <c r="K16" s="47">
        <f>'Таблиця цін схема №1'!AR16</f>
        <v>40</v>
      </c>
      <c r="L16" s="380">
        <f>'Таблиця цін схема №1'!AS16</f>
        <v>4</v>
      </c>
      <c r="M16" s="47" t="str">
        <f>'Таблиця цін схема №1'!AV16</f>
        <v>AMV20</v>
      </c>
      <c r="N16" s="380">
        <f>'Таблиця цін схема №1'!AW16</f>
        <v>1</v>
      </c>
      <c r="O16" s="47">
        <f>'Таблиця цін схема №1'!AZ16</f>
        <v>10</v>
      </c>
      <c r="P16" s="379">
        <f>'Таблиця цін схема №1'!BA16</f>
        <v>25</v>
      </c>
      <c r="Q16" s="380">
        <f>'Таблиця цін схема №1'!BB16</f>
        <v>1</v>
      </c>
      <c r="R16" s="47">
        <f>'Таблиця цін схема №1'!BE16</f>
        <v>12.5</v>
      </c>
      <c r="S16" s="379">
        <f>'Таблиця цін схема №1'!BF16</f>
        <v>32</v>
      </c>
      <c r="T16" s="380">
        <f>'Таблиця цін схема №1'!BG16</f>
        <v>1</v>
      </c>
      <c r="U16" s="47" t="str">
        <f>'Таблиця цін схема №1'!BJ16</f>
        <v>AMV33</v>
      </c>
      <c r="V16" s="380">
        <f>'Таблиця цін схема №1'!BK16</f>
        <v>1</v>
      </c>
      <c r="W16" s="47">
        <f>'Таблиця цін схема №1'!BN16</f>
        <v>10</v>
      </c>
      <c r="X16" s="379">
        <f>'Таблиця цін схема №1'!BO16</f>
        <v>25</v>
      </c>
      <c r="Y16" s="380">
        <f>'Таблиця цін схема №1'!BP16</f>
        <v>1</v>
      </c>
      <c r="Z16" s="47">
        <f>'Таблиця цін схема №1'!BS16</f>
        <v>8</v>
      </c>
      <c r="AA16" s="379">
        <f>'Таблиця цін схема №1'!BT16</f>
        <v>25</v>
      </c>
      <c r="AB16" s="78">
        <f>'Таблиця цін схема №1'!BU16</f>
        <v>1</v>
      </c>
      <c r="AC16" s="47" t="str">
        <f>'Таблиця цін схема №1'!BX16</f>
        <v>-</v>
      </c>
      <c r="AD16" s="379" t="str">
        <f>'Таблиця цін схема №1'!BY16</f>
        <v>-</v>
      </c>
      <c r="AE16" s="379" t="str">
        <f>'Таблиця цін схема №1'!BZ16</f>
        <v>existed</v>
      </c>
      <c r="AF16" s="380" t="s">
        <v>115</v>
      </c>
      <c r="AG16" s="47">
        <f>'Таблиця цін схема №1'!CD16</f>
        <v>25</v>
      </c>
      <c r="AH16" s="379">
        <f>'Таблиця цін схема №1'!CE16</f>
        <v>6</v>
      </c>
      <c r="AI16" s="379" t="str">
        <f>'Таблиця цін схема №1'!CF16</f>
        <v>Pt500</v>
      </c>
      <c r="AJ16" s="380">
        <f>'Таблиця цін схема №1'!CG16</f>
        <v>1</v>
      </c>
      <c r="AK16" s="1168" t="str">
        <f>'Таблиця цін схема №1'!CJ16</f>
        <v xml:space="preserve">ЕІ-ТО-16+033M50HS-292000 </v>
      </c>
      <c r="AL16" s="380">
        <f>'Таблиця цін схема №1'!CK16</f>
        <v>1</v>
      </c>
      <c r="AM16" s="1168" t="str">
        <f>'Таблиця цін схема №1'!CN16</f>
        <v>EI-TO-16+011M30HS-152000</v>
      </c>
      <c r="AN16" s="380">
        <f>'Таблиця цін схема №1'!CO16</f>
        <v>1</v>
      </c>
      <c r="AO16" s="47">
        <f>'Таблиця цін схема №1'!CR16</f>
        <v>80</v>
      </c>
      <c r="AP16" s="380">
        <f>'Таблиця цін схема №1'!CS16</f>
        <v>4</v>
      </c>
      <c r="AQ16" s="47">
        <f>'Таблиця цін схема №1'!CV16</f>
        <v>32</v>
      </c>
      <c r="AR16" s="380">
        <f>'Таблиця цін схема №1'!CW16</f>
        <v>6</v>
      </c>
      <c r="AS16" s="47">
        <f>'Таблиця цін схема №1'!CZ16</f>
        <v>20</v>
      </c>
      <c r="AT16" s="78">
        <f>'Таблиця цін схема №1'!DA16</f>
        <v>3</v>
      </c>
      <c r="AU16" s="47">
        <f>'Таблиця цін схема №1'!DD16</f>
        <v>32</v>
      </c>
      <c r="AV16" s="380">
        <f>'Таблиця цін схема №1'!DE16</f>
        <v>8</v>
      </c>
      <c r="AW16" s="47">
        <f>'Таблиця цін схема №1'!DH16</f>
        <v>32</v>
      </c>
      <c r="AX16" s="380">
        <f>'Таблиця цін схема №1'!DI16</f>
        <v>1</v>
      </c>
      <c r="AY16" s="47">
        <f>'Таблиця цін схема №1'!DL16</f>
        <v>25</v>
      </c>
      <c r="AZ16" s="380">
        <f>'Таблиця цін схема №1'!DM16</f>
        <v>1</v>
      </c>
      <c r="BA16" s="47">
        <f>'Таблиця цін схема №1'!DP16</f>
        <v>25</v>
      </c>
      <c r="BB16" s="380">
        <f>'Таблиця цін схема №1'!DQ16</f>
        <v>2</v>
      </c>
      <c r="BC16" s="47">
        <f>'Таблиця цін схема №1'!DT16</f>
        <v>20</v>
      </c>
      <c r="BD16" s="380">
        <f>'Таблиця цін схема №1'!DU16</f>
        <v>2</v>
      </c>
      <c r="BE16" s="47">
        <f>'Таблиця цін схема №1'!DX16</f>
        <v>15</v>
      </c>
      <c r="BF16" s="380">
        <f>'Таблиця цін схема №1'!DY16</f>
        <v>10</v>
      </c>
      <c r="BG16" s="47">
        <f>'Таблиця цін схема №1'!EB16</f>
        <v>15</v>
      </c>
      <c r="BH16" s="380">
        <f>'Таблиця цін схема №1'!EC16</f>
        <v>40</v>
      </c>
      <c r="BI16" s="47">
        <f>'Таблиця цін схема №1'!EF16</f>
        <v>80</v>
      </c>
      <c r="BJ16" s="380">
        <f>'Таблиця цін схема №1'!EG16</f>
        <v>1</v>
      </c>
      <c r="BK16" s="47">
        <f>'Таблиця цін схема №1'!EJ16</f>
        <v>32</v>
      </c>
      <c r="BL16" s="380">
        <f>'Таблиця цін схема №1'!EK16</f>
        <v>1</v>
      </c>
      <c r="BM16" s="47">
        <f>'Таблиця цін схема №1'!EN16</f>
        <v>20</v>
      </c>
      <c r="BN16" s="380">
        <f>'Таблиця цін схема №1'!EO16</f>
        <v>1</v>
      </c>
    </row>
    <row r="17" spans="1:66">
      <c r="A17" s="1115">
        <f>'Таблиця цін схема №1'!B17</f>
        <v>11</v>
      </c>
      <c r="B17" s="1115" t="str">
        <f>'Таблиця цін схема №1'!C17</f>
        <v>325_2 Bogoyavlenskiy Avenue (Oktyabrskiy)</v>
      </c>
      <c r="C17" s="47">
        <f>'Таблиця цін схема №1'!AB17</f>
        <v>80</v>
      </c>
      <c r="D17" s="380">
        <f>'Таблиця цін схема №1'!AC17</f>
        <v>2</v>
      </c>
      <c r="E17" s="47">
        <f>'Таблиця цін схема №1'!AF17</f>
        <v>80</v>
      </c>
      <c r="F17" s="380">
        <f>'Таблиця цін схема №1'!AG17</f>
        <v>2</v>
      </c>
      <c r="G17" s="47">
        <f>'Таблиця цін схема №1'!AJ17</f>
        <v>80</v>
      </c>
      <c r="H17" s="78">
        <f>'Таблиця цін схема №1'!AK17</f>
        <v>1</v>
      </c>
      <c r="I17" s="47">
        <f>'Таблиця цін схема №1'!AN17</f>
        <v>50</v>
      </c>
      <c r="J17" s="380">
        <f>'Таблиця цін схема №1'!AO17</f>
        <v>3</v>
      </c>
      <c r="K17" s="47">
        <f>'Таблиця цін схема №1'!AR17</f>
        <v>50</v>
      </c>
      <c r="L17" s="380">
        <f>'Таблиця цін схема №1'!AS17</f>
        <v>4</v>
      </c>
      <c r="M17" s="47" t="str">
        <f>'Таблиця цін схема №1'!AV17</f>
        <v>AMV20</v>
      </c>
      <c r="N17" s="380">
        <f>'Таблиця цін схема №1'!AW17</f>
        <v>1</v>
      </c>
      <c r="O17" s="47">
        <f>'Таблиця цін схема №1'!AZ17</f>
        <v>16</v>
      </c>
      <c r="P17" s="379">
        <f>'Таблиця цін схема №1'!BA17</f>
        <v>32</v>
      </c>
      <c r="Q17" s="380">
        <f>'Таблиця цін схема №1'!BB17</f>
        <v>1</v>
      </c>
      <c r="R17" s="47">
        <f>'Таблиця цін схема №1'!BE17</f>
        <v>12.5</v>
      </c>
      <c r="S17" s="379">
        <f>'Таблиця цін схема №1'!BF17</f>
        <v>32</v>
      </c>
      <c r="T17" s="380">
        <f>'Таблиця цін схема №1'!BG17</f>
        <v>1</v>
      </c>
      <c r="U17" s="47" t="str">
        <f>'Таблиця цін схема №1'!BJ17</f>
        <v>AMV33</v>
      </c>
      <c r="V17" s="380">
        <f>'Таблиця цін схема №1'!BK17</f>
        <v>1</v>
      </c>
      <c r="W17" s="47">
        <f>'Таблиця цін схема №1'!BN17</f>
        <v>16</v>
      </c>
      <c r="X17" s="379">
        <f>'Таблиця цін схема №1'!BO17</f>
        <v>32</v>
      </c>
      <c r="Y17" s="380">
        <f>'Таблиця цін схема №1'!BP17</f>
        <v>1</v>
      </c>
      <c r="Z17" s="47">
        <f>'Таблиця цін схема №1'!BS17</f>
        <v>12.5</v>
      </c>
      <c r="AA17" s="379">
        <f>'Таблиця цін схема №1'!BT17</f>
        <v>32</v>
      </c>
      <c r="AB17" s="78">
        <f>'Таблиця цін схема №1'!BU17</f>
        <v>1</v>
      </c>
      <c r="AC17" s="47" t="str">
        <f>'Таблиця цін схема №1'!BX17</f>
        <v>-</v>
      </c>
      <c r="AD17" s="379" t="str">
        <f>'Таблиця цін схема №1'!BY17</f>
        <v>-</v>
      </c>
      <c r="AE17" s="379" t="str">
        <f>'Таблиця цін схема №1'!BZ17</f>
        <v>existed</v>
      </c>
      <c r="AF17" s="380" t="s">
        <v>115</v>
      </c>
      <c r="AG17" s="47">
        <f>'Таблиця цін схема №1'!CD17</f>
        <v>40</v>
      </c>
      <c r="AH17" s="379">
        <f>'Таблиця цін схема №1'!CE17</f>
        <v>10</v>
      </c>
      <c r="AI17" s="379" t="str">
        <f>'Таблиця цін схема №1'!CF17</f>
        <v>Pt500</v>
      </c>
      <c r="AJ17" s="380">
        <f>'Таблиця цін схема №1'!CG17</f>
        <v>1</v>
      </c>
      <c r="AK17" s="1168" t="str">
        <f>'Таблиця цін схема №1'!CJ17</f>
        <v xml:space="preserve">ЕІ-ТО-16+049M50HS-410000 </v>
      </c>
      <c r="AL17" s="380">
        <f>'Таблиця цін схема №1'!CK17</f>
        <v>1</v>
      </c>
      <c r="AM17" s="1168" t="str">
        <f>'Таблиця цін схема №1'!CN17</f>
        <v>EI-TO-16+017M30HS-250000</v>
      </c>
      <c r="AN17" s="380">
        <f>'Таблиця цін схема №1'!CO17</f>
        <v>1</v>
      </c>
      <c r="AO17" s="47">
        <f>'Таблиця цін схема №1'!CR17</f>
        <v>80</v>
      </c>
      <c r="AP17" s="380">
        <f>'Таблиця цін схема №1'!CS17</f>
        <v>4</v>
      </c>
      <c r="AQ17" s="47">
        <f>'Таблиця цін схема №1'!CV17</f>
        <v>40</v>
      </c>
      <c r="AR17" s="380">
        <f>'Таблиця цін схема №1'!CW17</f>
        <v>6</v>
      </c>
      <c r="AS17" s="47">
        <f>'Таблиця цін схема №1'!CZ17</f>
        <v>25</v>
      </c>
      <c r="AT17" s="78">
        <f>'Таблиця цін схема №1'!DA17</f>
        <v>3</v>
      </c>
      <c r="AU17" s="47">
        <f>'Таблиця цін схема №1'!DD17</f>
        <v>80</v>
      </c>
      <c r="AV17" s="380">
        <f>'Таблиця цін схема №1'!DE17</f>
        <v>2</v>
      </c>
      <c r="AW17" s="47">
        <f>'Таблиця цін схема №1'!DH17</f>
        <v>32</v>
      </c>
      <c r="AX17" s="380">
        <f>'Таблиця цін схема №1'!DI17</f>
        <v>2</v>
      </c>
      <c r="AY17" s="47">
        <f>'Таблиця цін схема №1'!DL17</f>
        <v>25</v>
      </c>
      <c r="AZ17" s="380">
        <f>'Таблиця цін схема №1'!DM17</f>
        <v>1</v>
      </c>
      <c r="BA17" s="47">
        <f>'Таблиця цін схема №1'!DP17</f>
        <v>25</v>
      </c>
      <c r="BB17" s="380">
        <f>'Таблиця цін схема №1'!DQ17</f>
        <v>2</v>
      </c>
      <c r="BC17" s="47">
        <f>'Таблиця цін схема №1'!DT17</f>
        <v>20</v>
      </c>
      <c r="BD17" s="380">
        <f>'Таблиця цін схема №1'!DU17</f>
        <v>2</v>
      </c>
      <c r="BE17" s="47">
        <f>'Таблиця цін схема №1'!DX17</f>
        <v>15</v>
      </c>
      <c r="BF17" s="380">
        <f>'Таблиця цін схема №1'!DY17</f>
        <v>10</v>
      </c>
      <c r="BG17" s="47">
        <f>'Таблиця цін схема №1'!EB17</f>
        <v>15</v>
      </c>
      <c r="BH17" s="380">
        <f>'Таблиця цін схема №1'!EC17</f>
        <v>36</v>
      </c>
      <c r="BI17" s="47">
        <f>'Таблиця цін схема №1'!EF17</f>
        <v>80</v>
      </c>
      <c r="BJ17" s="380">
        <f>'Таблиця цін схема №1'!EG17</f>
        <v>1</v>
      </c>
      <c r="BK17" s="47">
        <f>'Таблиця цін схема №1'!EJ17</f>
        <v>40</v>
      </c>
      <c r="BL17" s="380">
        <f>'Таблиця цін схема №1'!EK17</f>
        <v>1</v>
      </c>
      <c r="BM17" s="47">
        <f>'Таблиця цін схема №1'!EN17</f>
        <v>25</v>
      </c>
      <c r="BN17" s="380">
        <f>'Таблиця цін схема №1'!EO17</f>
        <v>1</v>
      </c>
    </row>
    <row r="18" spans="1:66">
      <c r="A18" s="1115">
        <f>'Таблиця цін схема №1'!B18</f>
        <v>12</v>
      </c>
      <c r="B18" s="1115" t="str">
        <f>'Таблиця цін схема №1'!C18</f>
        <v>325_3 Bogoyavlenskiy Avenue (Oktyabrskiy)</v>
      </c>
      <c r="C18" s="47">
        <f>'Таблиця цін схема №1'!AB18</f>
        <v>80</v>
      </c>
      <c r="D18" s="380">
        <f>'Таблиця цін схема №1'!AC18</f>
        <v>2</v>
      </c>
      <c r="E18" s="47">
        <f>'Таблиця цін схема №1'!AF18</f>
        <v>80</v>
      </c>
      <c r="F18" s="380">
        <f>'Таблиця цін схема №1'!AG18</f>
        <v>2</v>
      </c>
      <c r="G18" s="47">
        <f>'Таблиця цін схема №1'!AJ18</f>
        <v>80</v>
      </c>
      <c r="H18" s="78">
        <f>'Таблиця цін схема №1'!AK18</f>
        <v>1</v>
      </c>
      <c r="I18" s="47">
        <f>'Таблиця цін схема №1'!AN18</f>
        <v>50</v>
      </c>
      <c r="J18" s="380">
        <f>'Таблиця цін схема №1'!AO18</f>
        <v>3</v>
      </c>
      <c r="K18" s="47">
        <f>'Таблиця цін схема №1'!AR18</f>
        <v>50</v>
      </c>
      <c r="L18" s="380">
        <f>'Таблиця цін схема №1'!AS18</f>
        <v>4</v>
      </c>
      <c r="M18" s="47" t="str">
        <f>'Таблиця цін схема №1'!AV18</f>
        <v>AMV20</v>
      </c>
      <c r="N18" s="380">
        <f>'Таблиця цін схема №1'!AW18</f>
        <v>1</v>
      </c>
      <c r="O18" s="47">
        <f>'Таблиця цін схема №1'!AZ18</f>
        <v>16</v>
      </c>
      <c r="P18" s="379">
        <f>'Таблиця цін схема №1'!BA18</f>
        <v>32</v>
      </c>
      <c r="Q18" s="380">
        <f>'Таблиця цін схема №1'!BB18</f>
        <v>1</v>
      </c>
      <c r="R18" s="47">
        <f>'Таблиця цін схема №1'!BE18</f>
        <v>12.5</v>
      </c>
      <c r="S18" s="379">
        <f>'Таблиця цін схема №1'!BF18</f>
        <v>32</v>
      </c>
      <c r="T18" s="380">
        <f>'Таблиця цін схема №1'!BG18</f>
        <v>1</v>
      </c>
      <c r="U18" s="47" t="str">
        <f>'Таблиця цін схема №1'!BJ18</f>
        <v>AMV33</v>
      </c>
      <c r="V18" s="380">
        <f>'Таблиця цін схема №1'!BK18</f>
        <v>1</v>
      </c>
      <c r="W18" s="47">
        <f>'Таблиця цін схема №1'!BN18</f>
        <v>16</v>
      </c>
      <c r="X18" s="379">
        <f>'Таблиця цін схема №1'!BO18</f>
        <v>32</v>
      </c>
      <c r="Y18" s="380">
        <f>'Таблиця цін схема №1'!BP18</f>
        <v>1</v>
      </c>
      <c r="Z18" s="47">
        <f>'Таблиця цін схема №1'!BS18</f>
        <v>12.5</v>
      </c>
      <c r="AA18" s="379">
        <f>'Таблиця цін схема №1'!BT18</f>
        <v>32</v>
      </c>
      <c r="AB18" s="78">
        <f>'Таблиця цін схема №1'!BU18</f>
        <v>1</v>
      </c>
      <c r="AC18" s="47">
        <f>'Таблиця цін схема №1'!BX18</f>
        <v>40</v>
      </c>
      <c r="AD18" s="379">
        <f>'Таблиця цін схема №1'!BY18</f>
        <v>10</v>
      </c>
      <c r="AE18" s="379" t="str">
        <f>'Таблиця цін схема №1'!BZ18</f>
        <v>Pt500</v>
      </c>
      <c r="AF18" s="380">
        <f>'Таблиця цін схема №1'!CA18</f>
        <v>1</v>
      </c>
      <c r="AG18" s="47">
        <f>'Таблиця цін схема №1'!CD18</f>
        <v>40</v>
      </c>
      <c r="AH18" s="379">
        <f>'Таблиця цін схема №1'!CE18</f>
        <v>10</v>
      </c>
      <c r="AI18" s="379" t="str">
        <f>'Таблиця цін схема №1'!CF18</f>
        <v>Pt500</v>
      </c>
      <c r="AJ18" s="380">
        <f>'Таблиця цін схема №1'!CG18</f>
        <v>1</v>
      </c>
      <c r="AK18" s="1168" t="str">
        <f>'Таблиця цін схема №1'!CJ18</f>
        <v xml:space="preserve">ЕІ-ТО-16+049M50HS-410000 </v>
      </c>
      <c r="AL18" s="380">
        <f>'Таблиця цін схема №1'!CK18</f>
        <v>1</v>
      </c>
      <c r="AM18" s="1168" t="str">
        <f>'Таблиця цін схема №1'!CN18</f>
        <v>EI-TO-16+017M30HS-250000</v>
      </c>
      <c r="AN18" s="380">
        <f>'Таблиця цін схема №1'!CO18</f>
        <v>1</v>
      </c>
      <c r="AO18" s="47">
        <f>'Таблиця цін схема №1'!CR18</f>
        <v>80</v>
      </c>
      <c r="AP18" s="380">
        <f>'Таблиця цін схема №1'!CS18</f>
        <v>4</v>
      </c>
      <c r="AQ18" s="47">
        <f>'Таблиця цін схема №1'!CV18</f>
        <v>40</v>
      </c>
      <c r="AR18" s="380">
        <f>'Таблиця цін схема №1'!CW18</f>
        <v>6</v>
      </c>
      <c r="AS18" s="47">
        <f>'Таблиця цін схема №1'!CZ18</f>
        <v>25</v>
      </c>
      <c r="AT18" s="78">
        <f>'Таблиця цін схема №1'!DA18</f>
        <v>3</v>
      </c>
      <c r="AU18" s="47">
        <f>'Таблиця цін схема №1'!DD18</f>
        <v>50</v>
      </c>
      <c r="AV18" s="380">
        <f>'Таблиця цін схема №1'!DE18</f>
        <v>4</v>
      </c>
      <c r="AW18" s="47">
        <f>'Таблиця цін схема №1'!DH18</f>
        <v>32</v>
      </c>
      <c r="AX18" s="380">
        <f>'Таблиця цін схема №1'!DI18</f>
        <v>2</v>
      </c>
      <c r="AY18" s="47">
        <f>'Таблиця цін схема №1'!DL18</f>
        <v>25</v>
      </c>
      <c r="AZ18" s="380">
        <f>'Таблиця цін схема №1'!DM18</f>
        <v>1</v>
      </c>
      <c r="BA18" s="47">
        <f>'Таблиця цін схема №1'!DP18</f>
        <v>25</v>
      </c>
      <c r="BB18" s="380">
        <f>'Таблиця цін схема №1'!DQ18</f>
        <v>2</v>
      </c>
      <c r="BC18" s="47">
        <f>'Таблиця цін схема №1'!DT18</f>
        <v>20</v>
      </c>
      <c r="BD18" s="380">
        <f>'Таблиця цін схема №1'!DU18</f>
        <v>2</v>
      </c>
      <c r="BE18" s="47">
        <f>'Таблиця цін схема №1'!DX18</f>
        <v>15</v>
      </c>
      <c r="BF18" s="380">
        <f>'Таблиця цін схема №1'!DY18</f>
        <v>10</v>
      </c>
      <c r="BG18" s="47">
        <f>'Таблиця цін схема №1'!EB18</f>
        <v>15</v>
      </c>
      <c r="BH18" s="380">
        <f>'Таблиця цін схема №1'!EC18</f>
        <v>38</v>
      </c>
      <c r="BI18" s="47">
        <f>'Таблиця цін схема №1'!EF18</f>
        <v>80</v>
      </c>
      <c r="BJ18" s="380">
        <f>'Таблиця цін схема №1'!EG18</f>
        <v>1</v>
      </c>
      <c r="BK18" s="47">
        <f>'Таблиця цін схема №1'!EJ18</f>
        <v>40</v>
      </c>
      <c r="BL18" s="380">
        <f>'Таблиця цін схема №1'!EK18</f>
        <v>1</v>
      </c>
      <c r="BM18" s="47">
        <f>'Таблиця цін схема №1'!EN18</f>
        <v>25</v>
      </c>
      <c r="BN18" s="380">
        <f>'Таблиця цін схема №1'!EO18</f>
        <v>1</v>
      </c>
    </row>
    <row r="19" spans="1:66">
      <c r="A19" s="1115">
        <f>'Таблиця цін схема №1'!B19</f>
        <v>23</v>
      </c>
      <c r="B19" s="1115" t="str">
        <f>'Таблиця цін схема №1'!C19</f>
        <v xml:space="preserve">11а (a) Aivazovky Street </v>
      </c>
      <c r="C19" s="47">
        <f>'Таблиця цін схема №1'!AB19</f>
        <v>65</v>
      </c>
      <c r="D19" s="380">
        <f>'Таблиця цін схема №1'!AC19</f>
        <v>2</v>
      </c>
      <c r="E19" s="47">
        <f>'Таблиця цін схема №1'!AF19</f>
        <v>65</v>
      </c>
      <c r="F19" s="380">
        <f>'Таблиця цін схема №1'!AG19</f>
        <v>2</v>
      </c>
      <c r="G19" s="47">
        <f>'Таблиця цін схема №1'!AJ19</f>
        <v>65</v>
      </c>
      <c r="H19" s="78" t="s">
        <v>115</v>
      </c>
      <c r="I19" s="47">
        <f>'Таблиця цін схема №1'!AN19</f>
        <v>40</v>
      </c>
      <c r="J19" s="380">
        <f>'Таблиця цін схема №1'!AO19</f>
        <v>1</v>
      </c>
      <c r="K19" s="47">
        <f>'Таблиця цін схема №1'!AR19</f>
        <v>40</v>
      </c>
      <c r="L19" s="380">
        <f>'Таблиця цін схема №1'!AS19</f>
        <v>4</v>
      </c>
      <c r="M19" s="47" t="str">
        <f>'Таблиця цін схема №1'!AV19</f>
        <v>AMV20</v>
      </c>
      <c r="N19" s="380">
        <f>'Таблиця цін схема №1'!AW19</f>
        <v>1</v>
      </c>
      <c r="O19" s="47">
        <f>'Таблиця цін схема №1'!AZ19</f>
        <v>10</v>
      </c>
      <c r="P19" s="379">
        <f>'Таблиця цін схема №1'!BA19</f>
        <v>25</v>
      </c>
      <c r="Q19" s="380">
        <f>'Таблиця цін схема №1'!BB19</f>
        <v>1</v>
      </c>
      <c r="R19" s="47">
        <f>'Таблиця цін схема №1'!BE19</f>
        <v>8</v>
      </c>
      <c r="S19" s="379">
        <f>'Таблиця цін схема №1'!BF19</f>
        <v>25</v>
      </c>
      <c r="T19" s="380">
        <f>'Таблиця цін схема №1'!BG19</f>
        <v>1</v>
      </c>
      <c r="U19" s="47" t="str">
        <f>'Таблиця цін схема №1'!BJ19</f>
        <v>AMV33</v>
      </c>
      <c r="V19" s="380">
        <f>'Таблиця цін схема №1'!BK19</f>
        <v>1</v>
      </c>
      <c r="W19" s="47">
        <f>'Таблиця цін схема №1'!BN19</f>
        <v>16</v>
      </c>
      <c r="X19" s="379">
        <f>'Таблиця цін схема №1'!BO19</f>
        <v>32</v>
      </c>
      <c r="Y19" s="380">
        <f>'Таблиця цін схема №1'!BP19</f>
        <v>1</v>
      </c>
      <c r="Z19" s="47">
        <f>'Таблиця цін схема №1'!BS19</f>
        <v>12.5</v>
      </c>
      <c r="AA19" s="379">
        <f>'Таблиця цін схема №1'!BT19</f>
        <v>32</v>
      </c>
      <c r="AB19" s="78">
        <f>'Таблиця цін схема №1'!BU19</f>
        <v>1</v>
      </c>
      <c r="AC19" s="47" t="str">
        <f>'Таблиця цін схема №1'!BX19</f>
        <v>-</v>
      </c>
      <c r="AD19" s="379" t="str">
        <f>'Таблиця цін схема №1'!BY19</f>
        <v>-</v>
      </c>
      <c r="AE19" s="379" t="str">
        <f>'Таблиця цін схема №1'!BZ19</f>
        <v>existed</v>
      </c>
      <c r="AF19" s="380" t="s">
        <v>115</v>
      </c>
      <c r="AG19" s="47">
        <f>'Таблиця цін схема №1'!CD19</f>
        <v>40</v>
      </c>
      <c r="AH19" s="379">
        <f>'Таблиця цін схема №1'!CE19</f>
        <v>10</v>
      </c>
      <c r="AI19" s="379" t="str">
        <f>'Таблиця цін схема №1'!CF19</f>
        <v>Pt500</v>
      </c>
      <c r="AJ19" s="380">
        <f>'Таблиця цін схема №1'!CG19</f>
        <v>1</v>
      </c>
      <c r="AK19" s="1168" t="str">
        <f>'Таблиця цін схема №1'!CJ19</f>
        <v xml:space="preserve">ЕІ-ТО-16+027M55HS-235000 </v>
      </c>
      <c r="AL19" s="380">
        <f>'Таблиця цін схема №1'!CK19</f>
        <v>1</v>
      </c>
      <c r="AM19" s="1168" t="str">
        <f>'Таблиця цін схема №1'!CN19</f>
        <v>EI-TO-16+017M30HS-242000</v>
      </c>
      <c r="AN19" s="380">
        <f>'Таблиця цін схема №1'!CO19</f>
        <v>1</v>
      </c>
      <c r="AO19" s="47">
        <f>'Таблиця цін схема №1'!CR19</f>
        <v>65</v>
      </c>
      <c r="AP19" s="380">
        <f>'Таблиця цін схема №1'!CS19</f>
        <v>4</v>
      </c>
      <c r="AQ19" s="47">
        <f>'Таблиця цін схема №1'!CV19</f>
        <v>40</v>
      </c>
      <c r="AR19" s="380">
        <f>'Таблиця цін схема №1'!CW19</f>
        <v>6</v>
      </c>
      <c r="AS19" s="47">
        <f>'Таблиця цін схема №1'!CZ19</f>
        <v>25</v>
      </c>
      <c r="AT19" s="78">
        <f>'Таблиця цін схема №1'!DA19</f>
        <v>3</v>
      </c>
      <c r="AU19" s="47">
        <f>'Таблиця цін схема №1'!DD19</f>
        <v>40</v>
      </c>
      <c r="AV19" s="380">
        <f>'Таблиця цін схема №1'!DE19</f>
        <v>4</v>
      </c>
      <c r="AW19" s="47">
        <f>'Таблиця цін схема №1'!DH19</f>
        <v>32</v>
      </c>
      <c r="AX19" s="380">
        <f>'Таблиця цін схема №1'!DI19</f>
        <v>1</v>
      </c>
      <c r="AY19" s="47">
        <f>'Таблиця цін схема №1'!DL19</f>
        <v>20</v>
      </c>
      <c r="AZ19" s="380">
        <f>'Таблиця цін схема №1'!DM19</f>
        <v>1</v>
      </c>
      <c r="BA19" s="47">
        <f>'Таблиця цін схема №1'!DP19</f>
        <v>20</v>
      </c>
      <c r="BB19" s="380">
        <f>'Таблиця цін схема №1'!DQ19</f>
        <v>2</v>
      </c>
      <c r="BC19" s="47">
        <f>'Таблиця цін схема №1'!DT19</f>
        <v>20</v>
      </c>
      <c r="BD19" s="380">
        <f>'Таблиця цін схема №1'!DU19</f>
        <v>2</v>
      </c>
      <c r="BE19" s="47">
        <f>'Таблиця цін схема №1'!DX19</f>
        <v>15</v>
      </c>
      <c r="BF19" s="380">
        <f>'Таблиця цін схема №1'!DY19</f>
        <v>10</v>
      </c>
      <c r="BG19" s="47">
        <f>'Таблиця цін схема №1'!EB19</f>
        <v>15</v>
      </c>
      <c r="BH19" s="380">
        <f>'Таблиця цін схема №1'!EC19</f>
        <v>38</v>
      </c>
      <c r="BI19" s="47">
        <f>'Таблиця цін схема №1'!EF19</f>
        <v>65</v>
      </c>
      <c r="BJ19" s="380">
        <f>'Таблиця цін схема №1'!EG19</f>
        <v>1</v>
      </c>
      <c r="BK19" s="47">
        <f>'Таблиця цін схема №1'!EJ19</f>
        <v>40</v>
      </c>
      <c r="BL19" s="380">
        <f>'Таблиця цін схема №1'!EK19</f>
        <v>1</v>
      </c>
      <c r="BM19" s="47">
        <f>'Таблиця цін схема №1'!EN19</f>
        <v>25</v>
      </c>
      <c r="BN19" s="380">
        <f>'Таблиця цін схема №1'!EO19</f>
        <v>1</v>
      </c>
    </row>
    <row r="20" spans="1:66">
      <c r="A20" s="1115">
        <f>'Таблиця цін схема №1'!B20</f>
        <v>24</v>
      </c>
      <c r="B20" s="1115" t="str">
        <f>'Таблиця цін схема №1'!C20</f>
        <v xml:space="preserve">11b (б) Aivazovky Street </v>
      </c>
      <c r="C20" s="47">
        <f>'Таблиця цін схема №1'!AB20</f>
        <v>65</v>
      </c>
      <c r="D20" s="380">
        <f>'Таблиця цін схема №1'!AC20</f>
        <v>2</v>
      </c>
      <c r="E20" s="47">
        <f>'Таблиця цін схема №1'!AF20</f>
        <v>65</v>
      </c>
      <c r="F20" s="380">
        <f>'Таблиця цін схема №1'!AG20</f>
        <v>2</v>
      </c>
      <c r="G20" s="47">
        <f>'Таблиця цін схема №1'!AJ20</f>
        <v>65</v>
      </c>
      <c r="H20" s="78">
        <f>'Таблиця цін схема №1'!AK20</f>
        <v>1</v>
      </c>
      <c r="I20" s="47">
        <f>'Таблиця цін схема №1'!AN20</f>
        <v>40</v>
      </c>
      <c r="J20" s="380">
        <f>'Таблиця цін схема №1'!AO20</f>
        <v>3</v>
      </c>
      <c r="K20" s="47">
        <f>'Таблиця цін схема №1'!AR20</f>
        <v>40</v>
      </c>
      <c r="L20" s="380">
        <f>'Таблиця цін схема №1'!AS20</f>
        <v>4</v>
      </c>
      <c r="M20" s="47" t="str">
        <f>'Таблиця цін схема №1'!AV20</f>
        <v>AMV20</v>
      </c>
      <c r="N20" s="380">
        <f>'Таблиця цін схема №1'!AW20</f>
        <v>1</v>
      </c>
      <c r="O20" s="47">
        <f>'Таблиця цін схема №1'!AZ20</f>
        <v>10</v>
      </c>
      <c r="P20" s="379">
        <f>'Таблиця цін схема №1'!BA20</f>
        <v>25</v>
      </c>
      <c r="Q20" s="380">
        <f>'Таблиця цін схема №1'!BB20</f>
        <v>1</v>
      </c>
      <c r="R20" s="47">
        <f>'Таблиця цін схема №1'!BE20</f>
        <v>8</v>
      </c>
      <c r="S20" s="379">
        <f>'Таблиця цін схема №1'!BF20</f>
        <v>25</v>
      </c>
      <c r="T20" s="380">
        <f>'Таблиця цін схема №1'!BG20</f>
        <v>1</v>
      </c>
      <c r="U20" s="47" t="str">
        <f>'Таблиця цін схема №1'!BJ20</f>
        <v>AMV33</v>
      </c>
      <c r="V20" s="380">
        <f>'Таблиця цін схема №1'!BK20</f>
        <v>1</v>
      </c>
      <c r="W20" s="47">
        <f>'Таблиця цін схема №1'!BN20</f>
        <v>16</v>
      </c>
      <c r="X20" s="379">
        <f>'Таблиця цін схема №1'!BO20</f>
        <v>32</v>
      </c>
      <c r="Y20" s="380">
        <f>'Таблиця цін схема №1'!BP20</f>
        <v>1</v>
      </c>
      <c r="Z20" s="47">
        <f>'Таблиця цін схема №1'!BS20</f>
        <v>12.5</v>
      </c>
      <c r="AA20" s="379">
        <f>'Таблиця цін схема №1'!BT20</f>
        <v>32</v>
      </c>
      <c r="AB20" s="78">
        <f>'Таблиця цін схема №1'!BU20</f>
        <v>1</v>
      </c>
      <c r="AC20" s="47" t="str">
        <f>'Таблиця цін схема №1'!BX20</f>
        <v>-</v>
      </c>
      <c r="AD20" s="379" t="str">
        <f>'Таблиця цін схема №1'!BY20</f>
        <v>-</v>
      </c>
      <c r="AE20" s="379" t="str">
        <f>'Таблиця цін схема №1'!BZ20</f>
        <v>existed</v>
      </c>
      <c r="AF20" s="380" t="s">
        <v>115</v>
      </c>
      <c r="AG20" s="47">
        <f>'Таблиця цін схема №1'!CD20</f>
        <v>40</v>
      </c>
      <c r="AH20" s="379">
        <f>'Таблиця цін схема №1'!CE20</f>
        <v>10</v>
      </c>
      <c r="AI20" s="379" t="str">
        <f>'Таблиця цін схема №1'!CF20</f>
        <v>Pt500</v>
      </c>
      <c r="AJ20" s="380">
        <f>'Таблиця цін схема №1'!CG20</f>
        <v>1</v>
      </c>
      <c r="AK20" s="1168" t="str">
        <f>'Таблиця цін схема №1'!CJ20</f>
        <v>ЕІ-ТО-16+029M50HS-259000</v>
      </c>
      <c r="AL20" s="380">
        <f>'Таблиця цін схема №1'!CK20</f>
        <v>1</v>
      </c>
      <c r="AM20" s="1168" t="str">
        <f>'Таблиця цін схема №1'!CN20</f>
        <v>EI-TO-16+017M30HS-242000</v>
      </c>
      <c r="AN20" s="380">
        <f>'Таблиця цін схема №1'!CO20</f>
        <v>1</v>
      </c>
      <c r="AO20" s="47">
        <f>'Таблиця цін схема №1'!CR20</f>
        <v>65</v>
      </c>
      <c r="AP20" s="380">
        <f>'Таблиця цін схема №1'!CS20</f>
        <v>4</v>
      </c>
      <c r="AQ20" s="47">
        <f>'Таблиця цін схема №1'!CV20</f>
        <v>40</v>
      </c>
      <c r="AR20" s="380">
        <f>'Таблиця цін схема №1'!CW20</f>
        <v>6</v>
      </c>
      <c r="AS20" s="47">
        <f>'Таблиця цін схема №1'!CZ20</f>
        <v>25</v>
      </c>
      <c r="AT20" s="78">
        <f>'Таблиця цін схема №1'!DA20</f>
        <v>3</v>
      </c>
      <c r="AU20" s="47">
        <f>'Таблиця цін схема №1'!DD20</f>
        <v>50</v>
      </c>
      <c r="AV20" s="380">
        <f>'Таблиця цін схема №1'!DE20</f>
        <v>4</v>
      </c>
      <c r="AW20" s="47">
        <f>'Таблиця цін схема №1'!DH20</f>
        <v>32</v>
      </c>
      <c r="AX20" s="380">
        <f>'Таблиця цін схема №1'!DI20</f>
        <v>1</v>
      </c>
      <c r="AY20" s="47">
        <f>'Таблиця цін схема №1'!DL20</f>
        <v>25</v>
      </c>
      <c r="AZ20" s="380">
        <f>'Таблиця цін схема №1'!DM20</f>
        <v>1</v>
      </c>
      <c r="BA20" s="47">
        <f>'Таблиця цін схема №1'!DP20</f>
        <v>25</v>
      </c>
      <c r="BB20" s="380">
        <f>'Таблиця цін схема №1'!DQ20</f>
        <v>2</v>
      </c>
      <c r="BC20" s="47">
        <f>'Таблиця цін схема №1'!DT20</f>
        <v>20</v>
      </c>
      <c r="BD20" s="380">
        <f>'Таблиця цін схема №1'!DU20</f>
        <v>2</v>
      </c>
      <c r="BE20" s="47">
        <f>'Таблиця цін схема №1'!DX20</f>
        <v>15</v>
      </c>
      <c r="BF20" s="380">
        <f>'Таблиця цін схема №1'!DY20</f>
        <v>10</v>
      </c>
      <c r="BG20" s="47">
        <f>'Таблиця цін схема №1'!EB20</f>
        <v>15</v>
      </c>
      <c r="BH20" s="380">
        <f>'Таблиця цін схема №1'!EC20</f>
        <v>38</v>
      </c>
      <c r="BI20" s="47">
        <f>'Таблиця цін схема №1'!EF20</f>
        <v>65</v>
      </c>
      <c r="BJ20" s="380">
        <f>'Таблиця цін схема №1'!EG20</f>
        <v>1</v>
      </c>
      <c r="BK20" s="47">
        <f>'Таблиця цін схема №1'!EJ20</f>
        <v>40</v>
      </c>
      <c r="BL20" s="380">
        <f>'Таблиця цін схема №1'!EK20</f>
        <v>1</v>
      </c>
      <c r="BM20" s="47">
        <f>'Таблиця цін схема №1'!EN20</f>
        <v>25</v>
      </c>
      <c r="BN20" s="380">
        <f>'Таблиця цін схема №1'!EO20</f>
        <v>1</v>
      </c>
    </row>
    <row r="21" spans="1:66">
      <c r="A21" s="1115">
        <f>'Таблиця цін схема №1'!B21</f>
        <v>25</v>
      </c>
      <c r="B21" s="1115" t="str">
        <f>'Таблиця цін схема №1'!C21</f>
        <v xml:space="preserve">11v (в) Aivazovky Street </v>
      </c>
      <c r="C21" s="47">
        <f>'Таблиця цін схема №1'!AB21</f>
        <v>65</v>
      </c>
      <c r="D21" s="380">
        <f>'Таблиця цін схема №1'!AC21</f>
        <v>2</v>
      </c>
      <c r="E21" s="47">
        <f>'Таблиця цін схема №1'!AF21</f>
        <v>65</v>
      </c>
      <c r="F21" s="380">
        <f>'Таблиця цін схема №1'!AG21</f>
        <v>2</v>
      </c>
      <c r="G21" s="47">
        <f>'Таблиця цін схема №1'!AJ21</f>
        <v>65</v>
      </c>
      <c r="H21" s="78" t="s">
        <v>115</v>
      </c>
      <c r="I21" s="47">
        <f>'Таблиця цін схема №1'!AN21</f>
        <v>40</v>
      </c>
      <c r="J21" s="380">
        <f>'Таблиця цін схема №1'!AO21</f>
        <v>1</v>
      </c>
      <c r="K21" s="47">
        <f>'Таблиця цін схема №1'!AR21</f>
        <v>40</v>
      </c>
      <c r="L21" s="380">
        <f>'Таблиця цін схема №1'!AS21</f>
        <v>4</v>
      </c>
      <c r="M21" s="47" t="str">
        <f>'Таблиця цін схема №1'!AV21</f>
        <v>AMV20</v>
      </c>
      <c r="N21" s="380">
        <f>'Таблиця цін схема №1'!AW21</f>
        <v>1</v>
      </c>
      <c r="O21" s="47">
        <f>'Таблиця цін схема №1'!AZ21</f>
        <v>10</v>
      </c>
      <c r="P21" s="379">
        <f>'Таблиця цін схема №1'!BA21</f>
        <v>25</v>
      </c>
      <c r="Q21" s="380">
        <f>'Таблиця цін схема №1'!BB21</f>
        <v>1</v>
      </c>
      <c r="R21" s="47">
        <f>'Таблиця цін схема №1'!BE21</f>
        <v>8</v>
      </c>
      <c r="S21" s="379">
        <f>'Таблиця цін схема №1'!BF21</f>
        <v>25</v>
      </c>
      <c r="T21" s="380">
        <f>'Таблиця цін схема №1'!BG21</f>
        <v>1</v>
      </c>
      <c r="U21" s="47" t="str">
        <f>'Таблиця цін схема №1'!BJ21</f>
        <v>AMV33</v>
      </c>
      <c r="V21" s="380">
        <f>'Таблиця цін схема №1'!BK21</f>
        <v>1</v>
      </c>
      <c r="W21" s="47">
        <f>'Таблиця цін схема №1'!BN21</f>
        <v>16</v>
      </c>
      <c r="X21" s="379">
        <f>'Таблиця цін схема №1'!BO21</f>
        <v>32</v>
      </c>
      <c r="Y21" s="380">
        <f>'Таблиця цін схема №1'!BP21</f>
        <v>1</v>
      </c>
      <c r="Z21" s="47">
        <f>'Таблиця цін схема №1'!BS21</f>
        <v>12.5</v>
      </c>
      <c r="AA21" s="379">
        <f>'Таблиця цін схема №1'!BT21</f>
        <v>32</v>
      </c>
      <c r="AB21" s="78">
        <f>'Таблиця цін схема №1'!BU21</f>
        <v>1</v>
      </c>
      <c r="AC21" s="47" t="str">
        <f>'Таблиця цін схема №1'!BX21</f>
        <v>-</v>
      </c>
      <c r="AD21" s="379" t="str">
        <f>'Таблиця цін схема №1'!BY21</f>
        <v>-</v>
      </c>
      <c r="AE21" s="379" t="str">
        <f>'Таблиця цін схема №1'!BZ21</f>
        <v>existed</v>
      </c>
      <c r="AF21" s="380" t="s">
        <v>115</v>
      </c>
      <c r="AG21" s="47">
        <f>'Таблиця цін схема №1'!CD21</f>
        <v>40</v>
      </c>
      <c r="AH21" s="379">
        <f>'Таблиця цін схема №1'!CE21</f>
        <v>10</v>
      </c>
      <c r="AI21" s="379" t="str">
        <f>'Таблиця цін схема №1'!CF21</f>
        <v>Pt500</v>
      </c>
      <c r="AJ21" s="380">
        <f>'Таблиця цін схема №1'!CG21</f>
        <v>1</v>
      </c>
      <c r="AK21" s="1168" t="str">
        <f>'Таблиця цін схема №1'!CJ21</f>
        <v>ЕІ-ТО-16+027M50HS-240000</v>
      </c>
      <c r="AL21" s="380">
        <f>'Таблиця цін схема №1'!CK21</f>
        <v>1</v>
      </c>
      <c r="AM21" s="1168" t="str">
        <f>'Таблиця цін схема №1'!CN21</f>
        <v>EI-TO-16+017M30HS-242000</v>
      </c>
      <c r="AN21" s="380">
        <f>'Таблиця цін схема №1'!CO21</f>
        <v>1</v>
      </c>
      <c r="AO21" s="47">
        <f>'Таблиця цін схема №1'!CR21</f>
        <v>65</v>
      </c>
      <c r="AP21" s="380">
        <f>'Таблиця цін схема №1'!CS21</f>
        <v>4</v>
      </c>
      <c r="AQ21" s="47">
        <f>'Таблиця цін схема №1'!CV21</f>
        <v>40</v>
      </c>
      <c r="AR21" s="380">
        <f>'Таблиця цін схема №1'!CW21</f>
        <v>6</v>
      </c>
      <c r="AS21" s="47">
        <f>'Таблиця цін схема №1'!CZ21</f>
        <v>25</v>
      </c>
      <c r="AT21" s="78">
        <f>'Таблиця цін схема №1'!DA21</f>
        <v>3</v>
      </c>
      <c r="AU21" s="47">
        <f>'Таблиця цін схема №1'!DD21</f>
        <v>40</v>
      </c>
      <c r="AV21" s="380">
        <f>'Таблиця цін схема №1'!DE21</f>
        <v>4</v>
      </c>
      <c r="AW21" s="47">
        <f>'Таблиця цін схема №1'!DH21</f>
        <v>32</v>
      </c>
      <c r="AX21" s="380">
        <f>'Таблиця цін схема №1'!DI21</f>
        <v>1</v>
      </c>
      <c r="AY21" s="47">
        <f>'Таблиця цін схема №1'!DL21</f>
        <v>20</v>
      </c>
      <c r="AZ21" s="380">
        <f>'Таблиця цін схема №1'!DM21</f>
        <v>1</v>
      </c>
      <c r="BA21" s="47">
        <f>'Таблиця цін схема №1'!DP21</f>
        <v>20</v>
      </c>
      <c r="BB21" s="380">
        <f>'Таблиця цін схема №1'!DQ21</f>
        <v>2</v>
      </c>
      <c r="BC21" s="47">
        <f>'Таблиця цін схема №1'!DT21</f>
        <v>20</v>
      </c>
      <c r="BD21" s="380">
        <f>'Таблиця цін схема №1'!DU21</f>
        <v>2</v>
      </c>
      <c r="BE21" s="47">
        <f>'Таблиця цін схема №1'!DX21</f>
        <v>15</v>
      </c>
      <c r="BF21" s="380">
        <f>'Таблиця цін схема №1'!DY21</f>
        <v>10</v>
      </c>
      <c r="BG21" s="47">
        <f>'Таблиця цін схема №1'!EB21</f>
        <v>15</v>
      </c>
      <c r="BH21" s="380">
        <f>'Таблиця цін схема №1'!EC21</f>
        <v>38</v>
      </c>
      <c r="BI21" s="47">
        <f>'Таблиця цін схема №1'!EF21</f>
        <v>65</v>
      </c>
      <c r="BJ21" s="380">
        <f>'Таблиця цін схема №1'!EG21</f>
        <v>1</v>
      </c>
      <c r="BK21" s="47">
        <f>'Таблиця цін схема №1'!EJ21</f>
        <v>40</v>
      </c>
      <c r="BL21" s="380">
        <f>'Таблиця цін схема №1'!EK21</f>
        <v>1</v>
      </c>
      <c r="BM21" s="47">
        <f>'Таблиця цін схема №1'!EN21</f>
        <v>25</v>
      </c>
      <c r="BN21" s="380">
        <f>'Таблиця цін схема №1'!EO21</f>
        <v>1</v>
      </c>
    </row>
    <row r="22" spans="1:66">
      <c r="A22" s="1115">
        <f>'Таблиця цін схема №1'!B22</f>
        <v>26</v>
      </c>
      <c r="B22" s="1115" t="str">
        <f>'Таблиця цін схема №1'!C22</f>
        <v xml:space="preserve">13 Aivazovky Street </v>
      </c>
      <c r="C22" s="47">
        <f>'Таблиця цін схема №1'!AB22</f>
        <v>65</v>
      </c>
      <c r="D22" s="380">
        <f>'Таблиця цін схема №1'!AC22</f>
        <v>2</v>
      </c>
      <c r="E22" s="47">
        <f>'Таблиця цін схема №1'!AF22</f>
        <v>65</v>
      </c>
      <c r="F22" s="380">
        <f>'Таблиця цін схема №1'!AG22</f>
        <v>2</v>
      </c>
      <c r="G22" s="47">
        <f>'Таблиця цін схема №1'!AJ22</f>
        <v>65</v>
      </c>
      <c r="H22" s="78" t="s">
        <v>115</v>
      </c>
      <c r="I22" s="47">
        <f>'Таблиця цін схема №1'!AN22</f>
        <v>40</v>
      </c>
      <c r="J22" s="380">
        <f>'Таблиця цін схема №1'!AO22</f>
        <v>1</v>
      </c>
      <c r="K22" s="47">
        <f>'Таблиця цін схема №1'!AR22</f>
        <v>40</v>
      </c>
      <c r="L22" s="380">
        <f>'Таблиця цін схема №1'!AS22</f>
        <v>4</v>
      </c>
      <c r="M22" s="47" t="str">
        <f>'Таблиця цін схема №1'!AV22</f>
        <v>AMV20</v>
      </c>
      <c r="N22" s="380">
        <f>'Таблиця цін схема №1'!AW22</f>
        <v>1</v>
      </c>
      <c r="O22" s="47">
        <f>'Таблиця цін схема №1'!AZ22</f>
        <v>10</v>
      </c>
      <c r="P22" s="379">
        <f>'Таблиця цін схема №1'!BA22</f>
        <v>25</v>
      </c>
      <c r="Q22" s="380">
        <f>'Таблиця цін схема №1'!BB22</f>
        <v>1</v>
      </c>
      <c r="R22" s="47">
        <f>'Таблиця цін схема №1'!BE22</f>
        <v>12.5</v>
      </c>
      <c r="S22" s="379">
        <f>'Таблиця цін схема №1'!BF22</f>
        <v>32</v>
      </c>
      <c r="T22" s="380">
        <f>'Таблиця цін схема №1'!BG22</f>
        <v>1</v>
      </c>
      <c r="U22" s="47" t="str">
        <f>'Таблиця цін схема №1'!BJ22</f>
        <v>AMV33</v>
      </c>
      <c r="V22" s="380">
        <f>'Таблиця цін схема №1'!BK22</f>
        <v>1</v>
      </c>
      <c r="W22" s="47">
        <f>'Таблиця цін схема №1'!BN22</f>
        <v>10</v>
      </c>
      <c r="X22" s="379">
        <f>'Таблиця цін схема №1'!BO22</f>
        <v>25</v>
      </c>
      <c r="Y22" s="380">
        <f>'Таблиця цін схема №1'!BP22</f>
        <v>1</v>
      </c>
      <c r="Z22" s="47">
        <f>'Таблиця цін схема №1'!BS22</f>
        <v>12.5</v>
      </c>
      <c r="AA22" s="379">
        <f>'Таблиця цін схема №1'!BT22</f>
        <v>32</v>
      </c>
      <c r="AB22" s="78">
        <f>'Таблиця цін схема №1'!BU22</f>
        <v>1</v>
      </c>
      <c r="AC22" s="47" t="str">
        <f>'Таблиця цін схема №1'!BX22</f>
        <v>-</v>
      </c>
      <c r="AD22" s="379" t="str">
        <f>'Таблиця цін схема №1'!BY22</f>
        <v>-</v>
      </c>
      <c r="AE22" s="379" t="str">
        <f>'Таблиця цін схема №1'!BZ22</f>
        <v>existed</v>
      </c>
      <c r="AF22" s="380" t="s">
        <v>115</v>
      </c>
      <c r="AG22" s="47">
        <f>'Таблиця цін схема №1'!CD22</f>
        <v>25</v>
      </c>
      <c r="AH22" s="379">
        <f>'Таблиця цін схема №1'!CE22</f>
        <v>6</v>
      </c>
      <c r="AI22" s="379" t="str">
        <f>'Таблиця цін схема №1'!CF22</f>
        <v>Pt500</v>
      </c>
      <c r="AJ22" s="380">
        <f>'Таблиця цін схема №1'!CG22</f>
        <v>1</v>
      </c>
      <c r="AK22" s="1168" t="str">
        <f>'Таблиця цін схема №1'!CJ22</f>
        <v>ЕІ-ТО-16+035M50HS-298000</v>
      </c>
      <c r="AL22" s="380">
        <f>'Таблиця цін схема №1'!CK22</f>
        <v>1</v>
      </c>
      <c r="AM22" s="1168" t="str">
        <f>'Таблиця цін схема №1'!CN22</f>
        <v>EI-TO-16+015M30HS-220000</v>
      </c>
      <c r="AN22" s="380">
        <f>'Таблиця цін схема №1'!CO22</f>
        <v>1</v>
      </c>
      <c r="AO22" s="47">
        <f>'Таблиця цін схема №1'!CR22</f>
        <v>80</v>
      </c>
      <c r="AP22" s="380">
        <f>'Таблиця цін схема №1'!CS22</f>
        <v>4</v>
      </c>
      <c r="AQ22" s="47">
        <f>'Таблиця цін схема №1'!CV22</f>
        <v>40</v>
      </c>
      <c r="AR22" s="380">
        <f>'Таблиця цін схема №1'!CW22</f>
        <v>6</v>
      </c>
      <c r="AS22" s="47">
        <f>'Таблиця цін схема №1'!CZ22</f>
        <v>25</v>
      </c>
      <c r="AT22" s="78">
        <f>'Таблиця цін схема №1'!DA22</f>
        <v>3</v>
      </c>
      <c r="AU22" s="47">
        <f>'Таблиця цін схема №1'!DD22</f>
        <v>80</v>
      </c>
      <c r="AV22" s="380">
        <f>'Таблиця цін схема №1'!DE22</f>
        <v>2</v>
      </c>
      <c r="AW22" s="47">
        <f>'Таблиця цін схема №1'!DH22</f>
        <v>32</v>
      </c>
      <c r="AX22" s="380">
        <f>'Таблиця цін схема №1'!DI22</f>
        <v>1</v>
      </c>
      <c r="AY22" s="47">
        <f>'Таблиця цін схема №1'!DL22</f>
        <v>25</v>
      </c>
      <c r="AZ22" s="380">
        <f>'Таблиця цін схема №1'!DM22</f>
        <v>1</v>
      </c>
      <c r="BA22" s="47">
        <f>'Таблиця цін схема №1'!DP22</f>
        <v>25</v>
      </c>
      <c r="BB22" s="380">
        <f>'Таблиця цін схема №1'!DQ22</f>
        <v>2</v>
      </c>
      <c r="BC22" s="47">
        <f>'Таблиця цін схема №1'!DT22</f>
        <v>20</v>
      </c>
      <c r="BD22" s="380">
        <f>'Таблиця цін схема №1'!DU22</f>
        <v>2</v>
      </c>
      <c r="BE22" s="47">
        <f>'Таблиця цін схема №1'!DX22</f>
        <v>15</v>
      </c>
      <c r="BF22" s="380">
        <f>'Таблиця цін схема №1'!DY22</f>
        <v>10</v>
      </c>
      <c r="BG22" s="47">
        <f>'Таблиця цін схема №1'!EB22</f>
        <v>15</v>
      </c>
      <c r="BH22" s="380">
        <f>'Таблиця цін схема №1'!EC22</f>
        <v>36</v>
      </c>
      <c r="BI22" s="47">
        <f>'Таблиця цін схема №1'!EF22</f>
        <v>80</v>
      </c>
      <c r="BJ22" s="380">
        <f>'Таблиця цін схема №1'!EG22</f>
        <v>1</v>
      </c>
      <c r="BK22" s="47">
        <f>'Таблиця цін схема №1'!EJ22</f>
        <v>40</v>
      </c>
      <c r="BL22" s="380">
        <f>'Таблиця цін схема №1'!EK22</f>
        <v>1</v>
      </c>
      <c r="BM22" s="47">
        <f>'Таблиця цін схема №1'!EN22</f>
        <v>25</v>
      </c>
      <c r="BN22" s="380">
        <f>'Таблиця цін схема №1'!EO22</f>
        <v>1</v>
      </c>
    </row>
    <row r="23" spans="1:66">
      <c r="A23" s="1115">
        <f>'Таблиця цін схема №1'!B23</f>
        <v>27</v>
      </c>
      <c r="B23" s="1115" t="str">
        <f>'Таблиця цін схема №1'!C23</f>
        <v xml:space="preserve">3 Aivazovky Street </v>
      </c>
      <c r="C23" s="47">
        <f>'Таблиця цін схема №1'!AB23</f>
        <v>80</v>
      </c>
      <c r="D23" s="380">
        <f>'Таблиця цін схема №1'!AC23</f>
        <v>2</v>
      </c>
      <c r="E23" s="47">
        <f>'Таблиця цін схема №1'!AF23</f>
        <v>80</v>
      </c>
      <c r="F23" s="380">
        <f>'Таблиця цін схема №1'!AG23</f>
        <v>2</v>
      </c>
      <c r="G23" s="47">
        <f>'Таблиця цін схема №1'!AJ23</f>
        <v>80</v>
      </c>
      <c r="H23" s="78" t="s">
        <v>115</v>
      </c>
      <c r="I23" s="47">
        <f>'Таблиця цін схема №1'!AN23</f>
        <v>50</v>
      </c>
      <c r="J23" s="380">
        <f>'Таблиця цін схема №1'!AO23</f>
        <v>1</v>
      </c>
      <c r="K23" s="47">
        <f>'Таблиця цін схема №1'!AR23</f>
        <v>65</v>
      </c>
      <c r="L23" s="380">
        <f>'Таблиця цін схема №1'!AS23</f>
        <v>4</v>
      </c>
      <c r="M23" s="47" t="str">
        <f>'Таблиця цін схема №1'!AV23</f>
        <v>AMV20</v>
      </c>
      <c r="N23" s="380">
        <f>'Таблиця цін схема №1'!AW23</f>
        <v>1</v>
      </c>
      <c r="O23" s="47">
        <f>'Таблиця цін схема №1'!AZ23</f>
        <v>16</v>
      </c>
      <c r="P23" s="379">
        <f>'Таблиця цін схема №1'!BA23</f>
        <v>32</v>
      </c>
      <c r="Q23" s="380">
        <f>'Таблиця цін схема №1'!BB23</f>
        <v>1</v>
      </c>
      <c r="R23" s="47">
        <f>'Таблиця цін схема №1'!BE23</f>
        <v>20</v>
      </c>
      <c r="S23" s="379">
        <f>'Таблиця цін схема №1'!BF23</f>
        <v>50</v>
      </c>
      <c r="T23" s="380">
        <f>'Таблиця цін схема №1'!BG23</f>
        <v>1</v>
      </c>
      <c r="U23" s="47" t="str">
        <f>'Таблиця цін схема №1'!BJ23</f>
        <v>AMV33</v>
      </c>
      <c r="V23" s="380">
        <f>'Таблиця цін схема №1'!BK23</f>
        <v>1</v>
      </c>
      <c r="W23" s="47">
        <f>'Таблиця цін схема №1'!BN23</f>
        <v>25</v>
      </c>
      <c r="X23" s="379">
        <f>'Таблиця цін схема №1'!BO23</f>
        <v>40</v>
      </c>
      <c r="Y23" s="380">
        <f>'Таблиця цін схема №1'!BP23</f>
        <v>1</v>
      </c>
      <c r="Z23" s="47">
        <f>'Таблиця цін схема №1'!BS23</f>
        <v>20</v>
      </c>
      <c r="AA23" s="379">
        <f>'Таблиця цін схема №1'!BT23</f>
        <v>40</v>
      </c>
      <c r="AB23" s="78">
        <f>'Таблиця цін схема №1'!BU23</f>
        <v>1</v>
      </c>
      <c r="AC23" s="47" t="str">
        <f>'Таблиця цін схема №1'!BX23</f>
        <v>-</v>
      </c>
      <c r="AD23" s="379" t="str">
        <f>'Таблиця цін схема №1'!BY23</f>
        <v>-</v>
      </c>
      <c r="AE23" s="379" t="str">
        <f>'Таблиця цін схема №1'!BZ23</f>
        <v>existed</v>
      </c>
      <c r="AF23" s="380" t="s">
        <v>115</v>
      </c>
      <c r="AG23" s="47">
        <f>'Таблиця цін схема №1'!CD23</f>
        <v>40</v>
      </c>
      <c r="AH23" s="379">
        <f>'Таблиця цін схема №1'!CE23</f>
        <v>10</v>
      </c>
      <c r="AI23" s="379" t="str">
        <f>'Таблиця цін схема №1'!CF23</f>
        <v>Pt500</v>
      </c>
      <c r="AJ23" s="380">
        <f>'Таблиця цін схема №1'!CG23</f>
        <v>1</v>
      </c>
      <c r="AK23" s="1168" t="str">
        <f>'Таблиця цін схема №1'!CJ23</f>
        <v>ЕІ-ТО-16+049M50HS-420000</v>
      </c>
      <c r="AL23" s="380">
        <f>'Таблиця цін схема №1'!CK23</f>
        <v>1</v>
      </c>
      <c r="AM23" s="1168" t="str">
        <f>'Таблиця цін схема №1'!CN23</f>
        <v>EI-TO-16+025M30HS-390000</v>
      </c>
      <c r="AN23" s="380">
        <f>'Таблиця цін схема №1'!CO23</f>
        <v>1</v>
      </c>
      <c r="AO23" s="47">
        <f>'Таблиця цін схема №1'!CR23</f>
        <v>80</v>
      </c>
      <c r="AP23" s="380">
        <f>'Таблиця цін схема №1'!CS23</f>
        <v>4</v>
      </c>
      <c r="AQ23" s="47">
        <f>'Таблиця цін схема №1'!CV23</f>
        <v>50</v>
      </c>
      <c r="AR23" s="380">
        <f>'Таблиця цін схема №1'!CW23</f>
        <v>6</v>
      </c>
      <c r="AS23" s="47">
        <f>'Таблиця цін схема №1'!CZ23</f>
        <v>32</v>
      </c>
      <c r="AT23" s="78">
        <f>'Таблиця цін схема №1'!DA23</f>
        <v>3</v>
      </c>
      <c r="AU23" s="47">
        <f>'Таблиця цін схема №1'!DD23</f>
        <v>50</v>
      </c>
      <c r="AV23" s="380">
        <f>'Таблиця цін схема №1'!DE23</f>
        <v>6</v>
      </c>
      <c r="AW23" s="47">
        <f>'Таблиця цін схема №1'!DH23</f>
        <v>50</v>
      </c>
      <c r="AX23" s="380">
        <f>'Таблиця цін схема №1'!DI23</f>
        <v>1</v>
      </c>
      <c r="AY23" s="47">
        <f>'Таблиця цін схема №1'!DL23</f>
        <v>25</v>
      </c>
      <c r="AZ23" s="380">
        <f>'Таблиця цін схема №1'!DM23</f>
        <v>1</v>
      </c>
      <c r="BA23" s="47">
        <f>'Таблиця цін схема №1'!DP23</f>
        <v>25</v>
      </c>
      <c r="BB23" s="380">
        <f>'Таблиця цін схема №1'!DQ23</f>
        <v>2</v>
      </c>
      <c r="BC23" s="47">
        <f>'Таблиця цін схема №1'!DT23</f>
        <v>20</v>
      </c>
      <c r="BD23" s="380">
        <f>'Таблиця цін схема №1'!DU23</f>
        <v>2</v>
      </c>
      <c r="BE23" s="47">
        <f>'Таблиця цін схема №1'!DX23</f>
        <v>15</v>
      </c>
      <c r="BF23" s="380">
        <f>'Таблиця цін схема №1'!DY23</f>
        <v>10</v>
      </c>
      <c r="BG23" s="47">
        <f>'Таблиця цін схема №1'!EB23</f>
        <v>15</v>
      </c>
      <c r="BH23" s="380">
        <f>'Таблиця цін схема №1'!EC23</f>
        <v>39</v>
      </c>
      <c r="BI23" s="47">
        <f>'Таблиця цін схема №1'!EF23</f>
        <v>80</v>
      </c>
      <c r="BJ23" s="380">
        <f>'Таблиця цін схема №1'!EG23</f>
        <v>1</v>
      </c>
      <c r="BK23" s="47">
        <f>'Таблиця цін схема №1'!EJ23</f>
        <v>50</v>
      </c>
      <c r="BL23" s="380">
        <f>'Таблиця цін схема №1'!EK23</f>
        <v>1</v>
      </c>
      <c r="BM23" s="47">
        <f>'Таблиця цін схема №1'!EN23</f>
        <v>32</v>
      </c>
      <c r="BN23" s="380">
        <f>'Таблиця цін схема №1'!EO23</f>
        <v>1</v>
      </c>
    </row>
    <row r="24" spans="1:66">
      <c r="A24" s="1115">
        <f>'Таблиця цін схема №1'!B24</f>
        <v>28</v>
      </c>
      <c r="B24" s="1115" t="str">
        <f>'Таблиця цін схема №1'!C24</f>
        <v xml:space="preserve">4 Aivazovky Street </v>
      </c>
      <c r="C24" s="47">
        <f>'Таблиця цін схема №1'!AB24</f>
        <v>65</v>
      </c>
      <c r="D24" s="380">
        <f>'Таблиця цін схема №1'!AC24</f>
        <v>2</v>
      </c>
      <c r="E24" s="47">
        <f>'Таблиця цін схема №1'!AF24</f>
        <v>65</v>
      </c>
      <c r="F24" s="380">
        <f>'Таблиця цін схема №1'!AG24</f>
        <v>2</v>
      </c>
      <c r="G24" s="47">
        <f>'Таблиця цін схема №1'!AJ24</f>
        <v>65</v>
      </c>
      <c r="H24" s="78" t="s">
        <v>115</v>
      </c>
      <c r="I24" s="47">
        <f>'Таблиця цін схема №1'!AN24</f>
        <v>40</v>
      </c>
      <c r="J24" s="380">
        <f>'Таблиця цін схема №1'!AO24</f>
        <v>1</v>
      </c>
      <c r="K24" s="47">
        <f>'Таблиця цін схема №1'!AR24</f>
        <v>40</v>
      </c>
      <c r="L24" s="380">
        <f>'Таблиця цін схема №1'!AS24</f>
        <v>4</v>
      </c>
      <c r="M24" s="47" t="str">
        <f>'Таблиця цін схема №1'!AV24</f>
        <v>AMV20</v>
      </c>
      <c r="N24" s="380">
        <f>'Таблиця цін схема №1'!AW24</f>
        <v>1</v>
      </c>
      <c r="O24" s="47">
        <f>'Таблиця цін схема №1'!AZ24</f>
        <v>10</v>
      </c>
      <c r="P24" s="379">
        <f>'Таблиця цін схема №1'!BA24</f>
        <v>25</v>
      </c>
      <c r="Q24" s="380">
        <f>'Таблиця цін схема №1'!BB24</f>
        <v>1</v>
      </c>
      <c r="R24" s="47">
        <f>'Таблиця цін схема №1'!BE24</f>
        <v>12.5</v>
      </c>
      <c r="S24" s="379">
        <f>'Таблиця цін схема №1'!BF24</f>
        <v>32</v>
      </c>
      <c r="T24" s="380">
        <f>'Таблиця цін схема №1'!BG24</f>
        <v>1</v>
      </c>
      <c r="U24" s="47" t="str">
        <f>'Таблиця цін схема №1'!BJ24</f>
        <v>AMV33</v>
      </c>
      <c r="V24" s="380">
        <f>'Таблиця цін схема №1'!BK24</f>
        <v>1</v>
      </c>
      <c r="W24" s="47">
        <f>'Таблиця цін схема №1'!BN24</f>
        <v>10</v>
      </c>
      <c r="X24" s="379">
        <f>'Таблиця цін схема №1'!BO24</f>
        <v>25</v>
      </c>
      <c r="Y24" s="380">
        <f>'Таблиця цін схема №1'!BP24</f>
        <v>1</v>
      </c>
      <c r="Z24" s="47">
        <f>'Таблиця цін схема №1'!BS24</f>
        <v>12.5</v>
      </c>
      <c r="AA24" s="379">
        <f>'Таблиця цін схема №1'!BT24</f>
        <v>32</v>
      </c>
      <c r="AB24" s="78">
        <f>'Таблиця цін схема №1'!BU24</f>
        <v>1</v>
      </c>
      <c r="AC24" s="47" t="str">
        <f>'Таблиця цін схема №1'!BX24</f>
        <v>-</v>
      </c>
      <c r="AD24" s="379" t="str">
        <f>'Таблиця цін схема №1'!BY24</f>
        <v>-</v>
      </c>
      <c r="AE24" s="379" t="str">
        <f>'Таблиця цін схема №1'!BZ24</f>
        <v>existed</v>
      </c>
      <c r="AF24" s="380" t="s">
        <v>115</v>
      </c>
      <c r="AG24" s="47">
        <f>'Таблиця цін схема №1'!CD24</f>
        <v>25</v>
      </c>
      <c r="AH24" s="379">
        <f>'Таблиця цін схема №1'!CE24</f>
        <v>6</v>
      </c>
      <c r="AI24" s="379" t="str">
        <f>'Таблиця цін схема №1'!CF24</f>
        <v>Pt500</v>
      </c>
      <c r="AJ24" s="380">
        <f>'Таблиця цін схема №1'!CG24</f>
        <v>1</v>
      </c>
      <c r="AK24" s="1168" t="str">
        <f>'Таблиця цін схема №1'!CJ24</f>
        <v xml:space="preserve">ЕІ-ТО-16+035M50HS-304000 </v>
      </c>
      <c r="AL24" s="380">
        <f>'Таблиця цін схема №1'!CK24</f>
        <v>1</v>
      </c>
      <c r="AM24" s="1168" t="str">
        <f>'Таблиця цін схема №1'!CN24</f>
        <v>EI-TO-16+015M30HS-223000</v>
      </c>
      <c r="AN24" s="380">
        <f>'Таблиця цін схема №1'!CO24</f>
        <v>1</v>
      </c>
      <c r="AO24" s="47">
        <f>'Таблиця цін схема №1'!CR24</f>
        <v>80</v>
      </c>
      <c r="AP24" s="380">
        <f>'Таблиця цін схема №1'!CS24</f>
        <v>4</v>
      </c>
      <c r="AQ24" s="47">
        <f>'Таблиця цін схема №1'!CV24</f>
        <v>40</v>
      </c>
      <c r="AR24" s="380">
        <f>'Таблиця цін схема №1'!CW24</f>
        <v>6</v>
      </c>
      <c r="AS24" s="47">
        <f>'Таблиця цін схема №1'!CZ24</f>
        <v>25</v>
      </c>
      <c r="AT24" s="78">
        <f>'Таблиця цін схема №1'!DA24</f>
        <v>3</v>
      </c>
      <c r="AU24" s="47">
        <f>'Таблиця цін схема №1'!DD24</f>
        <v>50</v>
      </c>
      <c r="AV24" s="380">
        <f>'Таблиця цін схема №1'!DE24</f>
        <v>4</v>
      </c>
      <c r="AW24" s="47">
        <f>'Таблиця цін схема №1'!DH24</f>
        <v>32</v>
      </c>
      <c r="AX24" s="380">
        <f>'Таблиця цін схема №1'!DI24</f>
        <v>1</v>
      </c>
      <c r="AY24" s="47">
        <f>'Таблиця цін схема №1'!DL24</f>
        <v>20</v>
      </c>
      <c r="AZ24" s="380">
        <f>'Таблиця цін схема №1'!DM24</f>
        <v>1</v>
      </c>
      <c r="BA24" s="47">
        <f>'Таблиця цін схема №1'!DP24</f>
        <v>20</v>
      </c>
      <c r="BB24" s="380">
        <f>'Таблиця цін схема №1'!DQ24</f>
        <v>2</v>
      </c>
      <c r="BC24" s="47">
        <f>'Таблиця цін схема №1'!DT24</f>
        <v>20</v>
      </c>
      <c r="BD24" s="380">
        <f>'Таблиця цін схема №1'!DU24</f>
        <v>2</v>
      </c>
      <c r="BE24" s="47">
        <f>'Таблиця цін схема №1'!DX24</f>
        <v>15</v>
      </c>
      <c r="BF24" s="380">
        <f>'Таблиця цін схема №1'!DY24</f>
        <v>10</v>
      </c>
      <c r="BG24" s="47">
        <f>'Таблиця цін схема №1'!EB24</f>
        <v>15</v>
      </c>
      <c r="BH24" s="380">
        <f>'Таблиця цін схема №1'!EC24</f>
        <v>38</v>
      </c>
      <c r="BI24" s="47">
        <f>'Таблиця цін схема №1'!EF24</f>
        <v>80</v>
      </c>
      <c r="BJ24" s="380">
        <f>'Таблиця цін схема №1'!EG24</f>
        <v>1</v>
      </c>
      <c r="BK24" s="47">
        <f>'Таблиця цін схема №1'!EJ24</f>
        <v>40</v>
      </c>
      <c r="BL24" s="380">
        <f>'Таблиця цін схема №1'!EK24</f>
        <v>1</v>
      </c>
      <c r="BM24" s="47">
        <f>'Таблиця цін схема №1'!EN24</f>
        <v>25</v>
      </c>
      <c r="BN24" s="380">
        <f>'Таблиця цін схема №1'!EO24</f>
        <v>1</v>
      </c>
    </row>
    <row r="25" spans="1:66">
      <c r="A25" s="1115">
        <f>'Таблиця цін схема №1'!B25</f>
        <v>29</v>
      </c>
      <c r="B25" s="1115" t="str">
        <f>'Таблиця цін схема №1'!C25</f>
        <v xml:space="preserve">5а_1 Aivazovky Street </v>
      </c>
      <c r="C25" s="47">
        <f>'Таблиця цін схема №1'!AB25</f>
        <v>50</v>
      </c>
      <c r="D25" s="380">
        <f>'Таблиця цін схема №1'!AC25</f>
        <v>2</v>
      </c>
      <c r="E25" s="47">
        <f>'Таблиця цін схема №1'!AF25</f>
        <v>50</v>
      </c>
      <c r="F25" s="380">
        <f>'Таблиця цін схема №1'!AG25</f>
        <v>2</v>
      </c>
      <c r="G25" s="47">
        <f>'Таблиця цін схема №1'!AJ25</f>
        <v>50</v>
      </c>
      <c r="H25" s="78" t="s">
        <v>115</v>
      </c>
      <c r="I25" s="47">
        <f>'Таблиця цін схема №1'!AN25</f>
        <v>40</v>
      </c>
      <c r="J25" s="380">
        <f>'Таблиця цін схема №1'!AO25</f>
        <v>1</v>
      </c>
      <c r="K25" s="47">
        <f>'Таблиця цін схема №1'!AR25</f>
        <v>40</v>
      </c>
      <c r="L25" s="380">
        <f>'Таблиця цін схема №1'!AS25</f>
        <v>4</v>
      </c>
      <c r="M25" s="47" t="str">
        <f>'Таблиця цін схема №1'!AV25</f>
        <v>AMV20</v>
      </c>
      <c r="N25" s="380">
        <f>'Таблиця цін схема №1'!AW25</f>
        <v>1</v>
      </c>
      <c r="O25" s="47">
        <f>'Таблиця цін схема №1'!AZ25</f>
        <v>10</v>
      </c>
      <c r="P25" s="379">
        <f>'Таблиця цін схема №1'!BA25</f>
        <v>25</v>
      </c>
      <c r="Q25" s="380">
        <f>'Таблиця цін схема №1'!BB25</f>
        <v>1</v>
      </c>
      <c r="R25" s="47">
        <f>'Таблиця цін схема №1'!BE25</f>
        <v>12.5</v>
      </c>
      <c r="S25" s="379">
        <f>'Таблиця цін схема №1'!BF25</f>
        <v>32</v>
      </c>
      <c r="T25" s="380">
        <f>'Таблиця цін схема №1'!BG25</f>
        <v>1</v>
      </c>
      <c r="U25" s="47" t="str">
        <f>'Таблиця цін схема №1'!BJ25</f>
        <v>AMV33</v>
      </c>
      <c r="V25" s="380">
        <f>'Таблиця цін схема №1'!BK25</f>
        <v>1</v>
      </c>
      <c r="W25" s="47">
        <f>'Таблиця цін схема №1'!BN25</f>
        <v>10</v>
      </c>
      <c r="X25" s="379">
        <f>'Таблиця цін схема №1'!BO25</f>
        <v>25</v>
      </c>
      <c r="Y25" s="380">
        <f>'Таблиця цін схема №1'!BP25</f>
        <v>1</v>
      </c>
      <c r="Z25" s="47">
        <f>'Таблиця цін схема №1'!BS25</f>
        <v>12.5</v>
      </c>
      <c r="AA25" s="379">
        <f>'Таблиця цін схема №1'!BT25</f>
        <v>32</v>
      </c>
      <c r="AB25" s="78">
        <f>'Таблиця цін схема №1'!BU25</f>
        <v>1</v>
      </c>
      <c r="AC25" s="47" t="str">
        <f>'Таблиця цін схема №1'!BX25</f>
        <v>-</v>
      </c>
      <c r="AD25" s="379" t="str">
        <f>'Таблиця цін схема №1'!BY25</f>
        <v>-</v>
      </c>
      <c r="AE25" s="379" t="str">
        <f>'Таблиця цін схема №1'!BZ25</f>
        <v>existed</v>
      </c>
      <c r="AF25" s="380" t="s">
        <v>115</v>
      </c>
      <c r="AG25" s="47">
        <f>'Таблиця цін схема №1'!CD25</f>
        <v>25</v>
      </c>
      <c r="AH25" s="379">
        <f>'Таблиця цін схема №1'!CE25</f>
        <v>6</v>
      </c>
      <c r="AI25" s="379" t="str">
        <f>'Таблиця цін схема №1'!CF25</f>
        <v>Pt500</v>
      </c>
      <c r="AJ25" s="380">
        <f>'Таблиця цін схема №1'!CG25</f>
        <v>1</v>
      </c>
      <c r="AK25" s="1168" t="str">
        <f>'Таблиця цін схема №1'!CJ25</f>
        <v>ЕІ-ТО-16+035M50HS-299000</v>
      </c>
      <c r="AL25" s="380">
        <f>'Таблиця цін схема №1'!CK25</f>
        <v>1</v>
      </c>
      <c r="AM25" s="1168" t="str">
        <f>'Таблиця цін схема №1'!CN25</f>
        <v>EI-TO-16+015M30HS-223000</v>
      </c>
      <c r="AN25" s="380">
        <f>'Таблиця цін схема №1'!CO25</f>
        <v>1</v>
      </c>
      <c r="AO25" s="47">
        <f>'Таблиця цін схема №1'!CR25</f>
        <v>80</v>
      </c>
      <c r="AP25" s="380">
        <f>'Таблиця цін схема №1'!CS25</f>
        <v>4</v>
      </c>
      <c r="AQ25" s="47">
        <f>'Таблиця цін схема №1'!CV25</f>
        <v>40</v>
      </c>
      <c r="AR25" s="380">
        <f>'Таблиця цін схема №1'!CW25</f>
        <v>6</v>
      </c>
      <c r="AS25" s="47">
        <f>'Таблиця цін схема №1'!CZ25</f>
        <v>25</v>
      </c>
      <c r="AT25" s="78">
        <f>'Таблиця цін схема №1'!DA25</f>
        <v>3</v>
      </c>
      <c r="AU25" s="47">
        <f>'Таблиця цін схема №1'!DD25</f>
        <v>50</v>
      </c>
      <c r="AV25" s="380">
        <f>'Таблиця цін схема №1'!DE25</f>
        <v>4</v>
      </c>
      <c r="AW25" s="47">
        <f>'Таблиця цін схема №1'!DH25</f>
        <v>32</v>
      </c>
      <c r="AX25" s="380">
        <f>'Таблиця цін схема №1'!DI25</f>
        <v>1</v>
      </c>
      <c r="AY25" s="47">
        <f>'Таблиця цін схема №1'!DL25</f>
        <v>25</v>
      </c>
      <c r="AZ25" s="380">
        <f>'Таблиця цін схема №1'!DM25</f>
        <v>1</v>
      </c>
      <c r="BA25" s="47">
        <f>'Таблиця цін схема №1'!DP25</f>
        <v>25</v>
      </c>
      <c r="BB25" s="380">
        <f>'Таблиця цін схема №1'!DQ25</f>
        <v>2</v>
      </c>
      <c r="BC25" s="47">
        <f>'Таблиця цін схема №1'!DT25</f>
        <v>20</v>
      </c>
      <c r="BD25" s="380">
        <f>'Таблиця цін схема №1'!DU25</f>
        <v>2</v>
      </c>
      <c r="BE25" s="47">
        <f>'Таблиця цін схема №1'!DX25</f>
        <v>15</v>
      </c>
      <c r="BF25" s="380">
        <f>'Таблиця цін схема №1'!DY25</f>
        <v>10</v>
      </c>
      <c r="BG25" s="47">
        <f>'Таблиця цін схема №1'!EB25</f>
        <v>15</v>
      </c>
      <c r="BH25" s="380">
        <f>'Таблиця цін схема №1'!EC25</f>
        <v>38</v>
      </c>
      <c r="BI25" s="47">
        <f>'Таблиця цін схема №1'!EF25</f>
        <v>80</v>
      </c>
      <c r="BJ25" s="380">
        <f>'Таблиця цін схема №1'!EG25</f>
        <v>1</v>
      </c>
      <c r="BK25" s="47">
        <f>'Таблиця цін схема №1'!EJ25</f>
        <v>40</v>
      </c>
      <c r="BL25" s="380">
        <f>'Таблиця цін схема №1'!EK25</f>
        <v>1</v>
      </c>
      <c r="BM25" s="47">
        <f>'Таблиця цін схема №1'!EN25</f>
        <v>25</v>
      </c>
      <c r="BN25" s="380">
        <f>'Таблиця цін схема №1'!EO25</f>
        <v>1</v>
      </c>
    </row>
    <row r="26" spans="1:66">
      <c r="A26" s="1115">
        <f>'Таблиця цін схема №1'!B26</f>
        <v>30</v>
      </c>
      <c r="B26" s="1115" t="str">
        <f>'Таблиця цін схема №1'!C26</f>
        <v xml:space="preserve">5а_2 Aivazovky Street </v>
      </c>
      <c r="C26" s="47">
        <f>'Таблиця цін схема №1'!AB26</f>
        <v>50</v>
      </c>
      <c r="D26" s="380">
        <f>'Таблиця цін схема №1'!AC26</f>
        <v>2</v>
      </c>
      <c r="E26" s="47">
        <f>'Таблиця цін схема №1'!AF26</f>
        <v>50</v>
      </c>
      <c r="F26" s="380">
        <f>'Таблиця цін схема №1'!AG26</f>
        <v>2</v>
      </c>
      <c r="G26" s="47">
        <f>'Таблиця цін схема №1'!AJ26</f>
        <v>50</v>
      </c>
      <c r="H26" s="78" t="s">
        <v>115</v>
      </c>
      <c r="I26" s="47">
        <f>'Таблиця цін схема №1'!AN26</f>
        <v>40</v>
      </c>
      <c r="J26" s="380">
        <f>'Таблиця цін схема №1'!AO26</f>
        <v>1</v>
      </c>
      <c r="K26" s="47">
        <f>'Таблиця цін схема №1'!AR26</f>
        <v>40</v>
      </c>
      <c r="L26" s="380">
        <f>'Таблиця цін схема №1'!AS26</f>
        <v>4</v>
      </c>
      <c r="M26" s="47" t="str">
        <f>'Таблиця цін схема №1'!AV26</f>
        <v>AMV20</v>
      </c>
      <c r="N26" s="380">
        <f>'Таблиця цін схема №1'!AW26</f>
        <v>1</v>
      </c>
      <c r="O26" s="47">
        <f>'Таблиця цін схема №1'!AZ26</f>
        <v>10</v>
      </c>
      <c r="P26" s="379">
        <f>'Таблиця цін схема №1'!BA26</f>
        <v>25</v>
      </c>
      <c r="Q26" s="380">
        <f>'Таблиця цін схема №1'!BB26</f>
        <v>1</v>
      </c>
      <c r="R26" s="47">
        <f>'Таблиця цін схема №1'!BE26</f>
        <v>8</v>
      </c>
      <c r="S26" s="379">
        <f>'Таблиця цін схема №1'!BF26</f>
        <v>25</v>
      </c>
      <c r="T26" s="380">
        <f>'Таблиця цін схема №1'!BG26</f>
        <v>1</v>
      </c>
      <c r="U26" s="47" t="str">
        <f>'Таблиця цін схема №1'!BJ26</f>
        <v>AMV33</v>
      </c>
      <c r="V26" s="380">
        <f>'Таблиця цін схема №1'!BK26</f>
        <v>1</v>
      </c>
      <c r="W26" s="47">
        <f>'Таблиця цін схема №1'!BN26</f>
        <v>10</v>
      </c>
      <c r="X26" s="379">
        <f>'Таблиця цін схема №1'!BO26</f>
        <v>25</v>
      </c>
      <c r="Y26" s="380">
        <f>'Таблиця цін схема №1'!BP26</f>
        <v>1</v>
      </c>
      <c r="Z26" s="47">
        <f>'Таблиця цін схема №1'!BS26</f>
        <v>12.5</v>
      </c>
      <c r="AA26" s="379">
        <f>'Таблиця цін схема №1'!BT26</f>
        <v>32</v>
      </c>
      <c r="AB26" s="78">
        <f>'Таблиця цін схема №1'!BU26</f>
        <v>1</v>
      </c>
      <c r="AC26" s="47" t="str">
        <f>'Таблиця цін схема №1'!BX26</f>
        <v>-</v>
      </c>
      <c r="AD26" s="379" t="str">
        <f>'Таблиця цін схема №1'!BY26</f>
        <v>-</v>
      </c>
      <c r="AE26" s="379" t="str">
        <f>'Таблиця цін схема №1'!BZ26</f>
        <v>existed</v>
      </c>
      <c r="AF26" s="380" t="s">
        <v>115</v>
      </c>
      <c r="AG26" s="47">
        <f>'Таблиця цін схема №1'!CD26</f>
        <v>25</v>
      </c>
      <c r="AH26" s="379">
        <f>'Таблиця цін схема №1'!CE26</f>
        <v>6</v>
      </c>
      <c r="AI26" s="379" t="str">
        <f>'Таблиця цін схема №1'!CF26</f>
        <v>Pt500</v>
      </c>
      <c r="AJ26" s="380">
        <f>'Таблиця цін схема №1'!CG26</f>
        <v>1</v>
      </c>
      <c r="AK26" s="1168" t="str">
        <f>'Таблиця цін схема №1'!CJ26</f>
        <v>ЕІ-ТО-16+027M50HS-241000</v>
      </c>
      <c r="AL26" s="380">
        <f>'Таблиця цін схема №1'!CK26</f>
        <v>1</v>
      </c>
      <c r="AM26" s="1168" t="str">
        <f>'Таблиця цін схема №1'!CN26</f>
        <v>EI-TO-16+015M30HS-223000</v>
      </c>
      <c r="AN26" s="380">
        <f>'Таблиця цін схема №1'!CO26</f>
        <v>1</v>
      </c>
      <c r="AO26" s="47">
        <f>'Таблиця цін схема №1'!CR26</f>
        <v>65</v>
      </c>
      <c r="AP26" s="380">
        <f>'Таблиця цін схема №1'!CS26</f>
        <v>4</v>
      </c>
      <c r="AQ26" s="47">
        <f>'Таблиця цін схема №1'!CV26</f>
        <v>40</v>
      </c>
      <c r="AR26" s="380">
        <f>'Таблиця цін схема №1'!CW26</f>
        <v>6</v>
      </c>
      <c r="AS26" s="47">
        <f>'Таблиця цін схема №1'!CZ26</f>
        <v>25</v>
      </c>
      <c r="AT26" s="78">
        <f>'Таблиця цін схема №1'!DA26</f>
        <v>3</v>
      </c>
      <c r="AU26" s="47">
        <f>'Таблиця цін схема №1'!DD26</f>
        <v>40</v>
      </c>
      <c r="AV26" s="380">
        <f>'Таблиця цін схема №1'!DE26</f>
        <v>4</v>
      </c>
      <c r="AW26" s="47">
        <f>'Таблиця цін схема №1'!DH26</f>
        <v>32</v>
      </c>
      <c r="AX26" s="380">
        <f>'Таблиця цін схема №1'!DI26</f>
        <v>1</v>
      </c>
      <c r="AY26" s="47">
        <f>'Таблиця цін схема №1'!DL26</f>
        <v>25</v>
      </c>
      <c r="AZ26" s="380">
        <f>'Таблиця цін схема №1'!DM26</f>
        <v>1</v>
      </c>
      <c r="BA26" s="47">
        <f>'Таблиця цін схема №1'!DP26</f>
        <v>25</v>
      </c>
      <c r="BB26" s="380">
        <f>'Таблиця цін схема №1'!DQ26</f>
        <v>2</v>
      </c>
      <c r="BC26" s="47">
        <f>'Таблиця цін схема №1'!DT26</f>
        <v>20</v>
      </c>
      <c r="BD26" s="380">
        <f>'Таблиця цін схема №1'!DU26</f>
        <v>2</v>
      </c>
      <c r="BE26" s="47">
        <f>'Таблиця цін схема №1'!DX26</f>
        <v>15</v>
      </c>
      <c r="BF26" s="380">
        <f>'Таблиця цін схема №1'!DY26</f>
        <v>10</v>
      </c>
      <c r="BG26" s="47">
        <f>'Таблиця цін схема №1'!EB26</f>
        <v>15</v>
      </c>
      <c r="BH26" s="380">
        <f>'Таблиця цін схема №1'!EC26</f>
        <v>38</v>
      </c>
      <c r="BI26" s="47">
        <f>'Таблиця цін схема №1'!EF26</f>
        <v>65</v>
      </c>
      <c r="BJ26" s="380">
        <f>'Таблиця цін схема №1'!EG26</f>
        <v>1</v>
      </c>
      <c r="BK26" s="47">
        <f>'Таблиця цін схема №1'!EJ26</f>
        <v>40</v>
      </c>
      <c r="BL26" s="380">
        <f>'Таблиця цін схема №1'!EK26</f>
        <v>1</v>
      </c>
      <c r="BM26" s="47">
        <f>'Таблиця цін схема №1'!EN26</f>
        <v>25</v>
      </c>
      <c r="BN26" s="380">
        <f>'Таблиця цін схема №1'!EO26</f>
        <v>1</v>
      </c>
    </row>
    <row r="27" spans="1:66">
      <c r="A27" s="1115">
        <f>'Таблиця цін схема №1'!B27</f>
        <v>31</v>
      </c>
      <c r="B27" s="1115" t="str">
        <f>'Таблиця цін схема №1'!C27</f>
        <v xml:space="preserve">6 Aivazovky Street </v>
      </c>
      <c r="C27" s="47">
        <f>'Таблиця цін схема №1'!AB27</f>
        <v>80</v>
      </c>
      <c r="D27" s="380">
        <f>'Таблиця цін схема №1'!AC27</f>
        <v>2</v>
      </c>
      <c r="E27" s="47">
        <f>'Таблиця цін схема №1'!AF27</f>
        <v>80</v>
      </c>
      <c r="F27" s="380">
        <f>'Таблиця цін схема №1'!AG27</f>
        <v>2</v>
      </c>
      <c r="G27" s="47">
        <f>'Таблиця цін схема №1'!AJ27</f>
        <v>80</v>
      </c>
      <c r="H27" s="78">
        <f>'Таблиця цін схема №1'!AK27</f>
        <v>1</v>
      </c>
      <c r="I27" s="47">
        <f>'Таблиця цін схема №1'!AN27</f>
        <v>40</v>
      </c>
      <c r="J27" s="380">
        <f>'Таблиця цін схема №1'!AO27</f>
        <v>3</v>
      </c>
      <c r="K27" s="47">
        <f>'Таблиця цін схема №1'!AR27</f>
        <v>65</v>
      </c>
      <c r="L27" s="380">
        <f>'Таблиця цін схема №1'!AS27</f>
        <v>4</v>
      </c>
      <c r="M27" s="47" t="str">
        <f>'Таблиця цін схема №1'!AV27</f>
        <v>AMV20</v>
      </c>
      <c r="N27" s="380">
        <f>'Таблиця цін схема №1'!AW27</f>
        <v>1</v>
      </c>
      <c r="O27" s="47">
        <f>'Таблиця цін схема №1'!AZ27</f>
        <v>10</v>
      </c>
      <c r="P27" s="379">
        <f>'Таблиця цін схема №1'!BA27</f>
        <v>25</v>
      </c>
      <c r="Q27" s="380">
        <f>'Таблиця цін схема №1'!BB27</f>
        <v>1</v>
      </c>
      <c r="R27" s="47">
        <f>'Таблиця цін схема №1'!BE27</f>
        <v>8</v>
      </c>
      <c r="S27" s="379">
        <f>'Таблиця цін схема №1'!BF27</f>
        <v>25</v>
      </c>
      <c r="T27" s="380">
        <f>'Таблиця цін схема №1'!BG27</f>
        <v>1</v>
      </c>
      <c r="U27" s="47" t="str">
        <f>'Таблиця цін схема №1'!BJ27</f>
        <v>AMV33</v>
      </c>
      <c r="V27" s="380">
        <f>'Таблиця цін схема №1'!BK27</f>
        <v>1</v>
      </c>
      <c r="W27" s="47">
        <f>'Таблиця цін схема №1'!BN27</f>
        <v>25</v>
      </c>
      <c r="X27" s="379">
        <f>'Таблиця цін схема №1'!BO27</f>
        <v>40</v>
      </c>
      <c r="Y27" s="380">
        <f>'Таблиця цін схема №1'!BP27</f>
        <v>1</v>
      </c>
      <c r="Z27" s="47">
        <f>'Таблиця цін схема №1'!BS27</f>
        <v>20</v>
      </c>
      <c r="AA27" s="379">
        <f>'Таблиця цін схема №1'!BT27</f>
        <v>40</v>
      </c>
      <c r="AB27" s="78">
        <f>'Таблиця цін схема №1'!BU27</f>
        <v>1</v>
      </c>
      <c r="AC27" s="47">
        <f>'Таблиця цін схема №1'!BX27</f>
        <v>25</v>
      </c>
      <c r="AD27" s="379">
        <f>'Таблиця цін схема №1'!BY27</f>
        <v>6</v>
      </c>
      <c r="AE27" s="379" t="str">
        <f>'Таблиця цін схема №1'!BZ27</f>
        <v>Pt500</v>
      </c>
      <c r="AF27" s="380">
        <f>'Таблиця цін схема №1'!CA27</f>
        <v>1</v>
      </c>
      <c r="AG27" s="47">
        <f>'Таблиця цін схема №1'!CD27</f>
        <v>50</v>
      </c>
      <c r="AH27" s="379">
        <f>'Таблиця цін схема №1'!CE27</f>
        <v>15</v>
      </c>
      <c r="AI27" s="379" t="str">
        <f>'Таблиця цін схема №1'!CF27</f>
        <v>Pt500</v>
      </c>
      <c r="AJ27" s="380">
        <f>'Таблиця цін схема №1'!CG27</f>
        <v>1</v>
      </c>
      <c r="AK27" s="1168" t="str">
        <f>'Таблиця цін схема №1'!CJ27</f>
        <v>ЕІ-ТО-16+027M55HS-235000</v>
      </c>
      <c r="AL27" s="380">
        <f>'Таблиця цін схема №1'!CK27</f>
        <v>1</v>
      </c>
      <c r="AM27" s="1168" t="str">
        <f>'Таблиця цін схема №1'!CN27</f>
        <v>EI-TO-16+029M30HS-457000</v>
      </c>
      <c r="AN27" s="380">
        <f>'Таблиця цін схема №1'!CO27</f>
        <v>1</v>
      </c>
      <c r="AO27" s="47">
        <f>'Таблиця цін схема №1'!CR27</f>
        <v>65</v>
      </c>
      <c r="AP27" s="380">
        <f>'Таблиця цін схема №1'!CS27</f>
        <v>4</v>
      </c>
      <c r="AQ27" s="47">
        <f>'Таблиця цін схема №1'!CV27</f>
        <v>65</v>
      </c>
      <c r="AR27" s="380">
        <f>'Таблиця цін схема №1'!CW27</f>
        <v>6</v>
      </c>
      <c r="AS27" s="47">
        <f>'Таблиця цін схема №1'!CZ27</f>
        <v>40</v>
      </c>
      <c r="AT27" s="78">
        <f>'Таблиця цін схема №1'!DA27</f>
        <v>3</v>
      </c>
      <c r="AU27" s="47">
        <f>'Таблиця цін схема №1'!DD27</f>
        <v>65</v>
      </c>
      <c r="AV27" s="380">
        <f>'Таблиця цін схема №1'!DE27</f>
        <v>2</v>
      </c>
      <c r="AW27" s="47">
        <f>'Таблиця цін схема №1'!DH27</f>
        <v>32</v>
      </c>
      <c r="AX27" s="380">
        <f>'Таблиця цін схема №1'!DI27</f>
        <v>1</v>
      </c>
      <c r="AY27" s="47">
        <f>'Таблиця цін схема №1'!DL27</f>
        <v>25</v>
      </c>
      <c r="AZ27" s="380">
        <f>'Таблиця цін схема №1'!DM27</f>
        <v>1</v>
      </c>
      <c r="BA27" s="47">
        <f>'Таблиця цін схема №1'!DP27</f>
        <v>25</v>
      </c>
      <c r="BB27" s="380">
        <f>'Таблиця цін схема №1'!DQ27</f>
        <v>2</v>
      </c>
      <c r="BC27" s="47">
        <f>'Таблиця цін схема №1'!DT27</f>
        <v>20</v>
      </c>
      <c r="BD27" s="380">
        <f>'Таблиця цін схема №1'!DU27</f>
        <v>2</v>
      </c>
      <c r="BE27" s="47">
        <f>'Таблиця цін схема №1'!DX27</f>
        <v>15</v>
      </c>
      <c r="BF27" s="380">
        <f>'Таблиця цін схема №1'!DY27</f>
        <v>10</v>
      </c>
      <c r="BG27" s="47">
        <f>'Таблиця цін схема №1'!EB27</f>
        <v>15</v>
      </c>
      <c r="BH27" s="380">
        <f>'Таблиця цін схема №1'!EC27</f>
        <v>36</v>
      </c>
      <c r="BI27" s="47">
        <f>'Таблиця цін схема №1'!EF27</f>
        <v>65</v>
      </c>
      <c r="BJ27" s="380">
        <f>'Таблиця цін схема №1'!EG27</f>
        <v>1</v>
      </c>
      <c r="BK27" s="47">
        <f>'Таблиця цін схема №1'!EJ27</f>
        <v>65</v>
      </c>
      <c r="BL27" s="380">
        <f>'Таблиця цін схема №1'!EK27</f>
        <v>1</v>
      </c>
      <c r="BM27" s="47">
        <f>'Таблиця цін схема №1'!EN27</f>
        <v>40</v>
      </c>
      <c r="BN27" s="380">
        <f>'Таблиця цін схема №1'!EO27</f>
        <v>1</v>
      </c>
    </row>
    <row r="28" spans="1:66">
      <c r="A28" s="1115">
        <f>'Таблиця цін схема №1'!B28</f>
        <v>75</v>
      </c>
      <c r="B28" s="1115" t="str">
        <f>'Таблиця цін схема №1'!C28</f>
        <v>24b (Б) Korotkaya Street</v>
      </c>
      <c r="C28" s="47">
        <f>'Таблиця цін схема №1'!AB28</f>
        <v>50</v>
      </c>
      <c r="D28" s="380">
        <f>'Таблиця цін схема №1'!AC28</f>
        <v>2</v>
      </c>
      <c r="E28" s="47">
        <f>'Таблиця цін схема №1'!AF28</f>
        <v>50</v>
      </c>
      <c r="F28" s="380">
        <f>'Таблиця цін схема №1'!AG28</f>
        <v>2</v>
      </c>
      <c r="G28" s="47">
        <f>'Таблиця цін схема №1'!AJ28</f>
        <v>50</v>
      </c>
      <c r="H28" s="78" t="s">
        <v>115</v>
      </c>
      <c r="I28" s="47">
        <f>'Таблиця цін схема №1'!AN28</f>
        <v>32</v>
      </c>
      <c r="J28" s="380">
        <f>'Таблиця цін схема №1'!AO28</f>
        <v>1</v>
      </c>
      <c r="K28" s="47">
        <f>'Таблиця цін схема №1'!AR28</f>
        <v>32</v>
      </c>
      <c r="L28" s="380">
        <f>'Таблиця цін схема №1'!AS28</f>
        <v>4</v>
      </c>
      <c r="M28" s="47" t="str">
        <f>'Таблиця цін схема №1'!AV28</f>
        <v>AMV20</v>
      </c>
      <c r="N28" s="380">
        <f>'Таблиця цін схема №1'!AW28</f>
        <v>1</v>
      </c>
      <c r="O28" s="47">
        <f>'Таблиця цін схема №1'!AZ28</f>
        <v>6.3</v>
      </c>
      <c r="P28" s="379">
        <f>'Таблиця цін схема №1'!BA28</f>
        <v>20</v>
      </c>
      <c r="Q28" s="380">
        <f>'Таблиця цін схема №1'!BB28</f>
        <v>1</v>
      </c>
      <c r="R28" s="47">
        <f>'Таблиця цін схема №1'!BE28</f>
        <v>6.3</v>
      </c>
      <c r="S28" s="379">
        <f>'Таблиця цін схема №1'!BF28</f>
        <v>20</v>
      </c>
      <c r="T28" s="380">
        <f>'Таблиця цін схема №1'!BG28</f>
        <v>1</v>
      </c>
      <c r="U28" s="47" t="str">
        <f>'Таблиця цін схема №1'!BJ28</f>
        <v>AMV33</v>
      </c>
      <c r="V28" s="380">
        <f>'Таблиця цін схема №1'!BK28</f>
        <v>1</v>
      </c>
      <c r="W28" s="47">
        <f>'Таблиця цін схема №1'!BN28</f>
        <v>4</v>
      </c>
      <c r="X28" s="379">
        <f>'Таблиця цін схема №1'!BO28</f>
        <v>15</v>
      </c>
      <c r="Y28" s="380">
        <f>'Таблиця цін схема №1'!BP28</f>
        <v>1</v>
      </c>
      <c r="Z28" s="47">
        <f>'Таблиця цін схема №1'!BS28</f>
        <v>4</v>
      </c>
      <c r="AA28" s="379">
        <f>'Таблиця цін схема №1'!BT28</f>
        <v>15</v>
      </c>
      <c r="AB28" s="78">
        <f>'Таблиця цін схема №1'!BU28</f>
        <v>1</v>
      </c>
      <c r="AC28" s="47" t="str">
        <f>'Таблиця цін схема №1'!BX28</f>
        <v>-</v>
      </c>
      <c r="AD28" s="379" t="str">
        <f>'Таблиця цін схема №1'!BY28</f>
        <v>-</v>
      </c>
      <c r="AE28" s="379" t="str">
        <f>'Таблиця цін схема №1'!BZ28</f>
        <v>existed</v>
      </c>
      <c r="AF28" s="380" t="s">
        <v>115</v>
      </c>
      <c r="AG28" s="47">
        <f>'Таблиця цін схема №1'!CD28</f>
        <v>20</v>
      </c>
      <c r="AH28" s="379">
        <f>'Таблиця цін схема №1'!CE28</f>
        <v>2.5</v>
      </c>
      <c r="AI28" s="379" t="str">
        <f>'Таблиця цін схема №1'!CF28</f>
        <v>Pt500</v>
      </c>
      <c r="AJ28" s="380">
        <f>'Таблиця цін схема №1'!CG28</f>
        <v>1</v>
      </c>
      <c r="AK28" s="1168" t="str">
        <f>'Таблиця цін схема №1'!CJ28</f>
        <v>ЕІ-ТО-16+021M55HS-175000</v>
      </c>
      <c r="AL28" s="380">
        <f>'Таблиця цін схема №1'!CK28</f>
        <v>1</v>
      </c>
      <c r="AM28" s="1168" t="str">
        <f>'Таблиця цін схема №1'!CN28</f>
        <v>ЕІ-ТО-4+025A00HS-86000</v>
      </c>
      <c r="AN28" s="380">
        <f>'Таблиця цін схема №1'!CO28</f>
        <v>1</v>
      </c>
      <c r="AO28" s="47">
        <f>'Таблиця цін схема №1'!CR28</f>
        <v>65</v>
      </c>
      <c r="AP28" s="380">
        <f>'Таблиця цін схема №1'!CS28</f>
        <v>4</v>
      </c>
      <c r="AQ28" s="47">
        <f>'Таблиця цін схема №1'!CV28</f>
        <v>32</v>
      </c>
      <c r="AR28" s="380">
        <f>'Таблиця цін схема №1'!CW28</f>
        <v>6</v>
      </c>
      <c r="AS28" s="47">
        <f>'Таблиця цін схема №1'!CZ28</f>
        <v>20</v>
      </c>
      <c r="AT28" s="78">
        <f>'Таблиця цін схема №1'!DA28</f>
        <v>3</v>
      </c>
      <c r="AU28" s="47">
        <f>'Таблиця цін схема №1'!DD28</f>
        <v>25</v>
      </c>
      <c r="AV28" s="380">
        <f>'Таблиця цін схема №1'!DE28</f>
        <v>8</v>
      </c>
      <c r="AW28" s="47">
        <f>'Таблиця цін схема №1'!DH28</f>
        <v>32</v>
      </c>
      <c r="AX28" s="380">
        <f>'Таблиця цін схема №1'!DI28</f>
        <v>1</v>
      </c>
      <c r="AY28" s="47">
        <f>'Таблиця цін схема №1'!DL28</f>
        <v>20</v>
      </c>
      <c r="AZ28" s="380">
        <f>'Таблиця цін схема №1'!DM28</f>
        <v>1</v>
      </c>
      <c r="BA28" s="47">
        <f>'Таблиця цін схема №1'!DP28</f>
        <v>20</v>
      </c>
      <c r="BB28" s="380">
        <f>'Таблиця цін схема №1'!DQ28</f>
        <v>2</v>
      </c>
      <c r="BC28" s="47">
        <f>'Таблиця цін схема №1'!DT28</f>
        <v>20</v>
      </c>
      <c r="BD28" s="380">
        <f>'Таблиця цін схема №1'!DU28</f>
        <v>2</v>
      </c>
      <c r="BE28" s="47">
        <f>'Таблиця цін схема №1'!DX28</f>
        <v>15</v>
      </c>
      <c r="BF28" s="380">
        <f>'Таблиця цін схема №1'!DY28</f>
        <v>10</v>
      </c>
      <c r="BG28" s="47">
        <f>'Таблиця цін схема №1'!EB28</f>
        <v>15</v>
      </c>
      <c r="BH28" s="380">
        <f>'Таблиця цін схема №1'!EC28</f>
        <v>40</v>
      </c>
      <c r="BI28" s="47">
        <f>'Таблиця цін схема №1'!EF28</f>
        <v>65</v>
      </c>
      <c r="BJ28" s="380">
        <f>'Таблиця цін схема №1'!EG28</f>
        <v>1</v>
      </c>
      <c r="BK28" s="47">
        <f>'Таблиця цін схема №1'!EJ28</f>
        <v>32</v>
      </c>
      <c r="BL28" s="380">
        <f>'Таблиця цін схема №1'!EK28</f>
        <v>1</v>
      </c>
      <c r="BM28" s="47">
        <f>'Таблиця цін схема №1'!EN28</f>
        <v>20</v>
      </c>
      <c r="BN28" s="380">
        <f>'Таблиця цін схема №1'!EO28</f>
        <v>1</v>
      </c>
    </row>
    <row r="29" spans="1:66">
      <c r="A29" s="1115">
        <f>'Таблиця цін схема №1'!B29</f>
        <v>76</v>
      </c>
      <c r="B29" s="1115" t="str">
        <f>'Таблиця цін схема №1'!C29</f>
        <v>1a (а) Leningradskaya Street</v>
      </c>
      <c r="C29" s="47">
        <f>'Таблиця цін схема №1'!AB29</f>
        <v>65</v>
      </c>
      <c r="D29" s="380">
        <f>'Таблиця цін схема №1'!AC29</f>
        <v>2</v>
      </c>
      <c r="E29" s="47">
        <f>'Таблиця цін схема №1'!AF29</f>
        <v>65</v>
      </c>
      <c r="F29" s="380">
        <f>'Таблиця цін схема №1'!AG29</f>
        <v>2</v>
      </c>
      <c r="G29" s="47">
        <f>'Таблиця цін схема №1'!AJ29</f>
        <v>65</v>
      </c>
      <c r="H29" s="78" t="s">
        <v>115</v>
      </c>
      <c r="I29" s="47">
        <f>'Таблиця цін схема №1'!AN29</f>
        <v>40</v>
      </c>
      <c r="J29" s="380">
        <f>'Таблиця цін схема №1'!AO29</f>
        <v>1</v>
      </c>
      <c r="K29" s="47">
        <f>'Таблиця цін схема №1'!AR29</f>
        <v>40</v>
      </c>
      <c r="L29" s="380">
        <f>'Таблиця цін схема №1'!AS29</f>
        <v>4</v>
      </c>
      <c r="M29" s="47" t="str">
        <f>'Таблиця цін схема №1'!AV29</f>
        <v>AMV20</v>
      </c>
      <c r="N29" s="380">
        <f>'Таблиця цін схема №1'!AW29</f>
        <v>1</v>
      </c>
      <c r="O29" s="47">
        <f>'Таблиця цін схема №1'!AZ29</f>
        <v>10</v>
      </c>
      <c r="P29" s="379">
        <f>'Таблиця цін схема №1'!BA29</f>
        <v>25</v>
      </c>
      <c r="Q29" s="380">
        <f>'Таблиця цін схема №1'!BB29</f>
        <v>1</v>
      </c>
      <c r="R29" s="47">
        <f>'Таблиця цін схема №1'!BE29</f>
        <v>8</v>
      </c>
      <c r="S29" s="379">
        <f>'Таблиця цін схема №1'!BF29</f>
        <v>25</v>
      </c>
      <c r="T29" s="380">
        <f>'Таблиця цін схема №1'!BG29</f>
        <v>1</v>
      </c>
      <c r="U29" s="47" t="str">
        <f>'Таблиця цін схема №1'!BJ29</f>
        <v>AMV33</v>
      </c>
      <c r="V29" s="380">
        <f>'Таблиця цін схема №1'!BK29</f>
        <v>1</v>
      </c>
      <c r="W29" s="47">
        <f>'Таблиця цін схема №1'!BN29</f>
        <v>16</v>
      </c>
      <c r="X29" s="379">
        <f>'Таблиця цін схема №1'!BO29</f>
        <v>32</v>
      </c>
      <c r="Y29" s="380">
        <f>'Таблиця цін схема №1'!BP29</f>
        <v>1</v>
      </c>
      <c r="Z29" s="47">
        <f>'Таблиця цін схема №1'!BS29</f>
        <v>12.5</v>
      </c>
      <c r="AA29" s="379">
        <f>'Таблиця цін схема №1'!BT29</f>
        <v>32</v>
      </c>
      <c r="AB29" s="78">
        <f>'Таблиця цін схема №1'!BU29</f>
        <v>1</v>
      </c>
      <c r="AC29" s="47" t="str">
        <f>'Таблиця цін схема №1'!BX29</f>
        <v>-</v>
      </c>
      <c r="AD29" s="379" t="str">
        <f>'Таблиця цін схема №1'!BY29</f>
        <v>-</v>
      </c>
      <c r="AE29" s="379" t="str">
        <f>'Таблиця цін схема №1'!BZ29</f>
        <v>existed</v>
      </c>
      <c r="AF29" s="380" t="s">
        <v>115</v>
      </c>
      <c r="AG29" s="47">
        <f>'Таблиця цін схема №1'!CD29</f>
        <v>40</v>
      </c>
      <c r="AH29" s="379">
        <f>'Таблиця цін схема №1'!CE29</f>
        <v>10</v>
      </c>
      <c r="AI29" s="379" t="str">
        <f>'Таблиця цін схема №1'!CF29</f>
        <v>Pt500</v>
      </c>
      <c r="AJ29" s="380">
        <f>'Таблиця цін схема №1'!CG29</f>
        <v>1</v>
      </c>
      <c r="AK29" s="1168" t="str">
        <f>'Таблиця цін схема №1'!CJ29</f>
        <v xml:space="preserve">ЕІ-ТО-16+029M50HS-255000 </v>
      </c>
      <c r="AL29" s="380">
        <f>'Таблиця цін схема №1'!CK29</f>
        <v>1</v>
      </c>
      <c r="AM29" s="1168" t="str">
        <f>'Таблиця цін схема №1'!CN29</f>
        <v>ЕІ-ТО-16+017M30HS-242000</v>
      </c>
      <c r="AN29" s="380">
        <f>'Таблиця цін схема №1'!CO29</f>
        <v>1</v>
      </c>
      <c r="AO29" s="47">
        <f>'Таблиця цін схема №1'!CR29</f>
        <v>65</v>
      </c>
      <c r="AP29" s="380">
        <f>'Таблиця цін схема №1'!CS29</f>
        <v>4</v>
      </c>
      <c r="AQ29" s="47">
        <f>'Таблиця цін схема №1'!CV29</f>
        <v>40</v>
      </c>
      <c r="AR29" s="380">
        <f>'Таблиця цін схема №1'!CW29</f>
        <v>6</v>
      </c>
      <c r="AS29" s="47">
        <f>'Таблиця цін схема №1'!CZ29</f>
        <v>25</v>
      </c>
      <c r="AT29" s="78">
        <f>'Таблиця цін схема №1'!DA29</f>
        <v>3</v>
      </c>
      <c r="AU29" s="47">
        <f>'Таблиця цін схема №1'!DD29</f>
        <v>50</v>
      </c>
      <c r="AV29" s="380">
        <f>'Таблиця цін схема №1'!DE29</f>
        <v>4</v>
      </c>
      <c r="AW29" s="47">
        <f>'Таблиця цін схема №1'!DH29</f>
        <v>32</v>
      </c>
      <c r="AX29" s="380">
        <f>'Таблиця цін схема №1'!DI29</f>
        <v>1</v>
      </c>
      <c r="AY29" s="47">
        <f>'Таблиця цін схема №1'!DL29</f>
        <v>25</v>
      </c>
      <c r="AZ29" s="380">
        <f>'Таблиця цін схема №1'!DM29</f>
        <v>1</v>
      </c>
      <c r="BA29" s="47">
        <f>'Таблиця цін схема №1'!DP29</f>
        <v>25</v>
      </c>
      <c r="BB29" s="380">
        <f>'Таблиця цін схема №1'!DQ29</f>
        <v>2</v>
      </c>
      <c r="BC29" s="47">
        <f>'Таблиця цін схема №1'!DT29</f>
        <v>20</v>
      </c>
      <c r="BD29" s="380">
        <f>'Таблиця цін схема №1'!DU29</f>
        <v>2</v>
      </c>
      <c r="BE29" s="47">
        <f>'Таблиця цін схема №1'!DX29</f>
        <v>15</v>
      </c>
      <c r="BF29" s="380">
        <f>'Таблиця цін схема №1'!DY29</f>
        <v>10</v>
      </c>
      <c r="BG29" s="47">
        <f>'Таблиця цін схема №1'!EB29</f>
        <v>15</v>
      </c>
      <c r="BH29" s="380">
        <f>'Таблиця цін схема №1'!EC29</f>
        <v>38</v>
      </c>
      <c r="BI29" s="47">
        <f>'Таблиця цін схема №1'!EF29</f>
        <v>65</v>
      </c>
      <c r="BJ29" s="380">
        <f>'Таблиця цін схема №1'!EG29</f>
        <v>1</v>
      </c>
      <c r="BK29" s="47">
        <f>'Таблиця цін схема №1'!EJ29</f>
        <v>40</v>
      </c>
      <c r="BL29" s="380">
        <f>'Таблиця цін схема №1'!EK29</f>
        <v>1</v>
      </c>
      <c r="BM29" s="47">
        <f>'Таблиця цін схема №1'!EN29</f>
        <v>25</v>
      </c>
      <c r="BN29" s="380">
        <f>'Таблиця цін схема №1'!EO29</f>
        <v>1</v>
      </c>
    </row>
    <row r="30" spans="1:66">
      <c r="A30" s="1115">
        <f>'Таблиця цін схема №1'!B30</f>
        <v>77</v>
      </c>
      <c r="B30" s="1115" t="str">
        <f>'Таблиця цін схема №1'!C30</f>
        <v>1b (б) Leningradskaya Street</v>
      </c>
      <c r="C30" s="47">
        <f>'Таблиця цін схема №1'!AB30</f>
        <v>65</v>
      </c>
      <c r="D30" s="380">
        <f>'Таблиця цін схема №1'!AC30</f>
        <v>2</v>
      </c>
      <c r="E30" s="47">
        <f>'Таблиця цін схема №1'!AF30</f>
        <v>65</v>
      </c>
      <c r="F30" s="380">
        <f>'Таблиця цін схема №1'!AG30</f>
        <v>2</v>
      </c>
      <c r="G30" s="47">
        <f>'Таблиця цін схема №1'!AJ30</f>
        <v>65</v>
      </c>
      <c r="H30" s="78" t="s">
        <v>115</v>
      </c>
      <c r="I30" s="47">
        <f>'Таблиця цін схема №1'!AN30</f>
        <v>40</v>
      </c>
      <c r="J30" s="380">
        <f>'Таблиця цін схема №1'!AO30</f>
        <v>1</v>
      </c>
      <c r="K30" s="47">
        <f>'Таблиця цін схема №1'!AR30</f>
        <v>40</v>
      </c>
      <c r="L30" s="380">
        <f>'Таблиця цін схема №1'!AS30</f>
        <v>4</v>
      </c>
      <c r="M30" s="47" t="str">
        <f>'Таблиця цін схема №1'!AV30</f>
        <v>AMV20</v>
      </c>
      <c r="N30" s="380">
        <f>'Таблиця цін схема №1'!AW30</f>
        <v>1</v>
      </c>
      <c r="O30" s="47">
        <f>'Таблиця цін схема №1'!AZ30</f>
        <v>10</v>
      </c>
      <c r="P30" s="379">
        <f>'Таблиця цін схема №1'!BA30</f>
        <v>25</v>
      </c>
      <c r="Q30" s="380">
        <f>'Таблиця цін схема №1'!BB30</f>
        <v>1</v>
      </c>
      <c r="R30" s="47">
        <f>'Таблиця цін схема №1'!BE30</f>
        <v>12.5</v>
      </c>
      <c r="S30" s="379">
        <f>'Таблиця цін схема №1'!BF30</f>
        <v>32</v>
      </c>
      <c r="T30" s="380">
        <f>'Таблиця цін схема №1'!BG30</f>
        <v>1</v>
      </c>
      <c r="U30" s="47" t="str">
        <f>'Таблиця цін схема №1'!BJ30</f>
        <v>AMV33</v>
      </c>
      <c r="V30" s="380">
        <f>'Таблиця цін схема №1'!BK30</f>
        <v>1</v>
      </c>
      <c r="W30" s="47">
        <f>'Таблиця цін схема №1'!BN30</f>
        <v>16</v>
      </c>
      <c r="X30" s="379">
        <f>'Таблиця цін схема №1'!BO30</f>
        <v>32</v>
      </c>
      <c r="Y30" s="380">
        <f>'Таблиця цін схема №1'!BP30</f>
        <v>1</v>
      </c>
      <c r="Z30" s="47">
        <f>'Таблиця цін схема №1'!BS30</f>
        <v>12.5</v>
      </c>
      <c r="AA30" s="379">
        <f>'Таблиця цін схема №1'!BT30</f>
        <v>32</v>
      </c>
      <c r="AB30" s="78">
        <f>'Таблиця цін схема №1'!BU30</f>
        <v>1</v>
      </c>
      <c r="AC30" s="47" t="str">
        <f>'Таблиця цін схема №1'!BX30</f>
        <v>-</v>
      </c>
      <c r="AD30" s="379" t="str">
        <f>'Таблиця цін схема №1'!BY30</f>
        <v>-</v>
      </c>
      <c r="AE30" s="379" t="str">
        <f>'Таблиця цін схема №1'!BZ30</f>
        <v>existed</v>
      </c>
      <c r="AF30" s="380" t="s">
        <v>115</v>
      </c>
      <c r="AG30" s="47">
        <f>'Таблиця цін схема №1'!CD30</f>
        <v>40</v>
      </c>
      <c r="AH30" s="379">
        <f>'Таблиця цін схема №1'!CE30</f>
        <v>10</v>
      </c>
      <c r="AI30" s="379" t="str">
        <f>'Таблиця цін схема №1'!CF30</f>
        <v>Pt500</v>
      </c>
      <c r="AJ30" s="380">
        <f>'Таблиця цін схема №1'!CG30</f>
        <v>1</v>
      </c>
      <c r="AK30" s="1168" t="str">
        <f>'Таблиця цін схема №1'!CJ30</f>
        <v>ЕІ-ТО-16+033M50HS-283000</v>
      </c>
      <c r="AL30" s="380">
        <f>'Таблиця цін схема №1'!CK30</f>
        <v>1</v>
      </c>
      <c r="AM30" s="1168" t="str">
        <f>'Таблиця цін схема №1'!CN30</f>
        <v>ЕІ-ТО-16+017M30HS-242000</v>
      </c>
      <c r="AN30" s="380">
        <f>'Таблиця цін схема №1'!CO30</f>
        <v>1</v>
      </c>
      <c r="AO30" s="47">
        <f>'Таблиця цін схема №1'!CR30</f>
        <v>65</v>
      </c>
      <c r="AP30" s="380">
        <f>'Таблиця цін схема №1'!CS30</f>
        <v>4</v>
      </c>
      <c r="AQ30" s="47">
        <f>'Таблиця цін схема №1'!CV30</f>
        <v>40</v>
      </c>
      <c r="AR30" s="380">
        <f>'Таблиця цін схема №1'!CW30</f>
        <v>6</v>
      </c>
      <c r="AS30" s="47">
        <f>'Таблиця цін схема №1'!CZ30</f>
        <v>25</v>
      </c>
      <c r="AT30" s="78">
        <f>'Таблиця цін схема №1'!DA30</f>
        <v>3</v>
      </c>
      <c r="AU30" s="47">
        <f>'Таблиця цін схема №1'!DD30</f>
        <v>50</v>
      </c>
      <c r="AV30" s="380">
        <f>'Таблиця цін схема №1'!DE30</f>
        <v>4</v>
      </c>
      <c r="AW30" s="47">
        <f>'Таблиця цін схема №1'!DH30</f>
        <v>32</v>
      </c>
      <c r="AX30" s="380">
        <f>'Таблиця цін схема №1'!DI30</f>
        <v>1</v>
      </c>
      <c r="AY30" s="47">
        <f>'Таблиця цін схема №1'!DL30</f>
        <v>25</v>
      </c>
      <c r="AZ30" s="380">
        <f>'Таблиця цін схема №1'!DM30</f>
        <v>1</v>
      </c>
      <c r="BA30" s="47">
        <f>'Таблиця цін схема №1'!DP30</f>
        <v>25</v>
      </c>
      <c r="BB30" s="380">
        <f>'Таблиця цін схема №1'!DQ30</f>
        <v>2</v>
      </c>
      <c r="BC30" s="47">
        <f>'Таблиця цін схема №1'!DT30</f>
        <v>20</v>
      </c>
      <c r="BD30" s="380">
        <f>'Таблиця цін схема №1'!DU30</f>
        <v>2</v>
      </c>
      <c r="BE30" s="47">
        <f>'Таблиця цін схема №1'!DX30</f>
        <v>15</v>
      </c>
      <c r="BF30" s="380">
        <f>'Таблиця цін схема №1'!DY30</f>
        <v>10</v>
      </c>
      <c r="BG30" s="47">
        <f>'Таблиця цін схема №1'!EB30</f>
        <v>15</v>
      </c>
      <c r="BH30" s="380">
        <f>'Таблиця цін схема №1'!EC30</f>
        <v>38</v>
      </c>
      <c r="BI30" s="47">
        <f>'Таблиця цін схема №1'!EF30</f>
        <v>65</v>
      </c>
      <c r="BJ30" s="380">
        <f>'Таблиця цін схема №1'!EG30</f>
        <v>1</v>
      </c>
      <c r="BK30" s="47">
        <f>'Таблиця цін схема №1'!EJ30</f>
        <v>40</v>
      </c>
      <c r="BL30" s="380">
        <f>'Таблиця цін схема №1'!EK30</f>
        <v>1</v>
      </c>
      <c r="BM30" s="47">
        <f>'Таблиця цін схема №1'!EN30</f>
        <v>25</v>
      </c>
      <c r="BN30" s="380">
        <f>'Таблиця цін схема №1'!EO30</f>
        <v>1</v>
      </c>
    </row>
    <row r="31" spans="1:66">
      <c r="A31" s="1115">
        <f>'Таблиця цін схема №1'!B31</f>
        <v>78</v>
      </c>
      <c r="B31" s="1115" t="str">
        <f>'Таблиця цін схема №1'!C31</f>
        <v>1v (в) Leningradskaya Street</v>
      </c>
      <c r="C31" s="47">
        <f>'Таблиця цін схема №1'!AB31</f>
        <v>65</v>
      </c>
      <c r="D31" s="380">
        <f>'Таблиця цін схема №1'!AC31</f>
        <v>2</v>
      </c>
      <c r="E31" s="47">
        <f>'Таблиця цін схема №1'!AF31</f>
        <v>65</v>
      </c>
      <c r="F31" s="380">
        <f>'Таблиця цін схема №1'!AG31</f>
        <v>2</v>
      </c>
      <c r="G31" s="47">
        <f>'Таблиця цін схема №1'!AJ31</f>
        <v>65</v>
      </c>
      <c r="H31" s="78" t="s">
        <v>115</v>
      </c>
      <c r="I31" s="47">
        <f>'Таблиця цін схема №1'!AN31</f>
        <v>40</v>
      </c>
      <c r="J31" s="380">
        <f>'Таблиця цін схема №1'!AO31</f>
        <v>1</v>
      </c>
      <c r="K31" s="47">
        <f>'Таблиця цін схема №1'!AR31</f>
        <v>40</v>
      </c>
      <c r="L31" s="380">
        <f>'Таблиця цін схема №1'!AS31</f>
        <v>4</v>
      </c>
      <c r="M31" s="47" t="str">
        <f>'Таблиця цін схема №1'!AV31</f>
        <v>AMV20</v>
      </c>
      <c r="N31" s="380">
        <f>'Таблиця цін схема №1'!AW31</f>
        <v>1</v>
      </c>
      <c r="O31" s="47">
        <f>'Таблиця цін схема №1'!AZ31</f>
        <v>10</v>
      </c>
      <c r="P31" s="379">
        <f>'Таблиця цін схема №1'!BA31</f>
        <v>25</v>
      </c>
      <c r="Q31" s="380">
        <f>'Таблиця цін схема №1'!BB31</f>
        <v>1</v>
      </c>
      <c r="R31" s="47">
        <f>'Таблиця цін схема №1'!BE31</f>
        <v>12.5</v>
      </c>
      <c r="S31" s="379">
        <f>'Таблиця цін схема №1'!BF31</f>
        <v>32</v>
      </c>
      <c r="T31" s="380">
        <f>'Таблиця цін схема №1'!BG31</f>
        <v>1</v>
      </c>
      <c r="U31" s="47" t="str">
        <f>'Таблиця цін схема №1'!BJ31</f>
        <v>AMV33</v>
      </c>
      <c r="V31" s="380">
        <f>'Таблиця цін схема №1'!BK31</f>
        <v>1</v>
      </c>
      <c r="W31" s="47">
        <f>'Таблиця цін схема №1'!BN31</f>
        <v>16</v>
      </c>
      <c r="X31" s="379">
        <f>'Таблиця цін схема №1'!BO31</f>
        <v>32</v>
      </c>
      <c r="Y31" s="380">
        <f>'Таблиця цін схема №1'!BP31</f>
        <v>1</v>
      </c>
      <c r="Z31" s="47">
        <f>'Таблиця цін схема №1'!BS31</f>
        <v>12.5</v>
      </c>
      <c r="AA31" s="379">
        <f>'Таблиця цін схема №1'!BT31</f>
        <v>32</v>
      </c>
      <c r="AB31" s="78">
        <f>'Таблиця цін схема №1'!BU31</f>
        <v>1</v>
      </c>
      <c r="AC31" s="47" t="str">
        <f>'Таблиця цін схема №1'!BX31</f>
        <v>-</v>
      </c>
      <c r="AD31" s="379" t="str">
        <f>'Таблиця цін схема №1'!BY31</f>
        <v>-</v>
      </c>
      <c r="AE31" s="379" t="str">
        <f>'Таблиця цін схема №1'!BZ31</f>
        <v>existed</v>
      </c>
      <c r="AF31" s="380" t="s">
        <v>115</v>
      </c>
      <c r="AG31" s="47">
        <f>'Таблиця цін схема №1'!CD31</f>
        <v>40</v>
      </c>
      <c r="AH31" s="379">
        <f>'Таблиця цін схема №1'!CE31</f>
        <v>10</v>
      </c>
      <c r="AI31" s="379" t="str">
        <f>'Таблиця цін схема №1'!CF31</f>
        <v>Pt500</v>
      </c>
      <c r="AJ31" s="380">
        <f>'Таблиця цін схема №1'!CG31</f>
        <v>1</v>
      </c>
      <c r="AK31" s="1168" t="str">
        <f>'Таблиця цін схема №1'!CJ31</f>
        <v>ЕІ-ТО-16+031M50HS-277000</v>
      </c>
      <c r="AL31" s="380">
        <f>'Таблиця цін схема №1'!CK31</f>
        <v>1</v>
      </c>
      <c r="AM31" s="1168" t="str">
        <f>'Таблиця цін схема №1'!CN31</f>
        <v>ЕІ-ТО-16+017M30HS-242000</v>
      </c>
      <c r="AN31" s="380">
        <f>'Таблиця цін схема №1'!CO31</f>
        <v>1</v>
      </c>
      <c r="AO31" s="47">
        <f>'Таблиця цін схема №1'!CR31</f>
        <v>65</v>
      </c>
      <c r="AP31" s="380">
        <f>'Таблиця цін схема №1'!CS31</f>
        <v>4</v>
      </c>
      <c r="AQ31" s="47">
        <f>'Таблиця цін схема №1'!CV31</f>
        <v>40</v>
      </c>
      <c r="AR31" s="380">
        <f>'Таблиця цін схема №1'!CW31</f>
        <v>6</v>
      </c>
      <c r="AS31" s="47">
        <f>'Таблиця цін схема №1'!CZ31</f>
        <v>25</v>
      </c>
      <c r="AT31" s="78">
        <f>'Таблиця цін схема №1'!DA31</f>
        <v>3</v>
      </c>
      <c r="AU31" s="47">
        <f>'Таблиця цін схема №1'!DD31</f>
        <v>50</v>
      </c>
      <c r="AV31" s="380">
        <f>'Таблиця цін схема №1'!DE31</f>
        <v>4</v>
      </c>
      <c r="AW31" s="47">
        <f>'Таблиця цін схема №1'!DH31</f>
        <v>32</v>
      </c>
      <c r="AX31" s="380">
        <f>'Таблиця цін схема №1'!DI31</f>
        <v>1</v>
      </c>
      <c r="AY31" s="47">
        <f>'Таблиця цін схема №1'!DL31</f>
        <v>25</v>
      </c>
      <c r="AZ31" s="380">
        <f>'Таблиця цін схема №1'!DM31</f>
        <v>1</v>
      </c>
      <c r="BA31" s="47">
        <f>'Таблиця цін схема №1'!DP31</f>
        <v>25</v>
      </c>
      <c r="BB31" s="380">
        <f>'Таблиця цін схема №1'!DQ31</f>
        <v>2</v>
      </c>
      <c r="BC31" s="47">
        <f>'Таблиця цін схема №1'!DT31</f>
        <v>20</v>
      </c>
      <c r="BD31" s="380">
        <f>'Таблиця цін схема №1'!DU31</f>
        <v>2</v>
      </c>
      <c r="BE31" s="47">
        <f>'Таблиця цін схема №1'!DX31</f>
        <v>15</v>
      </c>
      <c r="BF31" s="380">
        <f>'Таблиця цін схема №1'!DY31</f>
        <v>10</v>
      </c>
      <c r="BG31" s="47">
        <f>'Таблиця цін схема №1'!EB31</f>
        <v>15</v>
      </c>
      <c r="BH31" s="380">
        <f>'Таблиця цін схема №1'!EC31</f>
        <v>38</v>
      </c>
      <c r="BI31" s="47">
        <f>'Таблиця цін схема №1'!EF31</f>
        <v>65</v>
      </c>
      <c r="BJ31" s="380">
        <f>'Таблиця цін схема №1'!EG31</f>
        <v>1</v>
      </c>
      <c r="BK31" s="47">
        <f>'Таблиця цін схема №1'!EJ31</f>
        <v>40</v>
      </c>
      <c r="BL31" s="380">
        <f>'Таблиця цін схема №1'!EK31</f>
        <v>1</v>
      </c>
      <c r="BM31" s="47">
        <f>'Таблиця цін схема №1'!EN31</f>
        <v>25</v>
      </c>
      <c r="BN31" s="380">
        <f>'Таблиця цін схема №1'!EO31</f>
        <v>1</v>
      </c>
    </row>
    <row r="32" spans="1:66">
      <c r="A32" s="1115">
        <f>'Таблиця цін схема №1'!B32</f>
        <v>79</v>
      </c>
      <c r="B32" s="1115" t="str">
        <f>'Таблиця цін схема №1'!C32</f>
        <v>3a (а) Leningradskaya Street</v>
      </c>
      <c r="C32" s="47">
        <f>'Таблиця цін схема №1'!AB32</f>
        <v>65</v>
      </c>
      <c r="D32" s="380">
        <f>'Таблиця цін схема №1'!AC32</f>
        <v>2</v>
      </c>
      <c r="E32" s="47">
        <f>'Таблиця цін схема №1'!AF32</f>
        <v>65</v>
      </c>
      <c r="F32" s="380">
        <f>'Таблиця цін схема №1'!AG32</f>
        <v>2</v>
      </c>
      <c r="G32" s="47">
        <f>'Таблиця цін схема №1'!AJ32</f>
        <v>65</v>
      </c>
      <c r="H32" s="78" t="s">
        <v>115</v>
      </c>
      <c r="I32" s="47">
        <f>'Таблиця цін схема №1'!AN32</f>
        <v>40</v>
      </c>
      <c r="J32" s="380">
        <f>'Таблиця цін схема №1'!AO32</f>
        <v>1</v>
      </c>
      <c r="K32" s="47">
        <f>'Таблиця цін схема №1'!AR32</f>
        <v>40</v>
      </c>
      <c r="L32" s="380">
        <f>'Таблиця цін схема №1'!AS32</f>
        <v>4</v>
      </c>
      <c r="M32" s="47" t="str">
        <f>'Таблиця цін схема №1'!AV32</f>
        <v>AMV20</v>
      </c>
      <c r="N32" s="380">
        <f>'Таблиця цін схема №1'!AW32</f>
        <v>1</v>
      </c>
      <c r="O32" s="47">
        <f>'Таблиця цін схема №1'!AZ32</f>
        <v>10</v>
      </c>
      <c r="P32" s="379">
        <f>'Таблиця цін схема №1'!BA32</f>
        <v>25</v>
      </c>
      <c r="Q32" s="380">
        <f>'Таблиця цін схема №1'!BB32</f>
        <v>1</v>
      </c>
      <c r="R32" s="47">
        <f>'Таблиця цін схема №1'!BE32</f>
        <v>8</v>
      </c>
      <c r="S32" s="379">
        <f>'Таблиця цін схема №1'!BF32</f>
        <v>25</v>
      </c>
      <c r="T32" s="380">
        <f>'Таблиця цін схема №1'!BG32</f>
        <v>1</v>
      </c>
      <c r="U32" s="47" t="str">
        <f>'Таблиця цін схема №1'!BJ32</f>
        <v>AMV33</v>
      </c>
      <c r="V32" s="380">
        <f>'Таблиця цін схема №1'!BK32</f>
        <v>1</v>
      </c>
      <c r="W32" s="47">
        <f>'Таблиця цін схема №1'!BN32</f>
        <v>10</v>
      </c>
      <c r="X32" s="379">
        <f>'Таблиця цін схема №1'!BO32</f>
        <v>25</v>
      </c>
      <c r="Y32" s="380">
        <f>'Таблиця цін схема №1'!BP32</f>
        <v>1</v>
      </c>
      <c r="Z32" s="47">
        <f>'Таблиця цін схема №1'!BS32</f>
        <v>12.5</v>
      </c>
      <c r="AA32" s="379">
        <f>'Таблиця цін схема №1'!BT32</f>
        <v>32</v>
      </c>
      <c r="AB32" s="78">
        <f>'Таблиця цін схема №1'!BU32</f>
        <v>1</v>
      </c>
      <c r="AC32" s="47" t="str">
        <f>'Таблиця цін схема №1'!BX32</f>
        <v>-</v>
      </c>
      <c r="AD32" s="379" t="str">
        <f>'Таблиця цін схема №1'!BY32</f>
        <v>-</v>
      </c>
      <c r="AE32" s="379" t="str">
        <f>'Таблиця цін схема №1'!BZ32</f>
        <v>existed</v>
      </c>
      <c r="AF32" s="380" t="s">
        <v>115</v>
      </c>
      <c r="AG32" s="47">
        <f>'Таблиця цін схема №1'!CD32</f>
        <v>25</v>
      </c>
      <c r="AH32" s="379">
        <f>'Таблиця цін схема №1'!CE32</f>
        <v>6</v>
      </c>
      <c r="AI32" s="379" t="str">
        <f>'Таблиця цін схема №1'!CF32</f>
        <v>Pt500</v>
      </c>
      <c r="AJ32" s="380">
        <f>'Таблиця цін схема №1'!CG32</f>
        <v>1</v>
      </c>
      <c r="AK32" s="1168" t="str">
        <f>'Таблиця цін схема №1'!CJ32</f>
        <v>ЕІ-ТО-16+027M50HS-241000</v>
      </c>
      <c r="AL32" s="380">
        <f>'Таблиця цін схема №1'!CK32</f>
        <v>1</v>
      </c>
      <c r="AM32" s="1168" t="str">
        <f>'Таблиця цін схема №1'!CN32</f>
        <v>ЕІ-ТО-16+015M30HS-223000</v>
      </c>
      <c r="AN32" s="380">
        <f>'Таблиця цін схема №1'!CO32</f>
        <v>1</v>
      </c>
      <c r="AO32" s="47">
        <f>'Таблиця цін схема №1'!CR32</f>
        <v>65</v>
      </c>
      <c r="AP32" s="380">
        <f>'Таблиця цін схема №1'!CS32</f>
        <v>4</v>
      </c>
      <c r="AQ32" s="47">
        <f>'Таблиця цін схема №1'!CV32</f>
        <v>40</v>
      </c>
      <c r="AR32" s="380">
        <f>'Таблиця цін схема №1'!CW32</f>
        <v>6</v>
      </c>
      <c r="AS32" s="47">
        <f>'Таблиця цін схема №1'!CZ32</f>
        <v>25</v>
      </c>
      <c r="AT32" s="78">
        <f>'Таблиця цін схема №1'!DA32</f>
        <v>3</v>
      </c>
      <c r="AU32" s="47">
        <f>'Таблиця цін схема №1'!DD32</f>
        <v>40</v>
      </c>
      <c r="AV32" s="380">
        <f>'Таблиця цін схема №1'!DE32</f>
        <v>4</v>
      </c>
      <c r="AW32" s="47">
        <f>'Таблиця цін схема №1'!DH32</f>
        <v>32</v>
      </c>
      <c r="AX32" s="380">
        <f>'Таблиця цін схема №1'!DI32</f>
        <v>1</v>
      </c>
      <c r="AY32" s="47">
        <f>'Таблиця цін схема №1'!DL32</f>
        <v>20</v>
      </c>
      <c r="AZ32" s="380">
        <f>'Таблиця цін схема №1'!DM32</f>
        <v>1</v>
      </c>
      <c r="BA32" s="47">
        <f>'Таблиця цін схема №1'!DP32</f>
        <v>20</v>
      </c>
      <c r="BB32" s="380">
        <f>'Таблиця цін схема №1'!DQ32</f>
        <v>2</v>
      </c>
      <c r="BC32" s="47">
        <f>'Таблиця цін схема №1'!DT32</f>
        <v>20</v>
      </c>
      <c r="BD32" s="380">
        <f>'Таблиця цін схема №1'!DU32</f>
        <v>2</v>
      </c>
      <c r="BE32" s="47">
        <f>'Таблиця цін схема №1'!DX32</f>
        <v>15</v>
      </c>
      <c r="BF32" s="380">
        <f>'Таблиця цін схема №1'!DY32</f>
        <v>10</v>
      </c>
      <c r="BG32" s="47">
        <f>'Таблиця цін схема №1'!EB32</f>
        <v>15</v>
      </c>
      <c r="BH32" s="380">
        <f>'Таблиця цін схема №1'!EC32</f>
        <v>38</v>
      </c>
      <c r="BI32" s="47">
        <f>'Таблиця цін схема №1'!EF32</f>
        <v>65</v>
      </c>
      <c r="BJ32" s="380">
        <f>'Таблиця цін схема №1'!EG32</f>
        <v>1</v>
      </c>
      <c r="BK32" s="47">
        <f>'Таблиця цін схема №1'!EJ32</f>
        <v>40</v>
      </c>
      <c r="BL32" s="380">
        <f>'Таблиця цін схема №1'!EK32</f>
        <v>1</v>
      </c>
      <c r="BM32" s="47">
        <f>'Таблиця цін схема №1'!EN32</f>
        <v>25</v>
      </c>
      <c r="BN32" s="380">
        <f>'Таблиця цін схема №1'!EO32</f>
        <v>1</v>
      </c>
    </row>
    <row r="33" spans="1:129">
      <c r="A33" s="1115">
        <f>'Таблиця цін схема №1'!B33</f>
        <v>80</v>
      </c>
      <c r="B33" s="1115" t="str">
        <f>'Таблиця цін схема №1'!C33</f>
        <v>3b (б) Leningradskaya Street</v>
      </c>
      <c r="C33" s="47">
        <f>'Таблиця цін схема №1'!AB33</f>
        <v>65</v>
      </c>
      <c r="D33" s="380">
        <f>'Таблиця цін схема №1'!AC33</f>
        <v>2</v>
      </c>
      <c r="E33" s="47">
        <f>'Таблиця цін схема №1'!AF33</f>
        <v>65</v>
      </c>
      <c r="F33" s="380">
        <f>'Таблиця цін схема №1'!AG33</f>
        <v>2</v>
      </c>
      <c r="G33" s="47">
        <f>'Таблиця цін схема №1'!AJ33</f>
        <v>65</v>
      </c>
      <c r="H33" s="78">
        <f>'Таблиця цін схема №1'!AK33</f>
        <v>1</v>
      </c>
      <c r="I33" s="47">
        <f>'Таблиця цін схема №1'!AN33</f>
        <v>40</v>
      </c>
      <c r="J33" s="380">
        <f>'Таблиця цін схема №1'!AO33</f>
        <v>3</v>
      </c>
      <c r="K33" s="47">
        <f>'Таблиця цін схема №1'!AR33</f>
        <v>40</v>
      </c>
      <c r="L33" s="380">
        <f>'Таблиця цін схема №1'!AS33</f>
        <v>4</v>
      </c>
      <c r="M33" s="47" t="str">
        <f>'Таблиця цін схема №1'!AV33</f>
        <v>AMV20</v>
      </c>
      <c r="N33" s="380">
        <f>'Таблиця цін схема №1'!AW33</f>
        <v>1</v>
      </c>
      <c r="O33" s="47">
        <f>'Таблиця цін схема №1'!AZ33</f>
        <v>10</v>
      </c>
      <c r="P33" s="379">
        <f>'Таблиця цін схема №1'!BA33</f>
        <v>25</v>
      </c>
      <c r="Q33" s="380">
        <f>'Таблиця цін схема №1'!BB33</f>
        <v>1</v>
      </c>
      <c r="R33" s="47">
        <f>'Таблиця цін схема №1'!BE33</f>
        <v>8</v>
      </c>
      <c r="S33" s="379">
        <f>'Таблиця цін схема №1'!BF33</f>
        <v>25</v>
      </c>
      <c r="T33" s="380">
        <f>'Таблиця цін схема №1'!BG33</f>
        <v>1</v>
      </c>
      <c r="U33" s="47" t="str">
        <f>'Таблиця цін схема №1'!BJ33</f>
        <v>AMV33</v>
      </c>
      <c r="V33" s="380">
        <f>'Таблиця цін схема №1'!BK33</f>
        <v>1</v>
      </c>
      <c r="W33" s="47">
        <f>'Таблиця цін схема №1'!BN33</f>
        <v>10</v>
      </c>
      <c r="X33" s="379">
        <f>'Таблиця цін схема №1'!BO33</f>
        <v>25</v>
      </c>
      <c r="Y33" s="380">
        <f>'Таблиця цін схема №1'!BP33</f>
        <v>1</v>
      </c>
      <c r="Z33" s="47">
        <f>'Таблиця цін схема №1'!BS33</f>
        <v>12.5</v>
      </c>
      <c r="AA33" s="379">
        <f>'Таблиця цін схема №1'!BT33</f>
        <v>32</v>
      </c>
      <c r="AB33" s="78">
        <f>'Таблиця цін схема №1'!BU33</f>
        <v>1</v>
      </c>
      <c r="AC33" s="47" t="str">
        <f>'Таблиця цін схема №1'!BX33</f>
        <v>-</v>
      </c>
      <c r="AD33" s="379" t="str">
        <f>'Таблиця цін схема №1'!BY33</f>
        <v>-</v>
      </c>
      <c r="AE33" s="379" t="str">
        <f>'Таблиця цін схема №1'!BZ33</f>
        <v>existed</v>
      </c>
      <c r="AF33" s="380" t="s">
        <v>115</v>
      </c>
      <c r="AG33" s="47">
        <f>'Таблиця цін схема №1'!CD33</f>
        <v>25</v>
      </c>
      <c r="AH33" s="379">
        <f>'Таблиця цін схема №1'!CE33</f>
        <v>6</v>
      </c>
      <c r="AI33" s="379" t="str">
        <f>'Таблиця цін схема №1'!CF33</f>
        <v>Pt500</v>
      </c>
      <c r="AJ33" s="380">
        <f>'Таблиця цін схема №1'!CG33</f>
        <v>1</v>
      </c>
      <c r="AK33" s="1168" t="str">
        <f>'Таблиця цін схема №1'!CJ33</f>
        <v>ЕІ-ТО-16+027M50HS-241000</v>
      </c>
      <c r="AL33" s="380">
        <f>'Таблиця цін схема №1'!CK33</f>
        <v>1</v>
      </c>
      <c r="AM33" s="1168" t="str">
        <f>'Таблиця цін схема №1'!CN33</f>
        <v>ЕІ-ТО-16+015M30HS-223000</v>
      </c>
      <c r="AN33" s="380">
        <f>'Таблиця цін схема №1'!CO33</f>
        <v>1</v>
      </c>
      <c r="AO33" s="47">
        <f>'Таблиця цін схема №1'!CR33</f>
        <v>65</v>
      </c>
      <c r="AP33" s="380">
        <f>'Таблиця цін схема №1'!CS33</f>
        <v>4</v>
      </c>
      <c r="AQ33" s="47">
        <f>'Таблиця цін схема №1'!CV33</f>
        <v>40</v>
      </c>
      <c r="AR33" s="380">
        <f>'Таблиця цін схема №1'!CW33</f>
        <v>6</v>
      </c>
      <c r="AS33" s="47">
        <f>'Таблиця цін схема №1'!CZ33</f>
        <v>25</v>
      </c>
      <c r="AT33" s="78">
        <f>'Таблиця цін схема №1'!DA33</f>
        <v>3</v>
      </c>
      <c r="AU33" s="47">
        <f>'Таблиця цін схема №1'!DD33</f>
        <v>40</v>
      </c>
      <c r="AV33" s="380">
        <f>'Таблиця цін схема №1'!DE33</f>
        <v>4</v>
      </c>
      <c r="AW33" s="47">
        <f>'Таблиця цін схема №1'!DH33</f>
        <v>32</v>
      </c>
      <c r="AX33" s="380">
        <f>'Таблиця цін схема №1'!DI33</f>
        <v>1</v>
      </c>
      <c r="AY33" s="47">
        <f>'Таблиця цін схема №1'!DL33</f>
        <v>20</v>
      </c>
      <c r="AZ33" s="380">
        <f>'Таблиця цін схема №1'!DM33</f>
        <v>1</v>
      </c>
      <c r="BA33" s="47">
        <f>'Таблиця цін схема №1'!DP33</f>
        <v>20</v>
      </c>
      <c r="BB33" s="380">
        <f>'Таблиця цін схема №1'!DQ33</f>
        <v>2</v>
      </c>
      <c r="BC33" s="47">
        <f>'Таблиця цін схема №1'!DT33</f>
        <v>20</v>
      </c>
      <c r="BD33" s="380">
        <f>'Таблиця цін схема №1'!DU33</f>
        <v>2</v>
      </c>
      <c r="BE33" s="47">
        <f>'Таблиця цін схема №1'!DX33</f>
        <v>15</v>
      </c>
      <c r="BF33" s="380">
        <f>'Таблиця цін схема №1'!DY33</f>
        <v>10</v>
      </c>
      <c r="BG33" s="47">
        <f>'Таблиця цін схема №1'!EB33</f>
        <v>15</v>
      </c>
      <c r="BH33" s="380">
        <f>'Таблиця цін схема №1'!EC33</f>
        <v>38</v>
      </c>
      <c r="BI33" s="47">
        <f>'Таблиця цін схема №1'!EF33</f>
        <v>65</v>
      </c>
      <c r="BJ33" s="380">
        <f>'Таблиця цін схема №1'!EG33</f>
        <v>1</v>
      </c>
      <c r="BK33" s="47">
        <f>'Таблиця цін схема №1'!EJ33</f>
        <v>40</v>
      </c>
      <c r="BL33" s="380">
        <f>'Таблиця цін схема №1'!EK33</f>
        <v>1</v>
      </c>
      <c r="BM33" s="47">
        <f>'Таблиця цін схема №1'!EN33</f>
        <v>25</v>
      </c>
      <c r="BN33" s="380">
        <f>'Таблиця цін схема №1'!EO33</f>
        <v>1</v>
      </c>
    </row>
    <row r="34" spans="1:129">
      <c r="A34" s="1115">
        <f>'Таблиця цін схема №1'!B34</f>
        <v>81</v>
      </c>
      <c r="B34" s="1115" t="str">
        <f>'Таблиця цін схема №1'!C34</f>
        <v>3v (в) Leningradskaya Street</v>
      </c>
      <c r="C34" s="47">
        <f>'Таблиця цін схема №1'!AB34</f>
        <v>65</v>
      </c>
      <c r="D34" s="380">
        <f>'Таблиця цін схема №1'!AC34</f>
        <v>2</v>
      </c>
      <c r="E34" s="47">
        <f>'Таблиця цін схема №1'!AF34</f>
        <v>65</v>
      </c>
      <c r="F34" s="380">
        <f>'Таблиця цін схема №1'!AG34</f>
        <v>2</v>
      </c>
      <c r="G34" s="47">
        <f>'Таблиця цін схема №1'!AJ34</f>
        <v>65</v>
      </c>
      <c r="H34" s="78" t="s">
        <v>115</v>
      </c>
      <c r="I34" s="47">
        <f>'Таблиця цін схема №1'!AN34</f>
        <v>40</v>
      </c>
      <c r="J34" s="380">
        <f>'Таблиця цін схема №1'!AO34</f>
        <v>1</v>
      </c>
      <c r="K34" s="47">
        <f>'Таблиця цін схема №1'!AR34</f>
        <v>40</v>
      </c>
      <c r="L34" s="380">
        <f>'Таблиця цін схема №1'!AS34</f>
        <v>4</v>
      </c>
      <c r="M34" s="47" t="str">
        <f>'Таблиця цін схема №1'!AV34</f>
        <v>AMV20</v>
      </c>
      <c r="N34" s="380">
        <f>'Таблиця цін схема №1'!AW34</f>
        <v>1</v>
      </c>
      <c r="O34" s="47">
        <f>'Таблиця цін схема №1'!AZ34</f>
        <v>10</v>
      </c>
      <c r="P34" s="379">
        <f>'Таблиця цін схема №1'!BA34</f>
        <v>25</v>
      </c>
      <c r="Q34" s="380">
        <f>'Таблиця цін схема №1'!BB34</f>
        <v>1</v>
      </c>
      <c r="R34" s="47">
        <f>'Таблиця цін схема №1'!BE34</f>
        <v>8</v>
      </c>
      <c r="S34" s="379">
        <f>'Таблиця цін схема №1'!BF34</f>
        <v>25</v>
      </c>
      <c r="T34" s="380">
        <f>'Таблиця цін схема №1'!BG34</f>
        <v>1</v>
      </c>
      <c r="U34" s="47" t="str">
        <f>'Таблиця цін схема №1'!BJ34</f>
        <v>AMV33</v>
      </c>
      <c r="V34" s="380">
        <f>'Таблиця цін схема №1'!BK34</f>
        <v>1</v>
      </c>
      <c r="W34" s="47">
        <f>'Таблиця цін схема №1'!BN34</f>
        <v>10</v>
      </c>
      <c r="X34" s="379">
        <f>'Таблиця цін схема №1'!BO34</f>
        <v>25</v>
      </c>
      <c r="Y34" s="380">
        <f>'Таблиця цін схема №1'!BP34</f>
        <v>1</v>
      </c>
      <c r="Z34" s="47">
        <f>'Таблиця цін схема №1'!BS34</f>
        <v>12.5</v>
      </c>
      <c r="AA34" s="379">
        <f>'Таблиця цін схема №1'!BT34</f>
        <v>32</v>
      </c>
      <c r="AB34" s="78">
        <f>'Таблиця цін схема №1'!BU34</f>
        <v>1</v>
      </c>
      <c r="AC34" s="47" t="str">
        <f>'Таблиця цін схема №1'!BX34</f>
        <v>-</v>
      </c>
      <c r="AD34" s="379" t="str">
        <f>'Таблиця цін схема №1'!BY34</f>
        <v>-</v>
      </c>
      <c r="AE34" s="379" t="str">
        <f>'Таблиця цін схема №1'!BZ34</f>
        <v>existed</v>
      </c>
      <c r="AF34" s="380" t="s">
        <v>115</v>
      </c>
      <c r="AG34" s="47">
        <f>'Таблиця цін схема №1'!CD34</f>
        <v>25</v>
      </c>
      <c r="AH34" s="379">
        <f>'Таблиця цін схема №1'!CE34</f>
        <v>6</v>
      </c>
      <c r="AI34" s="379" t="str">
        <f>'Таблиця цін схема №1'!CF34</f>
        <v>Pt500</v>
      </c>
      <c r="AJ34" s="380">
        <f>'Таблиця цін схема №1'!CG34</f>
        <v>1</v>
      </c>
      <c r="AK34" s="1168" t="str">
        <f>'Таблиця цін схема №1'!CJ34</f>
        <v>ЕІ-ТО-16+027M50HS-241000</v>
      </c>
      <c r="AL34" s="380">
        <f>'Таблиця цін схема №1'!CK34</f>
        <v>1</v>
      </c>
      <c r="AM34" s="1168" t="str">
        <f>'Таблиця цін схема №1'!CN34</f>
        <v>ЕІ-ТО-16+015M30HS-223000</v>
      </c>
      <c r="AN34" s="380">
        <f>'Таблиця цін схема №1'!CO34</f>
        <v>1</v>
      </c>
      <c r="AO34" s="47">
        <f>'Таблиця цін схема №1'!CR34</f>
        <v>65</v>
      </c>
      <c r="AP34" s="380">
        <f>'Таблиця цін схема №1'!CS34</f>
        <v>4</v>
      </c>
      <c r="AQ34" s="47">
        <f>'Таблиця цін схема №1'!CV34</f>
        <v>40</v>
      </c>
      <c r="AR34" s="380">
        <f>'Таблиця цін схема №1'!CW34</f>
        <v>6</v>
      </c>
      <c r="AS34" s="47">
        <f>'Таблиця цін схема №1'!CZ34</f>
        <v>25</v>
      </c>
      <c r="AT34" s="78">
        <f>'Таблиця цін схема №1'!DA34</f>
        <v>3</v>
      </c>
      <c r="AU34" s="47">
        <f>'Таблиця цін схема №1'!DD34</f>
        <v>40</v>
      </c>
      <c r="AV34" s="380">
        <f>'Таблиця цін схема №1'!DE34</f>
        <v>4</v>
      </c>
      <c r="AW34" s="47">
        <f>'Таблиця цін схема №1'!DH34</f>
        <v>32</v>
      </c>
      <c r="AX34" s="380">
        <f>'Таблиця цін схема №1'!DI34</f>
        <v>1</v>
      </c>
      <c r="AY34" s="47">
        <f>'Таблиця цін схема №1'!DL34</f>
        <v>20</v>
      </c>
      <c r="AZ34" s="380">
        <f>'Таблиця цін схема №1'!DM34</f>
        <v>1</v>
      </c>
      <c r="BA34" s="47">
        <f>'Таблиця цін схема №1'!DP34</f>
        <v>20</v>
      </c>
      <c r="BB34" s="380">
        <f>'Таблиця цін схема №1'!DQ34</f>
        <v>2</v>
      </c>
      <c r="BC34" s="47">
        <f>'Таблиця цін схема №1'!DT34</f>
        <v>20</v>
      </c>
      <c r="BD34" s="380">
        <f>'Таблиця цін схема №1'!DU34</f>
        <v>2</v>
      </c>
      <c r="BE34" s="47">
        <f>'Таблиця цін схема №1'!DX34</f>
        <v>15</v>
      </c>
      <c r="BF34" s="380">
        <f>'Таблиця цін схема №1'!DY34</f>
        <v>10</v>
      </c>
      <c r="BG34" s="47">
        <f>'Таблиця цін схема №1'!EB34</f>
        <v>15</v>
      </c>
      <c r="BH34" s="380">
        <f>'Таблиця цін схема №1'!EC34</f>
        <v>38</v>
      </c>
      <c r="BI34" s="47">
        <f>'Таблиця цін схема №1'!EF34</f>
        <v>65</v>
      </c>
      <c r="BJ34" s="380">
        <f>'Таблиця цін схема №1'!EG34</f>
        <v>1</v>
      </c>
      <c r="BK34" s="47">
        <f>'Таблиця цін схема №1'!EJ34</f>
        <v>40</v>
      </c>
      <c r="BL34" s="380">
        <f>'Таблиця цін схема №1'!EK34</f>
        <v>1</v>
      </c>
      <c r="BM34" s="47">
        <f>'Таблиця цін схема №1'!EN34</f>
        <v>25</v>
      </c>
      <c r="BN34" s="380">
        <f>'Таблиця цін схема №1'!EO34</f>
        <v>1</v>
      </c>
    </row>
    <row r="35" spans="1:129">
      <c r="A35" s="1115">
        <f>'Таблиця цін схема №1'!B35</f>
        <v>82</v>
      </c>
      <c r="B35" s="1115" t="str">
        <f>'Таблиця цін схема №1'!C35</f>
        <v>3g (г) Leningradskaya Street</v>
      </c>
      <c r="C35" s="47">
        <f>'Таблиця цін схема №1'!AB35</f>
        <v>100</v>
      </c>
      <c r="D35" s="380">
        <f>'Таблиця цін схема №1'!AC35</f>
        <v>2</v>
      </c>
      <c r="E35" s="47">
        <f>'Таблиця цін схема №1'!AF35</f>
        <v>100</v>
      </c>
      <c r="F35" s="380">
        <f>'Таблиця цін схема №1'!AG35</f>
        <v>2</v>
      </c>
      <c r="G35" s="47">
        <f>'Таблиця цін схема №1'!AJ35</f>
        <v>100</v>
      </c>
      <c r="H35" s="78" t="s">
        <v>115</v>
      </c>
      <c r="I35" s="47">
        <f>'Таблиця цін схема №1'!AN35</f>
        <v>65</v>
      </c>
      <c r="J35" s="380">
        <f>'Таблиця цін схема №1'!AO35</f>
        <v>1</v>
      </c>
      <c r="K35" s="47">
        <f>'Таблиця цін схема №1'!AR35</f>
        <v>65</v>
      </c>
      <c r="L35" s="380">
        <f>'Таблиця цін схема №1'!AS35</f>
        <v>4</v>
      </c>
      <c r="M35" s="47" t="str">
        <f>'Таблиця цін схема №1'!AV35</f>
        <v>AMV20</v>
      </c>
      <c r="N35" s="380">
        <f>'Таблиця цін схема №1'!AW35</f>
        <v>1</v>
      </c>
      <c r="O35" s="47">
        <f>'Таблиця цін схема №1'!AZ35</f>
        <v>25</v>
      </c>
      <c r="P35" s="379">
        <f>'Таблиця цін схема №1'!BA35</f>
        <v>40</v>
      </c>
      <c r="Q35" s="380">
        <f>'Таблиця цін схема №1'!BB35</f>
        <v>1</v>
      </c>
      <c r="R35" s="47">
        <f>'Таблиця цін схема №1'!BE35</f>
        <v>20</v>
      </c>
      <c r="S35" s="379">
        <f>'Таблиця цін схема №1'!BF35</f>
        <v>50</v>
      </c>
      <c r="T35" s="380">
        <f>'Таблиця цін схема №1'!BG35</f>
        <v>1</v>
      </c>
      <c r="U35" s="47" t="str">
        <f>'Таблиця цін схема №1'!BJ35</f>
        <v>AMV33</v>
      </c>
      <c r="V35" s="380">
        <f>'Таблиця цін схема №1'!BK35</f>
        <v>1</v>
      </c>
      <c r="W35" s="47">
        <f>'Таблиця цін схема №1'!BN35</f>
        <v>25</v>
      </c>
      <c r="X35" s="379">
        <f>'Таблиця цін схема №1'!BO35</f>
        <v>40</v>
      </c>
      <c r="Y35" s="380">
        <f>'Таблиця цін схема №1'!BP35</f>
        <v>1</v>
      </c>
      <c r="Z35" s="47">
        <f>'Таблиця цін схема №1'!BS35</f>
        <v>20</v>
      </c>
      <c r="AA35" s="379">
        <f>'Таблиця цін схема №1'!BT35</f>
        <v>40</v>
      </c>
      <c r="AB35" s="78">
        <f>'Таблиця цін схема №1'!BU35</f>
        <v>1</v>
      </c>
      <c r="AC35" s="47" t="str">
        <f>'Таблиця цін схема №1'!BX35</f>
        <v>-</v>
      </c>
      <c r="AD35" s="379" t="str">
        <f>'Таблиця цін схема №1'!BY35</f>
        <v>-</v>
      </c>
      <c r="AE35" s="379" t="str">
        <f>'Таблиця цін схема №1'!BZ35</f>
        <v>existed</v>
      </c>
      <c r="AF35" s="380" t="s">
        <v>115</v>
      </c>
      <c r="AG35" s="47">
        <f>'Таблиця цін схема №1'!CD35</f>
        <v>50</v>
      </c>
      <c r="AH35" s="379">
        <f>'Таблиця цін схема №1'!CE35</f>
        <v>15</v>
      </c>
      <c r="AI35" s="379" t="str">
        <f>'Таблиця цін схема №1'!CF35</f>
        <v>Pt500</v>
      </c>
      <c r="AJ35" s="380">
        <f>'Таблиця цін схема №1'!CG35</f>
        <v>1</v>
      </c>
      <c r="AK35" s="1168" t="str">
        <f>'Таблиця цін схема №1'!CJ35</f>
        <v>ЕІ-ТО-16+073M50HS-570000</v>
      </c>
      <c r="AL35" s="380">
        <f>'Таблиця цін схема №1'!CK35</f>
        <v>1</v>
      </c>
      <c r="AM35" s="1168" t="str">
        <f>'Таблиця цін схема №1'!CN35</f>
        <v>ЕІ-ТО-16+025M30HS-399000</v>
      </c>
      <c r="AN35" s="380">
        <f>'Таблиця цін схема №1'!CO35</f>
        <v>1</v>
      </c>
      <c r="AO35" s="47">
        <f>'Таблиця цін схема №1'!CR35</f>
        <v>100</v>
      </c>
      <c r="AP35" s="380">
        <f>'Таблиця цін схема №1'!CS35</f>
        <v>4</v>
      </c>
      <c r="AQ35" s="47">
        <f>'Таблиця цін схема №1'!CV35</f>
        <v>50</v>
      </c>
      <c r="AR35" s="380">
        <f>'Таблиця цін схема №1'!CW35</f>
        <v>6</v>
      </c>
      <c r="AS35" s="47">
        <f>'Таблиця цін схема №1'!CZ35</f>
        <v>32</v>
      </c>
      <c r="AT35" s="78">
        <f>'Таблиця цін схема №1'!DA35</f>
        <v>3</v>
      </c>
      <c r="AU35" s="47">
        <f>'Таблиця цін схема №1'!DD35</f>
        <v>50</v>
      </c>
      <c r="AV35" s="380">
        <f>'Таблиця цін схема №1'!DE35</f>
        <v>6</v>
      </c>
      <c r="AW35" s="47">
        <f>'Таблиця цін схема №1'!DH35</f>
        <v>32</v>
      </c>
      <c r="AX35" s="380">
        <f>'Таблиця цін схема №1'!DI35</f>
        <v>2</v>
      </c>
      <c r="AY35" s="47">
        <f>'Таблиця цін схема №1'!DL35</f>
        <v>25</v>
      </c>
      <c r="AZ35" s="380">
        <f>'Таблиця цін схема №1'!DM35</f>
        <v>1</v>
      </c>
      <c r="BA35" s="47">
        <f>'Таблиця цін схема №1'!DP35</f>
        <v>25</v>
      </c>
      <c r="BB35" s="380">
        <f>'Таблиця цін схема №1'!DQ35</f>
        <v>2</v>
      </c>
      <c r="BC35" s="47">
        <f>'Таблиця цін схема №1'!DT35</f>
        <v>20</v>
      </c>
      <c r="BD35" s="380">
        <f>'Таблиця цін схема №1'!DU35</f>
        <v>2</v>
      </c>
      <c r="BE35" s="47">
        <f>'Таблиця цін схема №1'!DX35</f>
        <v>15</v>
      </c>
      <c r="BF35" s="380">
        <f>'Таблиця цін схема №1'!DY35</f>
        <v>10</v>
      </c>
      <c r="BG35" s="47">
        <f>'Таблиця цін схема №1'!EB35</f>
        <v>15</v>
      </c>
      <c r="BH35" s="380">
        <f>'Таблиця цін схема №1'!EC35</f>
        <v>39</v>
      </c>
      <c r="BI35" s="47">
        <f>'Таблиця цін схема №1'!EF35</f>
        <v>100</v>
      </c>
      <c r="BJ35" s="380">
        <f>'Таблиця цін схема №1'!EG35</f>
        <v>1</v>
      </c>
      <c r="BK35" s="47">
        <f>'Таблиця цін схема №1'!EJ35</f>
        <v>50</v>
      </c>
      <c r="BL35" s="380">
        <f>'Таблиця цін схема №1'!EK35</f>
        <v>1</v>
      </c>
      <c r="BM35" s="47">
        <f>'Таблиця цін схема №1'!EN35</f>
        <v>32</v>
      </c>
      <c r="BN35" s="380">
        <f>'Таблиця цін схема №1'!EO35</f>
        <v>1</v>
      </c>
    </row>
    <row r="36" spans="1:129">
      <c r="A36" s="1115">
        <f>'Таблиця цін схема №1'!B36</f>
        <v>83</v>
      </c>
      <c r="B36" s="1115" t="str">
        <f>'Таблиця цін схема №1'!C36</f>
        <v>3d (д) Leningradskaya Street</v>
      </c>
      <c r="C36" s="47">
        <f>'Таблиця цін схема №1'!AB36</f>
        <v>100</v>
      </c>
      <c r="D36" s="380">
        <f>'Таблиця цін схема №1'!AC36</f>
        <v>2</v>
      </c>
      <c r="E36" s="47">
        <f>'Таблиця цін схема №1'!AF36</f>
        <v>100</v>
      </c>
      <c r="F36" s="380">
        <f>'Таблиця цін схема №1'!AG36</f>
        <v>2</v>
      </c>
      <c r="G36" s="47">
        <f>'Таблиця цін схема №1'!AJ36</f>
        <v>100</v>
      </c>
      <c r="H36" s="78">
        <f>'Таблиця цін схема №1'!AK36</f>
        <v>1</v>
      </c>
      <c r="I36" s="47">
        <f>'Таблиця цін схема №1'!AN36</f>
        <v>65</v>
      </c>
      <c r="J36" s="380">
        <f>'Таблиця цін схема №1'!AO36</f>
        <v>3</v>
      </c>
      <c r="K36" s="47">
        <f>'Таблиця цін схема №1'!AR36</f>
        <v>80</v>
      </c>
      <c r="L36" s="380">
        <f>'Таблиця цін схема №1'!AS36</f>
        <v>4</v>
      </c>
      <c r="M36" s="47" t="str">
        <f>'Таблиця цін схема №1'!AV36</f>
        <v>AMV20</v>
      </c>
      <c r="N36" s="380">
        <f>'Таблиця цін схема №1'!AW36</f>
        <v>1</v>
      </c>
      <c r="O36" s="47">
        <f>'Таблиця цін схема №1'!AZ36</f>
        <v>25</v>
      </c>
      <c r="P36" s="379">
        <f>'Таблиця цін схема №1'!BA36</f>
        <v>40</v>
      </c>
      <c r="Q36" s="380">
        <f>'Таблиця цін схема №1'!BB36</f>
        <v>1</v>
      </c>
      <c r="R36" s="47">
        <f>'Таблиця цін схема №1'!BE36</f>
        <v>32</v>
      </c>
      <c r="S36" s="379">
        <f>'Таблиця цін схема №1'!BF36</f>
        <v>50</v>
      </c>
      <c r="T36" s="380">
        <f>'Таблиця цін схема №1'!BG36</f>
        <v>1</v>
      </c>
      <c r="U36" s="47" t="str">
        <f>'Таблиця цін схема №1'!BJ36</f>
        <v>AMV33</v>
      </c>
      <c r="V36" s="380">
        <f>'Таблиця цін схема №1'!BK36</f>
        <v>1</v>
      </c>
      <c r="W36" s="47">
        <f>'Таблиця цін схема №1'!BN36</f>
        <v>40</v>
      </c>
      <c r="X36" s="379">
        <f>'Таблиця цін схема №1'!BO36</f>
        <v>50</v>
      </c>
      <c r="Y36" s="380">
        <f>'Таблиця цін схема №1'!BP36</f>
        <v>1</v>
      </c>
      <c r="Z36" s="47">
        <f>'Таблиця цін схема №1'!BS36</f>
        <v>32</v>
      </c>
      <c r="AA36" s="379">
        <f>'Таблиця цін схема №1'!BT36</f>
        <v>50</v>
      </c>
      <c r="AB36" s="78">
        <f>'Таблиця цін схема №1'!BU36</f>
        <v>1</v>
      </c>
      <c r="AC36" s="47">
        <f>'Таблиця цін схема №1'!BX36</f>
        <v>50</v>
      </c>
      <c r="AD36" s="379">
        <f>'Таблиця цін схема №1'!BY36</f>
        <v>15</v>
      </c>
      <c r="AE36" s="379" t="str">
        <f>'Таблиця цін схема №1'!BZ36</f>
        <v>Pt500</v>
      </c>
      <c r="AF36" s="380">
        <f>'Таблиця цін схема №1'!CA36</f>
        <v>1</v>
      </c>
      <c r="AG36" s="47">
        <f>'Таблиця цін схема №1'!CD36</f>
        <v>65</v>
      </c>
      <c r="AH36" s="379">
        <f>'Таблиця цін схема №1'!CE36</f>
        <v>25</v>
      </c>
      <c r="AI36" s="379" t="str">
        <f>'Таблиця цін схема №1'!CF36</f>
        <v>Pt500</v>
      </c>
      <c r="AJ36" s="380">
        <f>'Таблиця цін схема №1'!CG36</f>
        <v>1</v>
      </c>
      <c r="AK36" s="1168" t="str">
        <f>'Таблиця цін схема №1'!CJ36</f>
        <v>ЕІ-ТО-30+065A00HS-820000</v>
      </c>
      <c r="AL36" s="380">
        <f>'Таблиця цін схема №1'!CK36</f>
        <v>1</v>
      </c>
      <c r="AM36" s="1168" t="str">
        <f>'Таблиця цін схема №1'!CN36</f>
        <v>ЕІ-ТО-16+045M25HS-700000</v>
      </c>
      <c r="AN36" s="380">
        <f>'Таблиця цін схема №1'!CO36</f>
        <v>1</v>
      </c>
      <c r="AO36" s="47">
        <f>'Таблиця цін схема №1'!CR36</f>
        <v>125</v>
      </c>
      <c r="AP36" s="380">
        <f>'Таблиця цін схема №1'!CS36</f>
        <v>4</v>
      </c>
      <c r="AQ36" s="47">
        <f>'Таблиця цін схема №1'!CV36</f>
        <v>65</v>
      </c>
      <c r="AR36" s="380">
        <f>'Таблиця цін схема №1'!CW36</f>
        <v>6</v>
      </c>
      <c r="AS36" s="47">
        <f>'Таблиця цін схема №1'!CZ36</f>
        <v>40</v>
      </c>
      <c r="AT36" s="78">
        <f>'Таблиця цін схема №1'!DA36</f>
        <v>3</v>
      </c>
      <c r="AU36" s="47">
        <f>'Таблиця цін схема №1'!DD36</f>
        <v>50</v>
      </c>
      <c r="AV36" s="380">
        <f>'Таблиця цін схема №1'!DE36</f>
        <v>10</v>
      </c>
      <c r="AW36" s="47">
        <f>'Таблиця цін схема №1'!DH36</f>
        <v>50</v>
      </c>
      <c r="AX36" s="380">
        <f>'Таблиця цін схема №1'!DI36</f>
        <v>2</v>
      </c>
      <c r="AY36" s="47">
        <f>'Таблиця цін схема №1'!DL36</f>
        <v>25</v>
      </c>
      <c r="AZ36" s="380">
        <f>'Таблиця цін схема №1'!DM36</f>
        <v>1</v>
      </c>
      <c r="BA36" s="47">
        <f>'Таблиця цін схема №1'!DP36</f>
        <v>25</v>
      </c>
      <c r="BB36" s="380">
        <f>'Таблиця цін схема №1'!DQ36</f>
        <v>2</v>
      </c>
      <c r="BC36" s="47">
        <f>'Таблиця цін схема №1'!DT36</f>
        <v>20</v>
      </c>
      <c r="BD36" s="380">
        <f>'Таблиця цін схема №1'!DU36</f>
        <v>2</v>
      </c>
      <c r="BE36" s="47">
        <f>'Таблиця цін схема №1'!DX36</f>
        <v>15</v>
      </c>
      <c r="BF36" s="380">
        <f>'Таблиця цін схема №1'!DY36</f>
        <v>10</v>
      </c>
      <c r="BG36" s="47">
        <f>'Таблиця цін схема №1'!EB36</f>
        <v>15</v>
      </c>
      <c r="BH36" s="380">
        <f>'Таблиця цін схема №1'!EC36</f>
        <v>41</v>
      </c>
      <c r="BI36" s="47">
        <f>'Таблиця цін схема №1'!EF36</f>
        <v>125</v>
      </c>
      <c r="BJ36" s="380">
        <f>'Таблиця цін схема №1'!EG36</f>
        <v>1</v>
      </c>
      <c r="BK36" s="47">
        <f>'Таблиця цін схема №1'!EJ36</f>
        <v>65</v>
      </c>
      <c r="BL36" s="380">
        <f>'Таблиця цін схема №1'!EK36</f>
        <v>1</v>
      </c>
      <c r="BM36" s="47">
        <f>'Таблиця цін схема №1'!EN36</f>
        <v>40</v>
      </c>
      <c r="BN36" s="380">
        <f>'Таблиця цін схема №1'!EO36</f>
        <v>1</v>
      </c>
    </row>
    <row r="37" spans="1:129">
      <c r="A37" s="1115">
        <f>'Таблиця цін схема №1'!B37</f>
        <v>84</v>
      </c>
      <c r="B37" s="1115" t="str">
        <f>'Таблиця цін схема №1'!C37</f>
        <v>5a (а) Leningradskaya Street</v>
      </c>
      <c r="C37" s="47">
        <f>'Таблиця цін схема №1'!AB37</f>
        <v>100</v>
      </c>
      <c r="D37" s="380">
        <f>'Таблиця цін схема №1'!AC37</f>
        <v>2</v>
      </c>
      <c r="E37" s="47">
        <f>'Таблиця цін схема №1'!AF37</f>
        <v>100</v>
      </c>
      <c r="F37" s="380">
        <f>'Таблиця цін схема №1'!AG37</f>
        <v>2</v>
      </c>
      <c r="G37" s="47">
        <f>'Таблиця цін схема №1'!AJ37</f>
        <v>100</v>
      </c>
      <c r="H37" s="78" t="s">
        <v>115</v>
      </c>
      <c r="I37" s="47">
        <f>'Таблиця цін схема №1'!AN37</f>
        <v>65</v>
      </c>
      <c r="J37" s="380">
        <f>'Таблиця цін схема №1'!AO37</f>
        <v>1</v>
      </c>
      <c r="K37" s="47">
        <f>'Таблиця цін схема №1'!AR37</f>
        <v>80</v>
      </c>
      <c r="L37" s="380">
        <f>'Таблиця цін схема №1'!AS37</f>
        <v>4</v>
      </c>
      <c r="M37" s="47" t="str">
        <f>'Таблиця цін схема №1'!AV37</f>
        <v>AMV20</v>
      </c>
      <c r="N37" s="380">
        <f>'Таблиця цін схема №1'!AW37</f>
        <v>1</v>
      </c>
      <c r="O37" s="47">
        <f>'Таблиця цін схема №1'!AZ37</f>
        <v>16</v>
      </c>
      <c r="P37" s="379">
        <f>'Таблиця цін схема №1'!BA37</f>
        <v>32</v>
      </c>
      <c r="Q37" s="380">
        <f>'Таблиця цін схема №1'!BB37</f>
        <v>1</v>
      </c>
      <c r="R37" s="47">
        <f>'Таблиця цін схема №1'!BE37</f>
        <v>20</v>
      </c>
      <c r="S37" s="379">
        <f>'Таблиця цін схема №1'!BF37</f>
        <v>50</v>
      </c>
      <c r="T37" s="380">
        <f>'Таблиця цін схема №1'!BG37</f>
        <v>1</v>
      </c>
      <c r="U37" s="47" t="str">
        <f>'Таблиця цін схема №1'!BJ37</f>
        <v>AMV33</v>
      </c>
      <c r="V37" s="380">
        <f>'Таблиця цін схема №1'!BK37</f>
        <v>1</v>
      </c>
      <c r="W37" s="47">
        <f>'Таблиця цін схема №1'!BN37</f>
        <v>40</v>
      </c>
      <c r="X37" s="379">
        <f>'Таблиця цін схема №1'!BO37</f>
        <v>50</v>
      </c>
      <c r="Y37" s="380">
        <f>'Таблиця цін схема №1'!BP37</f>
        <v>1</v>
      </c>
      <c r="Z37" s="47">
        <f>'Таблиця цін схема №1'!BS37</f>
        <v>32</v>
      </c>
      <c r="AA37" s="379">
        <f>'Таблиця цін схема №1'!BT37</f>
        <v>50</v>
      </c>
      <c r="AB37" s="78">
        <f>'Таблиця цін схема №1'!BU37</f>
        <v>1</v>
      </c>
      <c r="AC37" s="47" t="str">
        <f>'Таблиця цін схема №1'!BX37</f>
        <v>-</v>
      </c>
      <c r="AD37" s="379" t="str">
        <f>'Таблиця цін схема №1'!BY37</f>
        <v>-</v>
      </c>
      <c r="AE37" s="379" t="str">
        <f>'Таблиця цін схема №1'!BZ37</f>
        <v>existed</v>
      </c>
      <c r="AF37" s="380" t="s">
        <v>115</v>
      </c>
      <c r="AG37" s="47">
        <f>'Таблиця цін схема №1'!CD37</f>
        <v>65</v>
      </c>
      <c r="AH37" s="379">
        <f>'Таблиця цін схема №1'!CE37</f>
        <v>25</v>
      </c>
      <c r="AI37" s="379" t="str">
        <f>'Таблиця цін схема №1'!CF37</f>
        <v>Pt500</v>
      </c>
      <c r="AJ37" s="380">
        <f>'Таблиця цін схема №1'!CG37</f>
        <v>1</v>
      </c>
      <c r="AK37" s="1168" t="str">
        <f>'Таблиця цін схема №1'!CJ37</f>
        <v>ЕІ-ТО-16+063M50HS-518000</v>
      </c>
      <c r="AL37" s="380">
        <f>'Таблиця цін схема №1'!CK37</f>
        <v>1</v>
      </c>
      <c r="AM37" s="1168" t="str">
        <f>'Таблиця цін схема №1'!CN37</f>
        <v>ЕІ-ТО-16+043M25HS-664000</v>
      </c>
      <c r="AN37" s="380">
        <f>'Таблиця цін схема №1'!CO37</f>
        <v>1</v>
      </c>
      <c r="AO37" s="47">
        <f>'Таблиця цін схема №1'!CR37</f>
        <v>100</v>
      </c>
      <c r="AP37" s="380">
        <f>'Таблиця цін схема №1'!CS37</f>
        <v>4</v>
      </c>
      <c r="AQ37" s="47">
        <f>'Таблиця цін схема №1'!CV37</f>
        <v>65</v>
      </c>
      <c r="AR37" s="380">
        <f>'Таблиця цін схема №1'!CW37</f>
        <v>6</v>
      </c>
      <c r="AS37" s="47">
        <f>'Таблиця цін схема №1'!CZ37</f>
        <v>40</v>
      </c>
      <c r="AT37" s="78">
        <f>'Таблиця цін схема №1'!DA37</f>
        <v>3</v>
      </c>
      <c r="AU37" s="47">
        <f>'Таблиця цін схема №1'!DD37</f>
        <v>50</v>
      </c>
      <c r="AV37" s="380">
        <f>'Таблиця цін схема №1'!DE37</f>
        <v>8</v>
      </c>
      <c r="AW37" s="47">
        <f>'Таблиця цін схема №1'!DH37</f>
        <v>50</v>
      </c>
      <c r="AX37" s="380">
        <f>'Таблиця цін схема №1'!DI37</f>
        <v>1</v>
      </c>
      <c r="AY37" s="47">
        <f>'Таблиця цін схема №1'!DL37</f>
        <v>25</v>
      </c>
      <c r="AZ37" s="380">
        <f>'Таблиця цін схема №1'!DM37</f>
        <v>1</v>
      </c>
      <c r="BA37" s="47">
        <f>'Таблиця цін схема №1'!DP37</f>
        <v>25</v>
      </c>
      <c r="BB37" s="380">
        <f>'Таблиця цін схема №1'!DQ37</f>
        <v>2</v>
      </c>
      <c r="BC37" s="47">
        <f>'Таблиця цін схема №1'!DT37</f>
        <v>20</v>
      </c>
      <c r="BD37" s="380">
        <f>'Таблиця цін схема №1'!DU37</f>
        <v>2</v>
      </c>
      <c r="BE37" s="47">
        <f>'Таблиця цін схема №1'!DX37</f>
        <v>15</v>
      </c>
      <c r="BF37" s="380">
        <f>'Таблиця цін схема №1'!DY37</f>
        <v>10</v>
      </c>
      <c r="BG37" s="47">
        <f>'Таблиця цін схема №1'!EB37</f>
        <v>15</v>
      </c>
      <c r="BH37" s="380">
        <f>'Таблиця цін схема №1'!EC37</f>
        <v>40</v>
      </c>
      <c r="BI37" s="47">
        <f>'Таблиця цін схема №1'!EF37</f>
        <v>100</v>
      </c>
      <c r="BJ37" s="380">
        <f>'Таблиця цін схема №1'!EG37</f>
        <v>1</v>
      </c>
      <c r="BK37" s="47">
        <f>'Таблиця цін схема №1'!EJ37</f>
        <v>65</v>
      </c>
      <c r="BL37" s="380">
        <f>'Таблиця цін схема №1'!EK37</f>
        <v>1</v>
      </c>
      <c r="BM37" s="47">
        <f>'Таблиця цін схема №1'!EN37</f>
        <v>40</v>
      </c>
      <c r="BN37" s="380">
        <f>'Таблиця цін схема №1'!EO37</f>
        <v>1</v>
      </c>
    </row>
    <row r="38" spans="1:129">
      <c r="A38" s="1115">
        <f>'Таблиця цін схема №1'!B38</f>
        <v>85</v>
      </c>
      <c r="B38" s="1115" t="str">
        <f>'Таблиця цін схема №1'!C38</f>
        <v>5b (б) Leningradskaya Street</v>
      </c>
      <c r="C38" s="47">
        <f>'Таблиця цін схема №1'!AB38</f>
        <v>65</v>
      </c>
      <c r="D38" s="380">
        <f>'Таблиця цін схема №1'!AC38</f>
        <v>2</v>
      </c>
      <c r="E38" s="47">
        <f>'Таблиця цін схема №1'!AF38</f>
        <v>65</v>
      </c>
      <c r="F38" s="380">
        <f>'Таблиця цін схема №1'!AG38</f>
        <v>2</v>
      </c>
      <c r="G38" s="47">
        <f>'Таблиця цін схема №1'!AJ38</f>
        <v>65</v>
      </c>
      <c r="H38" s="78" t="s">
        <v>115</v>
      </c>
      <c r="I38" s="47">
        <f>'Таблиця цін схема №1'!AN38</f>
        <v>40</v>
      </c>
      <c r="J38" s="380">
        <f>'Таблиця цін схема №1'!AO38</f>
        <v>1</v>
      </c>
      <c r="K38" s="47">
        <f>'Таблиця цін схема №1'!AR38</f>
        <v>50</v>
      </c>
      <c r="L38" s="380">
        <f>'Таблиця цін схема №1'!AS38</f>
        <v>4</v>
      </c>
      <c r="M38" s="47" t="str">
        <f>'Таблиця цін схема №1'!AV38</f>
        <v>AMV20</v>
      </c>
      <c r="N38" s="380">
        <f>'Таблиця цін схема №1'!AW38</f>
        <v>1</v>
      </c>
      <c r="O38" s="47">
        <f>'Таблиця цін схема №1'!AZ38</f>
        <v>10</v>
      </c>
      <c r="P38" s="379">
        <f>'Таблиця цін схема №1'!BA38</f>
        <v>25</v>
      </c>
      <c r="Q38" s="380">
        <f>'Таблиця цін схема №1'!BB38</f>
        <v>1</v>
      </c>
      <c r="R38" s="47">
        <f>'Таблиця цін схема №1'!BE38</f>
        <v>8</v>
      </c>
      <c r="S38" s="379">
        <f>'Таблиця цін схема №1'!BF38</f>
        <v>25</v>
      </c>
      <c r="T38" s="380">
        <f>'Таблиця цін схема №1'!BG38</f>
        <v>1</v>
      </c>
      <c r="U38" s="47" t="str">
        <f>'Таблиця цін схема №1'!BJ38</f>
        <v>AMV33</v>
      </c>
      <c r="V38" s="380">
        <f>'Таблиця цін схема №1'!BK38</f>
        <v>1</v>
      </c>
      <c r="W38" s="47">
        <f>'Таблиця цін схема №1'!BN38</f>
        <v>16</v>
      </c>
      <c r="X38" s="379">
        <f>'Таблиця цін схема №1'!BO38</f>
        <v>32</v>
      </c>
      <c r="Y38" s="380">
        <f>'Таблиця цін схема №1'!BP38</f>
        <v>1</v>
      </c>
      <c r="Z38" s="47">
        <f>'Таблиця цін схема №1'!BS38</f>
        <v>12.5</v>
      </c>
      <c r="AA38" s="379">
        <f>'Таблиця цін схема №1'!BT38</f>
        <v>32</v>
      </c>
      <c r="AB38" s="78">
        <f>'Таблиця цін схема №1'!BU38</f>
        <v>1</v>
      </c>
      <c r="AC38" s="47" t="str">
        <f>'Таблиця цін схема №1'!BX38</f>
        <v>-</v>
      </c>
      <c r="AD38" s="379" t="str">
        <f>'Таблиця цін схема №1'!BY38</f>
        <v>-</v>
      </c>
      <c r="AE38" s="379" t="str">
        <f>'Таблиця цін схема №1'!BZ38</f>
        <v>existed</v>
      </c>
      <c r="AF38" s="380" t="s">
        <v>115</v>
      </c>
      <c r="AG38" s="47">
        <f>'Таблиця цін схема №1'!CD38</f>
        <v>40</v>
      </c>
      <c r="AH38" s="379">
        <f>'Таблиця цін схема №1'!CE38</f>
        <v>10</v>
      </c>
      <c r="AI38" s="379" t="str">
        <f>'Таблиця цін схема №1'!CF38</f>
        <v>Pt500</v>
      </c>
      <c r="AJ38" s="380">
        <f>'Таблиця цін схема №1'!CG38</f>
        <v>1</v>
      </c>
      <c r="AK38" s="1168" t="str">
        <f>'Таблиця цін схема №1'!CJ38</f>
        <v>ЕІ-ТО-16+029M50HS-260000</v>
      </c>
      <c r="AL38" s="380">
        <f>'Таблиця цін схема №1'!CK38</f>
        <v>1</v>
      </c>
      <c r="AM38" s="1168" t="str">
        <f>'Таблиця цін схема №1'!CN38</f>
        <v>ЕІ-ТО-16+019M30HS-267000</v>
      </c>
      <c r="AN38" s="380">
        <f>'Таблиця цін схема №1'!CO38</f>
        <v>1</v>
      </c>
      <c r="AO38" s="47">
        <f>'Таблиця цін схема №1'!CR38</f>
        <v>65</v>
      </c>
      <c r="AP38" s="380">
        <f>'Таблиця цін схема №1'!CS38</f>
        <v>4</v>
      </c>
      <c r="AQ38" s="47">
        <f>'Таблиця цін схема №1'!CV38</f>
        <v>40</v>
      </c>
      <c r="AR38" s="380">
        <f>'Таблиця цін схема №1'!CW38</f>
        <v>6</v>
      </c>
      <c r="AS38" s="47">
        <f>'Таблиця цін схема №1'!CZ38</f>
        <v>25</v>
      </c>
      <c r="AT38" s="78">
        <f>'Таблиця цін схема №1'!DA38</f>
        <v>3</v>
      </c>
      <c r="AU38" s="47">
        <f>'Таблиця цін схема №1'!DD38</f>
        <v>50</v>
      </c>
      <c r="AV38" s="380">
        <f>'Таблиця цін схема №1'!DE38</f>
        <v>4</v>
      </c>
      <c r="AW38" s="47">
        <f>'Таблиця цін схема №1'!DH38</f>
        <v>32</v>
      </c>
      <c r="AX38" s="380">
        <f>'Таблиця цін схема №1'!DI38</f>
        <v>1</v>
      </c>
      <c r="AY38" s="47">
        <f>'Таблиця цін схема №1'!DL38</f>
        <v>25</v>
      </c>
      <c r="AZ38" s="380">
        <f>'Таблиця цін схема №1'!DM38</f>
        <v>1</v>
      </c>
      <c r="BA38" s="47">
        <f>'Таблиця цін схема №1'!DP38</f>
        <v>25</v>
      </c>
      <c r="BB38" s="380">
        <f>'Таблиця цін схема №1'!DQ38</f>
        <v>2</v>
      </c>
      <c r="BC38" s="47">
        <f>'Таблиця цін схема №1'!DT38</f>
        <v>20</v>
      </c>
      <c r="BD38" s="380">
        <f>'Таблиця цін схема №1'!DU38</f>
        <v>2</v>
      </c>
      <c r="BE38" s="47">
        <f>'Таблиця цін схема №1'!DX38</f>
        <v>15</v>
      </c>
      <c r="BF38" s="380">
        <f>'Таблиця цін схема №1'!DY38</f>
        <v>10</v>
      </c>
      <c r="BG38" s="47">
        <f>'Таблиця цін схема №1'!EB38</f>
        <v>15</v>
      </c>
      <c r="BH38" s="380">
        <f>'Таблиця цін схема №1'!EC38</f>
        <v>38</v>
      </c>
      <c r="BI38" s="47">
        <f>'Таблиця цін схема №1'!EF38</f>
        <v>65</v>
      </c>
      <c r="BJ38" s="380">
        <f>'Таблиця цін схема №1'!EG38</f>
        <v>1</v>
      </c>
      <c r="BK38" s="47">
        <f>'Таблиця цін схема №1'!EJ38</f>
        <v>40</v>
      </c>
      <c r="BL38" s="380">
        <f>'Таблиця цін схема №1'!EK38</f>
        <v>1</v>
      </c>
      <c r="BM38" s="47">
        <f>'Таблиця цін схема №1'!EN38</f>
        <v>25</v>
      </c>
      <c r="BN38" s="380">
        <f>'Таблиця цін схема №1'!EO38</f>
        <v>1</v>
      </c>
    </row>
    <row r="39" spans="1:129">
      <c r="A39" s="1115">
        <f>'Таблиця цін схема №1'!B39</f>
        <v>86</v>
      </c>
      <c r="B39" s="1115" t="str">
        <f>'Таблиця цін схема №1'!C39</f>
        <v>5v (в) Leningradskaya Street</v>
      </c>
      <c r="C39" s="47">
        <f>'Таблиця цін схема №1'!AB39</f>
        <v>50</v>
      </c>
      <c r="D39" s="380">
        <f>'Таблиця цін схема №1'!AC39</f>
        <v>2</v>
      </c>
      <c r="E39" s="47">
        <f>'Таблиця цін схема №1'!AF39</f>
        <v>50</v>
      </c>
      <c r="F39" s="380">
        <f>'Таблиця цін схема №1'!AG39</f>
        <v>2</v>
      </c>
      <c r="G39" s="47">
        <f>'Таблиця цін схема №1'!AJ39</f>
        <v>50</v>
      </c>
      <c r="H39" s="78">
        <f>'Таблиця цін схема №1'!AK39</f>
        <v>1</v>
      </c>
      <c r="I39" s="47">
        <f>'Таблиця цін схема №1'!AN39</f>
        <v>32</v>
      </c>
      <c r="J39" s="380">
        <f>'Таблиця цін схема №1'!AO39</f>
        <v>3</v>
      </c>
      <c r="K39" s="47">
        <f>'Таблиця цін схема №1'!AR39</f>
        <v>32</v>
      </c>
      <c r="L39" s="380">
        <f>'Таблиця цін схема №1'!AS39</f>
        <v>4</v>
      </c>
      <c r="M39" s="47" t="str">
        <f>'Таблиця цін схема №1'!AV39</f>
        <v>AMV20</v>
      </c>
      <c r="N39" s="380">
        <f>'Таблиця цін схема №1'!AW39</f>
        <v>1</v>
      </c>
      <c r="O39" s="47">
        <f>'Таблиця цін схема №1'!AZ39</f>
        <v>4</v>
      </c>
      <c r="P39" s="379">
        <f>'Таблиця цін схема №1'!BA39</f>
        <v>15</v>
      </c>
      <c r="Q39" s="380">
        <f>'Таблиця цін схема №1'!BB39</f>
        <v>1</v>
      </c>
      <c r="R39" s="47">
        <f>'Таблиця цін схема №1'!BE39</f>
        <v>4</v>
      </c>
      <c r="S39" s="379">
        <f>'Таблиця цін схема №1'!BF39</f>
        <v>15</v>
      </c>
      <c r="T39" s="380">
        <f>'Таблиця цін схема №1'!BG39</f>
        <v>1</v>
      </c>
      <c r="U39" s="47" t="str">
        <f>'Таблиця цін схема №1'!BJ39</f>
        <v>AMV33</v>
      </c>
      <c r="V39" s="380">
        <f>'Таблиця цін схема №1'!BK39</f>
        <v>1</v>
      </c>
      <c r="W39" s="47">
        <f>'Таблиця цін схема №1'!BN39</f>
        <v>6.3</v>
      </c>
      <c r="X39" s="379">
        <f>'Таблиця цін схема №1'!BO39</f>
        <v>20</v>
      </c>
      <c r="Y39" s="380">
        <f>'Таблиця цін схема №1'!BP39</f>
        <v>1</v>
      </c>
      <c r="Z39" s="47">
        <f>'Таблиця цін схема №1'!BS39</f>
        <v>6.3</v>
      </c>
      <c r="AA39" s="379">
        <f>'Таблиця цін схема №1'!BT39</f>
        <v>20</v>
      </c>
      <c r="AB39" s="78">
        <f>'Таблиця цін схема №1'!BU39</f>
        <v>1</v>
      </c>
      <c r="AC39" s="47">
        <f>'Таблиця цін схема №1'!BX39</f>
        <v>20</v>
      </c>
      <c r="AD39" s="379">
        <f>'Таблиця цін схема №1'!BY39</f>
        <v>2.5</v>
      </c>
      <c r="AE39" s="379" t="str">
        <f>'Таблиця цін схема №1'!BZ39</f>
        <v>Pt500</v>
      </c>
      <c r="AF39" s="380">
        <f>'Таблиця цін схема №1'!CA39</f>
        <v>1</v>
      </c>
      <c r="AG39" s="47">
        <f>'Таблиця цін схема №1'!CD39</f>
        <v>20</v>
      </c>
      <c r="AH39" s="379">
        <f>'Таблиця цін схема №1'!CE39</f>
        <v>2.5</v>
      </c>
      <c r="AI39" s="379" t="str">
        <f>'Таблиця цін схема №1'!CF39</f>
        <v>Pt500</v>
      </c>
      <c r="AJ39" s="380">
        <f>'Таблиця цін схема №1'!CG39</f>
        <v>1</v>
      </c>
      <c r="AK39" s="1168" t="str">
        <f>'Таблиця цін схема №1'!CJ39</f>
        <v>ЕІ-ТО-16+017M60HS-129000</v>
      </c>
      <c r="AL39" s="380">
        <f>'Таблиця цін схема №1'!CK39</f>
        <v>1</v>
      </c>
      <c r="AM39" s="1168" t="str">
        <f>'Таблиця цін схема №1'!CN39</f>
        <v>ЕІ-ТО-4+027A00HS-98000</v>
      </c>
      <c r="AN39" s="380">
        <f>'Таблиця цін схема №1'!CO39</f>
        <v>1</v>
      </c>
      <c r="AO39" s="47">
        <f>'Таблиця цін схема №1'!CR39</f>
        <v>50</v>
      </c>
      <c r="AP39" s="380">
        <f>'Таблиця цін схема №1'!CS39</f>
        <v>4</v>
      </c>
      <c r="AQ39" s="47">
        <f>'Таблиця цін схема №1'!CV39</f>
        <v>32</v>
      </c>
      <c r="AR39" s="380">
        <f>'Таблиця цін схема №1'!CW39</f>
        <v>6</v>
      </c>
      <c r="AS39" s="47">
        <f>'Таблиця цін схема №1'!CZ39</f>
        <v>20</v>
      </c>
      <c r="AT39" s="78">
        <f>'Таблиця цін схема №1'!DA39</f>
        <v>3</v>
      </c>
      <c r="AU39" s="47">
        <f>'Таблиця цін схема №1'!DD39</f>
        <v>50</v>
      </c>
      <c r="AV39" s="380">
        <f>'Таблиця цін схема №1'!DE39</f>
        <v>2</v>
      </c>
      <c r="AW39" s="47">
        <f>'Таблиця цін схема №1'!DH39</f>
        <v>32</v>
      </c>
      <c r="AX39" s="380">
        <f>'Таблиця цін схема №1'!DI39</f>
        <v>1</v>
      </c>
      <c r="AY39" s="47">
        <f>'Таблиця цін схема №1'!DL39</f>
        <v>20</v>
      </c>
      <c r="AZ39" s="380">
        <f>'Таблиця цін схема №1'!DM39</f>
        <v>1</v>
      </c>
      <c r="BA39" s="47">
        <f>'Таблиця цін схема №1'!DP39</f>
        <v>20</v>
      </c>
      <c r="BB39" s="380">
        <f>'Таблиця цін схема №1'!DQ39</f>
        <v>2</v>
      </c>
      <c r="BC39" s="47">
        <f>'Таблиця цін схема №1'!DT39</f>
        <v>20</v>
      </c>
      <c r="BD39" s="380">
        <f>'Таблиця цін схема №1'!DU39</f>
        <v>2</v>
      </c>
      <c r="BE39" s="47">
        <f>'Таблиця цін схема №1'!DX39</f>
        <v>15</v>
      </c>
      <c r="BF39" s="380">
        <f>'Таблиця цін схема №1'!DY39</f>
        <v>10</v>
      </c>
      <c r="BG39" s="47">
        <f>'Таблиця цін схема №1'!EB39</f>
        <v>15</v>
      </c>
      <c r="BH39" s="380">
        <f>'Таблиця цін схема №1'!EC39</f>
        <v>36</v>
      </c>
      <c r="BI39" s="47">
        <f>'Таблиця цін схема №1'!EF39</f>
        <v>50</v>
      </c>
      <c r="BJ39" s="380">
        <f>'Таблиця цін схема №1'!EG39</f>
        <v>1</v>
      </c>
      <c r="BK39" s="47">
        <f>'Таблиця цін схема №1'!EJ39</f>
        <v>32</v>
      </c>
      <c r="BL39" s="380">
        <f>'Таблиця цін схема №1'!EK39</f>
        <v>1</v>
      </c>
      <c r="BM39" s="47">
        <f>'Таблиця цін схема №1'!EN39</f>
        <v>20</v>
      </c>
      <c r="BN39" s="380">
        <f>'Таблиця цін схема №1'!EO39</f>
        <v>1</v>
      </c>
    </row>
    <row r="40" spans="1:129" ht="13.5" thickBot="1">
      <c r="A40" s="1116">
        <f>'Таблиця цін схема №1'!B40</f>
        <v>87</v>
      </c>
      <c r="B40" s="1116" t="str">
        <f>'Таблиця цін схема №1'!C40</f>
        <v>7а Leningradskaya Street</v>
      </c>
      <c r="C40" s="49">
        <f>'Таблиця цін схема №1'!AB40</f>
        <v>125</v>
      </c>
      <c r="D40" s="7">
        <f>'Таблиця цін схема №1'!AC40</f>
        <v>2</v>
      </c>
      <c r="E40" s="49">
        <f>'Таблиця цін схема №1'!AF40</f>
        <v>125</v>
      </c>
      <c r="F40" s="7">
        <f>'Таблиця цін схема №1'!AG40</f>
        <v>2</v>
      </c>
      <c r="G40" s="49">
        <f>'Таблиця цін схема №1'!AJ40</f>
        <v>125</v>
      </c>
      <c r="H40" s="1118">
        <f>'Таблиця цін схема №1'!AK40</f>
        <v>1</v>
      </c>
      <c r="I40" s="49">
        <f>'Таблиця цін схема №1'!AN40</f>
        <v>80</v>
      </c>
      <c r="J40" s="7">
        <f>'Таблиця цін схема №1'!AO40</f>
        <v>3</v>
      </c>
      <c r="K40" s="49">
        <f>'Таблиця цін схема №1'!AR40</f>
        <v>100</v>
      </c>
      <c r="L40" s="7">
        <f>'Таблиця цін схема №1'!AS40</f>
        <v>4</v>
      </c>
      <c r="M40" s="49" t="str">
        <f>'Таблиця цін схема №1'!AV40</f>
        <v>AMV20</v>
      </c>
      <c r="N40" s="7">
        <f>'Таблиця цін схема №1'!AW40</f>
        <v>1</v>
      </c>
      <c r="O40" s="49">
        <f>'Таблиця цін схема №1'!AZ40</f>
        <v>40</v>
      </c>
      <c r="P40" s="43">
        <f>'Таблиця цін схема №1'!BA40</f>
        <v>50</v>
      </c>
      <c r="Q40" s="7">
        <f>'Таблиця цін схема №1'!BB40</f>
        <v>1</v>
      </c>
      <c r="R40" s="49">
        <f>'Таблиця цін схема №1'!BE40</f>
        <v>32</v>
      </c>
      <c r="S40" s="43">
        <f>'Таблиця цін схема №1'!BF40</f>
        <v>50</v>
      </c>
      <c r="T40" s="7">
        <f>'Таблиця цін схема №1'!BG40</f>
        <v>1</v>
      </c>
      <c r="U40" s="49" t="str">
        <f>'Таблиця цін схема №1'!BJ40</f>
        <v>NV 230-3</v>
      </c>
      <c r="V40" s="7">
        <f>'Таблиця цін схема №1'!BK40</f>
        <v>1</v>
      </c>
      <c r="W40" s="49">
        <f>'Таблиця цін схема №1'!BN40</f>
        <v>63</v>
      </c>
      <c r="X40" s="43">
        <f>'Таблиця цін схема №1'!BO40</f>
        <v>65</v>
      </c>
      <c r="Y40" s="7">
        <f>'Таблиця цін схема №1'!BP40</f>
        <v>1</v>
      </c>
      <c r="Z40" s="49">
        <f>'Таблиця цін схема №1'!BS40</f>
        <v>50</v>
      </c>
      <c r="AA40" s="43">
        <f>'Таблиця цін схема №1'!BT40</f>
        <v>65</v>
      </c>
      <c r="AB40" s="1118">
        <f>'Таблиця цін схема №1'!BU40</f>
        <v>1</v>
      </c>
      <c r="AC40" s="49">
        <f>'Таблиця цін схема №1'!BX40</f>
        <v>65</v>
      </c>
      <c r="AD40" s="43">
        <f>'Таблиця цін схема №1'!BY40</f>
        <v>25</v>
      </c>
      <c r="AE40" s="43" t="str">
        <f>'Таблиця цін схема №1'!BZ40</f>
        <v>Pt500</v>
      </c>
      <c r="AF40" s="7">
        <f>'Таблиця цін схема №1'!CA40</f>
        <v>1</v>
      </c>
      <c r="AG40" s="49">
        <f>'Таблиця цін схема №1'!CD40</f>
        <v>80</v>
      </c>
      <c r="AH40" s="43">
        <f>'Таблиця цін схема №1'!CE40</f>
        <v>40</v>
      </c>
      <c r="AI40" s="43" t="str">
        <f>'Таблиця цін схема №1'!CF40</f>
        <v>Pt500</v>
      </c>
      <c r="AJ40" s="7">
        <f>'Таблиця цін схема №1'!CG40</f>
        <v>1</v>
      </c>
      <c r="AK40" s="1169" t="str">
        <f>'Таблиця цін схема №1'!CJ40</f>
        <v>ЕІ-ТО-30+081A00HS-1025000</v>
      </c>
      <c r="AL40" s="7">
        <f>'Таблиця цін схема №1'!CK40</f>
        <v>1</v>
      </c>
      <c r="AM40" s="1169" t="str">
        <f>'Таблиця цін схема №1'!CN40</f>
        <v>EI-TO-30+055M70HS-1467000</v>
      </c>
      <c r="AN40" s="7">
        <f>'Таблиця цін схема №1'!CO40</f>
        <v>1</v>
      </c>
      <c r="AO40" s="49">
        <f>'Таблиця цін схема №1'!CR40</f>
        <v>125</v>
      </c>
      <c r="AP40" s="7">
        <f>'Таблиця цін схема №1'!CS40</f>
        <v>4</v>
      </c>
      <c r="AQ40" s="49">
        <f>'Таблиця цін схема №1'!CV40</f>
        <v>100</v>
      </c>
      <c r="AR40" s="7">
        <f>'Таблиця цін схема №1'!CW40</f>
        <v>6</v>
      </c>
      <c r="AS40" s="49">
        <f>'Таблиця цін схема №1'!CZ40</f>
        <v>65</v>
      </c>
      <c r="AT40" s="1118">
        <f>'Таблиця цін схема №1'!DA40</f>
        <v>3</v>
      </c>
      <c r="AU40" s="49">
        <f>'Таблиця цін схема №1'!DD40</f>
        <v>50</v>
      </c>
      <c r="AV40" s="7">
        <f>'Таблиця цін схема №1'!DE40</f>
        <v>12</v>
      </c>
      <c r="AW40" s="49">
        <f>'Таблиця цін схема №1'!DH40</f>
        <v>50</v>
      </c>
      <c r="AX40" s="7">
        <f>'Таблиця цін схема №1'!DI40</f>
        <v>2</v>
      </c>
      <c r="AY40" s="49">
        <f>'Таблиця цін схема №1'!DL40</f>
        <v>25</v>
      </c>
      <c r="AZ40" s="7">
        <f>'Таблиця цін схема №1'!DM40</f>
        <v>1</v>
      </c>
      <c r="BA40" s="49">
        <f>'Таблиця цін схема №1'!DP40</f>
        <v>25</v>
      </c>
      <c r="BB40" s="7">
        <f>'Таблиця цін схема №1'!DQ40</f>
        <v>2</v>
      </c>
      <c r="BC40" s="49">
        <f>'Таблиця цін схема №1'!DT40</f>
        <v>20</v>
      </c>
      <c r="BD40" s="7">
        <f>'Таблиця цін схема №1'!DU40</f>
        <v>2</v>
      </c>
      <c r="BE40" s="49">
        <f>'Таблиця цін схема №1'!DX40</f>
        <v>15</v>
      </c>
      <c r="BF40" s="7">
        <f>'Таблиця цін схема №1'!DY40</f>
        <v>10</v>
      </c>
      <c r="BG40" s="49">
        <f>'Таблиця цін схема №1'!EB40</f>
        <v>15</v>
      </c>
      <c r="BH40" s="7">
        <f>'Таблиця цін схема №1'!EC40</f>
        <v>42</v>
      </c>
      <c r="BI40" s="49">
        <f>'Таблиця цін схема №1'!EF40</f>
        <v>125</v>
      </c>
      <c r="BJ40" s="7">
        <f>'Таблиця цін схема №1'!EG40</f>
        <v>1</v>
      </c>
      <c r="BK40" s="49">
        <f>'Таблиця цін схема №1'!EJ40</f>
        <v>100</v>
      </c>
      <c r="BL40" s="7">
        <f>'Таблиця цін схема №1'!EK40</f>
        <v>1</v>
      </c>
      <c r="BM40" s="49">
        <f>'Таблиця цін схема №1'!EN40</f>
        <v>65</v>
      </c>
      <c r="BN40" s="7">
        <f>'Таблиця цін схема №1'!EO40</f>
        <v>1</v>
      </c>
    </row>
    <row r="41" spans="1:129">
      <c r="CY41" s="504"/>
      <c r="CZ41" s="504"/>
    </row>
    <row r="44" spans="1:129" ht="18.75">
      <c r="B44" s="1157" t="s">
        <v>1392</v>
      </c>
    </row>
    <row r="45" spans="1:129" ht="13.5" thickBot="1"/>
    <row r="46" spans="1:129" s="202" customFormat="1" ht="95.25" customHeight="1" thickBot="1">
      <c r="A46" s="1067" t="s">
        <v>15</v>
      </c>
      <c r="B46" s="1079" t="s">
        <v>1003</v>
      </c>
      <c r="C46" s="1482" t="str">
        <f>'Таблиця цін схема №1'!ER3</f>
        <v>Threaded screen filter IVR 924</v>
      </c>
      <c r="D46" s="1483"/>
      <c r="E46" s="1482" t="str">
        <f>'Таблиця цін схема №1'!EV3</f>
        <v>Threaded check valve type 999/H (DN15-32)or interflanged check valve type 656 (DN40 and above)</v>
      </c>
      <c r="F46" s="1483"/>
      <c r="G46" s="1482" t="str">
        <f>'Таблиця цін схема №1'!EZ3</f>
        <v>Threaded check valve type 999/H (DN15-32)or interflanged check valve type 656 (DN40 and above)</v>
      </c>
      <c r="H46" s="1483"/>
      <c r="I46" s="1482" t="str">
        <f>'Таблиця цін схема №1'!FD3</f>
        <v>Threaded check valve type 999/H (DN15-32)or interflanged check valve type 656 (DN40 and above)</v>
      </c>
      <c r="J46" s="1483"/>
      <c r="K46" s="1482" t="str">
        <f>'Таблиця цін схема №1'!FH3</f>
        <v>Threaded check valve type 999/H</v>
      </c>
      <c r="L46" s="1483"/>
      <c r="M46" s="1482" t="str">
        <f>'Таблиця цін схема №1'!FL3</f>
        <v>Threaded vibration damper type AB-G (DN15 - 32) or flanged vibration damper type АВ-Е (DN40 and above)</v>
      </c>
      <c r="N46" s="1483"/>
      <c r="O46" s="1482" t="str">
        <f>'Таблиця цін схема №1'!FP3</f>
        <v>Threaded vibration damper type AB-G (DN15 - 32) or flanged vibration damper type АВ-Е (DN40 and above)</v>
      </c>
      <c r="P46" s="1483"/>
      <c r="Q46" s="1482" t="str">
        <f>'Таблиця цін схема №1'!FT3</f>
        <v>Threaded vibration damper type AB-G (DN15 - 32) or flanged vibration damper type АВ-Е (DN40 and above)</v>
      </c>
      <c r="R46" s="1483"/>
      <c r="S46" s="1482" t="str">
        <f>'Таблиця цін схема №1'!FX3</f>
        <v>Threaded safety valve IVR 369, 1-12 bar</v>
      </c>
      <c r="T46" s="1484"/>
      <c r="U46" s="1483"/>
      <c r="V46" s="1482" t="str">
        <f>'Таблиця цін схема №1'!GC3</f>
        <v>Circulation pump of the heating system</v>
      </c>
      <c r="W46" s="1484"/>
      <c r="X46" s="1484"/>
      <c r="Y46" s="1484"/>
      <c r="Z46" s="1484"/>
      <c r="AA46" s="1482" t="str">
        <f>'Таблиця цін схема №1'!GJ3</f>
        <v>Circulation pump of the HWS system</v>
      </c>
      <c r="AB46" s="1484"/>
      <c r="AC46" s="1484"/>
      <c r="AD46" s="1484"/>
      <c r="AE46" s="1483"/>
      <c r="AF46" s="1482" t="str">
        <f>'Таблиця цін схема №1'!GQ3</f>
        <v>Expansion tank with replaceable membrane, ROZ-NAVI</v>
      </c>
      <c r="AG46" s="1484"/>
      <c r="AH46" s="1484"/>
      <c r="AI46" s="1483"/>
      <c r="AJ46" s="1482" t="str">
        <f>'Таблиця цін схема №1'!GW3</f>
        <v>Threaded balancing valve Zetkama 221Н (DN15-32) or flanged balancing valve Zetkama 447 (DN40 and above)</v>
      </c>
      <c r="AK46" s="1484"/>
      <c r="AL46" s="1483"/>
      <c r="AM46" s="1482" t="str">
        <f>'Таблиця цін схема №1'!HB3</f>
        <v>Automatic air vent, DN15</v>
      </c>
      <c r="AN46" s="1483"/>
      <c r="AO46" s="1482" t="str">
        <f>'Таблиця цін схема №1'!HF3</f>
        <v>Threaded hot water flow meter with pulsed output, type JS 90 NK</v>
      </c>
      <c r="AP46" s="1484"/>
      <c r="AQ46" s="1482" t="str">
        <f>'Таблиця цін схема №1'!HJ3</f>
        <v xml:space="preserve">Threaded cold water flow meter with pulsed output type JS NK (DN15 - 32) or flanged type MWN NK (DN40 and above)  </v>
      </c>
      <c r="AR46" s="1484"/>
      <c r="AS46" s="1483"/>
      <c r="AT46" s="1482" t="str">
        <f>'Таблиця цін схема №1'!HO3</f>
        <v>Electromagnetic water treatment device, EZV</v>
      </c>
      <c r="AU46" s="1483"/>
      <c r="AV46" s="1482" t="str">
        <f>'Таблиця цін схема №1'!HS3</f>
        <v xml:space="preserve">Threaded ball valve IVR 230 with electric drive IVR 218 </v>
      </c>
      <c r="AW46" s="1483"/>
      <c r="AX46" s="1482" t="str">
        <f>'Таблиця цін схема №1'!HW3</f>
        <v>Bimetallic thermometer, type ТБ 80 (0-150°С)</v>
      </c>
      <c r="AY46" s="1483"/>
      <c r="AZ46" s="1482" t="str">
        <f>'Таблиця цін схема №1'!IA3</f>
        <v>Bimetallic thermometer, type ТБ 80 (0-120°С)</v>
      </c>
      <c r="BA46" s="1483"/>
      <c r="BB46" s="1482" t="str">
        <f>'Таблиця цін схема №1'!IE3</f>
        <v>Indicating pressure gauge (0-1,6 МPa)</v>
      </c>
      <c r="BC46" s="1483"/>
      <c r="BD46" s="1482" t="str">
        <f>'Таблиця цін схема №1'!II3</f>
        <v>Indicating pressure gauge (0-1,0 MPa)</v>
      </c>
      <c r="BE46" s="1483"/>
      <c r="BF46" s="1482" t="str">
        <f>'Таблиця цін схема №1'!IM3</f>
        <v>Pressure relay PSM01</v>
      </c>
      <c r="BG46" s="1483"/>
      <c r="BH46" s="1482" t="str">
        <f>'Таблиця цін схема №1'!IQ3</f>
        <v>Pressure sensor A-10 with the radiator</v>
      </c>
      <c r="BI46" s="1483"/>
      <c r="BJ46" s="1482" t="str">
        <f>'Таблиця цін схема №1'!IU3</f>
        <v>Water temperature sensor, embedded</v>
      </c>
      <c r="BK46" s="1483"/>
      <c r="BL46" s="1482" t="str">
        <f>'Таблиця цін схема №1'!IY3</f>
        <v>Ambient air temperature sensor</v>
      </c>
      <c r="BM46" s="1483"/>
      <c r="BN46" s="1064"/>
      <c r="BO46" s="1064"/>
      <c r="BP46" s="1064"/>
      <c r="BQ46" s="1064"/>
      <c r="BR46" s="1064"/>
      <c r="BS46" s="1064"/>
      <c r="BT46" s="1064"/>
      <c r="BU46" s="1064"/>
      <c r="BV46" s="1064"/>
      <c r="BW46" s="1064"/>
      <c r="BX46" s="1064"/>
      <c r="BY46" s="1064"/>
      <c r="BZ46" s="1064"/>
      <c r="CA46" s="1064"/>
      <c r="CB46" s="1064"/>
      <c r="CC46" s="1064"/>
      <c r="CD46" s="1064"/>
      <c r="CE46" s="1064"/>
      <c r="CF46" s="1064"/>
      <c r="CG46" s="1064"/>
      <c r="CH46" s="1064"/>
      <c r="CI46" s="1064"/>
      <c r="CJ46" s="1064"/>
      <c r="CK46" s="1064"/>
      <c r="CL46" s="1064"/>
      <c r="CM46" s="1064"/>
      <c r="CN46" s="1064"/>
      <c r="CO46" s="1064"/>
      <c r="CP46" s="1064"/>
      <c r="CQ46" s="1064"/>
      <c r="CR46" s="1064"/>
      <c r="CS46" s="1064"/>
      <c r="CT46" s="1064"/>
      <c r="CU46" s="1064"/>
      <c r="CV46" s="1064"/>
      <c r="CW46" s="1064"/>
      <c r="CX46" s="1064"/>
      <c r="CY46" s="1064"/>
      <c r="CZ46" s="1064"/>
      <c r="DA46" s="1064"/>
      <c r="DB46" s="1064"/>
      <c r="DC46" s="1064"/>
      <c r="DD46" s="1064"/>
      <c r="DE46" s="1064"/>
      <c r="DF46" s="1064"/>
      <c r="DG46" s="1064"/>
      <c r="DH46" s="1064"/>
      <c r="DI46" s="1064"/>
      <c r="DJ46" s="1064"/>
      <c r="DK46" s="1064"/>
      <c r="DL46" s="1064"/>
      <c r="DM46" s="1064"/>
      <c r="DN46" s="1064"/>
      <c r="DO46" s="1064"/>
      <c r="DP46" s="1064"/>
      <c r="DQ46" s="1064"/>
      <c r="DR46" s="1064"/>
      <c r="DS46" s="1064"/>
      <c r="DT46" s="1064"/>
      <c r="DU46" s="1064"/>
      <c r="DV46" s="1064"/>
      <c r="DW46" s="1064"/>
      <c r="DX46" s="1064"/>
      <c r="DY46" s="1064"/>
    </row>
    <row r="47" spans="1:129">
      <c r="A47" s="1065"/>
      <c r="B47" s="156"/>
      <c r="C47" s="1082">
        <f>'Таблиця цін схема №1'!ER4</f>
        <v>22</v>
      </c>
      <c r="D47" s="1083"/>
      <c r="E47" s="1082">
        <f>'Таблиця цін схема №1'!EV4</f>
        <v>13</v>
      </c>
      <c r="F47" s="1083"/>
      <c r="G47" s="1082">
        <f>'Таблиця цін схема №1'!EZ4</f>
        <v>34</v>
      </c>
      <c r="H47" s="1083"/>
      <c r="I47" s="1082">
        <f>'Таблиця цін схема №1'!FD4</f>
        <v>35</v>
      </c>
      <c r="J47" s="1083"/>
      <c r="K47" s="1082">
        <f>'Таблиця цін схема №1'!FH4</f>
        <v>24</v>
      </c>
      <c r="L47" s="1083"/>
      <c r="M47" s="1082">
        <f>'Таблиця цін схема №1'!FL4</f>
        <v>19</v>
      </c>
      <c r="N47" s="1083"/>
      <c r="O47" s="1082">
        <f>'Таблиця цін схема №1'!FP4</f>
        <v>36</v>
      </c>
      <c r="P47" s="1083"/>
      <c r="Q47" s="1082">
        <f>'Таблиця цін схема №1'!FT4</f>
        <v>37</v>
      </c>
      <c r="R47" s="1083"/>
      <c r="S47" s="1082">
        <f>'Таблиця цін схема №1'!FX4</f>
        <v>14</v>
      </c>
      <c r="T47" s="1084"/>
      <c r="U47" s="1083"/>
      <c r="V47" s="1082">
        <f>'Таблиця цін схема №1'!GC4</f>
        <v>15</v>
      </c>
      <c r="W47" s="1084"/>
      <c r="X47" s="1084"/>
      <c r="Y47" s="1084"/>
      <c r="Z47" s="1084"/>
      <c r="AA47" s="1082"/>
      <c r="AB47" s="1084"/>
      <c r="AC47" s="1084"/>
      <c r="AD47" s="1084">
        <f>'Таблиця цін схема №1'!GM4</f>
        <v>39</v>
      </c>
      <c r="AE47" s="1083"/>
      <c r="AF47" s="1082"/>
      <c r="AG47" s="1084">
        <f>'Таблиця цін схема №1'!GR4</f>
        <v>16</v>
      </c>
      <c r="AH47" s="1084"/>
      <c r="AI47" s="1083"/>
      <c r="AJ47" s="1082"/>
      <c r="AK47" s="1084">
        <f>'Таблиця цін схема №1'!GX4</f>
        <v>18</v>
      </c>
      <c r="AL47" s="1083"/>
      <c r="AM47" s="1082" t="str">
        <f>'Таблиця цін схема №1'!HB4</f>
        <v>17, 41</v>
      </c>
      <c r="AN47" s="1083"/>
      <c r="AO47" s="1082">
        <f>'Таблиця цін схема №1'!HF4</f>
        <v>21</v>
      </c>
      <c r="AP47" s="1084"/>
      <c r="AQ47" s="1082" t="str">
        <f>'Таблиця цін схема №1'!HJ4</f>
        <v>38</v>
      </c>
      <c r="AR47" s="1084"/>
      <c r="AS47" s="1083"/>
      <c r="AT47" s="1082">
        <f>'Таблиця цін схема №1'!HO4</f>
        <v>42</v>
      </c>
      <c r="AU47" s="1083"/>
      <c r="AV47" s="1082">
        <f>'Таблиця цін схема №1'!HS4</f>
        <v>25</v>
      </c>
      <c r="AW47" s="1083"/>
      <c r="AX47" s="1082">
        <f>'Таблиця цін схема №1'!HW4</f>
        <v>43</v>
      </c>
      <c r="AY47" s="1083"/>
      <c r="AZ47" s="1082">
        <f>'Таблиця цін схема №1'!IA4</f>
        <v>44</v>
      </c>
      <c r="BA47" s="1083"/>
      <c r="BB47" s="1082">
        <f>'Таблиця цін схема №1'!IE4</f>
        <v>45</v>
      </c>
      <c r="BC47" s="1083"/>
      <c r="BD47" s="1082">
        <f>'Таблиця цін схема №1'!II4</f>
        <v>46</v>
      </c>
      <c r="BE47" s="1083"/>
      <c r="BF47" s="1082">
        <f>'Таблиця цін схема №1'!IM4</f>
        <v>51</v>
      </c>
      <c r="BG47" s="1083"/>
      <c r="BH47" s="1082">
        <f>'Таблиця цін схема №1'!IQ4</f>
        <v>50</v>
      </c>
      <c r="BI47" s="1083"/>
      <c r="BJ47" s="1082">
        <f>'Таблиця цін схема №1'!IU4</f>
        <v>52</v>
      </c>
      <c r="BK47" s="1083"/>
      <c r="BL47" s="1082">
        <f>'Таблиця цін схема №1'!IY4</f>
        <v>53</v>
      </c>
      <c r="BM47" s="1083"/>
    </row>
    <row r="48" spans="1:129" ht="38.25">
      <c r="A48" s="1065"/>
      <c r="B48" s="156"/>
      <c r="C48" s="1073" t="str">
        <f>'Таблиця цін схема №1'!ER5</f>
        <v>DN, mm</v>
      </c>
      <c r="D48" s="1072" t="str">
        <f>'Таблиця цін схема №1'!ES5</f>
        <v>number</v>
      </c>
      <c r="E48" s="1073" t="str">
        <f>'Таблиця цін схема №1'!EV5</f>
        <v>DN, mm</v>
      </c>
      <c r="F48" s="1072" t="str">
        <f>'Таблиця цін схема №1'!EW5</f>
        <v>number</v>
      </c>
      <c r="G48" s="1073" t="str">
        <f>'Таблиця цін схема №1'!EZ5</f>
        <v>DN, mm</v>
      </c>
      <c r="H48" s="1072" t="str">
        <f>'Таблиця цін схема №1'!FA5</f>
        <v>number</v>
      </c>
      <c r="I48" s="1073" t="str">
        <f>'Таблиця цін схема №1'!FD5</f>
        <v>DN, mm</v>
      </c>
      <c r="J48" s="1072" t="str">
        <f>'Таблиця цін схема №1'!FE5</f>
        <v>number</v>
      </c>
      <c r="K48" s="1073" t="str">
        <f>'Таблиця цін схема №1'!FH5</f>
        <v>DN, mm</v>
      </c>
      <c r="L48" s="1072" t="str">
        <f>'Таблиця цін схема №1'!FI5</f>
        <v>number</v>
      </c>
      <c r="M48" s="1073" t="str">
        <f>'Таблиця цін схема №1'!FL5</f>
        <v>DN, mm</v>
      </c>
      <c r="N48" s="1072" t="str">
        <f>'Таблиця цін схема №1'!FM5</f>
        <v>number</v>
      </c>
      <c r="O48" s="1073" t="str">
        <f>'Таблиця цін схема №1'!FP5</f>
        <v>DN, mm</v>
      </c>
      <c r="P48" s="1072" t="str">
        <f>'Таблиця цін схема №1'!FQ5</f>
        <v>number</v>
      </c>
      <c r="Q48" s="1073" t="str">
        <f>'Таблиця цін схема №1'!FT5</f>
        <v>DN, mm</v>
      </c>
      <c r="R48" s="1072" t="str">
        <f>'Таблиця цін схема №1'!FU5</f>
        <v>number</v>
      </c>
      <c r="S48" s="1073" t="str">
        <f>'Таблиця цін схема №1'!FX5</f>
        <v>DN calc., mm</v>
      </c>
      <c r="T48" s="1071" t="str">
        <f>'Таблиця цін схема №1'!FY5</f>
        <v>DN, mm</v>
      </c>
      <c r="U48" s="1072" t="str">
        <f>'Таблиця цін схема №1'!FZ5</f>
        <v>number</v>
      </c>
      <c r="V48" s="1073" t="str">
        <f>'Таблиця цін схема №1'!GC5</f>
        <v>G, m3/h</v>
      </c>
      <c r="W48" s="1071" t="str">
        <f>'Таблиця цін схема №1'!GD5</f>
        <v>Number of floors</v>
      </c>
      <c r="X48" s="1071" t="str">
        <f>'Таблиця цін схема №1'!GE5</f>
        <v>H, m.w.c.</v>
      </c>
      <c r="Y48" s="160" t="str">
        <f>'Таблиця цін схема №1'!GF5</f>
        <v>pump model</v>
      </c>
      <c r="Z48" s="1087" t="str">
        <f>'Таблиця цін схема №1'!GG5</f>
        <v>number</v>
      </c>
      <c r="AA48" s="1073" t="str">
        <f>'Таблиця цін схема №1'!GJ5</f>
        <v>G, m3/h</v>
      </c>
      <c r="AB48" s="1071" t="str">
        <f>'Таблиця цін схема №1'!GK5</f>
        <v>Number of floors</v>
      </c>
      <c r="AC48" s="1071" t="str">
        <f>'Таблиця цін схема №1'!GL5</f>
        <v>H, m.w.c.</v>
      </c>
      <c r="AD48" s="1071" t="str">
        <f>'Таблиця цін схема №1'!GM5</f>
        <v>pump model</v>
      </c>
      <c r="AE48" s="1072" t="str">
        <f>'Таблиця цін схема №1'!GN5</f>
        <v>number</v>
      </c>
      <c r="AF48" s="1073" t="str">
        <f>'Таблиця цін схема №1'!GQ5</f>
        <v>V calc, l</v>
      </c>
      <c r="AG48" s="1071" t="str">
        <f>'Таблиця цін схема №1'!GR5</f>
        <v>V, l</v>
      </c>
      <c r="AH48" s="1071" t="str">
        <f>'Таблиця цін схема №1'!GS5</f>
        <v>DN, мм</v>
      </c>
      <c r="AI48" s="1072" t="str">
        <f>'Таблиця цін схема №1'!GT5</f>
        <v>number</v>
      </c>
      <c r="AJ48" s="1073" t="str">
        <f>'Таблиця цін схема №1'!GW5</f>
        <v>Kvs, m3/h</v>
      </c>
      <c r="AK48" s="1071" t="str">
        <f>'Таблиця цін схема №1'!GX5</f>
        <v>DN, mm</v>
      </c>
      <c r="AL48" s="1072" t="str">
        <f>'Таблиця цін схема №1'!GY5</f>
        <v>number</v>
      </c>
      <c r="AM48" s="1073" t="str">
        <f>'Таблиця цін схема №1'!HB5</f>
        <v>DN, mm</v>
      </c>
      <c r="AN48" s="1072" t="str">
        <f>'Таблиця цін схема №1'!HC5</f>
        <v>number</v>
      </c>
      <c r="AO48" s="1073" t="str">
        <f>'Таблиця цін схема №1'!HF5</f>
        <v>DN, mm</v>
      </c>
      <c r="AP48" s="1087" t="str">
        <f>'Таблиця цін схема №1'!HG5</f>
        <v>number</v>
      </c>
      <c r="AQ48" s="1073" t="str">
        <f>'Таблиця цін схема №1'!HJ5</f>
        <v>DN, mm</v>
      </c>
      <c r="AR48" s="1071" t="str">
        <f>'Таблиця цін схема №1'!HK5</f>
        <v>Qн, m3/h</v>
      </c>
      <c r="AS48" s="1072" t="str">
        <f>'Таблиця цін схема №1'!HL5</f>
        <v>number</v>
      </c>
      <c r="AT48" s="1073" t="str">
        <f>'Таблиця цін схема №1'!HO5</f>
        <v>DN, mm</v>
      </c>
      <c r="AU48" s="1072" t="str">
        <f>'Таблиця цін схема №1'!HP5</f>
        <v>number</v>
      </c>
      <c r="AV48" s="1073" t="str">
        <f>'Таблиця цін схема №1'!HS5</f>
        <v>DN, mm</v>
      </c>
      <c r="AW48" s="1072" t="str">
        <f>'Таблиця цін схема №1'!HT5</f>
        <v>number</v>
      </c>
      <c r="AX48" s="1073" t="str">
        <f>'Таблиця цін схема №1'!HW5</f>
        <v>measurement</v>
      </c>
      <c r="AY48" s="1072" t="str">
        <f>'Таблиця цін схема №1'!HX5</f>
        <v>number</v>
      </c>
      <c r="AZ48" s="1073" t="str">
        <f>'Таблиця цін схема №1'!IA5</f>
        <v>measurement</v>
      </c>
      <c r="BA48" s="1072" t="str">
        <f>'Таблиця цін схема №1'!IB5</f>
        <v>number</v>
      </c>
      <c r="BB48" s="1073" t="str">
        <f>'Таблиця цін схема №1'!IE5</f>
        <v>measurement</v>
      </c>
      <c r="BC48" s="1072" t="str">
        <f>'Таблиця цін схема №1'!IF5</f>
        <v>number</v>
      </c>
      <c r="BD48" s="1073" t="str">
        <f>'Таблиця цін схема №1'!II5</f>
        <v>measurement</v>
      </c>
      <c r="BE48" s="1072" t="str">
        <f>'Таблиця цін схема №1'!IJ5</f>
        <v>number</v>
      </c>
      <c r="BF48" s="1073"/>
      <c r="BG48" s="1072" t="str">
        <f>'Таблиця цін схема №1'!IN5</f>
        <v>number</v>
      </c>
      <c r="BH48" s="1073" t="str">
        <f>'Таблиця цін схема №1'!IQ5</f>
        <v>Р</v>
      </c>
      <c r="BI48" s="1072" t="str">
        <f>'Таблиця цін схема №1'!IR5</f>
        <v>number</v>
      </c>
      <c r="BJ48" s="1073" t="str">
        <f>'Таблиця цін схема №1'!IU5</f>
        <v>T</v>
      </c>
      <c r="BK48" s="1072" t="str">
        <f>'Таблиця цін схема №1'!IV5</f>
        <v>number</v>
      </c>
      <c r="BL48" s="1073" t="str">
        <f>'Таблиця цін схема №1'!IY5</f>
        <v>Т1</v>
      </c>
      <c r="BM48" s="1072" t="str">
        <f>'Таблиця цін схема №1'!IZ5</f>
        <v>number</v>
      </c>
    </row>
    <row r="49" spans="1:65" ht="13.5" thickBot="1">
      <c r="A49" s="1066"/>
      <c r="B49" s="164"/>
      <c r="C49" s="1088"/>
      <c r="D49" s="1085" t="str">
        <f>'Таблиця цін схема №1'!ES6</f>
        <v>pcs.</v>
      </c>
      <c r="E49" s="1088"/>
      <c r="F49" s="1085" t="str">
        <f>'Таблиця цін схема №1'!EW6</f>
        <v>pcs.</v>
      </c>
      <c r="G49" s="1088"/>
      <c r="H49" s="1085" t="str">
        <f>'Таблиця цін схема №1'!FA6</f>
        <v>pcs.</v>
      </c>
      <c r="I49" s="1088"/>
      <c r="J49" s="1085" t="str">
        <f>'Таблиця цін схема №1'!FE6</f>
        <v>pcs.</v>
      </c>
      <c r="K49" s="1088"/>
      <c r="L49" s="1085" t="str">
        <f>'Таблиця цін схема №1'!FI6</f>
        <v>pcs.</v>
      </c>
      <c r="M49" s="1088"/>
      <c r="N49" s="1085" t="str">
        <f>'Таблиця цін схема №1'!FM6</f>
        <v>pcs.</v>
      </c>
      <c r="O49" s="1088"/>
      <c r="P49" s="1085" t="str">
        <f>'Таблиця цін схема №1'!FQ6</f>
        <v>pcs.</v>
      </c>
      <c r="Q49" s="1088"/>
      <c r="R49" s="1085" t="str">
        <f>'Таблиця цін схема №1'!FU6</f>
        <v>pcs.</v>
      </c>
      <c r="S49" s="1088"/>
      <c r="T49" s="1089"/>
      <c r="U49" s="1085" t="str">
        <f>'Таблиця цін схема №1'!FZ6</f>
        <v>pcs.</v>
      </c>
      <c r="V49" s="1088"/>
      <c r="W49" s="1075"/>
      <c r="X49" s="1089"/>
      <c r="Y49" s="1181"/>
      <c r="Z49" s="1086" t="str">
        <f>'Таблиця цін схема №1'!GG6</f>
        <v>pcs.</v>
      </c>
      <c r="AA49" s="1088"/>
      <c r="AB49" s="1089"/>
      <c r="AC49" s="1089"/>
      <c r="AD49" s="1089"/>
      <c r="AE49" s="1085" t="str">
        <f>'Таблиця цін схема №1'!GN6</f>
        <v>pcs.</v>
      </c>
      <c r="AF49" s="1088"/>
      <c r="AG49" s="1089"/>
      <c r="AH49" s="1089"/>
      <c r="AI49" s="1085" t="str">
        <f>'Таблиця цін схема №1'!GT6</f>
        <v>pcs.</v>
      </c>
      <c r="AJ49" s="1088"/>
      <c r="AK49" s="1089"/>
      <c r="AL49" s="1085" t="str">
        <f>'Таблиця цін схема №1'!GY6</f>
        <v>pcs.</v>
      </c>
      <c r="AM49" s="1088"/>
      <c r="AN49" s="1085" t="str">
        <f>'Таблиця цін схема №1'!HC6</f>
        <v>pcs.</v>
      </c>
      <c r="AO49" s="1088"/>
      <c r="AP49" s="1086" t="str">
        <f>'Таблиця цін схема №1'!HG6</f>
        <v>pcs.</v>
      </c>
      <c r="AQ49" s="1088"/>
      <c r="AR49" s="1089"/>
      <c r="AS49" s="1085" t="str">
        <f>'Таблиця цін схема №1'!HL6</f>
        <v>pcs.</v>
      </c>
      <c r="AT49" s="1088"/>
      <c r="AU49" s="1085" t="str">
        <f>'Таблиця цін схема №1'!HP6</f>
        <v>pcs.</v>
      </c>
      <c r="AV49" s="1088"/>
      <c r="AW49" s="1085" t="str">
        <f>'Таблиця цін схема №1'!HT6</f>
        <v>pcs.</v>
      </c>
      <c r="AX49" s="1088" t="str">
        <f>'Таблиця цін схема №1'!HW6</f>
        <v>range,°С</v>
      </c>
      <c r="AY49" s="1085" t="str">
        <f>'Таблиця цін схема №1'!HX6</f>
        <v>pcs.</v>
      </c>
      <c r="AZ49" s="1088" t="str">
        <f>'Таблиця цін схема №1'!IA6</f>
        <v>range,°С</v>
      </c>
      <c r="BA49" s="1085" t="str">
        <f>'Таблиця цін схема №1'!IB6</f>
        <v>pcs.</v>
      </c>
      <c r="BB49" s="1088" t="str">
        <f>'Таблиця цін схема №1'!IE6</f>
        <v>range, MPa</v>
      </c>
      <c r="BC49" s="1085" t="str">
        <f>'Таблиця цін схема №1'!IF6</f>
        <v>pcs.</v>
      </c>
      <c r="BD49" s="1088" t="str">
        <f>'Таблиця цін схема №1'!II6</f>
        <v>range, MPa</v>
      </c>
      <c r="BE49" s="1085" t="str">
        <f>'Таблиця цін схема №1'!IJ6</f>
        <v>pcs.</v>
      </c>
      <c r="BF49" s="1088"/>
      <c r="BG49" s="1085" t="str">
        <f>'Таблиця цін схема №1'!IN6</f>
        <v>pcs.</v>
      </c>
      <c r="BH49" s="1088"/>
      <c r="BI49" s="1085" t="str">
        <f>'Таблиця цін схема №1'!IR6</f>
        <v>pcs.</v>
      </c>
      <c r="BJ49" s="1088"/>
      <c r="BK49" s="1085" t="str">
        <f>'Таблиця цін схема №1'!IV6</f>
        <v>pcs.</v>
      </c>
      <c r="BL49" s="1088"/>
      <c r="BM49" s="1085" t="str">
        <f>'Таблиця цін схема №1'!IZ6</f>
        <v>pcs.</v>
      </c>
    </row>
    <row r="50" spans="1:65">
      <c r="A50" s="1123">
        <v>1</v>
      </c>
      <c r="B50" s="1124" t="s">
        <v>767</v>
      </c>
      <c r="C50" s="1119">
        <f>'Таблиця цін схема №1'!ER8</f>
        <v>20</v>
      </c>
      <c r="D50" s="1120">
        <f>'Таблиця цін схема №1'!ES8</f>
        <v>1</v>
      </c>
      <c r="E50" s="1119">
        <f>'Таблиця цін схема №1'!EV8</f>
        <v>65</v>
      </c>
      <c r="F50" s="1120">
        <f>'Таблиця цін схема №1'!EW8</f>
        <v>2</v>
      </c>
      <c r="G50" s="1119">
        <f>'Таблиця цін схема №1'!EZ8</f>
        <v>50</v>
      </c>
      <c r="H50" s="1120">
        <f>'Таблиця цін схема №1'!FA8</f>
        <v>1</v>
      </c>
      <c r="I50" s="1119">
        <f>'Таблиця цін схема №1'!FD8</f>
        <v>32</v>
      </c>
      <c r="J50" s="1120">
        <f>'Таблиця цін схема №1'!FE8</f>
        <v>1</v>
      </c>
      <c r="K50" s="1119">
        <f>'Таблиця цін схема №1'!FH8</f>
        <v>20</v>
      </c>
      <c r="L50" s="1120">
        <f>'Таблиця цін схема №1'!FI8</f>
        <v>1</v>
      </c>
      <c r="M50" s="1119">
        <f>'Таблиця цін схема №1'!FL8</f>
        <v>40</v>
      </c>
      <c r="N50" s="1120">
        <f>'Таблиця цін схема №1'!FM8</f>
        <v>4</v>
      </c>
      <c r="O50" s="1119">
        <f>'Таблиця цін схема №1'!FP8</f>
        <v>50</v>
      </c>
      <c r="P50" s="1120">
        <f>'Таблиця цін схема №1'!FQ8</f>
        <v>1</v>
      </c>
      <c r="Q50" s="1119">
        <f>'Таблиця цін схема №1'!FT8</f>
        <v>32</v>
      </c>
      <c r="R50" s="1120">
        <f>'Таблиця цін схема №1'!FU8</f>
        <v>1</v>
      </c>
      <c r="S50" s="1132">
        <f>'Таблиця цін схема №1'!FX8</f>
        <v>24.810525992005893</v>
      </c>
      <c r="T50" s="1">
        <f>'Таблиця цін схема №1'!FY8</f>
        <v>25</v>
      </c>
      <c r="U50" s="1120">
        <f>'Таблиця цін схема №1'!FZ8</f>
        <v>2</v>
      </c>
      <c r="V50" s="1133">
        <f>'Таблиця цін схема №1'!GC8</f>
        <v>9.9205821205821199</v>
      </c>
      <c r="W50" s="1">
        <f>'Таблиця цін схема №1'!GD8</f>
        <v>14</v>
      </c>
      <c r="X50" s="1">
        <f>'Таблиця цін схема №1'!GE8</f>
        <v>13</v>
      </c>
      <c r="Y50" s="1150" t="str">
        <f>'Таблиця цін схема №1'!GF8</f>
        <v>Yonos MAXO 40/0,5-16 PN 6/10</v>
      </c>
      <c r="Z50" s="1121">
        <f>'Таблиця цін схема №1'!GG8</f>
        <v>2</v>
      </c>
      <c r="AA50" s="1133">
        <f>'Таблиця цін схема №1'!GJ8</f>
        <v>1.7190669371196754</v>
      </c>
      <c r="AB50" s="1">
        <f>'Таблиця цін схема №1'!GK8</f>
        <v>14</v>
      </c>
      <c r="AC50" s="1">
        <f>'Таблиця цін схема №1'!GL8</f>
        <v>10</v>
      </c>
      <c r="AD50" s="1150" t="str">
        <f>'Таблиця цін схема №1'!GM8</f>
        <v>TOP-Z 25/10 3- PN 10</v>
      </c>
      <c r="AE50" s="1120">
        <f>'Таблиця цін схема №1'!GN8</f>
        <v>1</v>
      </c>
      <c r="AF50" s="1132">
        <f>'Таблиця цін схема №1'!GQ8</f>
        <v>632.35938772397014</v>
      </c>
      <c r="AG50" s="1">
        <f>'Таблиця цін схема №1'!GR8</f>
        <v>750</v>
      </c>
      <c r="AH50" s="1">
        <f>'Таблиця цін схема №1'!GS8</f>
        <v>32</v>
      </c>
      <c r="AI50" s="1120">
        <f>'Таблиця цін схема №1'!GT8</f>
        <v>1</v>
      </c>
      <c r="AJ50" s="1119">
        <f>'Таблиця цін схема №1'!GW8</f>
        <v>11.13</v>
      </c>
      <c r="AK50" s="1">
        <f>'Таблиця цін схема №1'!GX8</f>
        <v>32</v>
      </c>
      <c r="AL50" s="1120">
        <f>'Таблиця цін схема №1'!GY8</f>
        <v>2</v>
      </c>
      <c r="AM50" s="1119">
        <f>'Таблиця цін схема №1'!HB8</f>
        <v>15</v>
      </c>
      <c r="AN50" s="1120">
        <f>'Таблиця цін схема №1'!HC8</f>
        <v>2</v>
      </c>
      <c r="AO50" s="1119">
        <f>'Таблиця цін схема №1'!HF8</f>
        <v>20</v>
      </c>
      <c r="AP50" s="1121">
        <f>'Таблиця цін схема №1'!HG8</f>
        <v>1</v>
      </c>
      <c r="AQ50" s="1119">
        <f>'Таблиця цін схема №1'!HJ8</f>
        <v>32</v>
      </c>
      <c r="AR50" s="1">
        <f>'Таблиця цін схема №1'!HK8</f>
        <v>6</v>
      </c>
      <c r="AS50" s="1120">
        <f>'Таблиця цін схема №1'!HL8</f>
        <v>1</v>
      </c>
      <c r="AT50" s="1119">
        <f>'Таблиця цін схема №1'!HO8</f>
        <v>50</v>
      </c>
      <c r="AU50" s="1120">
        <f>'Таблиця цін схема №1'!HP8</f>
        <v>1</v>
      </c>
      <c r="AV50" s="1119">
        <f>'Таблиця цін схема №1'!HS8</f>
        <v>20</v>
      </c>
      <c r="AW50" s="1120">
        <f>'Таблиця цін схема №1'!HT8</f>
        <v>1</v>
      </c>
      <c r="AX50" s="1119" t="str">
        <f>'Таблиця цін схема №1'!HW8</f>
        <v>0-150</v>
      </c>
      <c r="AY50" s="1120">
        <f>'Таблиця цін схема №1'!HX8</f>
        <v>1</v>
      </c>
      <c r="AZ50" s="1119" t="str">
        <f>'Таблиця цін схема №1'!IA8</f>
        <v>0-120</v>
      </c>
      <c r="BA50" s="1120">
        <f>'Таблиця цін схема №1'!IB8</f>
        <v>5</v>
      </c>
      <c r="BB50" s="1119" t="str">
        <f>'Таблиця цін схема №1'!IE8</f>
        <v>0-1,6</v>
      </c>
      <c r="BC50" s="1120">
        <f>'Таблиця цін схема №1'!IF8</f>
        <v>5</v>
      </c>
      <c r="BD50" s="1119" t="str">
        <f>'Таблиця цін схема №1'!II8</f>
        <v>0-1,0</v>
      </c>
      <c r="BE50" s="1120">
        <f>'Таблиця цін схема №1'!IJ8</f>
        <v>13</v>
      </c>
      <c r="BF50" s="1119" t="str">
        <f>'Таблиця цін схема №1'!IM8</f>
        <v>PSM01</v>
      </c>
      <c r="BG50" s="1120">
        <f>'Таблиця цін схема №1'!IN8</f>
        <v>5</v>
      </c>
      <c r="BH50" s="1119" t="str">
        <f>'Таблиця цін схема №1'!IQ8</f>
        <v>A-10</v>
      </c>
      <c r="BI50" s="1120">
        <f>'Таблиця цін схема №1'!IR8</f>
        <v>6</v>
      </c>
      <c r="BJ50" s="1119" t="str">
        <f>'Таблиця цін схема №1'!IU8</f>
        <v>ТСП 1-5</v>
      </c>
      <c r="BK50" s="1120">
        <f>'Таблиця цін схема №1'!IV8</f>
        <v>7</v>
      </c>
      <c r="BL50" s="1119" t="str">
        <f>'Таблиця цін схема №1'!IY8</f>
        <v>ТСП 2-10Г</v>
      </c>
      <c r="BM50" s="1120">
        <f>'Таблиця цін схема №1'!IZ8</f>
        <v>1</v>
      </c>
    </row>
    <row r="51" spans="1:65">
      <c r="A51" s="1115">
        <v>2</v>
      </c>
      <c r="B51" s="1125" t="s">
        <v>768</v>
      </c>
      <c r="C51" s="47">
        <f>'Таблиця цін схема №1'!ER9</f>
        <v>25</v>
      </c>
      <c r="D51" s="380">
        <f>'Таблиця цін схема №1'!ES9</f>
        <v>1</v>
      </c>
      <c r="E51" s="47">
        <f>'Таблиця цін схема №1'!EV9</f>
        <v>125</v>
      </c>
      <c r="F51" s="380">
        <f>'Таблиця цін схема №1'!EW9</f>
        <v>2</v>
      </c>
      <c r="G51" s="47">
        <f>'Таблиця цін схема №1'!EZ9</f>
        <v>80</v>
      </c>
      <c r="H51" s="380">
        <f>'Таблиця цін схема №1'!FA9</f>
        <v>1</v>
      </c>
      <c r="I51" s="47">
        <f>'Таблиця цін схема №1'!FD9</f>
        <v>50</v>
      </c>
      <c r="J51" s="380">
        <f>'Таблиця цін схема №1'!FE9</f>
        <v>1</v>
      </c>
      <c r="K51" s="47">
        <f>'Таблиця цін схема №1'!FH9</f>
        <v>25</v>
      </c>
      <c r="L51" s="380">
        <f>'Таблиця цін схема №1'!FI9</f>
        <v>1</v>
      </c>
      <c r="M51" s="47">
        <f>'Таблиця цін схема №1'!FL9</f>
        <v>50</v>
      </c>
      <c r="N51" s="380">
        <f>'Таблиця цін схема №1'!FM9</f>
        <v>12</v>
      </c>
      <c r="O51" s="47">
        <f>'Таблиця цін схема №1'!FP9</f>
        <v>80</v>
      </c>
      <c r="P51" s="380">
        <f>'Таблиця цін схема №1'!FQ9</f>
        <v>1</v>
      </c>
      <c r="Q51" s="47">
        <f>'Таблиця цін схема №1'!FT9</f>
        <v>50</v>
      </c>
      <c r="R51" s="380">
        <f>'Таблиця цін схема №1'!FU9</f>
        <v>1</v>
      </c>
      <c r="S51" s="1127">
        <f>'Таблиця цін схема №1'!FX9</f>
        <v>49.122261755745733</v>
      </c>
      <c r="T51" s="379">
        <f>'Таблиця цін схема №1'!FY9</f>
        <v>50</v>
      </c>
      <c r="U51" s="380">
        <f>'Таблиця цін схема №1'!FZ9</f>
        <v>2</v>
      </c>
      <c r="V51" s="1129">
        <f>'Таблиця цін схема №1'!GC9</f>
        <v>38.88856548856549</v>
      </c>
      <c r="W51" s="379">
        <f>'Таблиця цін схема №1'!GD9</f>
        <v>9</v>
      </c>
      <c r="X51" s="379">
        <f>'Таблиця цін схема №1'!GE9</f>
        <v>9</v>
      </c>
      <c r="Y51" s="1144" t="str">
        <f>'Таблиця цін схема №1'!GF9</f>
        <v>Yonos MAXO 65/0,5-16 PN 6/10</v>
      </c>
      <c r="Z51" s="78">
        <f>'Таблиця цін схема №1'!GG9</f>
        <v>2</v>
      </c>
      <c r="AA51" s="1129">
        <f>'Таблиця цін схема №1'!GJ9</f>
        <v>4.947261663286004</v>
      </c>
      <c r="AB51" s="379">
        <f>'Таблиця цін схема №1'!GK9</f>
        <v>9</v>
      </c>
      <c r="AC51" s="379">
        <f>'Таблиця цін схема №1'!GL9</f>
        <v>9</v>
      </c>
      <c r="AD51" s="1144" t="str">
        <f>'Таблиця цін схема №1'!GM9</f>
        <v>TOP-Z 25/10 3- PN 10</v>
      </c>
      <c r="AE51" s="380">
        <f>'Таблиця цін схема №1'!GN9</f>
        <v>1</v>
      </c>
      <c r="AF51" s="1127">
        <f>'Таблиця цін схема №1'!GQ9</f>
        <v>1955.7011459244366</v>
      </c>
      <c r="AG51" s="379">
        <f>'Таблиця цін схема №1'!GR9</f>
        <v>1000</v>
      </c>
      <c r="AH51" s="379">
        <f>'Таблиця цін схема №1'!GS9</f>
        <v>50</v>
      </c>
      <c r="AI51" s="380">
        <f>'Таблиця цін схема №1'!GT9</f>
        <v>2</v>
      </c>
      <c r="AJ51" s="47">
        <f>'Таблиця цін схема №1'!GW9</f>
        <v>11.13</v>
      </c>
      <c r="AK51" s="379">
        <f>'Таблиця цін схема №1'!GX9</f>
        <v>32</v>
      </c>
      <c r="AL51" s="380">
        <f>'Таблиця цін схема №1'!GY9</f>
        <v>6</v>
      </c>
      <c r="AM51" s="47">
        <f>'Таблиця цін схема №1'!HB9</f>
        <v>15</v>
      </c>
      <c r="AN51" s="380">
        <f>'Таблиця цін схема №1'!HC9</f>
        <v>2</v>
      </c>
      <c r="AO51" s="47">
        <f>'Таблиця цін схема №1'!HF9</f>
        <v>25</v>
      </c>
      <c r="AP51" s="78">
        <f>'Таблиця цін схема №1'!HG9</f>
        <v>1</v>
      </c>
      <c r="AQ51" s="47">
        <f>'Таблиця цін схема №1'!HJ9</f>
        <v>65</v>
      </c>
      <c r="AR51" s="379">
        <f>'Таблиця цін схема №1'!HK9</f>
        <v>25</v>
      </c>
      <c r="AS51" s="380">
        <f>'Таблиця цін схема №1'!HL9</f>
        <v>1</v>
      </c>
      <c r="AT51" s="47">
        <f>'Таблиця цін схема №1'!HO9</f>
        <v>80</v>
      </c>
      <c r="AU51" s="380">
        <f>'Таблиця цін схема №1'!HP9</f>
        <v>1</v>
      </c>
      <c r="AV51" s="47">
        <f>'Таблиця цін схема №1'!HS9</f>
        <v>25</v>
      </c>
      <c r="AW51" s="380">
        <f>'Таблиця цін схема №1'!HT9</f>
        <v>1</v>
      </c>
      <c r="AX51" s="47" t="str">
        <f>'Таблиця цін схема №1'!HW9</f>
        <v>0-150</v>
      </c>
      <c r="AY51" s="380">
        <f>'Таблиця цін схема №1'!HX9</f>
        <v>1</v>
      </c>
      <c r="AZ51" s="47" t="str">
        <f>'Таблиця цін схема №1'!IA9</f>
        <v>0-120</v>
      </c>
      <c r="BA51" s="380">
        <f>'Таблиця цін схема №1'!IB9</f>
        <v>5</v>
      </c>
      <c r="BB51" s="47" t="str">
        <f>'Таблиця цін схема №1'!IE9</f>
        <v>0-1,6</v>
      </c>
      <c r="BC51" s="380">
        <f>'Таблиця цін схема №1'!IF9</f>
        <v>5</v>
      </c>
      <c r="BD51" s="47" t="str">
        <f>'Таблиця цін схема №1'!II9</f>
        <v>0-1,0</v>
      </c>
      <c r="BE51" s="380">
        <f>'Таблиця цін схема №1'!IJ9</f>
        <v>17</v>
      </c>
      <c r="BF51" s="47" t="str">
        <f>'Таблиця цін схема №1'!IM9</f>
        <v>PSM01</v>
      </c>
      <c r="BG51" s="380">
        <f>'Таблиця цін схема №1'!IN9</f>
        <v>5</v>
      </c>
      <c r="BH51" s="47" t="str">
        <f>'Таблиця цін схема №1'!IQ9</f>
        <v>A-10</v>
      </c>
      <c r="BI51" s="380">
        <f>'Таблиця цін схема №1'!IR9</f>
        <v>6</v>
      </c>
      <c r="BJ51" s="47" t="str">
        <f>'Таблиця цін схема №1'!IU9</f>
        <v>ТСП 1-5</v>
      </c>
      <c r="BK51" s="380">
        <f>'Таблиця цін схема №1'!IV9</f>
        <v>7</v>
      </c>
      <c r="BL51" s="47" t="str">
        <f>'Таблиця цін схема №1'!IY9</f>
        <v>ТСП 2-10Г</v>
      </c>
      <c r="BM51" s="380">
        <f>'Таблиця цін схема №1'!IZ9</f>
        <v>1</v>
      </c>
    </row>
    <row r="52" spans="1:65">
      <c r="A52" s="1115">
        <v>3</v>
      </c>
      <c r="B52" s="1125" t="s">
        <v>769</v>
      </c>
      <c r="C52" s="47">
        <f>'Таблиця цін схема №1'!ER10</f>
        <v>20</v>
      </c>
      <c r="D52" s="380">
        <f>'Таблиця цін схема №1'!ES10</f>
        <v>1</v>
      </c>
      <c r="E52" s="47">
        <f>'Таблиця цін схема №1'!EV10</f>
        <v>65</v>
      </c>
      <c r="F52" s="380">
        <f>'Таблиця цін схема №1'!EW10</f>
        <v>2</v>
      </c>
      <c r="G52" s="47">
        <f>'Таблиця цін схема №1'!EZ10</f>
        <v>40</v>
      </c>
      <c r="H52" s="380">
        <f>'Таблиця цін схема №1'!FA10</f>
        <v>1</v>
      </c>
      <c r="I52" s="47">
        <f>'Таблиця цін схема №1'!FD10</f>
        <v>25</v>
      </c>
      <c r="J52" s="380">
        <f>'Таблиця цін схема №1'!FE10</f>
        <v>1</v>
      </c>
      <c r="K52" s="47">
        <f>'Таблиця цін схема №1'!FH10</f>
        <v>20</v>
      </c>
      <c r="L52" s="380">
        <f>'Таблиця цін схема №1'!FI10</f>
        <v>1</v>
      </c>
      <c r="M52" s="47">
        <f>'Таблиця цін схема №1'!FL10</f>
        <v>40</v>
      </c>
      <c r="N52" s="380">
        <f>'Таблиця цін схема №1'!FM10</f>
        <v>4</v>
      </c>
      <c r="O52" s="47">
        <f>'Таблиця цін схема №1'!FP10</f>
        <v>40</v>
      </c>
      <c r="P52" s="380">
        <f>'Таблиця цін схема №1'!FQ10</f>
        <v>1</v>
      </c>
      <c r="Q52" s="47">
        <f>'Таблиця цін схема №1'!FT10</f>
        <v>25</v>
      </c>
      <c r="R52" s="380">
        <f>'Таблиця цін схема №1'!FU10</f>
        <v>1</v>
      </c>
      <c r="S52" s="1127">
        <f>'Таблиця цін схема №1'!FX10</f>
        <v>24.832873373816412</v>
      </c>
      <c r="T52" s="379">
        <f>'Таблиця цін схема №1'!FY10</f>
        <v>25</v>
      </c>
      <c r="U52" s="380">
        <f>'Таблиця цін схема №1'!FZ10</f>
        <v>2</v>
      </c>
      <c r="V52" s="1129">
        <f>'Таблиця цін схема №1'!GC10</f>
        <v>9.9384615384615387</v>
      </c>
      <c r="W52" s="379">
        <f>'Таблиця цін схема №1'!GD10</f>
        <v>9</v>
      </c>
      <c r="X52" s="379">
        <f>'Таблиця цін схема №1'!GE10</f>
        <v>9</v>
      </c>
      <c r="Y52" s="1144" t="str">
        <f>'Таблиця цін схема №1'!GF10</f>
        <v>Yonos MAXO 50/0,5-12 PN 6/10</v>
      </c>
      <c r="Z52" s="78">
        <f>'Таблиця цін схема №1'!GG10</f>
        <v>2</v>
      </c>
      <c r="AA52" s="1129">
        <f>'Таблиця цін схема №1'!GJ10</f>
        <v>1.3630831643002028</v>
      </c>
      <c r="AB52" s="379">
        <f>'Таблиця цін схема №1'!GK10</f>
        <v>9</v>
      </c>
      <c r="AC52" s="379">
        <f>'Таблиця цін схема №1'!GL10</f>
        <v>9</v>
      </c>
      <c r="AD52" s="1144" t="str">
        <f>'Таблиця цін схема №1'!GM10</f>
        <v>TOP-Z 25/10 3- PN 10</v>
      </c>
      <c r="AE52" s="380">
        <f>'Таблиця цін схема №1'!GN10</f>
        <v>1</v>
      </c>
      <c r="AF52" s="1127">
        <f>'Таблиця цін схема №1'!GQ10</f>
        <v>492.62526162204728</v>
      </c>
      <c r="AG52" s="379">
        <f>'Таблиця цін схема №1'!GR10</f>
        <v>500</v>
      </c>
      <c r="AH52" s="379">
        <f>'Таблиця цін схема №1'!GS10</f>
        <v>32</v>
      </c>
      <c r="AI52" s="380">
        <f>'Таблиця цін схема №1'!GT10</f>
        <v>1</v>
      </c>
      <c r="AJ52" s="47">
        <f>'Таблиця цін схема №1'!GW10</f>
        <v>11.13</v>
      </c>
      <c r="AK52" s="379">
        <f>'Таблиця цін схема №1'!GX10</f>
        <v>32</v>
      </c>
      <c r="AL52" s="380">
        <f>'Таблиця цін схема №1'!GY10</f>
        <v>2</v>
      </c>
      <c r="AM52" s="47">
        <f>'Таблиця цін схема №1'!HB10</f>
        <v>15</v>
      </c>
      <c r="AN52" s="380">
        <f>'Таблиця цін схема №1'!HC10</f>
        <v>2</v>
      </c>
      <c r="AO52" s="47">
        <f>'Таблиця цін схема №1'!HF10</f>
        <v>20</v>
      </c>
      <c r="AP52" s="78">
        <f>'Таблиця цін схема №1'!HG10</f>
        <v>1</v>
      </c>
      <c r="AQ52" s="47">
        <f>'Таблиця цін схема №1'!HJ10</f>
        <v>32</v>
      </c>
      <c r="AR52" s="379">
        <f>'Таблиця цін схема №1'!HK10</f>
        <v>6</v>
      </c>
      <c r="AS52" s="380">
        <f>'Таблиця цін схема №1'!HL10</f>
        <v>1</v>
      </c>
      <c r="AT52" s="47">
        <f>'Таблиця цін схема №1'!HO10</f>
        <v>40</v>
      </c>
      <c r="AU52" s="380">
        <f>'Таблиця цін схема №1'!HP10</f>
        <v>1</v>
      </c>
      <c r="AV52" s="47">
        <f>'Таблиця цін схема №1'!HS10</f>
        <v>20</v>
      </c>
      <c r="AW52" s="380">
        <f>'Таблиця цін схема №1'!HT10</f>
        <v>1</v>
      </c>
      <c r="AX52" s="47" t="str">
        <f>'Таблиця цін схема №1'!HW10</f>
        <v>0-150</v>
      </c>
      <c r="AY52" s="380">
        <f>'Таблиця цін схема №1'!HX10</f>
        <v>1</v>
      </c>
      <c r="AZ52" s="47" t="str">
        <f>'Таблиця цін схема №1'!IA10</f>
        <v>0-120</v>
      </c>
      <c r="BA52" s="380">
        <f>'Таблиця цін схема №1'!IB10</f>
        <v>5</v>
      </c>
      <c r="BB52" s="47" t="str">
        <f>'Таблиця цін схема №1'!IE10</f>
        <v>0-1,6</v>
      </c>
      <c r="BC52" s="380">
        <f>'Таблиця цін схема №1'!IF10</f>
        <v>5</v>
      </c>
      <c r="BD52" s="47" t="str">
        <f>'Таблиця цін схема №1'!II10</f>
        <v>0-1,0</v>
      </c>
      <c r="BE52" s="380">
        <f>'Таблиця цін схема №1'!IJ10</f>
        <v>13</v>
      </c>
      <c r="BF52" s="47" t="str">
        <f>'Таблиця цін схема №1'!IM10</f>
        <v>PSM01</v>
      </c>
      <c r="BG52" s="380">
        <f>'Таблиця цін схема №1'!IN10</f>
        <v>5</v>
      </c>
      <c r="BH52" s="47" t="str">
        <f>'Таблиця цін схема №1'!IQ10</f>
        <v>A-10</v>
      </c>
      <c r="BI52" s="380">
        <f>'Таблиця цін схема №1'!IR10</f>
        <v>6</v>
      </c>
      <c r="BJ52" s="47" t="str">
        <f>'Таблиця цін схема №1'!IU10</f>
        <v>ТСП 1-5</v>
      </c>
      <c r="BK52" s="380">
        <f>'Таблиця цін схема №1'!IV10</f>
        <v>7</v>
      </c>
      <c r="BL52" s="47" t="str">
        <f>'Таблиця цін схема №1'!IY10</f>
        <v>ТСП 2-10Г</v>
      </c>
      <c r="BM52" s="380">
        <f>'Таблиця цін схема №1'!IZ10</f>
        <v>1</v>
      </c>
    </row>
    <row r="53" spans="1:65">
      <c r="A53" s="1115">
        <v>4</v>
      </c>
      <c r="B53" s="1125" t="s">
        <v>770</v>
      </c>
      <c r="C53" s="47">
        <f>'Таблиця цін схема №1'!ER11</f>
        <v>25</v>
      </c>
      <c r="D53" s="380">
        <f>'Таблиця цін схема №1'!ES11</f>
        <v>1</v>
      </c>
      <c r="E53" s="47">
        <f>'Таблиця цін схема №1'!EV11</f>
        <v>80</v>
      </c>
      <c r="F53" s="380">
        <f>'Таблиця цін схема №1'!EW11</f>
        <v>2</v>
      </c>
      <c r="G53" s="47">
        <f>'Таблиця цін схема №1'!EZ11</f>
        <v>40</v>
      </c>
      <c r="H53" s="380">
        <f>'Таблиця цін схема №1'!FA11</f>
        <v>1</v>
      </c>
      <c r="I53" s="47">
        <f>'Таблиця цін схема №1'!FD11</f>
        <v>25</v>
      </c>
      <c r="J53" s="380">
        <f>'Таблиця цін схема №1'!FE11</f>
        <v>1</v>
      </c>
      <c r="K53" s="47">
        <f>'Таблиця цін схема №1'!FH11</f>
        <v>25</v>
      </c>
      <c r="L53" s="380">
        <f>'Таблиця цін схема №1'!FI11</f>
        <v>1</v>
      </c>
      <c r="M53" s="47">
        <f>'Таблиця цін схема №1'!FL11</f>
        <v>50</v>
      </c>
      <c r="N53" s="380">
        <f>'Таблиця цін схема №1'!FM11</f>
        <v>4</v>
      </c>
      <c r="O53" s="47">
        <f>'Таблиця цін схема №1'!FP11</f>
        <v>40</v>
      </c>
      <c r="P53" s="380">
        <f>'Таблиця цін схема №1'!FQ11</f>
        <v>1</v>
      </c>
      <c r="Q53" s="47">
        <f>'Таблиця цін схема №1'!FT11</f>
        <v>25</v>
      </c>
      <c r="R53" s="380">
        <f>'Таблиця цін схема №1'!FU11</f>
        <v>1</v>
      </c>
      <c r="S53" s="1127">
        <f>'Таблиця цін схема №1'!FX11</f>
        <v>27.646894943193892</v>
      </c>
      <c r="T53" s="379">
        <f>'Таблиця цін схема №1'!FY11</f>
        <v>32</v>
      </c>
      <c r="U53" s="380">
        <f>'Таблиця цін схема №1'!FZ11</f>
        <v>2</v>
      </c>
      <c r="V53" s="1129">
        <f>'Таблиця цін схема №1'!GC11</f>
        <v>12.31850311850312</v>
      </c>
      <c r="W53" s="379">
        <f>'Таблиця цін схема №1'!GD11</f>
        <v>9</v>
      </c>
      <c r="X53" s="379">
        <f>'Таблиця цін схема №1'!GE11</f>
        <v>9</v>
      </c>
      <c r="Y53" s="1144" t="str">
        <f>'Таблиця цін схема №1'!GF11</f>
        <v>Yonos MAXO 50/0,5-12 PN 6/10</v>
      </c>
      <c r="Z53" s="78">
        <f>'Таблиця цін схема №1'!GG11</f>
        <v>2</v>
      </c>
      <c r="AA53" s="1129">
        <f>'Таблиця цін схема №1'!GJ11</f>
        <v>1.3582150101419879</v>
      </c>
      <c r="AB53" s="379">
        <f>'Таблиця цін схема №1'!GK11</f>
        <v>9</v>
      </c>
      <c r="AC53" s="379">
        <f>'Таблиця цін схема №1'!GL11</f>
        <v>9</v>
      </c>
      <c r="AD53" s="1144" t="str">
        <f>'Таблиця цін схема №1'!GM11</f>
        <v>TOP-Z 25/10 3- PN 10</v>
      </c>
      <c r="AE53" s="380">
        <f>'Таблиця цін схема №1'!GN11</f>
        <v>1</v>
      </c>
      <c r="AF53" s="1127">
        <f>'Таблиця цін схема №1'!GQ11</f>
        <v>611.02446613206723</v>
      </c>
      <c r="AG53" s="379">
        <f>'Таблиця цін схема №1'!GR11</f>
        <v>750</v>
      </c>
      <c r="AH53" s="379">
        <f>'Таблиця цін схема №1'!GS11</f>
        <v>32</v>
      </c>
      <c r="AI53" s="380">
        <f>'Таблиця цін схема №1'!GT11</f>
        <v>1</v>
      </c>
      <c r="AJ53" s="47">
        <f>'Таблиця цін схема №1'!GW11</f>
        <v>11.13</v>
      </c>
      <c r="AK53" s="379">
        <f>'Таблиця цін схема №1'!GX11</f>
        <v>32</v>
      </c>
      <c r="AL53" s="380">
        <f>'Таблиця цін схема №1'!GY11</f>
        <v>2</v>
      </c>
      <c r="AM53" s="47">
        <f>'Таблиця цін схема №1'!HB11</f>
        <v>15</v>
      </c>
      <c r="AN53" s="380">
        <f>'Таблиця цін схема №1'!HC11</f>
        <v>2</v>
      </c>
      <c r="AO53" s="47">
        <f>'Таблиця цін схема №1'!HF11</f>
        <v>25</v>
      </c>
      <c r="AP53" s="78">
        <f>'Таблиця цін схема №1'!HG11</f>
        <v>1</v>
      </c>
      <c r="AQ53" s="47">
        <f>'Таблиця цін схема №1'!HJ11</f>
        <v>32</v>
      </c>
      <c r="AR53" s="379">
        <f>'Таблиця цін схема №1'!HK11</f>
        <v>6</v>
      </c>
      <c r="AS53" s="380">
        <f>'Таблиця цін схема №1'!HL11</f>
        <v>1</v>
      </c>
      <c r="AT53" s="47">
        <f>'Таблиця цін схема №1'!HO11</f>
        <v>40</v>
      </c>
      <c r="AU53" s="380">
        <f>'Таблиця цін схема №1'!HP11</f>
        <v>1</v>
      </c>
      <c r="AV53" s="47">
        <f>'Таблиця цін схема №1'!HS11</f>
        <v>25</v>
      </c>
      <c r="AW53" s="380">
        <f>'Таблиця цін схема №1'!HT11</f>
        <v>1</v>
      </c>
      <c r="AX53" s="47" t="str">
        <f>'Таблиця цін схема №1'!HW11</f>
        <v>0-150</v>
      </c>
      <c r="AY53" s="380">
        <f>'Таблиця цін схема №1'!HX11</f>
        <v>1</v>
      </c>
      <c r="AZ53" s="47" t="str">
        <f>'Таблиця цін схема №1'!IA11</f>
        <v>0-120</v>
      </c>
      <c r="BA53" s="380">
        <f>'Таблиця цін схема №1'!IB11</f>
        <v>5</v>
      </c>
      <c r="BB53" s="47" t="str">
        <f>'Таблиця цін схема №1'!IE11</f>
        <v>0-1,6</v>
      </c>
      <c r="BC53" s="380">
        <f>'Таблиця цін схема №1'!IF11</f>
        <v>5</v>
      </c>
      <c r="BD53" s="47" t="str">
        <f>'Таблиця цін схема №1'!II11</f>
        <v>0-1,0</v>
      </c>
      <c r="BE53" s="380">
        <f>'Таблиця цін схема №1'!IJ11</f>
        <v>13</v>
      </c>
      <c r="BF53" s="47" t="str">
        <f>'Таблиця цін схема №1'!IM11</f>
        <v>PSM01</v>
      </c>
      <c r="BG53" s="380">
        <f>'Таблиця цін схема №1'!IN11</f>
        <v>5</v>
      </c>
      <c r="BH53" s="47" t="str">
        <f>'Таблиця цін схема №1'!IQ11</f>
        <v>A-10</v>
      </c>
      <c r="BI53" s="380">
        <f>'Таблиця цін схема №1'!IR11</f>
        <v>6</v>
      </c>
      <c r="BJ53" s="47" t="str">
        <f>'Таблиця цін схема №1'!IU11</f>
        <v>ТСП 1-5</v>
      </c>
      <c r="BK53" s="380">
        <f>'Таблиця цін схема №1'!IV11</f>
        <v>7</v>
      </c>
      <c r="BL53" s="47" t="str">
        <f>'Таблиця цін схема №1'!IY11</f>
        <v>ТСП 2-10Г</v>
      </c>
      <c r="BM53" s="380">
        <f>'Таблиця цін схема №1'!IZ11</f>
        <v>1</v>
      </c>
    </row>
    <row r="54" spans="1:65">
      <c r="A54" s="1115">
        <v>6</v>
      </c>
      <c r="B54" s="1125" t="s">
        <v>771</v>
      </c>
      <c r="C54" s="47">
        <f>'Таблиця цін схема №1'!ER12</f>
        <v>25</v>
      </c>
      <c r="D54" s="380">
        <f>'Таблиця цін схема №1'!ES12</f>
        <v>1</v>
      </c>
      <c r="E54" s="47">
        <f>'Таблиця цін схема №1'!EV12</f>
        <v>65</v>
      </c>
      <c r="F54" s="380">
        <f>'Таблиця цін схема №1'!EW12</f>
        <v>2</v>
      </c>
      <c r="G54" s="47">
        <f>'Таблиця цін схема №1'!EZ12</f>
        <v>50</v>
      </c>
      <c r="H54" s="380">
        <f>'Таблиця цін схема №1'!FA12</f>
        <v>1</v>
      </c>
      <c r="I54" s="47">
        <f>'Таблиця цін схема №1'!FD12</f>
        <v>32</v>
      </c>
      <c r="J54" s="380">
        <f>'Таблиця цін схема №1'!FE12</f>
        <v>1</v>
      </c>
      <c r="K54" s="47">
        <f>'Таблиця цін схема №1'!FH12</f>
        <v>25</v>
      </c>
      <c r="L54" s="380">
        <f>'Таблиця цін схема №1'!FI12</f>
        <v>1</v>
      </c>
      <c r="M54" s="47">
        <f>'Таблиця цін схема №1'!FL12</f>
        <v>50</v>
      </c>
      <c r="N54" s="380">
        <f>'Таблиця цін схема №1'!FM12</f>
        <v>4</v>
      </c>
      <c r="O54" s="47">
        <f>'Таблиця цін схема №1'!FP12</f>
        <v>50</v>
      </c>
      <c r="P54" s="380">
        <f>'Таблиця цін схема №1'!FQ12</f>
        <v>1</v>
      </c>
      <c r="Q54" s="47">
        <f>'Таблиця цін схема №1'!FT12</f>
        <v>32</v>
      </c>
      <c r="R54" s="380">
        <f>'Таблиця цін схема №1'!FU12</f>
        <v>1</v>
      </c>
      <c r="S54" s="1127">
        <f>'Таблиця цін схема №1'!FX12</f>
        <v>25.773986886005819</v>
      </c>
      <c r="T54" s="379">
        <f>'Таблиця цін схема №1'!FY12</f>
        <v>25</v>
      </c>
      <c r="U54" s="380">
        <f>'Таблиця цін схема №1'!FZ12</f>
        <v>2</v>
      </c>
      <c r="V54" s="1129">
        <f>'Таблиця цін схема №1'!GC12</f>
        <v>10.706029106029105</v>
      </c>
      <c r="W54" s="379">
        <f>'Таблиця цін схема №1'!GD12</f>
        <v>16</v>
      </c>
      <c r="X54" s="379">
        <f>'Таблиця цін схема №1'!GE12</f>
        <v>14</v>
      </c>
      <c r="Y54" s="1144" t="str">
        <f>'Таблиця цін схема №1'!GF12</f>
        <v>Yonos MAXO 50/0,5-16 PN 6/10</v>
      </c>
      <c r="Z54" s="78">
        <f>'Таблиця цін схема №1'!GG12</f>
        <v>2</v>
      </c>
      <c r="AA54" s="1129">
        <f>'Таблиця цін схема №1'!GJ12</f>
        <v>1.8133874239350913</v>
      </c>
      <c r="AB54" s="379">
        <f>'Таблиця цін схема №1'!GK12</f>
        <v>16</v>
      </c>
      <c r="AC54" s="379">
        <f>'Таблиця цін схема №1'!GL12</f>
        <v>10</v>
      </c>
      <c r="AD54" s="1144" t="str">
        <f>'Таблиця цін схема №1'!GM12</f>
        <v>TOP-Z 25/10 3- PN 10</v>
      </c>
      <c r="AE54" s="380">
        <f>'Таблиця цін схема №1'!GN12</f>
        <v>1</v>
      </c>
      <c r="AF54" s="1127">
        <f>'Таблиця цін схема №1'!GQ12</f>
        <v>785.30084623992821</v>
      </c>
      <c r="AG54" s="379">
        <f>'Таблиця цін схема №1'!GR12</f>
        <v>750</v>
      </c>
      <c r="AH54" s="379">
        <f>'Таблиця цін схема №1'!GS12</f>
        <v>32</v>
      </c>
      <c r="AI54" s="380">
        <f>'Таблиця цін схема №1'!GT12</f>
        <v>1</v>
      </c>
      <c r="AJ54" s="47">
        <f>'Таблиця цін схема №1'!GW12</f>
        <v>11.13</v>
      </c>
      <c r="AK54" s="379">
        <f>'Таблиця цін схема №1'!GX12</f>
        <v>32</v>
      </c>
      <c r="AL54" s="380">
        <f>'Таблиця цін схема №1'!GY12</f>
        <v>2</v>
      </c>
      <c r="AM54" s="47">
        <f>'Таблиця цін схема №1'!HB12</f>
        <v>15</v>
      </c>
      <c r="AN54" s="380">
        <f>'Таблиця цін схема №1'!HC12</f>
        <v>2</v>
      </c>
      <c r="AO54" s="47">
        <f>'Таблиця цін схема №1'!HF12</f>
        <v>25</v>
      </c>
      <c r="AP54" s="78">
        <f>'Таблиця цін схема №1'!HG12</f>
        <v>1</v>
      </c>
      <c r="AQ54" s="47">
        <f>'Таблиця цін схема №1'!HJ12</f>
        <v>40</v>
      </c>
      <c r="AR54" s="379">
        <f>'Таблиця цін схема №1'!HK12</f>
        <v>15</v>
      </c>
      <c r="AS54" s="380">
        <f>'Таблиця цін схема №1'!HL12</f>
        <v>1</v>
      </c>
      <c r="AT54" s="47">
        <f>'Таблиця цін схема №1'!HO12</f>
        <v>50</v>
      </c>
      <c r="AU54" s="380">
        <f>'Таблиця цін схема №1'!HP12</f>
        <v>1</v>
      </c>
      <c r="AV54" s="47">
        <f>'Таблиця цін схема №1'!HS12</f>
        <v>25</v>
      </c>
      <c r="AW54" s="380">
        <f>'Таблиця цін схема №1'!HT12</f>
        <v>1</v>
      </c>
      <c r="AX54" s="47" t="str">
        <f>'Таблиця цін схема №1'!HW12</f>
        <v>0-150</v>
      </c>
      <c r="AY54" s="380">
        <f>'Таблиця цін схема №1'!HX12</f>
        <v>1</v>
      </c>
      <c r="AZ54" s="47" t="str">
        <f>'Таблиця цін схема №1'!IA12</f>
        <v>0-120</v>
      </c>
      <c r="BA54" s="380">
        <f>'Таблиця цін схема №1'!IB12</f>
        <v>5</v>
      </c>
      <c r="BB54" s="47" t="str">
        <f>'Таблиця цін схема №1'!IE12</f>
        <v>0-1,6</v>
      </c>
      <c r="BC54" s="380">
        <f>'Таблиця цін схема №1'!IF12</f>
        <v>5</v>
      </c>
      <c r="BD54" s="47" t="str">
        <f>'Таблиця цін схема №1'!II12</f>
        <v>0-1,0</v>
      </c>
      <c r="BE54" s="380">
        <f>'Таблиця цін схема №1'!IJ12</f>
        <v>13</v>
      </c>
      <c r="BF54" s="47" t="str">
        <f>'Таблиця цін схема №1'!IM12</f>
        <v>PSM01</v>
      </c>
      <c r="BG54" s="380">
        <f>'Таблиця цін схема №1'!IN12</f>
        <v>5</v>
      </c>
      <c r="BH54" s="47" t="str">
        <f>'Таблиця цін схема №1'!IQ12</f>
        <v>A-10</v>
      </c>
      <c r="BI54" s="380">
        <f>'Таблиця цін схема №1'!IR12</f>
        <v>6</v>
      </c>
      <c r="BJ54" s="47" t="str">
        <f>'Таблиця цін схема №1'!IU12</f>
        <v>ТСП 1-5</v>
      </c>
      <c r="BK54" s="380">
        <f>'Таблиця цін схема №1'!IV12</f>
        <v>7</v>
      </c>
      <c r="BL54" s="47" t="str">
        <f>'Таблиця цін схема №1'!IY12</f>
        <v>ТСП 2-10Г</v>
      </c>
      <c r="BM54" s="380">
        <f>'Таблиця цін схема №1'!IZ12</f>
        <v>1</v>
      </c>
    </row>
    <row r="55" spans="1:65">
      <c r="A55" s="1115">
        <v>7</v>
      </c>
      <c r="B55" s="1125" t="s">
        <v>772</v>
      </c>
      <c r="C55" s="47">
        <f>'Таблиця цін схема №1'!ER13</f>
        <v>25</v>
      </c>
      <c r="D55" s="380">
        <f>'Таблиця цін схема №1'!ES13</f>
        <v>1</v>
      </c>
      <c r="E55" s="47">
        <f>'Таблиця цін схема №1'!EV13</f>
        <v>80</v>
      </c>
      <c r="F55" s="380">
        <f>'Таблиця цін схема №1'!EW13</f>
        <v>2</v>
      </c>
      <c r="G55" s="47">
        <f>'Таблиця цін схема №1'!EZ13</f>
        <v>50</v>
      </c>
      <c r="H55" s="380">
        <f>'Таблиця цін схема №1'!FA13</f>
        <v>1</v>
      </c>
      <c r="I55" s="47">
        <f>'Таблиця цін схема №1'!FD13</f>
        <v>32</v>
      </c>
      <c r="J55" s="380">
        <f>'Таблиця цін схема №1'!FE13</f>
        <v>1</v>
      </c>
      <c r="K55" s="47">
        <f>'Таблиця цін схема №1'!FH13</f>
        <v>25</v>
      </c>
      <c r="L55" s="380">
        <f>'Таблиця цін схема №1'!FI13</f>
        <v>1</v>
      </c>
      <c r="M55" s="47">
        <f>'Таблиця цін схема №1'!FL13</f>
        <v>50</v>
      </c>
      <c r="N55" s="380">
        <f>'Таблиця цін схема №1'!FM13</f>
        <v>4</v>
      </c>
      <c r="O55" s="47">
        <f>'Таблиця цін схема №1'!FP13</f>
        <v>50</v>
      </c>
      <c r="P55" s="380">
        <f>'Таблиця цін схема №1'!FQ13</f>
        <v>1</v>
      </c>
      <c r="Q55" s="47">
        <f>'Таблиця цін схема №1'!FT13</f>
        <v>32</v>
      </c>
      <c r="R55" s="380">
        <f>'Таблиця цін схема №1'!FU13</f>
        <v>1</v>
      </c>
      <c r="S55" s="1127">
        <f>'Таблиця цін схема №1'!FX13</f>
        <v>27.735406973758288</v>
      </c>
      <c r="T55" s="379">
        <f>'Таблиця цін схема №1'!FY13</f>
        <v>32</v>
      </c>
      <c r="U55" s="380">
        <f>'Таблиця цін схема №1'!FZ13</f>
        <v>2</v>
      </c>
      <c r="V55" s="1129">
        <f>'Таблиця цін схема №1'!GC13</f>
        <v>12.397505197505195</v>
      </c>
      <c r="W55" s="379">
        <f>'Таблиця цін схема №1'!GD13</f>
        <v>16</v>
      </c>
      <c r="X55" s="379">
        <f>'Таблиця цін схема №1'!GE13</f>
        <v>14</v>
      </c>
      <c r="Y55" s="1144" t="str">
        <f>'Таблиця цін схема №1'!GF13</f>
        <v>Yonos MAXO 50/0,5-16 PN 6/10</v>
      </c>
      <c r="Z55" s="78">
        <f>'Таблиця цін схема №1'!GG13</f>
        <v>2</v>
      </c>
      <c r="AA55" s="1129">
        <f>'Таблиця цін схема №1'!GJ13</f>
        <v>1.8133874239350913</v>
      </c>
      <c r="AB55" s="379">
        <f>'Таблиця цін схема №1'!GK13</f>
        <v>16</v>
      </c>
      <c r="AC55" s="379">
        <f>'Таблиця цін схема №1'!GL13</f>
        <v>10</v>
      </c>
      <c r="AD55" s="1144" t="str">
        <f>'Таблиця цін схема №1'!GM13</f>
        <v>TOP-Z 25/10 3- PN 10</v>
      </c>
      <c r="AE55" s="380">
        <f>'Таблиця цін схема №1'!GN13</f>
        <v>1</v>
      </c>
      <c r="AF55" s="1127">
        <f>'Таблиця цін схема №1'!GQ13</f>
        <v>906.11636104607101</v>
      </c>
      <c r="AG55" s="379">
        <f>'Таблиця цін схема №1'!GR13</f>
        <v>1000</v>
      </c>
      <c r="AH55" s="379">
        <f>'Таблиця цін схема №1'!GS13</f>
        <v>50</v>
      </c>
      <c r="AI55" s="380">
        <f>'Таблиця цін схема №1'!GT13</f>
        <v>1</v>
      </c>
      <c r="AJ55" s="47">
        <f>'Таблиця цін схема №1'!GW13</f>
        <v>11.13</v>
      </c>
      <c r="AK55" s="379">
        <f>'Таблиця цін схема №1'!GX13</f>
        <v>32</v>
      </c>
      <c r="AL55" s="380">
        <f>'Таблиця цін схема №1'!GY13</f>
        <v>2</v>
      </c>
      <c r="AM55" s="47">
        <f>'Таблиця цін схема №1'!HB13</f>
        <v>15</v>
      </c>
      <c r="AN55" s="380">
        <f>'Таблиця цін схема №1'!HC13</f>
        <v>2</v>
      </c>
      <c r="AO55" s="47">
        <f>'Таблиця цін схема №1'!HF13</f>
        <v>25</v>
      </c>
      <c r="AP55" s="78">
        <f>'Таблиця цін схема №1'!HG13</f>
        <v>1</v>
      </c>
      <c r="AQ55" s="47">
        <f>'Таблиця цін схема №1'!HJ13</f>
        <v>40</v>
      </c>
      <c r="AR55" s="379">
        <f>'Таблиця цін схема №1'!HK13</f>
        <v>15</v>
      </c>
      <c r="AS55" s="380">
        <f>'Таблиця цін схема №1'!HL13</f>
        <v>1</v>
      </c>
      <c r="AT55" s="47">
        <f>'Таблиця цін схема №1'!HO13</f>
        <v>50</v>
      </c>
      <c r="AU55" s="380">
        <f>'Таблиця цін схема №1'!HP13</f>
        <v>1</v>
      </c>
      <c r="AV55" s="47">
        <f>'Таблиця цін схема №1'!HS13</f>
        <v>25</v>
      </c>
      <c r="AW55" s="380">
        <f>'Таблиця цін схема №1'!HT13</f>
        <v>1</v>
      </c>
      <c r="AX55" s="47" t="str">
        <f>'Таблиця цін схема №1'!HW13</f>
        <v>0-150</v>
      </c>
      <c r="AY55" s="380">
        <f>'Таблиця цін схема №1'!HX13</f>
        <v>1</v>
      </c>
      <c r="AZ55" s="47" t="str">
        <f>'Таблиця цін схема №1'!IA13</f>
        <v>0-120</v>
      </c>
      <c r="BA55" s="380">
        <f>'Таблиця цін схема №1'!IB13</f>
        <v>5</v>
      </c>
      <c r="BB55" s="47" t="str">
        <f>'Таблиця цін схема №1'!IE13</f>
        <v>0-1,6</v>
      </c>
      <c r="BC55" s="380">
        <f>'Таблиця цін схема №1'!IF13</f>
        <v>5</v>
      </c>
      <c r="BD55" s="47" t="str">
        <f>'Таблиця цін схема №1'!II13</f>
        <v>0-1,0</v>
      </c>
      <c r="BE55" s="380">
        <f>'Таблиця цін схема №1'!IJ13</f>
        <v>13</v>
      </c>
      <c r="BF55" s="47" t="str">
        <f>'Таблиця цін схема №1'!IM13</f>
        <v>PSM01</v>
      </c>
      <c r="BG55" s="380">
        <f>'Таблиця цін схема №1'!IN13</f>
        <v>5</v>
      </c>
      <c r="BH55" s="47" t="str">
        <f>'Таблиця цін схема №1'!IQ13</f>
        <v>A-10</v>
      </c>
      <c r="BI55" s="380">
        <f>'Таблиця цін схема №1'!IR13</f>
        <v>6</v>
      </c>
      <c r="BJ55" s="47" t="str">
        <f>'Таблиця цін схема №1'!IU13</f>
        <v>ТСП 1-5</v>
      </c>
      <c r="BK55" s="380">
        <f>'Таблиця цін схема №1'!IV13</f>
        <v>7</v>
      </c>
      <c r="BL55" s="47" t="str">
        <f>'Таблиця цін схема №1'!IY13</f>
        <v>ТСП 2-10Г</v>
      </c>
      <c r="BM55" s="380">
        <f>'Таблиця цін схема №1'!IZ13</f>
        <v>1</v>
      </c>
    </row>
    <row r="56" spans="1:65">
      <c r="A56" s="1115">
        <v>8</v>
      </c>
      <c r="B56" s="1125" t="s">
        <v>773</v>
      </c>
      <c r="C56" s="47">
        <f>'Таблиця цін схема №1'!ER14</f>
        <v>25</v>
      </c>
      <c r="D56" s="380">
        <f>'Таблиця цін схема №1'!ES14</f>
        <v>1</v>
      </c>
      <c r="E56" s="47">
        <f>'Таблиця цін схема №1'!EV14</f>
        <v>65</v>
      </c>
      <c r="F56" s="380">
        <f>'Таблиця цін схема №1'!EW14</f>
        <v>2</v>
      </c>
      <c r="G56" s="47">
        <f>'Таблиця цін схема №1'!EZ14</f>
        <v>32</v>
      </c>
      <c r="H56" s="380">
        <f>'Таблиця цін схема №1'!FA14</f>
        <v>1</v>
      </c>
      <c r="I56" s="47">
        <f>'Таблиця цін схема №1'!FD14</f>
        <v>20</v>
      </c>
      <c r="J56" s="380">
        <f>'Таблиця цін схема №1'!FE14</f>
        <v>1</v>
      </c>
      <c r="K56" s="47">
        <f>'Таблиця цін схема №1'!FH14</f>
        <v>25</v>
      </c>
      <c r="L56" s="380">
        <f>'Таблиця цін схема №1'!FI14</f>
        <v>1</v>
      </c>
      <c r="M56" s="47">
        <f>'Таблиця цін схема №1'!FL14</f>
        <v>50</v>
      </c>
      <c r="N56" s="380">
        <f>'Таблиця цін схема №1'!FM14</f>
        <v>4</v>
      </c>
      <c r="O56" s="47">
        <f>'Таблиця цін схема №1'!FP14</f>
        <v>32</v>
      </c>
      <c r="P56" s="380">
        <f>'Таблиця цін схема №1'!FQ14</f>
        <v>1</v>
      </c>
      <c r="Q56" s="47">
        <f>'Таблиця цін схема №1'!FT14</f>
        <v>20</v>
      </c>
      <c r="R56" s="380">
        <f>'Таблиця цін схема №1'!FU14</f>
        <v>1</v>
      </c>
      <c r="S56" s="1127">
        <f>'Таблиця цін схема №1'!FX14</f>
        <v>25.456209458597719</v>
      </c>
      <c r="T56" s="379">
        <f>'Таблиця цін схема №1'!FY14</f>
        <v>25</v>
      </c>
      <c r="U56" s="380">
        <f>'Таблиця цін схема №1'!FZ14</f>
        <v>2</v>
      </c>
      <c r="V56" s="1129">
        <f>'Таблиця цін схема №1'!GC14</f>
        <v>10.443659043659045</v>
      </c>
      <c r="W56" s="379">
        <f>'Таблиця цін схема №1'!GD14</f>
        <v>9</v>
      </c>
      <c r="X56" s="379">
        <f>'Таблиця цін схема №1'!GE14</f>
        <v>9</v>
      </c>
      <c r="Y56" s="1144" t="str">
        <f>'Таблиця цін схема №1'!GF14</f>
        <v>Yonos MAXO 50/0,5-12 PN 6/10</v>
      </c>
      <c r="Z56" s="78">
        <f>'Таблиця цін схема №1'!GG14</f>
        <v>2</v>
      </c>
      <c r="AA56" s="1129">
        <f>'Таблиця цін схема №1'!GJ14</f>
        <v>0.59148073022312364</v>
      </c>
      <c r="AB56" s="379">
        <f>'Таблиця цін схема №1'!GK14</f>
        <v>9</v>
      </c>
      <c r="AC56" s="379">
        <f>'Таблиця цін схема №1'!GL14</f>
        <v>9</v>
      </c>
      <c r="AD56" s="1144" t="str">
        <f>'Таблиця цін схема №1'!GM14</f>
        <v>TOP-Z 25/10 3- PN 10</v>
      </c>
      <c r="AE56" s="380">
        <f>'Таблиця цін схема №1'!GN14</f>
        <v>1</v>
      </c>
      <c r="AF56" s="1127">
        <f>'Таблиця цін схема №1'!GQ14</f>
        <v>700.88100526913593</v>
      </c>
      <c r="AG56" s="379">
        <f>'Таблиця цін схема №1'!GR14</f>
        <v>750</v>
      </c>
      <c r="AH56" s="379">
        <f>'Таблиця цін схема №1'!GS14</f>
        <v>32</v>
      </c>
      <c r="AI56" s="380">
        <f>'Таблиця цін схема №1'!GT14</f>
        <v>1</v>
      </c>
      <c r="AJ56" s="47">
        <f>'Таблиця цін схема №1'!GW14</f>
        <v>11.13</v>
      </c>
      <c r="AK56" s="379">
        <f>'Таблиця цін схема №1'!GX14</f>
        <v>32</v>
      </c>
      <c r="AL56" s="380">
        <f>'Таблиця цін схема №1'!GY14</f>
        <v>2</v>
      </c>
      <c r="AM56" s="47">
        <f>'Таблиця цін схема №1'!HB14</f>
        <v>15</v>
      </c>
      <c r="AN56" s="380">
        <f>'Таблиця цін схема №1'!HC14</f>
        <v>2</v>
      </c>
      <c r="AO56" s="47">
        <f>'Таблиця цін схема №1'!HF14</f>
        <v>25</v>
      </c>
      <c r="AP56" s="78">
        <f>'Таблиця цін схема №1'!HG14</f>
        <v>1</v>
      </c>
      <c r="AQ56" s="47">
        <f>'Таблиця цін схема №1'!HJ14</f>
        <v>20</v>
      </c>
      <c r="AR56" s="379">
        <f>'Таблиця цін схема №1'!HK14</f>
        <v>2.5</v>
      </c>
      <c r="AS56" s="380">
        <f>'Таблиця цін схема №1'!HL14</f>
        <v>1</v>
      </c>
      <c r="AT56" s="47">
        <f>'Таблиця цін схема №1'!HO14</f>
        <v>32</v>
      </c>
      <c r="AU56" s="380">
        <f>'Таблиця цін схема №1'!HP14</f>
        <v>1</v>
      </c>
      <c r="AV56" s="47">
        <f>'Таблиця цін схема №1'!HS14</f>
        <v>25</v>
      </c>
      <c r="AW56" s="380">
        <f>'Таблиця цін схема №1'!HT14</f>
        <v>1</v>
      </c>
      <c r="AX56" s="47" t="str">
        <f>'Таблиця цін схема №1'!HW14</f>
        <v>0-150</v>
      </c>
      <c r="AY56" s="380">
        <f>'Таблиця цін схема №1'!HX14</f>
        <v>1</v>
      </c>
      <c r="AZ56" s="47" t="str">
        <f>'Таблиця цін схема №1'!IA14</f>
        <v>0-120</v>
      </c>
      <c r="BA56" s="380">
        <f>'Таблиця цін схема №1'!IB14</f>
        <v>1</v>
      </c>
      <c r="BB56" s="47" t="str">
        <f>'Таблиця цін схема №1'!IE14</f>
        <v>0-1,6</v>
      </c>
      <c r="BC56" s="380">
        <f>'Таблиця цін схема №1'!IF14</f>
        <v>3</v>
      </c>
      <c r="BD56" s="47" t="str">
        <f>'Таблиця цін схема №1'!II14</f>
        <v>0-1,0</v>
      </c>
      <c r="BE56" s="380">
        <f>'Таблиця цін схема №1'!IJ14</f>
        <v>13</v>
      </c>
      <c r="BF56" s="47" t="str">
        <f>'Таблиця цін схема №1'!IM14</f>
        <v>PSM01</v>
      </c>
      <c r="BG56" s="380">
        <f>'Таблиця цін схема №1'!IN14</f>
        <v>5</v>
      </c>
      <c r="BH56" s="47" t="str">
        <f>'Таблиця цін схема №1'!IQ14</f>
        <v>A-10</v>
      </c>
      <c r="BI56" s="380">
        <f>'Таблиця цін схема №1'!IR14</f>
        <v>6</v>
      </c>
      <c r="BJ56" s="47" t="str">
        <f>'Таблиця цін схема №1'!IU14</f>
        <v>ТСП 1-5</v>
      </c>
      <c r="BK56" s="380">
        <f>'Таблиця цін схема №1'!IV14</f>
        <v>7</v>
      </c>
      <c r="BL56" s="47" t="str">
        <f>'Таблиця цін схема №1'!IY14</f>
        <v>ТСП 2-10Г</v>
      </c>
      <c r="BM56" s="380">
        <f>'Таблиця цін схема №1'!IZ14</f>
        <v>1</v>
      </c>
    </row>
    <row r="57" spans="1:65">
      <c r="A57" s="1115">
        <v>9</v>
      </c>
      <c r="B57" s="1125" t="s">
        <v>774</v>
      </c>
      <c r="C57" s="47">
        <f>'Таблиця цін схема №1'!ER15</f>
        <v>25</v>
      </c>
      <c r="D57" s="380">
        <f>'Таблиця цін схема №1'!ES15</f>
        <v>1</v>
      </c>
      <c r="E57" s="47">
        <f>'Таблиця цін схема №1'!EV15</f>
        <v>50</v>
      </c>
      <c r="F57" s="380">
        <f>'Таблиця цін схема №1'!EW15</f>
        <v>2</v>
      </c>
      <c r="G57" s="47">
        <f>'Таблиця цін схема №1'!EZ15</f>
        <v>32</v>
      </c>
      <c r="H57" s="380">
        <f>'Таблиця цін схема №1'!FA15</f>
        <v>1</v>
      </c>
      <c r="I57" s="47">
        <f>'Таблиця цін схема №1'!FD15</f>
        <v>20</v>
      </c>
      <c r="J57" s="380">
        <f>'Таблиця цін схема №1'!FE15</f>
        <v>1</v>
      </c>
      <c r="K57" s="47">
        <f>'Таблиця цін схема №1'!FH15</f>
        <v>25</v>
      </c>
      <c r="L57" s="380">
        <f>'Таблиця цін схема №1'!FI15</f>
        <v>1</v>
      </c>
      <c r="M57" s="47">
        <f>'Таблиця цін схема №1'!FL15</f>
        <v>20</v>
      </c>
      <c r="N57" s="380">
        <f>'Таблиця цін схема №1'!FM15</f>
        <v>8</v>
      </c>
      <c r="O57" s="47">
        <f>'Таблиця цін схема №1'!FP15</f>
        <v>32</v>
      </c>
      <c r="P57" s="380">
        <f>'Таблиця цін схема №1'!FQ15</f>
        <v>1</v>
      </c>
      <c r="Q57" s="47">
        <f>'Таблиця цін схема №1'!FT15</f>
        <v>20</v>
      </c>
      <c r="R57" s="380">
        <f>'Таблиця цін схема №1'!FU15</f>
        <v>1</v>
      </c>
      <c r="S57" s="1127">
        <f>'Таблиця цін схема №1'!FX15</f>
        <v>16.922765731404546</v>
      </c>
      <c r="T57" s="379">
        <f>'Таблиця цін схема №1'!FY15</f>
        <v>20</v>
      </c>
      <c r="U57" s="380">
        <f>'Таблиця цін схема №1'!FZ15</f>
        <v>2</v>
      </c>
      <c r="V57" s="1129">
        <f>'Таблиця цін схема №1'!GC15</f>
        <v>4.615384615384615</v>
      </c>
      <c r="W57" s="379">
        <f>'Таблиця цін схема №1'!GD15</f>
        <v>9</v>
      </c>
      <c r="X57" s="379">
        <f>'Таблиця цін схема №1'!GE15</f>
        <v>9</v>
      </c>
      <c r="Y57" s="1144" t="str">
        <f>'Таблиця цін схема №1'!GF15</f>
        <v>Yonos MAXO 30/0,5-12 PN 10</v>
      </c>
      <c r="Z57" s="78">
        <f>'Таблиця цін схема №1'!GG15</f>
        <v>2</v>
      </c>
      <c r="AA57" s="1129">
        <f>'Таблиця цін схема №1'!GJ15</f>
        <v>0.4515212981744422</v>
      </c>
      <c r="AB57" s="379">
        <f>'Таблиця цін схема №1'!GK15</f>
        <v>9</v>
      </c>
      <c r="AC57" s="379">
        <f>'Таблиця цін схема №1'!GL15</f>
        <v>9</v>
      </c>
      <c r="AD57" s="1144" t="str">
        <f>'Таблиця цін схема №1'!GM15</f>
        <v>TOP-Z 25/10 3- PN 10</v>
      </c>
      <c r="AE57" s="380">
        <f>'Таблиця цін схема №1'!GN15</f>
        <v>1</v>
      </c>
      <c r="AF57" s="1127">
        <f>'Таблиця цін схема №1'!GQ15</f>
        <v>700.88100526913593</v>
      </c>
      <c r="AG57" s="379">
        <f>'Таблиця цін схема №1'!GR15</f>
        <v>750</v>
      </c>
      <c r="AH57" s="379">
        <f>'Таблиця цін схема №1'!GS15</f>
        <v>32</v>
      </c>
      <c r="AI57" s="380">
        <f>'Таблиця цін схема №1'!GT15</f>
        <v>1</v>
      </c>
      <c r="AJ57" s="47">
        <f>'Таблиця цін схема №1'!GW15</f>
        <v>3.25</v>
      </c>
      <c r="AK57" s="379">
        <f>'Таблиця цін схема №1'!GX15</f>
        <v>20</v>
      </c>
      <c r="AL57" s="380">
        <f>'Таблиця цін схема №1'!GY15</f>
        <v>4</v>
      </c>
      <c r="AM57" s="47">
        <f>'Таблиця цін схема №1'!HB15</f>
        <v>15</v>
      </c>
      <c r="AN57" s="380">
        <f>'Таблиця цін схема №1'!HC15</f>
        <v>2</v>
      </c>
      <c r="AO57" s="47">
        <f>'Таблиця цін схема №1'!HF15</f>
        <v>25</v>
      </c>
      <c r="AP57" s="78">
        <f>'Таблиця цін схема №1'!HG15</f>
        <v>1</v>
      </c>
      <c r="AQ57" s="47">
        <f>'Таблиця цін схема №1'!HJ15</f>
        <v>20</v>
      </c>
      <c r="AR57" s="379">
        <f>'Таблиця цін схема №1'!HK15</f>
        <v>2.5</v>
      </c>
      <c r="AS57" s="380">
        <f>'Таблиця цін схема №1'!HL15</f>
        <v>1</v>
      </c>
      <c r="AT57" s="47">
        <f>'Таблиця цін схема №1'!HO15</f>
        <v>32</v>
      </c>
      <c r="AU57" s="380">
        <f>'Таблиця цін схема №1'!HP15</f>
        <v>1</v>
      </c>
      <c r="AV57" s="47">
        <f>'Таблиця цін схема №1'!HS15</f>
        <v>25</v>
      </c>
      <c r="AW57" s="380">
        <f>'Таблиця цін схема №1'!HT15</f>
        <v>1</v>
      </c>
      <c r="AX57" s="47" t="str">
        <f>'Таблиця цін схема №1'!HW15</f>
        <v>0-150</v>
      </c>
      <c r="AY57" s="380">
        <f>'Таблиця цін схема №1'!HX15</f>
        <v>1</v>
      </c>
      <c r="AZ57" s="47" t="str">
        <f>'Таблиця цін схема №1'!IA15</f>
        <v>0-120</v>
      </c>
      <c r="BA57" s="380">
        <f>'Таблиця цін схема №1'!IB15</f>
        <v>1</v>
      </c>
      <c r="BB57" s="47" t="str">
        <f>'Таблиця цін схема №1'!IE15</f>
        <v>0-1,6</v>
      </c>
      <c r="BC57" s="380">
        <f>'Таблиця цін схема №1'!IF15</f>
        <v>3</v>
      </c>
      <c r="BD57" s="47" t="str">
        <f>'Таблиця цін схема №1'!II15</f>
        <v>0-1,0</v>
      </c>
      <c r="BE57" s="380">
        <f>'Таблиця цін схема №1'!IJ15</f>
        <v>15</v>
      </c>
      <c r="BF57" s="47" t="str">
        <f>'Таблиця цін схема №1'!IM15</f>
        <v>PSM01</v>
      </c>
      <c r="BG57" s="380">
        <f>'Таблиця цін схема №1'!IN15</f>
        <v>5</v>
      </c>
      <c r="BH57" s="47" t="str">
        <f>'Таблиця цін схема №1'!IQ15</f>
        <v>A-10</v>
      </c>
      <c r="BI57" s="380">
        <f>'Таблиця цін схема №1'!IR15</f>
        <v>6</v>
      </c>
      <c r="BJ57" s="47" t="str">
        <f>'Таблиця цін схема №1'!IU15</f>
        <v>ТСП 1-5</v>
      </c>
      <c r="BK57" s="380">
        <f>'Таблиця цін схема №1'!IV15</f>
        <v>7</v>
      </c>
      <c r="BL57" s="47" t="str">
        <f>'Таблиця цін схема №1'!IY15</f>
        <v>ТСП 2-10Г</v>
      </c>
      <c r="BM57" s="380">
        <f>'Таблиця цін схема №1'!IZ15</f>
        <v>1</v>
      </c>
    </row>
    <row r="58" spans="1:65">
      <c r="A58" s="1115">
        <v>10</v>
      </c>
      <c r="B58" s="1125" t="s">
        <v>775</v>
      </c>
      <c r="C58" s="47">
        <f>'Таблиця цін схема №1'!ER16</f>
        <v>25</v>
      </c>
      <c r="D58" s="380">
        <f>'Таблиця цін схема №1'!ES16</f>
        <v>1</v>
      </c>
      <c r="E58" s="47">
        <f>'Таблиця цін схема №1'!EV16</f>
        <v>80</v>
      </c>
      <c r="F58" s="380">
        <f>'Таблиця цін схема №1'!EW16</f>
        <v>2</v>
      </c>
      <c r="G58" s="47">
        <f>'Таблиця цін схема №1'!EZ16</f>
        <v>32</v>
      </c>
      <c r="H58" s="380">
        <f>'Таблиця цін схема №1'!FA16</f>
        <v>1</v>
      </c>
      <c r="I58" s="47">
        <f>'Таблиця цін схема №1'!FD16</f>
        <v>20</v>
      </c>
      <c r="J58" s="380">
        <f>'Таблиця цін схема №1'!FE16</f>
        <v>1</v>
      </c>
      <c r="K58" s="47">
        <f>'Таблиця цін схема №1'!FH16</f>
        <v>25</v>
      </c>
      <c r="L58" s="380">
        <f>'Таблиця цін схема №1'!FI16</f>
        <v>1</v>
      </c>
      <c r="M58" s="47">
        <f>'Таблиця цін схема №1'!FL16</f>
        <v>32</v>
      </c>
      <c r="N58" s="380">
        <f>'Таблиця цін схема №1'!FM16</f>
        <v>8</v>
      </c>
      <c r="O58" s="47">
        <f>'Таблиця цін схема №1'!FP16</f>
        <v>32</v>
      </c>
      <c r="P58" s="380">
        <f>'Таблиця цін схема №1'!FQ16</f>
        <v>1</v>
      </c>
      <c r="Q58" s="47">
        <f>'Таблиця цін схема №1'!FT16</f>
        <v>20</v>
      </c>
      <c r="R58" s="380">
        <f>'Таблиця цін схема №1'!FU16</f>
        <v>1</v>
      </c>
      <c r="S58" s="1127">
        <f>'Таблиця цін схема №1'!FX16</f>
        <v>27.447404248853839</v>
      </c>
      <c r="T58" s="379">
        <f>'Таблиця цін схема №1'!FY16</f>
        <v>32</v>
      </c>
      <c r="U58" s="380">
        <f>'Таблиця цін схема №1'!FZ16</f>
        <v>2</v>
      </c>
      <c r="V58" s="1129">
        <f>'Таблиця цін схема №1'!GC16</f>
        <v>12.141372141372141</v>
      </c>
      <c r="W58" s="379">
        <f>'Таблиця цін схема №1'!GD16</f>
        <v>9</v>
      </c>
      <c r="X58" s="379">
        <f>'Таблиця цін схема №1'!GE16</f>
        <v>9</v>
      </c>
      <c r="Y58" s="1144" t="str">
        <f>'Таблиця цін схема №1'!GF16</f>
        <v>Yonos MAXO 50/0,5-12 PN 6/10</v>
      </c>
      <c r="Z58" s="78">
        <f>'Таблиця цін схема №1'!GG16</f>
        <v>2</v>
      </c>
      <c r="AA58" s="1129">
        <f>'Таблиця цін схема №1'!GJ16</f>
        <v>0.92434077079107502</v>
      </c>
      <c r="AB58" s="379">
        <f>'Таблиця цін схема №1'!GK16</f>
        <v>9</v>
      </c>
      <c r="AC58" s="379">
        <f>'Таблиця цін схема №1'!GL16</f>
        <v>9</v>
      </c>
      <c r="AD58" s="1144" t="str">
        <f>'Таблиця цін схема №1'!GM16</f>
        <v>TOP-Z 25/10 3- PN 10</v>
      </c>
      <c r="AE58" s="380">
        <f>'Таблиця цін схема №1'!GN16</f>
        <v>1</v>
      </c>
      <c r="AF58" s="1127">
        <f>'Таблиця цін схема №1'!GQ16</f>
        <v>700.88100526913593</v>
      </c>
      <c r="AG58" s="379">
        <f>'Таблиця цін схема №1'!GR16</f>
        <v>750</v>
      </c>
      <c r="AH58" s="379">
        <f>'Таблиця цін схема №1'!GS16</f>
        <v>32</v>
      </c>
      <c r="AI58" s="380">
        <f>'Таблиця цін схема №1'!GT16</f>
        <v>1</v>
      </c>
      <c r="AJ58" s="47">
        <f>'Таблиця цін схема №1'!GW16</f>
        <v>5.83</v>
      </c>
      <c r="AK58" s="379">
        <f>'Таблиця цін схема №1'!GX16</f>
        <v>25</v>
      </c>
      <c r="AL58" s="380">
        <f>'Таблиця цін схема №1'!GY16</f>
        <v>4</v>
      </c>
      <c r="AM58" s="47">
        <f>'Таблиця цін схема №1'!HB16</f>
        <v>15</v>
      </c>
      <c r="AN58" s="380">
        <f>'Таблиця цін схема №1'!HC16</f>
        <v>2</v>
      </c>
      <c r="AO58" s="47">
        <f>'Таблиця цін схема №1'!HF16</f>
        <v>25</v>
      </c>
      <c r="AP58" s="78">
        <f>'Таблиця цін схема №1'!HG16</f>
        <v>1</v>
      </c>
      <c r="AQ58" s="47">
        <f>'Таблиця цін схема №1'!HJ16</f>
        <v>25</v>
      </c>
      <c r="AR58" s="379">
        <f>'Таблиця цін схема №1'!HK16</f>
        <v>3.5</v>
      </c>
      <c r="AS58" s="380">
        <f>'Таблиця цін схема №1'!HL16</f>
        <v>1</v>
      </c>
      <c r="AT58" s="47">
        <f>'Таблиця цін схема №1'!HO16</f>
        <v>32</v>
      </c>
      <c r="AU58" s="380">
        <f>'Таблиця цін схема №1'!HP16</f>
        <v>1</v>
      </c>
      <c r="AV58" s="47">
        <f>'Таблиця цін схема №1'!HS16</f>
        <v>25</v>
      </c>
      <c r="AW58" s="380">
        <f>'Таблиця цін схема №1'!HT16</f>
        <v>1</v>
      </c>
      <c r="AX58" s="47" t="str">
        <f>'Таблиця цін схема №1'!HW16</f>
        <v>0-150</v>
      </c>
      <c r="AY58" s="380">
        <f>'Таблиця цін схема №1'!HX16</f>
        <v>1</v>
      </c>
      <c r="AZ58" s="47" t="str">
        <f>'Таблиця цін схема №1'!IA16</f>
        <v>0-120</v>
      </c>
      <c r="BA58" s="380">
        <f>'Таблиця цін схема №1'!IB16</f>
        <v>1</v>
      </c>
      <c r="BB58" s="47" t="str">
        <f>'Таблиця цін схема №1'!IE16</f>
        <v>0-1,6</v>
      </c>
      <c r="BC58" s="380">
        <f>'Таблиця цін схема №1'!IF16</f>
        <v>3</v>
      </c>
      <c r="BD58" s="47" t="str">
        <f>'Таблиця цін схема №1'!II16</f>
        <v>0-1,0</v>
      </c>
      <c r="BE58" s="380">
        <f>'Таблиця цін схема №1'!IJ16</f>
        <v>15</v>
      </c>
      <c r="BF58" s="47" t="str">
        <f>'Таблиця цін схема №1'!IM16</f>
        <v>PSM01</v>
      </c>
      <c r="BG58" s="380">
        <f>'Таблиця цін схема №1'!IN16</f>
        <v>5</v>
      </c>
      <c r="BH58" s="47" t="str">
        <f>'Таблиця цін схема №1'!IQ16</f>
        <v>A-10</v>
      </c>
      <c r="BI58" s="380">
        <f>'Таблиця цін схема №1'!IR16</f>
        <v>6</v>
      </c>
      <c r="BJ58" s="47" t="str">
        <f>'Таблиця цін схема №1'!IU16</f>
        <v>ТСП 1-5</v>
      </c>
      <c r="BK58" s="380">
        <f>'Таблиця цін схема №1'!IV16</f>
        <v>7</v>
      </c>
      <c r="BL58" s="47" t="str">
        <f>'Таблиця цін схема №1'!IY16</f>
        <v>ТСП 2-10Г</v>
      </c>
      <c r="BM58" s="380">
        <f>'Таблиця цін схема №1'!IZ16</f>
        <v>1</v>
      </c>
    </row>
    <row r="59" spans="1:65">
      <c r="A59" s="1115">
        <v>11</v>
      </c>
      <c r="B59" s="1125" t="s">
        <v>776</v>
      </c>
      <c r="C59" s="47">
        <f>'Таблиця цін схема №1'!ER17</f>
        <v>25</v>
      </c>
      <c r="D59" s="380">
        <f>'Таблиця цін схема №1'!ES17</f>
        <v>1</v>
      </c>
      <c r="E59" s="47">
        <f>'Таблиця цін схема №1'!EV17</f>
        <v>80</v>
      </c>
      <c r="F59" s="380">
        <f>'Таблиця цін схема №1'!EW17</f>
        <v>2</v>
      </c>
      <c r="G59" s="47">
        <f>'Таблиця цін схема №1'!EZ17</f>
        <v>40</v>
      </c>
      <c r="H59" s="380">
        <f>'Таблиця цін схема №1'!FA17</f>
        <v>1</v>
      </c>
      <c r="I59" s="47">
        <f>'Таблиця цін схема №1'!FD17</f>
        <v>25</v>
      </c>
      <c r="J59" s="380">
        <f>'Таблиця цін схема №1'!FE17</f>
        <v>1</v>
      </c>
      <c r="K59" s="47">
        <f>'Таблиця цін схема №1'!FH17</f>
        <v>25</v>
      </c>
      <c r="L59" s="380">
        <f>'Таблиця цін схема №1'!FI17</f>
        <v>1</v>
      </c>
      <c r="M59" s="47">
        <f>'Таблиця цін схема №1'!FL17</f>
        <v>80</v>
      </c>
      <c r="N59" s="380">
        <f>'Таблиця цін схема №1'!FM17</f>
        <v>2</v>
      </c>
      <c r="O59" s="47">
        <f>'Таблиця цін схема №1'!FP17</f>
        <v>40</v>
      </c>
      <c r="P59" s="380">
        <f>'Таблиця цін схема №1'!FQ17</f>
        <v>1</v>
      </c>
      <c r="Q59" s="47">
        <f>'Таблиця цін схема №1'!FT17</f>
        <v>25</v>
      </c>
      <c r="R59" s="380">
        <f>'Таблиця цін схема №1'!FU17</f>
        <v>1</v>
      </c>
      <c r="S59" s="1127">
        <f>'Таблиця цін схема №1'!FX17</f>
        <v>32.540491698805042</v>
      </c>
      <c r="T59" s="379">
        <f>'Таблиця цін схема №1'!FY17</f>
        <v>32</v>
      </c>
      <c r="U59" s="380">
        <f>'Таблиця цін схема №1'!FZ17</f>
        <v>2</v>
      </c>
      <c r="V59" s="1129">
        <f>'Таблиця цін схема №1'!GC17</f>
        <v>17.065280665280664</v>
      </c>
      <c r="W59" s="379">
        <f>'Таблиця цін схема №1'!GD17</f>
        <v>16</v>
      </c>
      <c r="X59" s="379">
        <f>'Таблиця цін схема №1'!GE17</f>
        <v>14</v>
      </c>
      <c r="Y59" s="1144" t="str">
        <f>'Таблиця цін схема №1'!GF17</f>
        <v>Yonos MAXO 50/0,5-16 PN 6/10</v>
      </c>
      <c r="Z59" s="78">
        <f>'Таблиця цін схема №1'!GG17</f>
        <v>2</v>
      </c>
      <c r="AA59" s="1129">
        <f>'Таблиця цін схема №1'!GJ17</f>
        <v>1.5212981744421907</v>
      </c>
      <c r="AB59" s="379">
        <f>'Таблиця цін схема №1'!GK17</f>
        <v>16</v>
      </c>
      <c r="AC59" s="379">
        <f>'Таблиця цін схема №1'!GL17</f>
        <v>10</v>
      </c>
      <c r="AD59" s="1144" t="str">
        <f>'Таблиця цін схема №1'!GM17</f>
        <v>TOP-Z 25/10 3- PN 10</v>
      </c>
      <c r="AE59" s="380">
        <f>'Таблиця цін схема №1'!GN17</f>
        <v>1</v>
      </c>
      <c r="AF59" s="1127">
        <f>'Таблиця цін схема №1'!GQ17</f>
        <v>1223.2570874121957</v>
      </c>
      <c r="AG59" s="379">
        <f>'Таблиця цін схема №1'!GR17</f>
        <v>750</v>
      </c>
      <c r="AH59" s="379">
        <f>'Таблиця цін схема №1'!GS17</f>
        <v>32</v>
      </c>
      <c r="AI59" s="380">
        <f>'Таблиця цін схема №1'!GT17</f>
        <v>2</v>
      </c>
      <c r="AJ59" s="47">
        <f>'Таблиця цін схема №1'!GW17</f>
        <v>32.15</v>
      </c>
      <c r="AK59" s="379">
        <f>'Таблиця цін схема №1'!GX17</f>
        <v>50</v>
      </c>
      <c r="AL59" s="517" t="s">
        <v>115</v>
      </c>
      <c r="AM59" s="47">
        <f>'Таблиця цін схема №1'!HB17</f>
        <v>15</v>
      </c>
      <c r="AN59" s="380">
        <f>'Таблиця цін схема №1'!HC17</f>
        <v>2</v>
      </c>
      <c r="AO59" s="47">
        <f>'Таблиця цін схема №1'!HF17</f>
        <v>25</v>
      </c>
      <c r="AP59" s="78">
        <f>'Таблиця цін схема №1'!HG17</f>
        <v>1</v>
      </c>
      <c r="AQ59" s="47">
        <f>'Таблиця цін схема №1'!HJ17</f>
        <v>32</v>
      </c>
      <c r="AR59" s="379">
        <f>'Таблиця цін схема №1'!HK17</f>
        <v>6</v>
      </c>
      <c r="AS59" s="380">
        <f>'Таблиця цін схема №1'!HL17</f>
        <v>1</v>
      </c>
      <c r="AT59" s="47">
        <f>'Таблиця цін схема №1'!HO17</f>
        <v>40</v>
      </c>
      <c r="AU59" s="380">
        <f>'Таблиця цін схема №1'!HP17</f>
        <v>1</v>
      </c>
      <c r="AV59" s="47">
        <f>'Таблиця цін схема №1'!HS17</f>
        <v>25</v>
      </c>
      <c r="AW59" s="380">
        <f>'Таблиця цін схема №1'!HT17</f>
        <v>1</v>
      </c>
      <c r="AX59" s="47" t="str">
        <f>'Таблиця цін схема №1'!HW17</f>
        <v>0-150</v>
      </c>
      <c r="AY59" s="380">
        <f>'Таблиця цін схема №1'!HX17</f>
        <v>1</v>
      </c>
      <c r="AZ59" s="47" t="str">
        <f>'Таблиця цін схема №1'!IA17</f>
        <v>0-120</v>
      </c>
      <c r="BA59" s="380">
        <f>'Таблиця цін схема №1'!IB17</f>
        <v>5</v>
      </c>
      <c r="BB59" s="47" t="str">
        <f>'Таблиця цін схема №1'!IE17</f>
        <v>0-1,6</v>
      </c>
      <c r="BC59" s="380">
        <f>'Таблиця цін схема №1'!IF17</f>
        <v>5</v>
      </c>
      <c r="BD59" s="47" t="str">
        <f>'Таблиця цін схема №1'!II17</f>
        <v>0-1,0</v>
      </c>
      <c r="BE59" s="380">
        <f>'Таблиця цін схема №1'!IJ17</f>
        <v>11</v>
      </c>
      <c r="BF59" s="47" t="str">
        <f>'Таблиця цін схема №1'!IM17</f>
        <v>PSM01</v>
      </c>
      <c r="BG59" s="380">
        <f>'Таблиця цін схема №1'!IN17</f>
        <v>5</v>
      </c>
      <c r="BH59" s="47" t="str">
        <f>'Таблиця цін схема №1'!IQ17</f>
        <v>A-10</v>
      </c>
      <c r="BI59" s="380">
        <f>'Таблиця цін схема №1'!IR17</f>
        <v>6</v>
      </c>
      <c r="BJ59" s="47" t="str">
        <f>'Таблиця цін схема №1'!IU17</f>
        <v>ТСП 1-5</v>
      </c>
      <c r="BK59" s="380">
        <f>'Таблиця цін схема №1'!IV17</f>
        <v>7</v>
      </c>
      <c r="BL59" s="47" t="str">
        <f>'Таблиця цін схема №1'!IY17</f>
        <v>ТСП 2-10Г</v>
      </c>
      <c r="BM59" s="380">
        <f>'Таблиця цін схема №1'!IZ17</f>
        <v>1</v>
      </c>
    </row>
    <row r="60" spans="1:65">
      <c r="A60" s="1115">
        <v>12</v>
      </c>
      <c r="B60" s="1125" t="s">
        <v>777</v>
      </c>
      <c r="C60" s="47">
        <f>'Таблиця цін схема №1'!ER18</f>
        <v>25</v>
      </c>
      <c r="D60" s="380">
        <f>'Таблиця цін схема №1'!ES18</f>
        <v>1</v>
      </c>
      <c r="E60" s="47">
        <f>'Таблиця цін схема №1'!EV18</f>
        <v>80</v>
      </c>
      <c r="F60" s="380">
        <f>'Таблиця цін схема №1'!EW18</f>
        <v>2</v>
      </c>
      <c r="G60" s="47">
        <f>'Таблиця цін схема №1'!EZ18</f>
        <v>40</v>
      </c>
      <c r="H60" s="380">
        <f>'Таблиця цін схема №1'!FA18</f>
        <v>1</v>
      </c>
      <c r="I60" s="47">
        <f>'Таблиця цін схема №1'!FD18</f>
        <v>25</v>
      </c>
      <c r="J60" s="380">
        <f>'Таблиця цін схема №1'!FE18</f>
        <v>1</v>
      </c>
      <c r="K60" s="47">
        <f>'Таблиця цін схема №1'!FH18</f>
        <v>25</v>
      </c>
      <c r="L60" s="380">
        <f>'Таблиця цін схема №1'!FI18</f>
        <v>1</v>
      </c>
      <c r="M60" s="47">
        <f>'Таблиця цін схема №1'!FL18</f>
        <v>50</v>
      </c>
      <c r="N60" s="380">
        <f>'Таблиця цін схема №1'!FM18</f>
        <v>4</v>
      </c>
      <c r="O60" s="47">
        <f>'Таблиця цін схема №1'!FP18</f>
        <v>40</v>
      </c>
      <c r="P60" s="380">
        <f>'Таблиця цін схема №1'!FQ18</f>
        <v>1</v>
      </c>
      <c r="Q60" s="47">
        <f>'Таблиця цін схема №1'!FT18</f>
        <v>25</v>
      </c>
      <c r="R60" s="380">
        <f>'Таблиця цін схема №1'!FU18</f>
        <v>1</v>
      </c>
      <c r="S60" s="1127">
        <f>'Таблиця цін схема №1'!FX18</f>
        <v>32.540491698805042</v>
      </c>
      <c r="T60" s="379">
        <f>'Таблиця цін схема №1'!FY18</f>
        <v>32</v>
      </c>
      <c r="U60" s="380">
        <f>'Таблиця цін схема №1'!FZ18</f>
        <v>2</v>
      </c>
      <c r="V60" s="1129">
        <f>'Таблиця цін схема №1'!GC18</f>
        <v>17.065280665280664</v>
      </c>
      <c r="W60" s="379">
        <f>'Таблиця цін схема №1'!GD18</f>
        <v>16</v>
      </c>
      <c r="X60" s="379">
        <f>'Таблиця цін схема №1'!GE18</f>
        <v>14</v>
      </c>
      <c r="Y60" s="1144" t="str">
        <f>'Таблиця цін схема №1'!GF18</f>
        <v>Yonos MAXO 50/0,5-16 PN 6/10</v>
      </c>
      <c r="Z60" s="78">
        <f>'Таблиця цін схема №1'!GG18</f>
        <v>2</v>
      </c>
      <c r="AA60" s="1129">
        <f>'Таблиця цін схема №1'!GJ18</f>
        <v>1.5212981744421907</v>
      </c>
      <c r="AB60" s="379">
        <f>'Таблиця цін схема №1'!GK18</f>
        <v>16</v>
      </c>
      <c r="AC60" s="379">
        <f>'Таблиця цін схема №1'!GL18</f>
        <v>10</v>
      </c>
      <c r="AD60" s="1144" t="str">
        <f>'Таблиця цін схема №1'!GM18</f>
        <v>TOP-Z 25/10 3- PN 10</v>
      </c>
      <c r="AE60" s="380">
        <f>'Таблиця цін схема №1'!GN18</f>
        <v>1</v>
      </c>
      <c r="AF60" s="1127">
        <f>'Таблиця цін схема №1'!GQ18</f>
        <v>1223.2570874121957</v>
      </c>
      <c r="AG60" s="379">
        <f>'Таблиця цін схема №1'!GR18</f>
        <v>750</v>
      </c>
      <c r="AH60" s="379">
        <f>'Таблиця цін схема №1'!GS18</f>
        <v>32</v>
      </c>
      <c r="AI60" s="380">
        <f>'Таблиця цін схема №1'!GT18</f>
        <v>2</v>
      </c>
      <c r="AJ60" s="47">
        <f>'Таблиця цін схема №1'!GW18</f>
        <v>22.36</v>
      </c>
      <c r="AK60" s="379">
        <f>'Таблиця цін схема №1'!GX18</f>
        <v>40</v>
      </c>
      <c r="AL60" s="380">
        <f>'Таблиця цін схема №1'!GY18</f>
        <v>2</v>
      </c>
      <c r="AM60" s="47">
        <f>'Таблиця цін схема №1'!HB18</f>
        <v>15</v>
      </c>
      <c r="AN60" s="380">
        <f>'Таблиця цін схема №1'!HC18</f>
        <v>2</v>
      </c>
      <c r="AO60" s="47">
        <f>'Таблиця цін схема №1'!HF18</f>
        <v>25</v>
      </c>
      <c r="AP60" s="78">
        <f>'Таблиця цін схема №1'!HG18</f>
        <v>1</v>
      </c>
      <c r="AQ60" s="47">
        <f>'Таблиця цін схема №1'!HJ18</f>
        <v>32</v>
      </c>
      <c r="AR60" s="379">
        <f>'Таблиця цін схема №1'!HK18</f>
        <v>6</v>
      </c>
      <c r="AS60" s="380">
        <f>'Таблиця цін схема №1'!HL18</f>
        <v>1</v>
      </c>
      <c r="AT60" s="47">
        <f>'Таблиця цін схема №1'!HO18</f>
        <v>40</v>
      </c>
      <c r="AU60" s="380">
        <f>'Таблиця цін схема №1'!HP18</f>
        <v>1</v>
      </c>
      <c r="AV60" s="47">
        <f>'Таблиця цін схема №1'!HS18</f>
        <v>25</v>
      </c>
      <c r="AW60" s="380">
        <f>'Таблиця цін схема №1'!HT18</f>
        <v>1</v>
      </c>
      <c r="AX60" s="47" t="str">
        <f>'Таблиця цін схема №1'!HW18</f>
        <v>0-150</v>
      </c>
      <c r="AY60" s="380">
        <f>'Таблиця цін схема №1'!HX18</f>
        <v>1</v>
      </c>
      <c r="AZ60" s="47" t="str">
        <f>'Таблиця цін схема №1'!IA18</f>
        <v>0-120</v>
      </c>
      <c r="BA60" s="380">
        <f>'Таблиця цін схема №1'!IB18</f>
        <v>5</v>
      </c>
      <c r="BB60" s="47" t="str">
        <f>'Таблиця цін схема №1'!IE18</f>
        <v>0-1,6</v>
      </c>
      <c r="BC60" s="380">
        <f>'Таблиця цін схема №1'!IF18</f>
        <v>5</v>
      </c>
      <c r="BD60" s="47" t="str">
        <f>'Таблиця цін схема №1'!II18</f>
        <v>0-1,0</v>
      </c>
      <c r="BE60" s="380">
        <f>'Таблиця цін схема №1'!IJ18</f>
        <v>13</v>
      </c>
      <c r="BF60" s="47" t="str">
        <f>'Таблиця цін схема №1'!IM18</f>
        <v>PSM01</v>
      </c>
      <c r="BG60" s="380">
        <f>'Таблиця цін схема №1'!IN18</f>
        <v>5</v>
      </c>
      <c r="BH60" s="47" t="str">
        <f>'Таблиця цін схема №1'!IQ18</f>
        <v>A-10</v>
      </c>
      <c r="BI60" s="380">
        <f>'Таблиця цін схема №1'!IR18</f>
        <v>6</v>
      </c>
      <c r="BJ60" s="47" t="str">
        <f>'Таблиця цін схема №1'!IU18</f>
        <v>ТСП 1-5</v>
      </c>
      <c r="BK60" s="380">
        <f>'Таблиця цін схема №1'!IV18</f>
        <v>7</v>
      </c>
      <c r="BL60" s="47" t="str">
        <f>'Таблиця цін схема №1'!IY18</f>
        <v>ТСП 2-10Г</v>
      </c>
      <c r="BM60" s="380">
        <f>'Таблиця цін схема №1'!IZ18</f>
        <v>1</v>
      </c>
    </row>
    <row r="61" spans="1:65">
      <c r="A61" s="1115">
        <v>23</v>
      </c>
      <c r="B61" s="1125" t="s">
        <v>778</v>
      </c>
      <c r="C61" s="47">
        <f>'Таблиця цін схема №1'!ER19</f>
        <v>20</v>
      </c>
      <c r="D61" s="380">
        <f>'Таблиця цін схема №1'!ES19</f>
        <v>1</v>
      </c>
      <c r="E61" s="47">
        <f>'Таблиця цін схема №1'!EV19</f>
        <v>65</v>
      </c>
      <c r="F61" s="380">
        <f>'Таблиця цін схема №1'!EW19</f>
        <v>2</v>
      </c>
      <c r="G61" s="47">
        <f>'Таблиця цін схема №1'!EZ19</f>
        <v>40</v>
      </c>
      <c r="H61" s="380">
        <f>'Таблиця цін схема №1'!FA19</f>
        <v>1</v>
      </c>
      <c r="I61" s="47">
        <f>'Таблиця цін схема №1'!FD19</f>
        <v>25</v>
      </c>
      <c r="J61" s="380">
        <f>'Таблиця цін схема №1'!FE19</f>
        <v>1</v>
      </c>
      <c r="K61" s="47">
        <f>'Таблиця цін схема №1'!FH19</f>
        <v>20</v>
      </c>
      <c r="L61" s="380">
        <f>'Таблиця цін схема №1'!FI19</f>
        <v>1</v>
      </c>
      <c r="M61" s="47">
        <f>'Таблиця цін схема №1'!FL19</f>
        <v>40</v>
      </c>
      <c r="N61" s="380">
        <f>'Таблиця цін схема №1'!FM19</f>
        <v>4</v>
      </c>
      <c r="O61" s="47">
        <f>'Таблиця цін схема №1'!FP19</f>
        <v>40</v>
      </c>
      <c r="P61" s="380">
        <f>'Таблиця цін схема №1'!FQ19</f>
        <v>1</v>
      </c>
      <c r="Q61" s="47">
        <f>'Таблиця цін схема №1'!FT19</f>
        <v>25</v>
      </c>
      <c r="R61" s="380">
        <f>'Таблиця цін схема №1'!FU19</f>
        <v>1</v>
      </c>
      <c r="S61" s="1127">
        <f>'Таблиця цін схема №1'!FX19</f>
        <v>24.640965890159418</v>
      </c>
      <c r="T61" s="379">
        <f>'Таблиця цін схема №1'!FY19</f>
        <v>25</v>
      </c>
      <c r="U61" s="380">
        <f>'Таблиця цін схема №1'!FZ19</f>
        <v>2</v>
      </c>
      <c r="V61" s="1129">
        <f>'Таблиця цін схема №1'!GC19</f>
        <v>9.7854469854469848</v>
      </c>
      <c r="W61" s="379">
        <f>'Таблиця цін схема №1'!GD19</f>
        <v>9</v>
      </c>
      <c r="X61" s="379">
        <f>'Таблиця цін схема №1'!GE19</f>
        <v>9</v>
      </c>
      <c r="Y61" s="1144" t="str">
        <f>'Таблиця цін схема №1'!GF19</f>
        <v>Yonos MAXO 50/0,5-12 PN 6/10</v>
      </c>
      <c r="Z61" s="78">
        <f>'Таблиця цін схема №1'!GG19</f>
        <v>2</v>
      </c>
      <c r="AA61" s="1129">
        <f>'Таблиця цін схема №1'!GJ19</f>
        <v>1.4726166328600405</v>
      </c>
      <c r="AB61" s="379">
        <f>'Таблиця цін схема №1'!GK19</f>
        <v>9</v>
      </c>
      <c r="AC61" s="379">
        <f>'Таблиця цін схема №1'!GL19</f>
        <v>9</v>
      </c>
      <c r="AD61" s="1144" t="str">
        <f>'Таблиця цін схема №1'!GM19</f>
        <v>TOP-Z 25/10 3- PN 10</v>
      </c>
      <c r="AE61" s="380">
        <f>'Таблиця цін схема №1'!GN19</f>
        <v>1</v>
      </c>
      <c r="AF61" s="1127">
        <f>'Таблиця цін схема №1'!GQ19</f>
        <v>486.28244709472472</v>
      </c>
      <c r="AG61" s="379">
        <f>'Таблиця цін схема №1'!GR19</f>
        <v>500</v>
      </c>
      <c r="AH61" s="379">
        <f>'Таблиця цін схема №1'!GS19</f>
        <v>32</v>
      </c>
      <c r="AI61" s="380">
        <f>'Таблиця цін схема №1'!GT19</f>
        <v>1</v>
      </c>
      <c r="AJ61" s="47">
        <f>'Таблиця цін схема №1'!GW19</f>
        <v>11.13</v>
      </c>
      <c r="AK61" s="379">
        <f>'Таблиця цін схема №1'!GX19</f>
        <v>32</v>
      </c>
      <c r="AL61" s="380">
        <f>'Таблиця цін схема №1'!GY19</f>
        <v>2</v>
      </c>
      <c r="AM61" s="47">
        <f>'Таблиця цін схема №1'!HB19</f>
        <v>15</v>
      </c>
      <c r="AN61" s="380">
        <f>'Таблиця цін схема №1'!HC19</f>
        <v>2</v>
      </c>
      <c r="AO61" s="47">
        <f>'Таблиця цін схема №1'!HF19</f>
        <v>20</v>
      </c>
      <c r="AP61" s="78">
        <f>'Таблиця цін схема №1'!HG19</f>
        <v>1</v>
      </c>
      <c r="AQ61" s="47">
        <f>'Таблиця цін схема №1'!HJ19</f>
        <v>32</v>
      </c>
      <c r="AR61" s="379">
        <f>'Таблиця цін схема №1'!HK19</f>
        <v>6</v>
      </c>
      <c r="AS61" s="380">
        <f>'Таблиця цін схема №1'!HL19</f>
        <v>1</v>
      </c>
      <c r="AT61" s="47">
        <f>'Таблиця цін схема №1'!HO19</f>
        <v>40</v>
      </c>
      <c r="AU61" s="380">
        <f>'Таблиця цін схема №1'!HP19</f>
        <v>1</v>
      </c>
      <c r="AV61" s="47">
        <f>'Таблиця цін схема №1'!HS19</f>
        <v>20</v>
      </c>
      <c r="AW61" s="380">
        <f>'Таблиця цін схема №1'!HT19</f>
        <v>1</v>
      </c>
      <c r="AX61" s="47" t="str">
        <f>'Таблиця цін схема №1'!HW19</f>
        <v>0-150</v>
      </c>
      <c r="AY61" s="380">
        <f>'Таблиця цін схема №1'!HX19</f>
        <v>1</v>
      </c>
      <c r="AZ61" s="47" t="str">
        <f>'Таблиця цін схема №1'!IA19</f>
        <v>0-120</v>
      </c>
      <c r="BA61" s="380">
        <f>'Таблиця цін схема №1'!IB19</f>
        <v>1</v>
      </c>
      <c r="BB61" s="47" t="str">
        <f>'Таблиця цін схема №1'!IE19</f>
        <v>0-1,6</v>
      </c>
      <c r="BC61" s="380">
        <f>'Таблиця цін схема №1'!IF19</f>
        <v>3</v>
      </c>
      <c r="BD61" s="47" t="str">
        <f>'Таблиця цін схема №1'!II19</f>
        <v>0-1,0</v>
      </c>
      <c r="BE61" s="380">
        <f>'Таблиця цін схема №1'!IJ19</f>
        <v>13</v>
      </c>
      <c r="BF61" s="47" t="str">
        <f>'Таблиця цін схема №1'!IM19</f>
        <v>PSM01</v>
      </c>
      <c r="BG61" s="380">
        <f>'Таблиця цін схема №1'!IN19</f>
        <v>5</v>
      </c>
      <c r="BH61" s="47" t="str">
        <f>'Таблиця цін схема №1'!IQ19</f>
        <v>A-10</v>
      </c>
      <c r="BI61" s="380">
        <f>'Таблиця цін схема №1'!IR19</f>
        <v>6</v>
      </c>
      <c r="BJ61" s="47" t="str">
        <f>'Таблиця цін схема №1'!IU19</f>
        <v>ТСП 1-5</v>
      </c>
      <c r="BK61" s="380">
        <f>'Таблиця цін схема №1'!IV19</f>
        <v>7</v>
      </c>
      <c r="BL61" s="47" t="str">
        <f>'Таблиця цін схема №1'!IY19</f>
        <v>ТСП 2-10Г</v>
      </c>
      <c r="BM61" s="380">
        <f>'Таблиця цін схема №1'!IZ19</f>
        <v>1</v>
      </c>
    </row>
    <row r="62" spans="1:65">
      <c r="A62" s="1115">
        <v>24</v>
      </c>
      <c r="B62" s="1125" t="s">
        <v>779</v>
      </c>
      <c r="C62" s="47">
        <f>'Таблиця цін схема №1'!ER20</f>
        <v>25</v>
      </c>
      <c r="D62" s="380">
        <f>'Таблиця цін схема №1'!ES20</f>
        <v>1</v>
      </c>
      <c r="E62" s="47">
        <f>'Таблиця цін схема №1'!EV20</f>
        <v>65</v>
      </c>
      <c r="F62" s="380">
        <f>'Таблиця цін схема №1'!EW20</f>
        <v>2</v>
      </c>
      <c r="G62" s="47">
        <f>'Таблиця цін схема №1'!EZ20</f>
        <v>40</v>
      </c>
      <c r="H62" s="380">
        <f>'Таблиця цін схема №1'!FA20</f>
        <v>1</v>
      </c>
      <c r="I62" s="47">
        <f>'Таблиця цін схема №1'!FD20</f>
        <v>25</v>
      </c>
      <c r="J62" s="380">
        <f>'Таблиця цін схема №1'!FE20</f>
        <v>1</v>
      </c>
      <c r="K62" s="47">
        <f>'Таблиця цін схема №1'!FH20</f>
        <v>25</v>
      </c>
      <c r="L62" s="380">
        <f>'Таблиця цін схема №1'!FI20</f>
        <v>1</v>
      </c>
      <c r="M62" s="47">
        <f>'Таблиця цін схема №1'!FL20</f>
        <v>50</v>
      </c>
      <c r="N62" s="380">
        <f>'Таблиця цін схема №1'!FM20</f>
        <v>4</v>
      </c>
      <c r="O62" s="47">
        <f>'Таблиця цін схема №1'!FP20</f>
        <v>40</v>
      </c>
      <c r="P62" s="380">
        <f>'Таблиця цін схема №1'!FQ20</f>
        <v>1</v>
      </c>
      <c r="Q62" s="47">
        <f>'Таблиця цін схема №1'!FT20</f>
        <v>25</v>
      </c>
      <c r="R62" s="380">
        <f>'Таблиця цін схема №1'!FU20</f>
        <v>1</v>
      </c>
      <c r="S62" s="1127">
        <f>'Таблиця цін схема №1'!FX20</f>
        <v>25.832479555784033</v>
      </c>
      <c r="T62" s="379">
        <f>'Таблиця цін схема №1'!FY20</f>
        <v>25</v>
      </c>
      <c r="U62" s="380">
        <f>'Таблиця цін схема №1'!FZ20</f>
        <v>2</v>
      </c>
      <c r="V62" s="1129">
        <f>'Таблиця цін схема №1'!GC20</f>
        <v>10.754677754677754</v>
      </c>
      <c r="W62" s="379">
        <f>'Таблиця цін схема №1'!GD20</f>
        <v>9</v>
      </c>
      <c r="X62" s="379">
        <f>'Таблиця цін схема №1'!GE20</f>
        <v>9</v>
      </c>
      <c r="Y62" s="1144" t="str">
        <f>'Таблиця цін схема №1'!GF20</f>
        <v>Yonos MAXO 50/0,5-12 PN 6/10</v>
      </c>
      <c r="Z62" s="78">
        <f>'Таблиця цін схема №1'!GG20</f>
        <v>2</v>
      </c>
      <c r="AA62" s="1129">
        <f>'Таблиця цін схема №1'!GJ20</f>
        <v>1.4726166328600405</v>
      </c>
      <c r="AB62" s="379">
        <f>'Таблиця цін схема №1'!GK20</f>
        <v>9</v>
      </c>
      <c r="AC62" s="379">
        <f>'Таблиця цін схема №1'!GL20</f>
        <v>9</v>
      </c>
      <c r="AD62" s="1144" t="str">
        <f>'Таблиця цін схема №1'!GM20</f>
        <v>TOP-Z 25/10 3- PN 10</v>
      </c>
      <c r="AE62" s="380">
        <f>'Таблиця цін схема №1'!GN20</f>
        <v>1</v>
      </c>
      <c r="AF62" s="1127">
        <f>'Таблиця цін схема №1'!GQ20</f>
        <v>539.13923482241216</v>
      </c>
      <c r="AG62" s="379">
        <f>'Таблиця цін схема №1'!GR20</f>
        <v>500</v>
      </c>
      <c r="AH62" s="379">
        <f>'Таблиця цін схема №1'!GS20</f>
        <v>32</v>
      </c>
      <c r="AI62" s="380">
        <f>'Таблиця цін схема №1'!GT20</f>
        <v>1</v>
      </c>
      <c r="AJ62" s="47">
        <f>'Таблиця цін схема №1'!GW20</f>
        <v>11.13</v>
      </c>
      <c r="AK62" s="379">
        <f>'Таблиця цін схема №1'!GX20</f>
        <v>32</v>
      </c>
      <c r="AL62" s="380">
        <f>'Таблиця цін схема №1'!GY20</f>
        <v>2</v>
      </c>
      <c r="AM62" s="47">
        <f>'Таблиця цін схема №1'!HB20</f>
        <v>15</v>
      </c>
      <c r="AN62" s="380">
        <f>'Таблиця цін схема №1'!HC20</f>
        <v>2</v>
      </c>
      <c r="AO62" s="47">
        <f>'Таблиця цін схема №1'!HF20</f>
        <v>25</v>
      </c>
      <c r="AP62" s="78">
        <f>'Таблиця цін схема №1'!HG20</f>
        <v>1</v>
      </c>
      <c r="AQ62" s="47">
        <f>'Таблиця цін схема №1'!HJ20</f>
        <v>32</v>
      </c>
      <c r="AR62" s="379">
        <f>'Таблиця цін схема №1'!HK20</f>
        <v>6</v>
      </c>
      <c r="AS62" s="380">
        <f>'Таблиця цін схема №1'!HL20</f>
        <v>1</v>
      </c>
      <c r="AT62" s="47">
        <f>'Таблиця цін схема №1'!HO20</f>
        <v>40</v>
      </c>
      <c r="AU62" s="380">
        <f>'Таблиця цін схема №1'!HP20</f>
        <v>1</v>
      </c>
      <c r="AV62" s="47">
        <f>'Таблиця цін схема №1'!HS20</f>
        <v>25</v>
      </c>
      <c r="AW62" s="380">
        <f>'Таблиця цін схема №1'!HT20</f>
        <v>1</v>
      </c>
      <c r="AX62" s="47" t="str">
        <f>'Таблиця цін схема №1'!HW20</f>
        <v>0-150</v>
      </c>
      <c r="AY62" s="380">
        <f>'Таблиця цін схема №1'!HX20</f>
        <v>1</v>
      </c>
      <c r="AZ62" s="47" t="str">
        <f>'Таблиця цін схема №1'!IA20</f>
        <v>0-120</v>
      </c>
      <c r="BA62" s="380">
        <f>'Таблиця цін схема №1'!IB20</f>
        <v>5</v>
      </c>
      <c r="BB62" s="47" t="str">
        <f>'Таблиця цін схема №1'!IE20</f>
        <v>0-1,6</v>
      </c>
      <c r="BC62" s="380">
        <f>'Таблиця цін схема №1'!IF20</f>
        <v>5</v>
      </c>
      <c r="BD62" s="47" t="str">
        <f>'Таблиця цін схема №1'!II20</f>
        <v>0-1,0</v>
      </c>
      <c r="BE62" s="380">
        <f>'Таблиця цін схема №1'!IJ20</f>
        <v>13</v>
      </c>
      <c r="BF62" s="47" t="str">
        <f>'Таблиця цін схема №1'!IM20</f>
        <v>PSM01</v>
      </c>
      <c r="BG62" s="380">
        <f>'Таблиця цін схема №1'!IN20</f>
        <v>5</v>
      </c>
      <c r="BH62" s="47" t="str">
        <f>'Таблиця цін схема №1'!IQ20</f>
        <v>A-10</v>
      </c>
      <c r="BI62" s="380">
        <f>'Таблиця цін схема №1'!IR20</f>
        <v>6</v>
      </c>
      <c r="BJ62" s="47" t="str">
        <f>'Таблиця цін схема №1'!IU20</f>
        <v>ТСП 1-5</v>
      </c>
      <c r="BK62" s="380">
        <f>'Таблиця цін схема №1'!IV20</f>
        <v>7</v>
      </c>
      <c r="BL62" s="47" t="str">
        <f>'Таблиця цін схема №1'!IY20</f>
        <v>ТСП 2-10Г</v>
      </c>
      <c r="BM62" s="380">
        <f>'Таблиця цін схема №1'!IZ20</f>
        <v>1</v>
      </c>
    </row>
    <row r="63" spans="1:65">
      <c r="A63" s="1115">
        <v>25</v>
      </c>
      <c r="B63" s="1125" t="s">
        <v>780</v>
      </c>
      <c r="C63" s="47">
        <f>'Таблиця цін схема №1'!ER21</f>
        <v>20</v>
      </c>
      <c r="D63" s="380">
        <f>'Таблиця цін схема №1'!ES21</f>
        <v>1</v>
      </c>
      <c r="E63" s="47">
        <f>'Таблиця цін схема №1'!EV21</f>
        <v>65</v>
      </c>
      <c r="F63" s="380">
        <f>'Таблиця цін схема №1'!EW21</f>
        <v>2</v>
      </c>
      <c r="G63" s="47">
        <f>'Таблиця цін схема №1'!EZ21</f>
        <v>40</v>
      </c>
      <c r="H63" s="380">
        <f>'Таблиця цін схема №1'!FA21</f>
        <v>1</v>
      </c>
      <c r="I63" s="47">
        <f>'Таблиця цін схема №1'!FD21</f>
        <v>25</v>
      </c>
      <c r="J63" s="380">
        <f>'Таблиця цін схема №1'!FE21</f>
        <v>1</v>
      </c>
      <c r="K63" s="47">
        <f>'Таблиця цін схема №1'!FH21</f>
        <v>20</v>
      </c>
      <c r="L63" s="380">
        <f>'Таблиця цін схема №1'!FI21</f>
        <v>1</v>
      </c>
      <c r="M63" s="47">
        <f>'Таблиця цін схема №1'!FL21</f>
        <v>40</v>
      </c>
      <c r="N63" s="380">
        <f>'Таблиця цін схема №1'!FM21</f>
        <v>4</v>
      </c>
      <c r="O63" s="47">
        <f>'Таблиця цін схема №1'!FP21</f>
        <v>40</v>
      </c>
      <c r="P63" s="380">
        <f>'Таблиця цін схема №1'!FQ21</f>
        <v>1</v>
      </c>
      <c r="Q63" s="47">
        <f>'Таблиця цін схема №1'!FT21</f>
        <v>25</v>
      </c>
      <c r="R63" s="380">
        <f>'Таблиця цін схема №1'!FU21</f>
        <v>1</v>
      </c>
      <c r="S63" s="1127">
        <f>'Таблиця цін схема №1'!FX21</f>
        <v>24.903421451680089</v>
      </c>
      <c r="T63" s="379">
        <f>'Таблиця цін схема №1'!FY21</f>
        <v>25</v>
      </c>
      <c r="U63" s="380">
        <f>'Таблиця цін схема №1'!FZ21</f>
        <v>2</v>
      </c>
      <c r="V63" s="1129">
        <f>'Таблиця цін схема №1'!GC21</f>
        <v>9.9950103950103966</v>
      </c>
      <c r="W63" s="379">
        <f>'Таблиця цін схема №1'!GD21</f>
        <v>9</v>
      </c>
      <c r="X63" s="379">
        <f>'Таблиця цін схема №1'!GE21</f>
        <v>9</v>
      </c>
      <c r="Y63" s="1144" t="str">
        <f>'Таблиця цін схема №1'!GF21</f>
        <v>Yonos MAXO 50/0,5-12 PN 6/10</v>
      </c>
      <c r="Z63" s="78">
        <f>'Таблиця цін схема №1'!GG21</f>
        <v>2</v>
      </c>
      <c r="AA63" s="1129">
        <f>'Таблиця цін схема №1'!GJ21</f>
        <v>1.4726166328600405</v>
      </c>
      <c r="AB63" s="379">
        <f>'Таблиця цін схема №1'!GK21</f>
        <v>9</v>
      </c>
      <c r="AC63" s="379">
        <f>'Таблиця цін схема №1'!GL21</f>
        <v>9</v>
      </c>
      <c r="AD63" s="1144" t="str">
        <f>'Таблиця цін схема №1'!GM21</f>
        <v>TOP-Z 25/10 3- PN 10</v>
      </c>
      <c r="AE63" s="380">
        <f>'Таблиця цін схема №1'!GN21</f>
        <v>1</v>
      </c>
      <c r="AF63" s="1127">
        <f>'Таблиця цін схема №1'!GQ21</f>
        <v>496.8538046402623</v>
      </c>
      <c r="AG63" s="379">
        <f>'Таблиця цін схема №1'!GR21</f>
        <v>500</v>
      </c>
      <c r="AH63" s="379">
        <f>'Таблиця цін схема №1'!GS21</f>
        <v>32</v>
      </c>
      <c r="AI63" s="380">
        <f>'Таблиця цін схема №1'!GT21</f>
        <v>1</v>
      </c>
      <c r="AJ63" s="47">
        <f>'Таблиця цін схема №1'!GW21</f>
        <v>11.13</v>
      </c>
      <c r="AK63" s="379">
        <f>'Таблиця цін схема №1'!GX21</f>
        <v>32</v>
      </c>
      <c r="AL63" s="380">
        <f>'Таблиця цін схема №1'!GY21</f>
        <v>2</v>
      </c>
      <c r="AM63" s="47">
        <f>'Таблиця цін схема №1'!HB21</f>
        <v>15</v>
      </c>
      <c r="AN63" s="380">
        <f>'Таблиця цін схема №1'!HC21</f>
        <v>2</v>
      </c>
      <c r="AO63" s="47">
        <f>'Таблиця цін схема №1'!HF21</f>
        <v>20</v>
      </c>
      <c r="AP63" s="78">
        <f>'Таблиця цін схема №1'!HG21</f>
        <v>1</v>
      </c>
      <c r="AQ63" s="47">
        <f>'Таблиця цін схема №1'!HJ21</f>
        <v>32</v>
      </c>
      <c r="AR63" s="379">
        <f>'Таблиця цін схема №1'!HK21</f>
        <v>6</v>
      </c>
      <c r="AS63" s="380">
        <f>'Таблиця цін схема №1'!HL21</f>
        <v>1</v>
      </c>
      <c r="AT63" s="47">
        <f>'Таблиця цін схема №1'!HO21</f>
        <v>40</v>
      </c>
      <c r="AU63" s="380">
        <f>'Таблиця цін схема №1'!HP21</f>
        <v>1</v>
      </c>
      <c r="AV63" s="47">
        <f>'Таблиця цін схема №1'!HS21</f>
        <v>20</v>
      </c>
      <c r="AW63" s="380">
        <f>'Таблиця цін схема №1'!HT21</f>
        <v>1</v>
      </c>
      <c r="AX63" s="47" t="str">
        <f>'Таблиця цін схема №1'!HW21</f>
        <v>0-150</v>
      </c>
      <c r="AY63" s="380">
        <f>'Таблиця цін схема №1'!HX21</f>
        <v>1</v>
      </c>
      <c r="AZ63" s="47" t="str">
        <f>'Таблиця цін схема №1'!IA21</f>
        <v>0-120</v>
      </c>
      <c r="BA63" s="380">
        <f>'Таблиця цін схема №1'!IB21</f>
        <v>1</v>
      </c>
      <c r="BB63" s="47" t="str">
        <f>'Таблиця цін схема №1'!IE21</f>
        <v>0-1,6</v>
      </c>
      <c r="BC63" s="380">
        <f>'Таблиця цін схема №1'!IF21</f>
        <v>3</v>
      </c>
      <c r="BD63" s="47" t="str">
        <f>'Таблиця цін схема №1'!II21</f>
        <v>0-1,0</v>
      </c>
      <c r="BE63" s="380">
        <f>'Таблиця цін схема №1'!IJ21</f>
        <v>13</v>
      </c>
      <c r="BF63" s="47" t="str">
        <f>'Таблиця цін схема №1'!IM21</f>
        <v>PSM01</v>
      </c>
      <c r="BG63" s="380">
        <f>'Таблиця цін схема №1'!IN21</f>
        <v>5</v>
      </c>
      <c r="BH63" s="47" t="str">
        <f>'Таблиця цін схема №1'!IQ21</f>
        <v>A-10</v>
      </c>
      <c r="BI63" s="380">
        <f>'Таблиця цін схема №1'!IR21</f>
        <v>6</v>
      </c>
      <c r="BJ63" s="47" t="str">
        <f>'Таблиця цін схема №1'!IU21</f>
        <v>ТСП 1-5</v>
      </c>
      <c r="BK63" s="380">
        <f>'Таблиця цін схема №1'!IV21</f>
        <v>7</v>
      </c>
      <c r="BL63" s="47" t="str">
        <f>'Таблиця цін схема №1'!IY21</f>
        <v>ТСП 2-10Г</v>
      </c>
      <c r="BM63" s="380">
        <f>'Таблиця цін схема №1'!IZ21</f>
        <v>1</v>
      </c>
    </row>
    <row r="64" spans="1:65">
      <c r="A64" s="1115">
        <v>26</v>
      </c>
      <c r="B64" s="1125" t="s">
        <v>781</v>
      </c>
      <c r="C64" s="47">
        <f>'Таблиця цін схема №1'!ER22</f>
        <v>25</v>
      </c>
      <c r="D64" s="380">
        <f>'Таблиця цін схема №1'!ES22</f>
        <v>1</v>
      </c>
      <c r="E64" s="47">
        <f>'Таблиця цін схема №1'!EV22</f>
        <v>80</v>
      </c>
      <c r="F64" s="380">
        <f>'Таблиця цін схема №1'!EW22</f>
        <v>2</v>
      </c>
      <c r="G64" s="47">
        <f>'Таблиця цін схема №1'!EZ22</f>
        <v>40</v>
      </c>
      <c r="H64" s="380">
        <f>'Таблиця цін схема №1'!FA22</f>
        <v>1</v>
      </c>
      <c r="I64" s="47">
        <f>'Таблиця цін схема №1'!FD22</f>
        <v>25</v>
      </c>
      <c r="J64" s="380">
        <f>'Таблиця цін схема №1'!FE22</f>
        <v>1</v>
      </c>
      <c r="K64" s="47">
        <f>'Таблиця цін схема №1'!FH22</f>
        <v>25</v>
      </c>
      <c r="L64" s="380">
        <f>'Таблиця цін схема №1'!FI22</f>
        <v>1</v>
      </c>
      <c r="M64" s="47">
        <f>'Таблиця цін схема №1'!FL22</f>
        <v>80</v>
      </c>
      <c r="N64" s="380">
        <f>'Таблиця цін схема №1'!FM22</f>
        <v>2</v>
      </c>
      <c r="O64" s="47">
        <f>'Таблиця цін схема №1'!FP22</f>
        <v>40</v>
      </c>
      <c r="P64" s="380">
        <f>'Таблиця цін схема №1'!FQ22</f>
        <v>1</v>
      </c>
      <c r="Q64" s="47">
        <f>'Таблиця цін схема №1'!FT22</f>
        <v>25</v>
      </c>
      <c r="R64" s="380">
        <f>'Таблиця цін схема №1'!FU22</f>
        <v>1</v>
      </c>
      <c r="S64" s="1127">
        <f>'Таблиця цін схема №1'!FX22</f>
        <v>27.71400368045007</v>
      </c>
      <c r="T64" s="379">
        <f>'Таблиця цін схема №1'!FY22</f>
        <v>32</v>
      </c>
      <c r="U64" s="380">
        <f>'Таблиця цін схема №1'!FZ22</f>
        <v>2</v>
      </c>
      <c r="V64" s="1129">
        <f>'Таблиця цін схема №1'!GC22</f>
        <v>12.378378378378381</v>
      </c>
      <c r="W64" s="379">
        <f>'Таблиця цін схема №1'!GD22</f>
        <v>9</v>
      </c>
      <c r="X64" s="379">
        <f>'Таблиця цін схема №1'!GE22</f>
        <v>9</v>
      </c>
      <c r="Y64" s="1144" t="str">
        <f>'Таблиця цін схема №1'!GF22</f>
        <v>Yonos MAXO 50/0,5-12 PN 6/10</v>
      </c>
      <c r="Z64" s="78">
        <f>'Таблиця цін схема №1'!GG22</f>
        <v>2</v>
      </c>
      <c r="AA64" s="1129">
        <f>'Таблиця цін схема №1'!GJ22</f>
        <v>1.3387423935091276</v>
      </c>
      <c r="AB64" s="379">
        <f>'Таблиця цін схема №1'!GK22</f>
        <v>9</v>
      </c>
      <c r="AC64" s="379">
        <f>'Таблиця цін схема №1'!GL22</f>
        <v>9</v>
      </c>
      <c r="AD64" s="1144" t="str">
        <f>'Таблиця цін схема №1'!GM22</f>
        <v>TOP-Z 25/10 3- PN 10</v>
      </c>
      <c r="AE64" s="380">
        <f>'Таблиця цін схема №1'!GN22</f>
        <v>1</v>
      </c>
      <c r="AF64" s="1127">
        <f>'Таблиця цін схема №1'!GQ22</f>
        <v>613.13873764117466</v>
      </c>
      <c r="AG64" s="379">
        <f>'Таблиця цін схема №1'!GR22</f>
        <v>750</v>
      </c>
      <c r="AH64" s="379">
        <f>'Таблиця цін схема №1'!GS22</f>
        <v>32</v>
      </c>
      <c r="AI64" s="380">
        <f>'Таблиця цін схема №1'!GT22</f>
        <v>1</v>
      </c>
      <c r="AJ64" s="47">
        <f>'Таблиця цін схема №1'!GW22</f>
        <v>22.36</v>
      </c>
      <c r="AK64" s="379">
        <f>'Таблиця цін схема №1'!GX22</f>
        <v>40</v>
      </c>
      <c r="AL64" s="517" t="s">
        <v>115</v>
      </c>
      <c r="AM64" s="47">
        <f>'Таблиця цін схема №1'!HB22</f>
        <v>15</v>
      </c>
      <c r="AN64" s="380">
        <f>'Таблиця цін схема №1'!HC22</f>
        <v>2</v>
      </c>
      <c r="AO64" s="47">
        <f>'Таблиця цін схема №1'!HF22</f>
        <v>25</v>
      </c>
      <c r="AP64" s="78">
        <f>'Таблиця цін схема №1'!HG22</f>
        <v>1</v>
      </c>
      <c r="AQ64" s="47">
        <f>'Таблиця цін схема №1'!HJ22</f>
        <v>32</v>
      </c>
      <c r="AR64" s="379">
        <f>'Таблиця цін схема №1'!HK22</f>
        <v>6</v>
      </c>
      <c r="AS64" s="380">
        <f>'Таблиця цін схема №1'!HL22</f>
        <v>1</v>
      </c>
      <c r="AT64" s="47">
        <f>'Таблиця цін схема №1'!HO22</f>
        <v>40</v>
      </c>
      <c r="AU64" s="380">
        <f>'Таблиця цін схема №1'!HP22</f>
        <v>1</v>
      </c>
      <c r="AV64" s="47">
        <f>'Таблиця цін схема №1'!HS22</f>
        <v>25</v>
      </c>
      <c r="AW64" s="380">
        <f>'Таблиця цін схема №1'!HT22</f>
        <v>1</v>
      </c>
      <c r="AX64" s="47" t="str">
        <f>'Таблиця цін схема №1'!HW22</f>
        <v>0-150</v>
      </c>
      <c r="AY64" s="380">
        <f>'Таблиця цін схема №1'!HX22</f>
        <v>1</v>
      </c>
      <c r="AZ64" s="47" t="str">
        <f>'Таблиця цін схема №1'!IA22</f>
        <v>0-120</v>
      </c>
      <c r="BA64" s="380">
        <f>'Таблиця цін схема №1'!IB22</f>
        <v>1</v>
      </c>
      <c r="BB64" s="47" t="str">
        <f>'Таблиця цін схема №1'!IE22</f>
        <v>0-1,6</v>
      </c>
      <c r="BC64" s="380">
        <f>'Таблиця цін схема №1'!IF22</f>
        <v>3</v>
      </c>
      <c r="BD64" s="47" t="str">
        <f>'Таблиця цін схема №1'!II22</f>
        <v>0-1,0</v>
      </c>
      <c r="BE64" s="380">
        <f>'Таблиця цін схема №1'!IJ22</f>
        <v>11</v>
      </c>
      <c r="BF64" s="47" t="str">
        <f>'Таблиця цін схема №1'!IM22</f>
        <v>PSM01</v>
      </c>
      <c r="BG64" s="380">
        <f>'Таблиця цін схема №1'!IN22</f>
        <v>5</v>
      </c>
      <c r="BH64" s="47" t="str">
        <f>'Таблиця цін схема №1'!IQ22</f>
        <v>A-10</v>
      </c>
      <c r="BI64" s="380">
        <f>'Таблиця цін схема №1'!IR22</f>
        <v>6</v>
      </c>
      <c r="BJ64" s="47" t="str">
        <f>'Таблиця цін схема №1'!IU22</f>
        <v>ТСП 1-5</v>
      </c>
      <c r="BK64" s="380">
        <f>'Таблиця цін схема №1'!IV22</f>
        <v>7</v>
      </c>
      <c r="BL64" s="47" t="str">
        <f>'Таблиця цін схема №1'!IY22</f>
        <v>ТСП 2-10Г</v>
      </c>
      <c r="BM64" s="380">
        <f>'Таблиця цін схема №1'!IZ22</f>
        <v>1</v>
      </c>
    </row>
    <row r="65" spans="1:65">
      <c r="A65" s="1115">
        <v>27</v>
      </c>
      <c r="B65" s="1125" t="s">
        <v>782</v>
      </c>
      <c r="C65" s="47">
        <f>'Таблиця цін схема №1'!ER23</f>
        <v>25</v>
      </c>
      <c r="D65" s="380">
        <f>'Таблиця цін схема №1'!ES23</f>
        <v>1</v>
      </c>
      <c r="E65" s="47">
        <f>'Таблиця цін схема №1'!EV23</f>
        <v>80</v>
      </c>
      <c r="F65" s="380">
        <f>'Таблиця цін схема №1'!EW23</f>
        <v>2</v>
      </c>
      <c r="G65" s="47">
        <f>'Таблиця цін схема №1'!EZ23</f>
        <v>50</v>
      </c>
      <c r="H65" s="380">
        <f>'Таблиця цін схема №1'!FA23</f>
        <v>1</v>
      </c>
      <c r="I65" s="47">
        <f>'Таблиця цін схема №1'!FD23</f>
        <v>32</v>
      </c>
      <c r="J65" s="380">
        <f>'Таблиця цін схема №1'!FE23</f>
        <v>1</v>
      </c>
      <c r="K65" s="47">
        <f>'Таблиця цін схема №1'!FH23</f>
        <v>25</v>
      </c>
      <c r="L65" s="380">
        <f>'Таблиця цін схема №1'!FI23</f>
        <v>1</v>
      </c>
      <c r="M65" s="47">
        <f>'Таблиця цін схема №1'!FL23</f>
        <v>50</v>
      </c>
      <c r="N65" s="380">
        <f>'Таблиця цін схема №1'!FM23</f>
        <v>6</v>
      </c>
      <c r="O65" s="47">
        <f>'Таблиця цін схема №1'!FP23</f>
        <v>50</v>
      </c>
      <c r="P65" s="380">
        <f>'Таблиця цін схема №1'!FQ23</f>
        <v>1</v>
      </c>
      <c r="Q65" s="47">
        <f>'Таблиця цін схема №1'!FT23</f>
        <v>32</v>
      </c>
      <c r="R65" s="380">
        <f>'Таблиця цін схема №1'!FU23</f>
        <v>1</v>
      </c>
      <c r="S65" s="1127">
        <f>'Таблиця цін схема №1'!FX23</f>
        <v>32.918080138428486</v>
      </c>
      <c r="T65" s="379">
        <f>'Таблиця цін схема №1'!FY23</f>
        <v>32</v>
      </c>
      <c r="U65" s="380">
        <f>'Таблиця цін схема №1'!FZ23</f>
        <v>2</v>
      </c>
      <c r="V65" s="1129">
        <f>'Таблиця цін схема №1'!GC23</f>
        <v>17.463617463617464</v>
      </c>
      <c r="W65" s="379">
        <f>'Таблиця цін схема №1'!GD23</f>
        <v>9</v>
      </c>
      <c r="X65" s="379">
        <f>'Таблиця цін схема №1'!GE23</f>
        <v>9</v>
      </c>
      <c r="Y65" s="1144" t="str">
        <f>'Таблиця цін схема №1'!GF23</f>
        <v>Yonos MAXO 40/0,5-16 PN 6/10</v>
      </c>
      <c r="Z65" s="78">
        <f>'Таблиця цін схема №1'!GG23</f>
        <v>2</v>
      </c>
      <c r="AA65" s="1129">
        <f>'Таблиця цін схема №1'!GJ23</f>
        <v>2.3732251521298173</v>
      </c>
      <c r="AB65" s="379">
        <f>'Таблиця цін схема №1'!GK23</f>
        <v>9</v>
      </c>
      <c r="AC65" s="379">
        <f>'Таблиця цін схема №1'!GL23</f>
        <v>9</v>
      </c>
      <c r="AD65" s="1144" t="str">
        <f>'Таблиця цін схема №1'!GM23</f>
        <v>TOP-Z 25/10 3- PN 10</v>
      </c>
      <c r="AE65" s="380">
        <f>'Таблиця цін схема №1'!GN23</f>
        <v>1</v>
      </c>
      <c r="AF65" s="1127">
        <f>'Таблиця цін схема №1'!GQ23</f>
        <v>865.79418297952077</v>
      </c>
      <c r="AG65" s="379">
        <f>'Таблиця цін схема №1'!GR23</f>
        <v>1000</v>
      </c>
      <c r="AH65" s="379">
        <f>'Таблиця цін схема №1'!GS23</f>
        <v>50</v>
      </c>
      <c r="AI65" s="380">
        <f>'Таблиця цін схема №1'!GT23</f>
        <v>1</v>
      </c>
      <c r="AJ65" s="47">
        <f>'Таблиця цін схема №1'!GW23</f>
        <v>11.13</v>
      </c>
      <c r="AK65" s="379">
        <f>'Таблиця цін схема №1'!GX23</f>
        <v>32</v>
      </c>
      <c r="AL65" s="380">
        <f>'Таблиця цін схема №1'!GY23</f>
        <v>3</v>
      </c>
      <c r="AM65" s="47">
        <f>'Таблиця цін схема №1'!HB23</f>
        <v>15</v>
      </c>
      <c r="AN65" s="380">
        <f>'Таблиця цін схема №1'!HC23</f>
        <v>2</v>
      </c>
      <c r="AO65" s="47">
        <f>'Таблиця цін схема №1'!HF23</f>
        <v>25</v>
      </c>
      <c r="AP65" s="78">
        <f>'Таблиця цін схема №1'!HG23</f>
        <v>1</v>
      </c>
      <c r="AQ65" s="47">
        <f>'Таблиця цін схема №1'!HJ23</f>
        <v>40</v>
      </c>
      <c r="AR65" s="379">
        <f>'Таблиця цін схема №1'!HK23</f>
        <v>15</v>
      </c>
      <c r="AS65" s="380">
        <f>'Таблиця цін схема №1'!HL23</f>
        <v>1</v>
      </c>
      <c r="AT65" s="47">
        <f>'Таблиця цін схема №1'!HO23</f>
        <v>50</v>
      </c>
      <c r="AU65" s="380">
        <f>'Таблиця цін схема №1'!HP23</f>
        <v>1</v>
      </c>
      <c r="AV65" s="47">
        <f>'Таблиця цін схема №1'!HS23</f>
        <v>25</v>
      </c>
      <c r="AW65" s="380">
        <f>'Таблиця цін схема №1'!HT23</f>
        <v>1</v>
      </c>
      <c r="AX65" s="47" t="str">
        <f>'Таблиця цін схема №1'!HW23</f>
        <v>0-150</v>
      </c>
      <c r="AY65" s="380">
        <f>'Таблиця цін схема №1'!HX23</f>
        <v>1</v>
      </c>
      <c r="AZ65" s="47" t="str">
        <f>'Таблиця цін схема №1'!IA23</f>
        <v>0-120</v>
      </c>
      <c r="BA65" s="380">
        <f>'Таблиця цін схема №1'!IB23</f>
        <v>1</v>
      </c>
      <c r="BB65" s="47" t="str">
        <f>'Таблиця цін схема №1'!IE23</f>
        <v>0-1,6</v>
      </c>
      <c r="BC65" s="380">
        <f>'Таблиця цін схема №1'!IF23</f>
        <v>3</v>
      </c>
      <c r="BD65" s="47" t="str">
        <f>'Таблиця цін схема №1'!II23</f>
        <v>0-1,0</v>
      </c>
      <c r="BE65" s="380">
        <f>'Таблиця цін схема №1'!IJ23</f>
        <v>14</v>
      </c>
      <c r="BF65" s="47" t="str">
        <f>'Таблиця цін схема №1'!IM23</f>
        <v>PSM01</v>
      </c>
      <c r="BG65" s="380">
        <f>'Таблиця цін схема №1'!IN23</f>
        <v>5</v>
      </c>
      <c r="BH65" s="47" t="str">
        <f>'Таблиця цін схема №1'!IQ23</f>
        <v>A-10</v>
      </c>
      <c r="BI65" s="380">
        <f>'Таблиця цін схема №1'!IR23</f>
        <v>6</v>
      </c>
      <c r="BJ65" s="47" t="str">
        <f>'Таблиця цін схема №1'!IU23</f>
        <v>ТСП 1-5</v>
      </c>
      <c r="BK65" s="380">
        <f>'Таблиця цін схема №1'!IV23</f>
        <v>7</v>
      </c>
      <c r="BL65" s="47" t="str">
        <f>'Таблиця цін схема №1'!IY23</f>
        <v>ТСП 2-10Г</v>
      </c>
      <c r="BM65" s="380">
        <f>'Таблиця цін схема №1'!IZ23</f>
        <v>1</v>
      </c>
    </row>
    <row r="66" spans="1:65">
      <c r="A66" s="1115">
        <v>28</v>
      </c>
      <c r="B66" s="1125" t="s">
        <v>783</v>
      </c>
      <c r="C66" s="47">
        <f>'Таблиця цін схема №1'!ER24</f>
        <v>20</v>
      </c>
      <c r="D66" s="380">
        <f>'Таблиця цін схема №1'!ES24</f>
        <v>1</v>
      </c>
      <c r="E66" s="47">
        <f>'Таблиця цін схема №1'!EV24</f>
        <v>80</v>
      </c>
      <c r="F66" s="380">
        <f>'Таблиця цін схема №1'!EW24</f>
        <v>2</v>
      </c>
      <c r="G66" s="47">
        <f>'Таблиця цін схема №1'!EZ24</f>
        <v>40</v>
      </c>
      <c r="H66" s="380">
        <f>'Таблиця цін схема №1'!FA24</f>
        <v>1</v>
      </c>
      <c r="I66" s="47">
        <f>'Таблиця цін схема №1'!FD24</f>
        <v>25</v>
      </c>
      <c r="J66" s="380">
        <f>'Таблиця цін схема №1'!FE24</f>
        <v>1</v>
      </c>
      <c r="K66" s="47">
        <f>'Таблиця цін схема №1'!FH24</f>
        <v>20</v>
      </c>
      <c r="L66" s="380">
        <f>'Таблиця цін схема №1'!FI24</f>
        <v>1</v>
      </c>
      <c r="M66" s="47">
        <f>'Таблиця цін схема №1'!FL24</f>
        <v>50</v>
      </c>
      <c r="N66" s="380">
        <f>'Таблиця цін схема №1'!FM24</f>
        <v>4</v>
      </c>
      <c r="O66" s="47">
        <f>'Таблиця цін схема №1'!FP24</f>
        <v>40</v>
      </c>
      <c r="P66" s="380">
        <f>'Таблиця цін схема №1'!FQ24</f>
        <v>1</v>
      </c>
      <c r="Q66" s="47">
        <f>'Таблиця цін схема №1'!FT24</f>
        <v>25</v>
      </c>
      <c r="R66" s="380">
        <f>'Таблиця цін схема №1'!FU24</f>
        <v>1</v>
      </c>
      <c r="S66" s="1127">
        <f>'Таблиця цін схема №1'!FX24</f>
        <v>28.005713702742874</v>
      </c>
      <c r="T66" s="379">
        <f>'Таблиця цін схема №1'!FY24</f>
        <v>32</v>
      </c>
      <c r="U66" s="380">
        <f>'Таблиця цін схема №1'!FZ24</f>
        <v>2</v>
      </c>
      <c r="V66" s="1129">
        <f>'Таблиця цін схема №1'!GC24</f>
        <v>12.640332640332639</v>
      </c>
      <c r="W66" s="379">
        <f>'Таблиця цін схема №1'!GD24</f>
        <v>9</v>
      </c>
      <c r="X66" s="379">
        <f>'Таблиця цін схема №1'!GE24</f>
        <v>9</v>
      </c>
      <c r="Y66" s="1144" t="str">
        <f>'Таблиця цін схема №1'!GF24</f>
        <v>Yonos MAXO 50/0,5-12 PN 6/10</v>
      </c>
      <c r="Z66" s="78">
        <f>'Таблиця цін схема №1'!GG24</f>
        <v>2</v>
      </c>
      <c r="AA66" s="1129">
        <f>'Таблиця цін схема №1'!GJ24</f>
        <v>1.3582150101419879</v>
      </c>
      <c r="AB66" s="379">
        <f>'Таблиця цін схема №1'!GK24</f>
        <v>9</v>
      </c>
      <c r="AC66" s="379">
        <f>'Таблиця цін схема №1'!GL24</f>
        <v>9</v>
      </c>
      <c r="AD66" s="1144" t="str">
        <f>'Таблиця цін схема №1'!GM24</f>
        <v>TOP-Z 25/10 3- PN 10</v>
      </c>
      <c r="AE66" s="380">
        <f>'Таблиця цін схема №1'!GN24</f>
        <v>1</v>
      </c>
      <c r="AF66" s="1127">
        <f>'Таблиця цін схема №1'!GQ24</f>
        <v>507.42516218579976</v>
      </c>
      <c r="AG66" s="379">
        <f>'Таблиця цін схема №1'!GR24</f>
        <v>500</v>
      </c>
      <c r="AH66" s="379">
        <f>'Таблиця цін схема №1'!GS24</f>
        <v>32</v>
      </c>
      <c r="AI66" s="380">
        <f>'Таблиця цін схема №1'!GT24</f>
        <v>1</v>
      </c>
      <c r="AJ66" s="47">
        <f>'Таблиця цін схема №1'!GW24</f>
        <v>11.13</v>
      </c>
      <c r="AK66" s="379">
        <f>'Таблиця цін схема №1'!GX24</f>
        <v>32</v>
      </c>
      <c r="AL66" s="380">
        <f>'Таблиця цін схема №1'!GY24</f>
        <v>2</v>
      </c>
      <c r="AM66" s="47">
        <f>'Таблиця цін схема №1'!HB24</f>
        <v>15</v>
      </c>
      <c r="AN66" s="380">
        <f>'Таблиця цін схема №1'!HC24</f>
        <v>2</v>
      </c>
      <c r="AO66" s="47">
        <f>'Таблиця цін схема №1'!HF24</f>
        <v>20</v>
      </c>
      <c r="AP66" s="78">
        <f>'Таблиця цін схема №1'!HG24</f>
        <v>1</v>
      </c>
      <c r="AQ66" s="47">
        <f>'Таблиця цін схема №1'!HJ24</f>
        <v>32</v>
      </c>
      <c r="AR66" s="379">
        <f>'Таблиця цін схема №1'!HK24</f>
        <v>6</v>
      </c>
      <c r="AS66" s="380">
        <f>'Таблиця цін схема №1'!HL24</f>
        <v>1</v>
      </c>
      <c r="AT66" s="47">
        <f>'Таблиця цін схема №1'!HO24</f>
        <v>40</v>
      </c>
      <c r="AU66" s="380">
        <f>'Таблиця цін схема №1'!HP24</f>
        <v>1</v>
      </c>
      <c r="AV66" s="47">
        <f>'Таблиця цін схема №1'!HS24</f>
        <v>20</v>
      </c>
      <c r="AW66" s="380">
        <f>'Таблиця цін схема №1'!HT24</f>
        <v>1</v>
      </c>
      <c r="AX66" s="47" t="str">
        <f>'Таблиця цін схема №1'!HW24</f>
        <v>0-150</v>
      </c>
      <c r="AY66" s="380">
        <f>'Таблиця цін схема №1'!HX24</f>
        <v>1</v>
      </c>
      <c r="AZ66" s="47" t="str">
        <f>'Таблиця цін схема №1'!IA24</f>
        <v>0-120</v>
      </c>
      <c r="BA66" s="380">
        <f>'Таблиця цін схема №1'!IB24</f>
        <v>1</v>
      </c>
      <c r="BB66" s="47" t="str">
        <f>'Таблиця цін схема №1'!IE24</f>
        <v>0-1,6</v>
      </c>
      <c r="BC66" s="380">
        <f>'Таблиця цін схема №1'!IF24</f>
        <v>3</v>
      </c>
      <c r="BD66" s="47" t="str">
        <f>'Таблиця цін схема №1'!II24</f>
        <v>0-1,0</v>
      </c>
      <c r="BE66" s="380">
        <f>'Таблиця цін схема №1'!IJ24</f>
        <v>13</v>
      </c>
      <c r="BF66" s="47" t="str">
        <f>'Таблиця цін схема №1'!IM24</f>
        <v>PSM01</v>
      </c>
      <c r="BG66" s="380">
        <f>'Таблиця цін схема №1'!IN24</f>
        <v>5</v>
      </c>
      <c r="BH66" s="47" t="str">
        <f>'Таблиця цін схема №1'!IQ24</f>
        <v>A-10</v>
      </c>
      <c r="BI66" s="380">
        <f>'Таблиця цін схема №1'!IR24</f>
        <v>6</v>
      </c>
      <c r="BJ66" s="47" t="str">
        <f>'Таблиця цін схема №1'!IU24</f>
        <v>ТСП 1-5</v>
      </c>
      <c r="BK66" s="380">
        <f>'Таблиця цін схема №1'!IV24</f>
        <v>7</v>
      </c>
      <c r="BL66" s="47" t="str">
        <f>'Таблиця цін схема №1'!IY24</f>
        <v>ТСП 2-10Г</v>
      </c>
      <c r="BM66" s="380">
        <f>'Таблиця цін схема №1'!IZ24</f>
        <v>1</v>
      </c>
    </row>
    <row r="67" spans="1:65">
      <c r="A67" s="1115">
        <v>29</v>
      </c>
      <c r="B67" s="1125" t="s">
        <v>784</v>
      </c>
      <c r="C67" s="47">
        <f>'Таблиця цін схема №1'!ER25</f>
        <v>25</v>
      </c>
      <c r="D67" s="380">
        <f>'Таблиця цін схема №1'!ES25</f>
        <v>1</v>
      </c>
      <c r="E67" s="47">
        <f>'Таблиця цін схема №1'!EV25</f>
        <v>80</v>
      </c>
      <c r="F67" s="380">
        <f>'Таблиця цін схема №1'!EW25</f>
        <v>2</v>
      </c>
      <c r="G67" s="47">
        <f>'Таблиця цін схема №1'!EZ25</f>
        <v>40</v>
      </c>
      <c r="H67" s="380">
        <f>'Таблиця цін схема №1'!FA25</f>
        <v>1</v>
      </c>
      <c r="I67" s="47">
        <f>'Таблиця цін схема №1'!FD25</f>
        <v>25</v>
      </c>
      <c r="J67" s="380">
        <f>'Таблиця цін схема №1'!FE25</f>
        <v>1</v>
      </c>
      <c r="K67" s="47">
        <f>'Таблиця цін схема №1'!FH25</f>
        <v>25</v>
      </c>
      <c r="L67" s="380">
        <f>'Таблиця цін схема №1'!FI25</f>
        <v>1</v>
      </c>
      <c r="M67" s="47">
        <f>'Таблиця цін схема №1'!FL25</f>
        <v>50</v>
      </c>
      <c r="N67" s="380">
        <f>'Таблиця цін схема №1'!FM25</f>
        <v>4</v>
      </c>
      <c r="O67" s="47">
        <f>'Таблиця цін схема №1'!FP25</f>
        <v>40</v>
      </c>
      <c r="P67" s="380">
        <f>'Таблиця цін схема №1'!FQ25</f>
        <v>1</v>
      </c>
      <c r="Q67" s="47">
        <f>'Таблиця цін схема №1'!FT25</f>
        <v>25</v>
      </c>
      <c r="R67" s="380">
        <f>'Таблиця цін схема №1'!FU25</f>
        <v>1</v>
      </c>
      <c r="S67" s="1127">
        <f>'Таблиця цін схема №1'!FX25</f>
        <v>27.774448689397957</v>
      </c>
      <c r="T67" s="379">
        <f>'Таблиця цін схема №1'!FY25</f>
        <v>32</v>
      </c>
      <c r="U67" s="380">
        <f>'Таблиця цін схема №1'!FZ25</f>
        <v>2</v>
      </c>
      <c r="V67" s="1129">
        <f>'Таблиця цін схема №1'!GC25</f>
        <v>12.432432432432432</v>
      </c>
      <c r="W67" s="379">
        <f>'Таблиця цін схема №1'!GD25</f>
        <v>9</v>
      </c>
      <c r="X67" s="379">
        <f>'Таблиця цін схема №1'!GE25</f>
        <v>9</v>
      </c>
      <c r="Y67" s="1144" t="str">
        <f>'Таблиця цін схема №1'!GF25</f>
        <v>Yonos MAXO 50/0,5-12 PN 6/10</v>
      </c>
      <c r="Z67" s="78">
        <f>'Таблиця цін схема №1'!GG25</f>
        <v>2</v>
      </c>
      <c r="AA67" s="1129">
        <f>'Таблиця цін схема №1'!GJ25</f>
        <v>1.3569979716024341</v>
      </c>
      <c r="AB67" s="379">
        <f>'Таблиця цін схема №1'!GK25</f>
        <v>9</v>
      </c>
      <c r="AC67" s="379">
        <f>'Таблиця цін схема №1'!GL25</f>
        <v>9</v>
      </c>
      <c r="AD67" s="1144" t="str">
        <f>'Таблиця цін схема №1'!GM25</f>
        <v>TOP-Z 25/10 3- PN 10</v>
      </c>
      <c r="AE67" s="380">
        <f>'Таблиця цін схема №1'!GN25</f>
        <v>1</v>
      </c>
      <c r="AF67" s="1127">
        <f>'Таблиця цін схема №1'!GQ25</f>
        <v>623.71009518671212</v>
      </c>
      <c r="AG67" s="379">
        <f>'Таблиця цін схема №1'!GR25</f>
        <v>750</v>
      </c>
      <c r="AH67" s="379">
        <f>'Таблиця цін схема №1'!GS25</f>
        <v>32</v>
      </c>
      <c r="AI67" s="380">
        <f>'Таблиця цін схема №1'!GT25</f>
        <v>1</v>
      </c>
      <c r="AJ67" s="47">
        <f>'Таблиця цін схема №1'!GW25</f>
        <v>11.13</v>
      </c>
      <c r="AK67" s="379">
        <f>'Таблиця цін схема №1'!GX25</f>
        <v>32</v>
      </c>
      <c r="AL67" s="380">
        <f>'Таблиця цін схема №1'!GY25</f>
        <v>2</v>
      </c>
      <c r="AM67" s="47">
        <f>'Таблиця цін схема №1'!HB25</f>
        <v>15</v>
      </c>
      <c r="AN67" s="380">
        <f>'Таблиця цін схема №1'!HC25</f>
        <v>2</v>
      </c>
      <c r="AO67" s="47">
        <f>'Таблиця цін схема №1'!HF25</f>
        <v>25</v>
      </c>
      <c r="AP67" s="78">
        <f>'Таблиця цін схема №1'!HG25</f>
        <v>1</v>
      </c>
      <c r="AQ67" s="47">
        <f>'Таблиця цін схема №1'!HJ25</f>
        <v>32</v>
      </c>
      <c r="AR67" s="379">
        <f>'Таблиця цін схема №1'!HK25</f>
        <v>6</v>
      </c>
      <c r="AS67" s="380">
        <f>'Таблиця цін схема №1'!HL25</f>
        <v>1</v>
      </c>
      <c r="AT67" s="47">
        <f>'Таблиця цін схема №1'!HO25</f>
        <v>40</v>
      </c>
      <c r="AU67" s="380">
        <f>'Таблиця цін схема №1'!HP25</f>
        <v>1</v>
      </c>
      <c r="AV67" s="47">
        <f>'Таблиця цін схема №1'!HS25</f>
        <v>25</v>
      </c>
      <c r="AW67" s="380">
        <f>'Таблиця цін схема №1'!HT25</f>
        <v>1</v>
      </c>
      <c r="AX67" s="47" t="str">
        <f>'Таблиця цін схема №1'!HW25</f>
        <v>0-150</v>
      </c>
      <c r="AY67" s="380">
        <f>'Таблиця цін схема №1'!HX25</f>
        <v>1</v>
      </c>
      <c r="AZ67" s="47" t="str">
        <f>'Таблиця цін схема №1'!IA25</f>
        <v>0-120</v>
      </c>
      <c r="BA67" s="380">
        <f>'Таблиця цін схема №1'!IB25</f>
        <v>1</v>
      </c>
      <c r="BB67" s="47" t="str">
        <f>'Таблиця цін схема №1'!IE25</f>
        <v>0-1,6</v>
      </c>
      <c r="BC67" s="380">
        <f>'Таблиця цін схема №1'!IF25</f>
        <v>3</v>
      </c>
      <c r="BD67" s="47" t="str">
        <f>'Таблиця цін схема №1'!II25</f>
        <v>0-1,0</v>
      </c>
      <c r="BE67" s="380">
        <f>'Таблиця цін схема №1'!IJ25</f>
        <v>13</v>
      </c>
      <c r="BF67" s="47" t="str">
        <f>'Таблиця цін схема №1'!IM25</f>
        <v>PSM01</v>
      </c>
      <c r="BG67" s="380">
        <f>'Таблиця цін схема №1'!IN25</f>
        <v>5</v>
      </c>
      <c r="BH67" s="47" t="str">
        <f>'Таблиця цін схема №1'!IQ25</f>
        <v>A-10</v>
      </c>
      <c r="BI67" s="380">
        <f>'Таблиця цін схема №1'!IR25</f>
        <v>6</v>
      </c>
      <c r="BJ67" s="47" t="str">
        <f>'Таблиця цін схема №1'!IU25</f>
        <v>ТСП 1-5</v>
      </c>
      <c r="BK67" s="380">
        <f>'Таблиця цін схема №1'!IV25</f>
        <v>7</v>
      </c>
      <c r="BL67" s="47" t="str">
        <f>'Таблиця цін схема №1'!IY25</f>
        <v>ТСП 2-10Г</v>
      </c>
      <c r="BM67" s="380">
        <f>'Таблиця цін схема №1'!IZ25</f>
        <v>1</v>
      </c>
    </row>
    <row r="68" spans="1:65">
      <c r="A68" s="1115">
        <v>30</v>
      </c>
      <c r="B68" s="1125" t="s">
        <v>785</v>
      </c>
      <c r="C68" s="47">
        <f>'Таблиця цін схема №1'!ER26</f>
        <v>25</v>
      </c>
      <c r="D68" s="380">
        <f>'Таблиця цін схема №1'!ES26</f>
        <v>1</v>
      </c>
      <c r="E68" s="47">
        <f>'Таблиця цін схема №1'!EV26</f>
        <v>65</v>
      </c>
      <c r="F68" s="380">
        <f>'Таблиця цін схема №1'!EW26</f>
        <v>2</v>
      </c>
      <c r="G68" s="47">
        <f>'Таблиця цін схема №1'!EZ26</f>
        <v>40</v>
      </c>
      <c r="H68" s="380">
        <f>'Таблиця цін схема №1'!FA26</f>
        <v>1</v>
      </c>
      <c r="I68" s="47">
        <f>'Таблиця цін схема №1'!FD26</f>
        <v>25</v>
      </c>
      <c r="J68" s="380">
        <f>'Таблиця цін схема №1'!FE26</f>
        <v>1</v>
      </c>
      <c r="K68" s="47">
        <f>'Таблиця цін схема №1'!FH26</f>
        <v>25</v>
      </c>
      <c r="L68" s="380">
        <f>'Таблиця цін схема №1'!FI26</f>
        <v>1</v>
      </c>
      <c r="M68" s="47">
        <f>'Таблиця цін схема №1'!FL26</f>
        <v>40</v>
      </c>
      <c r="N68" s="380">
        <f>'Таблиця цін схема №1'!FM26</f>
        <v>4</v>
      </c>
      <c r="O68" s="47">
        <f>'Таблиця цін схема №1'!FP26</f>
        <v>40</v>
      </c>
      <c r="P68" s="380">
        <f>'Таблиця цін схема №1'!FQ26</f>
        <v>1</v>
      </c>
      <c r="Q68" s="47">
        <f>'Таблиця цін схема №1'!FT26</f>
        <v>25</v>
      </c>
      <c r="R68" s="380">
        <f>'Таблиця цін схема №1'!FU26</f>
        <v>1</v>
      </c>
      <c r="S68" s="1127">
        <f>'Таблиця цін схема №1'!FX26</f>
        <v>24.945861380196916</v>
      </c>
      <c r="T68" s="379">
        <f>'Таблиця цін схема №1'!FY26</f>
        <v>25</v>
      </c>
      <c r="U68" s="380">
        <f>'Таблиця цін схема №1'!FZ26</f>
        <v>2</v>
      </c>
      <c r="V68" s="1129">
        <f>'Таблиця цін схема №1'!GC26</f>
        <v>10.029106029106028</v>
      </c>
      <c r="W68" s="379">
        <f>'Таблиця цін схема №1'!GD26</f>
        <v>9</v>
      </c>
      <c r="X68" s="379">
        <f>'Таблиця цін схема №1'!GE26</f>
        <v>9</v>
      </c>
      <c r="Y68" s="1144" t="str">
        <f>'Таблиця цін схема №1'!GF26</f>
        <v>Yonos MAXO 50/0,5-12 PN 6/10</v>
      </c>
      <c r="Z68" s="78">
        <f>'Таблиця цін схема №1'!GG26</f>
        <v>2</v>
      </c>
      <c r="AA68" s="1129">
        <f>'Таблиця цін схема №1'!GJ26</f>
        <v>1.3569979716024341</v>
      </c>
      <c r="AB68" s="379">
        <f>'Таблиця цін схема №1'!GK26</f>
        <v>9</v>
      </c>
      <c r="AC68" s="379">
        <f>'Таблиця цін схема №1'!GL26</f>
        <v>9</v>
      </c>
      <c r="AD68" s="1144" t="str">
        <f>'Таблиця цін схема №1'!GM26</f>
        <v>TOP-Z 25/10 3- PN 10</v>
      </c>
      <c r="AE68" s="380">
        <f>'Таблиця цін схема №1'!GN26</f>
        <v>1</v>
      </c>
      <c r="AF68" s="1127">
        <f>'Таблиця цін схема №1'!GQ26</f>
        <v>623.71009518671212</v>
      </c>
      <c r="AG68" s="379">
        <f>'Таблиця цін схема №1'!GR26</f>
        <v>750</v>
      </c>
      <c r="AH68" s="379">
        <f>'Таблиця цін схема №1'!GS26</f>
        <v>32</v>
      </c>
      <c r="AI68" s="380">
        <f>'Таблиця цін схема №1'!GT26</f>
        <v>1</v>
      </c>
      <c r="AJ68" s="47">
        <f>'Таблиця цін схема №1'!GW26</f>
        <v>11.13</v>
      </c>
      <c r="AK68" s="379">
        <f>'Таблиця цін схема №1'!GX26</f>
        <v>32</v>
      </c>
      <c r="AL68" s="380">
        <f>'Таблиця цін схема №1'!GY26</f>
        <v>2</v>
      </c>
      <c r="AM68" s="47">
        <f>'Таблиця цін схема №1'!HB26</f>
        <v>15</v>
      </c>
      <c r="AN68" s="380">
        <f>'Таблиця цін схема №1'!HC26</f>
        <v>2</v>
      </c>
      <c r="AO68" s="47">
        <f>'Таблиця цін схема №1'!HF26</f>
        <v>25</v>
      </c>
      <c r="AP68" s="78">
        <f>'Таблиця цін схема №1'!HG26</f>
        <v>1</v>
      </c>
      <c r="AQ68" s="47">
        <f>'Таблиця цін схема №1'!HJ26</f>
        <v>32</v>
      </c>
      <c r="AR68" s="379">
        <f>'Таблиця цін схема №1'!HK26</f>
        <v>6</v>
      </c>
      <c r="AS68" s="380">
        <f>'Таблиця цін схема №1'!HL26</f>
        <v>1</v>
      </c>
      <c r="AT68" s="47">
        <f>'Таблиця цін схема №1'!HO26</f>
        <v>40</v>
      </c>
      <c r="AU68" s="380">
        <f>'Таблиця цін схема №1'!HP26</f>
        <v>1</v>
      </c>
      <c r="AV68" s="47">
        <f>'Таблиця цін схема №1'!HS26</f>
        <v>25</v>
      </c>
      <c r="AW68" s="380">
        <f>'Таблиця цін схема №1'!HT26</f>
        <v>1</v>
      </c>
      <c r="AX68" s="47" t="str">
        <f>'Таблиця цін схема №1'!HW26</f>
        <v>0-150</v>
      </c>
      <c r="AY68" s="380">
        <f>'Таблиця цін схема №1'!HX26</f>
        <v>1</v>
      </c>
      <c r="AZ68" s="47" t="str">
        <f>'Таблиця цін схема №1'!IA26</f>
        <v>0-120</v>
      </c>
      <c r="BA68" s="380">
        <f>'Таблиця цін схема №1'!IB26</f>
        <v>1</v>
      </c>
      <c r="BB68" s="47" t="str">
        <f>'Таблиця цін схема №1'!IE26</f>
        <v>0-1,6</v>
      </c>
      <c r="BC68" s="380">
        <f>'Таблиця цін схема №1'!IF26</f>
        <v>3</v>
      </c>
      <c r="BD68" s="47" t="str">
        <f>'Таблиця цін схема №1'!II26</f>
        <v>0-1,0</v>
      </c>
      <c r="BE68" s="380">
        <f>'Таблиця цін схема №1'!IJ26</f>
        <v>13</v>
      </c>
      <c r="BF68" s="47" t="str">
        <f>'Таблиця цін схема №1'!IM26</f>
        <v>PSM01</v>
      </c>
      <c r="BG68" s="380">
        <f>'Таблиця цін схема №1'!IN26</f>
        <v>5</v>
      </c>
      <c r="BH68" s="47" t="str">
        <f>'Таблиця цін схема №1'!IQ26</f>
        <v>A-10</v>
      </c>
      <c r="BI68" s="380">
        <f>'Таблиця цін схема №1'!IR26</f>
        <v>6</v>
      </c>
      <c r="BJ68" s="47" t="str">
        <f>'Таблиця цін схема №1'!IU26</f>
        <v>ТСП 1-5</v>
      </c>
      <c r="BK68" s="380">
        <f>'Таблиця цін схема №1'!IV26</f>
        <v>7</v>
      </c>
      <c r="BL68" s="47" t="str">
        <f>'Таблиця цін схема №1'!IY26</f>
        <v>ТСП 2-10Г</v>
      </c>
      <c r="BM68" s="380">
        <f>'Таблиця цін схема №1'!IZ26</f>
        <v>1</v>
      </c>
    </row>
    <row r="69" spans="1:65">
      <c r="A69" s="1115">
        <v>31</v>
      </c>
      <c r="B69" s="1125" t="s">
        <v>786</v>
      </c>
      <c r="C69" s="47">
        <f>'Таблиця цін схема №1'!ER27</f>
        <v>25</v>
      </c>
      <c r="D69" s="380">
        <f>'Таблиця цін схема №1'!ES27</f>
        <v>1</v>
      </c>
      <c r="E69" s="47">
        <f>'Таблиця цін схема №1'!EV27</f>
        <v>65</v>
      </c>
      <c r="F69" s="380">
        <f>'Таблиця цін схема №1'!EW27</f>
        <v>2</v>
      </c>
      <c r="G69" s="47">
        <f>'Таблиця цін схема №1'!EZ27</f>
        <v>65</v>
      </c>
      <c r="H69" s="380">
        <f>'Таблиця цін схема №1'!FA27</f>
        <v>1</v>
      </c>
      <c r="I69" s="47">
        <f>'Таблиця цін схема №1'!FD27</f>
        <v>40</v>
      </c>
      <c r="J69" s="380">
        <f>'Таблиця цін схема №1'!FE27</f>
        <v>1</v>
      </c>
      <c r="K69" s="47">
        <f>'Таблиця цін схема №1'!FH27</f>
        <v>25</v>
      </c>
      <c r="L69" s="380">
        <f>'Таблиця цін схема №1'!FI27</f>
        <v>1</v>
      </c>
      <c r="M69" s="47">
        <f>'Таблиця цін схема №1'!FL27</f>
        <v>65</v>
      </c>
      <c r="N69" s="380">
        <f>'Таблиця цін схема №1'!FM27</f>
        <v>2</v>
      </c>
      <c r="O69" s="47">
        <f>'Таблиця цін схема №1'!FP27</f>
        <v>65</v>
      </c>
      <c r="P69" s="380">
        <f>'Таблиця цін схема №1'!FQ27</f>
        <v>1</v>
      </c>
      <c r="Q69" s="47">
        <f>'Таблиця цін схема №1'!FT27</f>
        <v>40</v>
      </c>
      <c r="R69" s="380">
        <f>'Таблиця цін схема №1'!FU27</f>
        <v>1</v>
      </c>
      <c r="S69" s="1127">
        <f>'Таблиця цін схема №1'!FX27</f>
        <v>24.6482940586159</v>
      </c>
      <c r="T69" s="379">
        <f>'Таблиця цін схема №1'!FY27</f>
        <v>25</v>
      </c>
      <c r="U69" s="380">
        <f>'Таблиця цін схема №1'!FZ27</f>
        <v>2</v>
      </c>
      <c r="V69" s="1129">
        <f>'Таблиця цін схема №1'!GC27</f>
        <v>9.7912681912681911</v>
      </c>
      <c r="W69" s="379">
        <f>'Таблиця цін схема №1'!GD27</f>
        <v>9</v>
      </c>
      <c r="X69" s="379">
        <f>'Таблиця цін схема №1'!GE27</f>
        <v>9</v>
      </c>
      <c r="Y69" s="1144" t="str">
        <f>'Таблиця цін схема №1'!GF27</f>
        <v>Yonos MAXO 50/0,5-12 PN 6/10</v>
      </c>
      <c r="Z69" s="78">
        <f>'Таблиця цін схема №1'!GG27</f>
        <v>2</v>
      </c>
      <c r="AA69" s="1129">
        <f>'Таблиця цін схема №1'!GJ27</f>
        <v>2.7809330628803246</v>
      </c>
      <c r="AB69" s="379">
        <f>'Таблиця цін схема №1'!GK27</f>
        <v>9</v>
      </c>
      <c r="AC69" s="379">
        <f>'Таблиця цін схема №1'!GL27</f>
        <v>9</v>
      </c>
      <c r="AD69" s="1144" t="str">
        <f>'Таблиця цін схема №1'!GM27</f>
        <v>TOP-Z 25/10 3- PN 10</v>
      </c>
      <c r="AE69" s="380">
        <f>'Таблиця цін схема №1'!GN27</f>
        <v>1</v>
      </c>
      <c r="AF69" s="1127">
        <f>'Таблиця цін схема №1'!GQ27</f>
        <v>634.2814527322497</v>
      </c>
      <c r="AG69" s="379">
        <f>'Таблиця цін схема №1'!GR27</f>
        <v>750</v>
      </c>
      <c r="AH69" s="379">
        <f>'Таблиця цін схема №1'!GS27</f>
        <v>32</v>
      </c>
      <c r="AI69" s="380">
        <f>'Таблиця цін схема №1'!GT27</f>
        <v>1</v>
      </c>
      <c r="AJ69" s="47">
        <f>'Таблиця цін схема №1'!GW27</f>
        <v>22.36</v>
      </c>
      <c r="AK69" s="379">
        <f>'Таблиця цін схема №1'!GX27</f>
        <v>40</v>
      </c>
      <c r="AL69" s="517" t="s">
        <v>115</v>
      </c>
      <c r="AM69" s="47">
        <f>'Таблиця цін схема №1'!HB27</f>
        <v>15</v>
      </c>
      <c r="AN69" s="380">
        <f>'Таблиця цін схема №1'!HC27</f>
        <v>2</v>
      </c>
      <c r="AO69" s="47">
        <f>'Таблиця цін схема №1'!HF27</f>
        <v>25</v>
      </c>
      <c r="AP69" s="78">
        <f>'Таблиця цін схема №1'!HG27</f>
        <v>1</v>
      </c>
      <c r="AQ69" s="47">
        <f>'Таблиця цін схема №1'!HJ27</f>
        <v>40</v>
      </c>
      <c r="AR69" s="379">
        <f>'Таблиця цін схема №1'!HK27</f>
        <v>15</v>
      </c>
      <c r="AS69" s="380">
        <f>'Таблиця цін схема №1'!HL27</f>
        <v>1</v>
      </c>
      <c r="AT69" s="47">
        <f>'Таблиця цін схема №1'!HO27</f>
        <v>65</v>
      </c>
      <c r="AU69" s="380">
        <f>'Таблиця цін схема №1'!HP27</f>
        <v>1</v>
      </c>
      <c r="AV69" s="47">
        <f>'Таблиця цін схема №1'!HS27</f>
        <v>25</v>
      </c>
      <c r="AW69" s="380">
        <f>'Таблиця цін схема №1'!HT27</f>
        <v>1</v>
      </c>
      <c r="AX69" s="47" t="str">
        <f>'Таблиця цін схема №1'!HW27</f>
        <v>0-150</v>
      </c>
      <c r="AY69" s="380">
        <f>'Таблиця цін схема №1'!HX27</f>
        <v>1</v>
      </c>
      <c r="AZ69" s="47" t="str">
        <f>'Таблиця цін схема №1'!IA27</f>
        <v>0-120</v>
      </c>
      <c r="BA69" s="380">
        <f>'Таблиця цін схема №1'!IB27</f>
        <v>5</v>
      </c>
      <c r="BB69" s="47" t="str">
        <f>'Таблиця цін схема №1'!IE27</f>
        <v>0-1,6</v>
      </c>
      <c r="BC69" s="380">
        <f>'Таблиця цін схема №1'!IF27</f>
        <v>5</v>
      </c>
      <c r="BD69" s="47" t="str">
        <f>'Таблиця цін схема №1'!II27</f>
        <v>0-1,0</v>
      </c>
      <c r="BE69" s="380">
        <f>'Таблиця цін схема №1'!IJ27</f>
        <v>11</v>
      </c>
      <c r="BF69" s="47" t="str">
        <f>'Таблиця цін схема №1'!IM27</f>
        <v>PSM01</v>
      </c>
      <c r="BG69" s="380">
        <f>'Таблиця цін схема №1'!IN27</f>
        <v>5</v>
      </c>
      <c r="BH69" s="47" t="str">
        <f>'Таблиця цін схема №1'!IQ27</f>
        <v>A-10</v>
      </c>
      <c r="BI69" s="380">
        <f>'Таблиця цін схема №1'!IR27</f>
        <v>6</v>
      </c>
      <c r="BJ69" s="47" t="str">
        <f>'Таблиця цін схема №1'!IU27</f>
        <v>ТСП 1-5</v>
      </c>
      <c r="BK69" s="380">
        <f>'Таблиця цін схема №1'!IV27</f>
        <v>7</v>
      </c>
      <c r="BL69" s="47" t="str">
        <f>'Таблиця цін схема №1'!IY27</f>
        <v>ТСП 2-10Г</v>
      </c>
      <c r="BM69" s="380">
        <f>'Таблиця цін схема №1'!IZ27</f>
        <v>1</v>
      </c>
    </row>
    <row r="70" spans="1:65">
      <c r="A70" s="1115">
        <v>75</v>
      </c>
      <c r="B70" s="1125" t="s">
        <v>787</v>
      </c>
      <c r="C70" s="47">
        <f>'Таблиця цін схема №1'!ER28</f>
        <v>20</v>
      </c>
      <c r="D70" s="380">
        <f>'Таблиця цін схема №1'!ES28</f>
        <v>1</v>
      </c>
      <c r="E70" s="47">
        <f>'Таблиця цін схема №1'!EV28</f>
        <v>65</v>
      </c>
      <c r="F70" s="380">
        <f>'Таблиця цін схема №1'!EW28</f>
        <v>2</v>
      </c>
      <c r="G70" s="47">
        <f>'Таблиця цін схема №1'!EZ28</f>
        <v>32</v>
      </c>
      <c r="H70" s="380">
        <f>'Таблиця цін схема №1'!FA28</f>
        <v>1</v>
      </c>
      <c r="I70" s="47">
        <f>'Таблиця цін схема №1'!FD28</f>
        <v>20</v>
      </c>
      <c r="J70" s="380">
        <f>'Таблиця цін схема №1'!FE28</f>
        <v>1</v>
      </c>
      <c r="K70" s="47">
        <f>'Таблиця цін схема №1'!FH28</f>
        <v>20</v>
      </c>
      <c r="L70" s="380">
        <f>'Таблиця цін схема №1'!FI28</f>
        <v>1</v>
      </c>
      <c r="M70" s="47">
        <f>'Таблиця цін схема №1'!FL28</f>
        <v>25</v>
      </c>
      <c r="N70" s="380">
        <f>'Таблиця цін схема №1'!FM28</f>
        <v>8</v>
      </c>
      <c r="O70" s="47">
        <f>'Таблиця цін схема №1'!FP28</f>
        <v>32</v>
      </c>
      <c r="P70" s="380">
        <f>'Таблиця цін схема №1'!FQ28</f>
        <v>1</v>
      </c>
      <c r="Q70" s="47">
        <f>'Таблиця цін схема №1'!FT28</f>
        <v>20</v>
      </c>
      <c r="R70" s="380">
        <f>'Таблиця цін схема №1'!FU28</f>
        <v>1</v>
      </c>
      <c r="S70" s="1127">
        <f>'Таблиця цін схема №1'!FX28</f>
        <v>21.246100818738483</v>
      </c>
      <c r="T70" s="379">
        <f>'Таблиця цін схема №1'!FY28</f>
        <v>25</v>
      </c>
      <c r="U70" s="380">
        <f>'Таблиця цін схема №1'!FZ28</f>
        <v>2</v>
      </c>
      <c r="V70" s="1129">
        <f>'Таблиця цін схема №1'!GC28</f>
        <v>7.2748440748440748</v>
      </c>
      <c r="W70" s="379">
        <f>'Таблиця цін схема №1'!GD28</f>
        <v>3</v>
      </c>
      <c r="X70" s="379">
        <f>'Таблиця цін схема №1'!GE28</f>
        <v>6</v>
      </c>
      <c r="Y70" s="1144" t="str">
        <f>'Таблиця цін схема №1'!GF28</f>
        <v>Yonos MAXO 40/0,5-12 PN 6/10</v>
      </c>
      <c r="Z70" s="78">
        <f>'Таблиця цін схема №1'!GG28</f>
        <v>2</v>
      </c>
      <c r="AA70" s="1129">
        <f>'Таблиця цін схема №1'!GJ28</f>
        <v>0.52576064908722109</v>
      </c>
      <c r="AB70" s="379">
        <f>'Таблиця цін схема №1'!GK28</f>
        <v>3</v>
      </c>
      <c r="AC70" s="379">
        <f>'Таблиця цін схема №1'!GL28</f>
        <v>6</v>
      </c>
      <c r="AD70" s="1144" t="str">
        <f>'Таблиця цін схема №1'!GM28</f>
        <v>Star-Z 20/7 3- PN 10</v>
      </c>
      <c r="AE70" s="380">
        <f>'Таблиця цін схема №1'!GN28</f>
        <v>1</v>
      </c>
      <c r="AF70" s="1127">
        <f>'Таблиця цін схема №1'!GQ28</f>
        <v>288.3639534751652</v>
      </c>
      <c r="AG70" s="379">
        <f>'Таблиця цін схема №1'!GR28</f>
        <v>300</v>
      </c>
      <c r="AH70" s="379">
        <f>'Таблиця цін схема №1'!GS28</f>
        <v>32</v>
      </c>
      <c r="AI70" s="380">
        <f>'Таблиця цін схема №1'!GT28</f>
        <v>1</v>
      </c>
      <c r="AJ70" s="47">
        <f>'Таблиця цін схема №1'!GW28</f>
        <v>3.25</v>
      </c>
      <c r="AK70" s="379">
        <f>'Таблиця цін схема №1'!GX28</f>
        <v>20</v>
      </c>
      <c r="AL70" s="380">
        <f>'Таблиця цін схема №1'!GY28</f>
        <v>4</v>
      </c>
      <c r="AM70" s="47">
        <f>'Таблиця цін схема №1'!HB28</f>
        <v>15</v>
      </c>
      <c r="AN70" s="380">
        <f>'Таблиця цін схема №1'!HC28</f>
        <v>2</v>
      </c>
      <c r="AO70" s="47">
        <f>'Таблиця цін схема №1'!HF28</f>
        <v>20</v>
      </c>
      <c r="AP70" s="78">
        <f>'Таблиця цін схема №1'!HG28</f>
        <v>1</v>
      </c>
      <c r="AQ70" s="47">
        <f>'Таблиця цін схема №1'!HJ28</f>
        <v>20</v>
      </c>
      <c r="AR70" s="379">
        <f>'Таблиця цін схема №1'!HK28</f>
        <v>2.5</v>
      </c>
      <c r="AS70" s="380">
        <f>'Таблиця цін схема №1'!HL28</f>
        <v>1</v>
      </c>
      <c r="AT70" s="47">
        <f>'Таблиця цін схема №1'!HO28</f>
        <v>32</v>
      </c>
      <c r="AU70" s="380">
        <f>'Таблиця цін схема №1'!HP28</f>
        <v>1</v>
      </c>
      <c r="AV70" s="47">
        <f>'Таблиця цін схема №1'!HS28</f>
        <v>20</v>
      </c>
      <c r="AW70" s="380">
        <f>'Таблиця цін схема №1'!HT28</f>
        <v>1</v>
      </c>
      <c r="AX70" s="47" t="str">
        <f>'Таблиця цін схема №1'!HW28</f>
        <v>0-150</v>
      </c>
      <c r="AY70" s="380">
        <f>'Таблиця цін схема №1'!HX28</f>
        <v>1</v>
      </c>
      <c r="AZ70" s="47" t="str">
        <f>'Таблиця цін схема №1'!IA28</f>
        <v>0-120</v>
      </c>
      <c r="BA70" s="380">
        <f>'Таблиця цін схема №1'!IB28</f>
        <v>1</v>
      </c>
      <c r="BB70" s="47" t="str">
        <f>'Таблиця цін схема №1'!IE28</f>
        <v>0-1,6</v>
      </c>
      <c r="BC70" s="380">
        <f>'Таблиця цін схема №1'!IF28</f>
        <v>3</v>
      </c>
      <c r="BD70" s="47" t="str">
        <f>'Таблиця цін схема №1'!II28</f>
        <v>0-1,0</v>
      </c>
      <c r="BE70" s="380">
        <f>'Таблиця цін схема №1'!IJ28</f>
        <v>15</v>
      </c>
      <c r="BF70" s="47" t="str">
        <f>'Таблиця цін схема №1'!IM28</f>
        <v>PSM01</v>
      </c>
      <c r="BG70" s="380">
        <f>'Таблиця цін схема №1'!IN28</f>
        <v>5</v>
      </c>
      <c r="BH70" s="47" t="str">
        <f>'Таблиця цін схема №1'!IQ28</f>
        <v>A-10</v>
      </c>
      <c r="BI70" s="380">
        <f>'Таблиця цін схема №1'!IR28</f>
        <v>6</v>
      </c>
      <c r="BJ70" s="47" t="str">
        <f>'Таблиця цін схема №1'!IU28</f>
        <v>ТСП 1-5</v>
      </c>
      <c r="BK70" s="380">
        <f>'Таблиця цін схема №1'!IV28</f>
        <v>7</v>
      </c>
      <c r="BL70" s="47" t="str">
        <f>'Таблиця цін схема №1'!IY28</f>
        <v>ТСП 2-10Г</v>
      </c>
      <c r="BM70" s="380">
        <f>'Таблиця цін схема №1'!IZ28</f>
        <v>1</v>
      </c>
    </row>
    <row r="71" spans="1:65">
      <c r="A71" s="1115">
        <v>76</v>
      </c>
      <c r="B71" s="1125" t="s">
        <v>788</v>
      </c>
      <c r="C71" s="47">
        <f>'Таблиця цін схема №1'!ER29</f>
        <v>25</v>
      </c>
      <c r="D71" s="380">
        <f>'Таблиця цін схема №1'!ES29</f>
        <v>1</v>
      </c>
      <c r="E71" s="47">
        <f>'Таблиця цін схема №1'!EV29</f>
        <v>65</v>
      </c>
      <c r="F71" s="380">
        <f>'Таблиця цін схема №1'!EW29</f>
        <v>2</v>
      </c>
      <c r="G71" s="47">
        <f>'Таблиця цін схема №1'!EZ29</f>
        <v>40</v>
      </c>
      <c r="H71" s="380">
        <f>'Таблиця цін схема №1'!FA29</f>
        <v>1</v>
      </c>
      <c r="I71" s="47">
        <f>'Таблиця цін схема №1'!FD29</f>
        <v>25</v>
      </c>
      <c r="J71" s="380">
        <f>'Таблиця цін схема №1'!FE29</f>
        <v>1</v>
      </c>
      <c r="K71" s="47">
        <f>'Таблиця цін схема №1'!FH29</f>
        <v>25</v>
      </c>
      <c r="L71" s="380">
        <f>'Таблиця цін схема №1'!FI29</f>
        <v>1</v>
      </c>
      <c r="M71" s="47">
        <f>'Таблиця цін схема №1'!FL29</f>
        <v>50</v>
      </c>
      <c r="N71" s="380">
        <f>'Таблиця цін схема №1'!FM29</f>
        <v>4</v>
      </c>
      <c r="O71" s="47">
        <f>'Таблиця цін схема №1'!FP29</f>
        <v>40</v>
      </c>
      <c r="P71" s="380">
        <f>'Таблиця цін схема №1'!FQ29</f>
        <v>1</v>
      </c>
      <c r="Q71" s="47">
        <f>'Таблиця цін схема №1'!FT29</f>
        <v>25</v>
      </c>
      <c r="R71" s="380">
        <f>'Таблиця цін схема №1'!FU29</f>
        <v>1</v>
      </c>
      <c r="S71" s="1127">
        <f>'Таблиця цін схема №1'!FX29</f>
        <v>25.63144943228923</v>
      </c>
      <c r="T71" s="379">
        <f>'Таблиця цін схема №1'!FY29</f>
        <v>25</v>
      </c>
      <c r="U71" s="380">
        <f>'Таблиця цін схема №1'!FZ29</f>
        <v>2</v>
      </c>
      <c r="V71" s="1129">
        <f>'Таблиця цін схема №1'!GC29</f>
        <v>10.587941787941787</v>
      </c>
      <c r="W71" s="379">
        <f>'Таблиця цін схема №1'!GD29</f>
        <v>9</v>
      </c>
      <c r="X71" s="379">
        <f>'Таблиця цін схема №1'!GE29</f>
        <v>9</v>
      </c>
      <c r="Y71" s="1144" t="str">
        <f>'Таблиця цін схема №1'!GF29</f>
        <v>Yonos MAXO 50/0,5-12 PN 6/10</v>
      </c>
      <c r="Z71" s="78">
        <f>'Таблиця цін схема №1'!GG29</f>
        <v>2</v>
      </c>
      <c r="AA71" s="1129">
        <f>'Таблиця цін схема №1'!GJ29</f>
        <v>1.4726166328600405</v>
      </c>
      <c r="AB71" s="379">
        <f>'Таблиця цін схема №1'!GK29</f>
        <v>9</v>
      </c>
      <c r="AC71" s="379">
        <f>'Таблиця цін схема №1'!GL29</f>
        <v>9</v>
      </c>
      <c r="AD71" s="1144" t="str">
        <f>'Таблиця цін схема №1'!GM29</f>
        <v>TOP-Z 25/10 3- PN 10</v>
      </c>
      <c r="AE71" s="380">
        <f>'Таблиця цін схема №1'!GN29</f>
        <v>1</v>
      </c>
      <c r="AF71" s="1127">
        <f>'Таблиця цін схема №1'!GQ29</f>
        <v>528.5678772768747</v>
      </c>
      <c r="AG71" s="379">
        <f>'Таблиця цін схема №1'!GR29</f>
        <v>500</v>
      </c>
      <c r="AH71" s="379">
        <f>'Таблиця цін схема №1'!GS29</f>
        <v>32</v>
      </c>
      <c r="AI71" s="380">
        <f>'Таблиця цін схема №1'!GT29</f>
        <v>1</v>
      </c>
      <c r="AJ71" s="47">
        <f>'Таблиця цін схема №1'!GW29</f>
        <v>11.13</v>
      </c>
      <c r="AK71" s="379">
        <f>'Таблиця цін схема №1'!GX29</f>
        <v>32</v>
      </c>
      <c r="AL71" s="380">
        <f>'Таблиця цін схема №1'!GY29</f>
        <v>2</v>
      </c>
      <c r="AM71" s="47">
        <f>'Таблиця цін схема №1'!HB29</f>
        <v>15</v>
      </c>
      <c r="AN71" s="380">
        <f>'Таблиця цін схема №1'!HC29</f>
        <v>2</v>
      </c>
      <c r="AO71" s="47">
        <f>'Таблиця цін схема №1'!HF29</f>
        <v>25</v>
      </c>
      <c r="AP71" s="78">
        <f>'Таблиця цін схема №1'!HG29</f>
        <v>1</v>
      </c>
      <c r="AQ71" s="47">
        <f>'Таблиця цін схема №1'!HJ29</f>
        <v>32</v>
      </c>
      <c r="AR71" s="379">
        <f>'Таблиця цін схема №1'!HK29</f>
        <v>6</v>
      </c>
      <c r="AS71" s="380">
        <f>'Таблиця цін схема №1'!HL29</f>
        <v>1</v>
      </c>
      <c r="AT71" s="47">
        <f>'Таблиця цін схема №1'!HO29</f>
        <v>40</v>
      </c>
      <c r="AU71" s="380">
        <f>'Таблиця цін схема №1'!HP29</f>
        <v>1</v>
      </c>
      <c r="AV71" s="47">
        <f>'Таблиця цін схема №1'!HS29</f>
        <v>25</v>
      </c>
      <c r="AW71" s="380">
        <f>'Таблиця цін схема №1'!HT29</f>
        <v>1</v>
      </c>
      <c r="AX71" s="47" t="str">
        <f>'Таблиця цін схема №1'!HW29</f>
        <v>0-150</v>
      </c>
      <c r="AY71" s="380">
        <f>'Таблиця цін схема №1'!HX29</f>
        <v>1</v>
      </c>
      <c r="AZ71" s="47" t="str">
        <f>'Таблиця цін схема №1'!IA29</f>
        <v>0-120</v>
      </c>
      <c r="BA71" s="380">
        <f>'Таблиця цін схема №1'!IB29</f>
        <v>1</v>
      </c>
      <c r="BB71" s="47" t="str">
        <f>'Таблиця цін схема №1'!IE29</f>
        <v>0-1,6</v>
      </c>
      <c r="BC71" s="380">
        <f>'Таблиця цін схема №1'!IF29</f>
        <v>3</v>
      </c>
      <c r="BD71" s="47" t="str">
        <f>'Таблиця цін схема №1'!II29</f>
        <v>0-1,0</v>
      </c>
      <c r="BE71" s="380">
        <f>'Таблиця цін схема №1'!IJ29</f>
        <v>13</v>
      </c>
      <c r="BF71" s="47" t="str">
        <f>'Таблиця цін схема №1'!IM29</f>
        <v>PSM01</v>
      </c>
      <c r="BG71" s="380">
        <f>'Таблиця цін схема №1'!IN29</f>
        <v>5</v>
      </c>
      <c r="BH71" s="47" t="str">
        <f>'Таблиця цін схема №1'!IQ29</f>
        <v>A-10</v>
      </c>
      <c r="BI71" s="380">
        <f>'Таблиця цін схема №1'!IR29</f>
        <v>6</v>
      </c>
      <c r="BJ71" s="47" t="str">
        <f>'Таблиця цін схема №1'!IU29</f>
        <v>ТСП 1-5</v>
      </c>
      <c r="BK71" s="380">
        <f>'Таблиця цін схема №1'!IV29</f>
        <v>7</v>
      </c>
      <c r="BL71" s="47" t="str">
        <f>'Таблиця цін схема №1'!IY29</f>
        <v>ТСП 2-10Г</v>
      </c>
      <c r="BM71" s="380">
        <f>'Таблиця цін схема №1'!IZ29</f>
        <v>1</v>
      </c>
    </row>
    <row r="72" spans="1:65">
      <c r="A72" s="1115">
        <v>77</v>
      </c>
      <c r="B72" s="1125" t="s">
        <v>789</v>
      </c>
      <c r="C72" s="47">
        <f>'Таблиця цін схема №1'!ER30</f>
        <v>25</v>
      </c>
      <c r="D72" s="380">
        <f>'Таблиця цін схема №1'!ES30</f>
        <v>1</v>
      </c>
      <c r="E72" s="47">
        <f>'Таблиця цін схема №1'!EV30</f>
        <v>65</v>
      </c>
      <c r="F72" s="380">
        <f>'Таблиця цін схема №1'!EW30</f>
        <v>2</v>
      </c>
      <c r="G72" s="47">
        <f>'Таблиця цін схема №1'!EZ30</f>
        <v>40</v>
      </c>
      <c r="H72" s="380">
        <f>'Таблиця цін схема №1'!FA30</f>
        <v>1</v>
      </c>
      <c r="I72" s="47">
        <f>'Таблиця цін схема №1'!FD30</f>
        <v>25</v>
      </c>
      <c r="J72" s="380">
        <f>'Таблиця цін схема №1'!FE30</f>
        <v>1</v>
      </c>
      <c r="K72" s="47">
        <f>'Таблиця цін схема №1'!FH30</f>
        <v>25</v>
      </c>
      <c r="L72" s="380">
        <f>'Таблиця цін схема №1'!FI30</f>
        <v>1</v>
      </c>
      <c r="M72" s="47">
        <f>'Таблиця цін схема №1'!FL30</f>
        <v>50</v>
      </c>
      <c r="N72" s="380">
        <f>'Таблиця цін схема №1'!FM30</f>
        <v>4</v>
      </c>
      <c r="O72" s="47">
        <f>'Таблиця цін схема №1'!FP30</f>
        <v>40</v>
      </c>
      <c r="P72" s="380">
        <f>'Таблиця цін схема №1'!FQ30</f>
        <v>1</v>
      </c>
      <c r="Q72" s="47">
        <f>'Таблиця цін схема №1'!FT30</f>
        <v>25</v>
      </c>
      <c r="R72" s="380">
        <f>'Таблиця цін схема №1'!FU30</f>
        <v>1</v>
      </c>
      <c r="S72" s="1127">
        <f>'Таблиця цін схема №1'!FX30</f>
        <v>27.027785702865117</v>
      </c>
      <c r="T72" s="379">
        <f>'Таблиця цін схема №1'!FY30</f>
        <v>32</v>
      </c>
      <c r="U72" s="380">
        <f>'Таблиця цін схема №1'!FZ30</f>
        <v>2</v>
      </c>
      <c r="V72" s="1129">
        <f>'Таблиця цін схема №1'!GC30</f>
        <v>11.772972972972973</v>
      </c>
      <c r="W72" s="379">
        <f>'Таблиця цін схема №1'!GD30</f>
        <v>9</v>
      </c>
      <c r="X72" s="379">
        <f>'Таблиця цін схема №1'!GE30</f>
        <v>9</v>
      </c>
      <c r="Y72" s="1144" t="str">
        <f>'Таблиця цін схема №1'!GF30</f>
        <v>Yonos MAXO 50/0,5-12 PN 6/10</v>
      </c>
      <c r="Z72" s="78">
        <f>'Таблиця цін схема №1'!GG30</f>
        <v>2</v>
      </c>
      <c r="AA72" s="1129">
        <f>'Таблиця цін схема №1'!GJ30</f>
        <v>1.4726166328600405</v>
      </c>
      <c r="AB72" s="379">
        <f>'Таблиця цін схема №1'!GK30</f>
        <v>9</v>
      </c>
      <c r="AC72" s="379">
        <f>'Таблиця цін схема №1'!GL30</f>
        <v>9</v>
      </c>
      <c r="AD72" s="1144" t="str">
        <f>'Таблиця цін схема №1'!GM30</f>
        <v>TOP-Z 25/10 3- PN 10</v>
      </c>
      <c r="AE72" s="380">
        <f>'Таблиця цін схема №1'!GN30</f>
        <v>1</v>
      </c>
      <c r="AF72" s="1127">
        <f>'Таблиця цін схема №1'!GQ30</f>
        <v>591.99602255009972</v>
      </c>
      <c r="AG72" s="379">
        <f>'Таблиця цін схема №1'!GR30</f>
        <v>750</v>
      </c>
      <c r="AH72" s="379">
        <f>'Таблиця цін схема №1'!GS30</f>
        <v>32</v>
      </c>
      <c r="AI72" s="380">
        <f>'Таблиця цін схема №1'!GT30</f>
        <v>1</v>
      </c>
      <c r="AJ72" s="47">
        <f>'Таблиця цін схема №1'!GW30</f>
        <v>11.13</v>
      </c>
      <c r="AK72" s="379">
        <f>'Таблиця цін схема №1'!GX30</f>
        <v>32</v>
      </c>
      <c r="AL72" s="380">
        <f>'Таблиця цін схема №1'!GY30</f>
        <v>2</v>
      </c>
      <c r="AM72" s="47">
        <f>'Таблиця цін схема №1'!HB30</f>
        <v>15</v>
      </c>
      <c r="AN72" s="380">
        <f>'Таблиця цін схема №1'!HC30</f>
        <v>2</v>
      </c>
      <c r="AO72" s="47">
        <f>'Таблиця цін схема №1'!HF30</f>
        <v>25</v>
      </c>
      <c r="AP72" s="78">
        <f>'Таблиця цін схема №1'!HG30</f>
        <v>1</v>
      </c>
      <c r="AQ72" s="47">
        <f>'Таблиця цін схема №1'!HJ30</f>
        <v>32</v>
      </c>
      <c r="AR72" s="379">
        <f>'Таблиця цін схема №1'!HK30</f>
        <v>6</v>
      </c>
      <c r="AS72" s="380">
        <f>'Таблиця цін схема №1'!HL30</f>
        <v>1</v>
      </c>
      <c r="AT72" s="47">
        <f>'Таблиця цін схема №1'!HO30</f>
        <v>40</v>
      </c>
      <c r="AU72" s="380">
        <f>'Таблиця цін схема №1'!HP30</f>
        <v>1</v>
      </c>
      <c r="AV72" s="47">
        <f>'Таблиця цін схема №1'!HS30</f>
        <v>25</v>
      </c>
      <c r="AW72" s="380">
        <f>'Таблиця цін схема №1'!HT30</f>
        <v>1</v>
      </c>
      <c r="AX72" s="47" t="str">
        <f>'Таблиця цін схема №1'!HW30</f>
        <v>0-150</v>
      </c>
      <c r="AY72" s="380">
        <f>'Таблиця цін схема №1'!HX30</f>
        <v>1</v>
      </c>
      <c r="AZ72" s="47" t="str">
        <f>'Таблиця цін схема №1'!IA30</f>
        <v>0-120</v>
      </c>
      <c r="BA72" s="380">
        <f>'Таблиця цін схема №1'!IB30</f>
        <v>1</v>
      </c>
      <c r="BB72" s="47" t="str">
        <f>'Таблиця цін схема №1'!IE30</f>
        <v>0-1,6</v>
      </c>
      <c r="BC72" s="380">
        <f>'Таблиця цін схема №1'!IF30</f>
        <v>3</v>
      </c>
      <c r="BD72" s="47" t="str">
        <f>'Таблиця цін схема №1'!II30</f>
        <v>0-1,0</v>
      </c>
      <c r="BE72" s="380">
        <f>'Таблиця цін схема №1'!IJ30</f>
        <v>13</v>
      </c>
      <c r="BF72" s="47" t="str">
        <f>'Таблиця цін схема №1'!IM30</f>
        <v>PSM01</v>
      </c>
      <c r="BG72" s="380">
        <f>'Таблиця цін схема №1'!IN30</f>
        <v>5</v>
      </c>
      <c r="BH72" s="47" t="str">
        <f>'Таблиця цін схема №1'!IQ30</f>
        <v>A-10</v>
      </c>
      <c r="BI72" s="380">
        <f>'Таблиця цін схема №1'!IR30</f>
        <v>6</v>
      </c>
      <c r="BJ72" s="47" t="str">
        <f>'Таблиця цін схема №1'!IU30</f>
        <v>ТСП 1-5</v>
      </c>
      <c r="BK72" s="380">
        <f>'Таблиця цін схема №1'!IV30</f>
        <v>7</v>
      </c>
      <c r="BL72" s="47" t="str">
        <f>'Таблиця цін схема №1'!IY30</f>
        <v>ТСП 2-10Г</v>
      </c>
      <c r="BM72" s="380">
        <f>'Таблиця цін схема №1'!IZ30</f>
        <v>1</v>
      </c>
    </row>
    <row r="73" spans="1:65">
      <c r="A73" s="1115">
        <v>78</v>
      </c>
      <c r="B73" s="1125" t="s">
        <v>790</v>
      </c>
      <c r="C73" s="47">
        <f>'Таблиця цін схема №1'!ER31</f>
        <v>25</v>
      </c>
      <c r="D73" s="380">
        <f>'Таблиця цін схема №1'!ES31</f>
        <v>1</v>
      </c>
      <c r="E73" s="47">
        <f>'Таблиця цін схема №1'!EV31</f>
        <v>65</v>
      </c>
      <c r="F73" s="380">
        <f>'Таблиця цін схема №1'!EW31</f>
        <v>2</v>
      </c>
      <c r="G73" s="47">
        <f>'Таблиця цін схема №1'!EZ31</f>
        <v>40</v>
      </c>
      <c r="H73" s="380">
        <f>'Таблиця цін схема №1'!FA31</f>
        <v>1</v>
      </c>
      <c r="I73" s="47">
        <f>'Таблиця цін схема №1'!FD31</f>
        <v>25</v>
      </c>
      <c r="J73" s="380">
        <f>'Таблиця цін схема №1'!FE31</f>
        <v>1</v>
      </c>
      <c r="K73" s="47">
        <f>'Таблиця цін схема №1'!FH31</f>
        <v>25</v>
      </c>
      <c r="L73" s="380">
        <f>'Таблиця цін схема №1'!FI31</f>
        <v>1</v>
      </c>
      <c r="M73" s="47">
        <f>'Таблиця цін схема №1'!FL31</f>
        <v>50</v>
      </c>
      <c r="N73" s="380">
        <f>'Таблиця цін схема №1'!FM31</f>
        <v>4</v>
      </c>
      <c r="O73" s="47">
        <f>'Таблиця цін схема №1'!FP31</f>
        <v>40</v>
      </c>
      <c r="P73" s="380">
        <f>'Таблиця цін схема №1'!FQ31</f>
        <v>1</v>
      </c>
      <c r="Q73" s="47">
        <f>'Таблиця цін схема №1'!FT31</f>
        <v>25</v>
      </c>
      <c r="R73" s="380">
        <f>'Таблиця цін схема №1'!FU31</f>
        <v>1</v>
      </c>
      <c r="S73" s="1127">
        <f>'Таблиця цін схема №1'!FX31</f>
        <v>26.73553814681874</v>
      </c>
      <c r="T73" s="379">
        <f>'Таблиця цін схема №1'!FY31</f>
        <v>32</v>
      </c>
      <c r="U73" s="380">
        <f>'Таблиця цін схема №1'!FZ31</f>
        <v>2</v>
      </c>
      <c r="V73" s="1129">
        <f>'Таблиця цін схема №1'!GC31</f>
        <v>11.51975051975052</v>
      </c>
      <c r="W73" s="379">
        <f>'Таблиця цін схема №1'!GD31</f>
        <v>9</v>
      </c>
      <c r="X73" s="379">
        <f>'Таблиця цін схема №1'!GE31</f>
        <v>9</v>
      </c>
      <c r="Y73" s="1144" t="str">
        <f>'Таблиця цін схема №1'!GF31</f>
        <v>Yonos MAXO 50/0,5-12 PN 6/10</v>
      </c>
      <c r="Z73" s="78">
        <f>'Таблиця цін схема №1'!GG31</f>
        <v>2</v>
      </c>
      <c r="AA73" s="1129">
        <f>'Таблиця цін схема №1'!GJ31</f>
        <v>1.4726166328600405</v>
      </c>
      <c r="AB73" s="379">
        <f>'Таблиця цін схема №1'!GK31</f>
        <v>9</v>
      </c>
      <c r="AC73" s="379">
        <f>'Таблиця цін схема №1'!GL31</f>
        <v>9</v>
      </c>
      <c r="AD73" s="1144" t="str">
        <f>'Таблиця цін схема №1'!GM31</f>
        <v>TOP-Z 25/10 3- PN 10</v>
      </c>
      <c r="AE73" s="380">
        <f>'Таблиця цін схема №1'!GN31</f>
        <v>1</v>
      </c>
      <c r="AF73" s="1127">
        <f>'Таблиця цін схема №1'!GQ31</f>
        <v>581.42466500456214</v>
      </c>
      <c r="AG73" s="379">
        <f>'Таблиця цін схема №1'!GR31</f>
        <v>750</v>
      </c>
      <c r="AH73" s="379">
        <f>'Таблиця цін схема №1'!GS31</f>
        <v>32</v>
      </c>
      <c r="AI73" s="380">
        <f>'Таблиця цін схема №1'!GT31</f>
        <v>1</v>
      </c>
      <c r="AJ73" s="47">
        <f>'Таблиця цін схема №1'!GW31</f>
        <v>11.13</v>
      </c>
      <c r="AK73" s="379">
        <f>'Таблиця цін схема №1'!GX31</f>
        <v>32</v>
      </c>
      <c r="AL73" s="380">
        <f>'Таблиця цін схема №1'!GY31</f>
        <v>2</v>
      </c>
      <c r="AM73" s="47">
        <f>'Таблиця цін схема №1'!HB31</f>
        <v>15</v>
      </c>
      <c r="AN73" s="380">
        <f>'Таблиця цін схема №1'!HC31</f>
        <v>2</v>
      </c>
      <c r="AO73" s="47">
        <f>'Таблиця цін схема №1'!HF31</f>
        <v>25</v>
      </c>
      <c r="AP73" s="78">
        <f>'Таблиця цін схема №1'!HG31</f>
        <v>1</v>
      </c>
      <c r="AQ73" s="47">
        <f>'Таблиця цін схема №1'!HJ31</f>
        <v>32</v>
      </c>
      <c r="AR73" s="379">
        <f>'Таблиця цін схема №1'!HK31</f>
        <v>6</v>
      </c>
      <c r="AS73" s="380">
        <f>'Таблиця цін схема №1'!HL31</f>
        <v>1</v>
      </c>
      <c r="AT73" s="47">
        <f>'Таблиця цін схема №1'!HO31</f>
        <v>40</v>
      </c>
      <c r="AU73" s="380">
        <f>'Таблиця цін схема №1'!HP31</f>
        <v>1</v>
      </c>
      <c r="AV73" s="47">
        <f>'Таблиця цін схема №1'!HS31</f>
        <v>25</v>
      </c>
      <c r="AW73" s="380">
        <f>'Таблиця цін схема №1'!HT31</f>
        <v>1</v>
      </c>
      <c r="AX73" s="47" t="str">
        <f>'Таблиця цін схема №1'!HW31</f>
        <v>0-150</v>
      </c>
      <c r="AY73" s="380">
        <f>'Таблиця цін схема №1'!HX31</f>
        <v>1</v>
      </c>
      <c r="AZ73" s="47" t="str">
        <f>'Таблиця цін схема №1'!IA31</f>
        <v>0-120</v>
      </c>
      <c r="BA73" s="380">
        <f>'Таблиця цін схема №1'!IB31</f>
        <v>1</v>
      </c>
      <c r="BB73" s="47" t="str">
        <f>'Таблиця цін схема №1'!IE31</f>
        <v>0-1,6</v>
      </c>
      <c r="BC73" s="380">
        <f>'Таблиця цін схема №1'!IF31</f>
        <v>3</v>
      </c>
      <c r="BD73" s="47" t="str">
        <f>'Таблиця цін схема №1'!II31</f>
        <v>0-1,0</v>
      </c>
      <c r="BE73" s="380">
        <f>'Таблиця цін схема №1'!IJ31</f>
        <v>13</v>
      </c>
      <c r="BF73" s="47" t="str">
        <f>'Таблиця цін схема №1'!IM31</f>
        <v>PSM01</v>
      </c>
      <c r="BG73" s="380">
        <f>'Таблиця цін схема №1'!IN31</f>
        <v>5</v>
      </c>
      <c r="BH73" s="47" t="str">
        <f>'Таблиця цін схема №1'!IQ31</f>
        <v>A-10</v>
      </c>
      <c r="BI73" s="380">
        <f>'Таблиця цін схема №1'!IR31</f>
        <v>6</v>
      </c>
      <c r="BJ73" s="47" t="str">
        <f>'Таблиця цін схема №1'!IU31</f>
        <v>ТСП 1-5</v>
      </c>
      <c r="BK73" s="380">
        <f>'Таблиця цін схема №1'!IV31</f>
        <v>7</v>
      </c>
      <c r="BL73" s="47" t="str">
        <f>'Таблиця цін схема №1'!IY31</f>
        <v>ТСП 2-10Г</v>
      </c>
      <c r="BM73" s="380">
        <f>'Таблиця цін схема №1'!IZ31</f>
        <v>1</v>
      </c>
    </row>
    <row r="74" spans="1:65">
      <c r="A74" s="1115">
        <v>79</v>
      </c>
      <c r="B74" s="1125" t="s">
        <v>791</v>
      </c>
      <c r="C74" s="47">
        <f>'Таблиця цін схема №1'!ER32</f>
        <v>20</v>
      </c>
      <c r="D74" s="380">
        <f>'Таблиця цін схема №1'!ES32</f>
        <v>1</v>
      </c>
      <c r="E74" s="47">
        <f>'Таблиця цін схема №1'!EV32</f>
        <v>65</v>
      </c>
      <c r="F74" s="380">
        <f>'Таблиця цін схема №1'!EW32</f>
        <v>2</v>
      </c>
      <c r="G74" s="47">
        <f>'Таблиця цін схема №1'!EZ32</f>
        <v>40</v>
      </c>
      <c r="H74" s="380">
        <f>'Таблиця цін схема №1'!FA32</f>
        <v>1</v>
      </c>
      <c r="I74" s="47">
        <f>'Таблиця цін схема №1'!FD32</f>
        <v>25</v>
      </c>
      <c r="J74" s="380">
        <f>'Таблиця цін схема №1'!FE32</f>
        <v>1</v>
      </c>
      <c r="K74" s="47">
        <f>'Таблиця цін схема №1'!FH32</f>
        <v>20</v>
      </c>
      <c r="L74" s="380">
        <f>'Таблиця цін схема №1'!FI32</f>
        <v>1</v>
      </c>
      <c r="M74" s="47">
        <f>'Таблиця цін схема №1'!FL32</f>
        <v>40</v>
      </c>
      <c r="N74" s="380">
        <f>'Таблиця цін схема №1'!FM32</f>
        <v>4</v>
      </c>
      <c r="O74" s="47">
        <f>'Таблиця цін схема №1'!FP32</f>
        <v>40</v>
      </c>
      <c r="P74" s="380">
        <f>'Таблиця цін схема №1'!FQ32</f>
        <v>1</v>
      </c>
      <c r="Q74" s="47">
        <f>'Таблиця цін схема №1'!FT32</f>
        <v>25</v>
      </c>
      <c r="R74" s="380">
        <f>'Таблиця цін схема №1'!FU32</f>
        <v>1</v>
      </c>
      <c r="S74" s="1127">
        <f>'Таблиця цін схема №1'!FX32</f>
        <v>24.945861380196916</v>
      </c>
      <c r="T74" s="379">
        <f>'Таблиця цін схема №1'!FY32</f>
        <v>25</v>
      </c>
      <c r="U74" s="380">
        <f>'Таблиця цін схема №1'!FZ32</f>
        <v>2</v>
      </c>
      <c r="V74" s="1129">
        <f>'Таблиця цін схема №1'!GC32</f>
        <v>10.029106029106028</v>
      </c>
      <c r="W74" s="379">
        <f>'Таблиця цін схема №1'!GD32</f>
        <v>9</v>
      </c>
      <c r="X74" s="379">
        <f>'Таблиця цін схема №1'!GE32</f>
        <v>9</v>
      </c>
      <c r="Y74" s="1144" t="str">
        <f>'Таблиця цін схема №1'!GF32</f>
        <v>Yonos MAXO 50/0,5-12 PN 6/10</v>
      </c>
      <c r="Z74" s="78">
        <f>'Таблиця цін схема №1'!GG32</f>
        <v>2</v>
      </c>
      <c r="AA74" s="1129">
        <f>'Таблиця цін схема №1'!GJ32</f>
        <v>1.3582150101419879</v>
      </c>
      <c r="AB74" s="379">
        <f>'Таблиця цін схема №1'!GK32</f>
        <v>9</v>
      </c>
      <c r="AC74" s="379">
        <f>'Таблиця цін схема №1'!GL32</f>
        <v>9</v>
      </c>
      <c r="AD74" s="1144" t="str">
        <f>'Таблиця цін схема №1'!GM32</f>
        <v>TOP-Z 25/10 3- PN 10</v>
      </c>
      <c r="AE74" s="380">
        <f>'Таблиця цін схема №1'!GN32</f>
        <v>1</v>
      </c>
      <c r="AF74" s="1127">
        <f>'Таблиця цін схема №1'!GQ32</f>
        <v>496.8538046402623</v>
      </c>
      <c r="AG74" s="379">
        <f>'Таблиця цін схема №1'!GR32</f>
        <v>500</v>
      </c>
      <c r="AH74" s="379">
        <f>'Таблиця цін схема №1'!GS32</f>
        <v>32</v>
      </c>
      <c r="AI74" s="380">
        <f>'Таблиця цін схема №1'!GT32</f>
        <v>1</v>
      </c>
      <c r="AJ74" s="47">
        <f>'Таблиця цін схема №1'!GW32</f>
        <v>11.13</v>
      </c>
      <c r="AK74" s="379">
        <f>'Таблиця цін схема №1'!GX32</f>
        <v>32</v>
      </c>
      <c r="AL74" s="380">
        <f>'Таблиця цін схема №1'!GY32</f>
        <v>2</v>
      </c>
      <c r="AM74" s="47">
        <f>'Таблиця цін схема №1'!HB32</f>
        <v>15</v>
      </c>
      <c r="AN74" s="380">
        <f>'Таблиця цін схема №1'!HC32</f>
        <v>2</v>
      </c>
      <c r="AO74" s="47">
        <f>'Таблиця цін схема №1'!HF32</f>
        <v>20</v>
      </c>
      <c r="AP74" s="78">
        <f>'Таблиця цін схема №1'!HG32</f>
        <v>1</v>
      </c>
      <c r="AQ74" s="47">
        <f>'Таблиця цін схема №1'!HJ32</f>
        <v>32</v>
      </c>
      <c r="AR74" s="379">
        <f>'Таблиця цін схема №1'!HK32</f>
        <v>6</v>
      </c>
      <c r="AS74" s="380">
        <f>'Таблиця цін схема №1'!HL32</f>
        <v>1</v>
      </c>
      <c r="AT74" s="47">
        <f>'Таблиця цін схема №1'!HO32</f>
        <v>40</v>
      </c>
      <c r="AU74" s="380">
        <f>'Таблиця цін схема №1'!HP32</f>
        <v>1</v>
      </c>
      <c r="AV74" s="47">
        <f>'Таблиця цін схема №1'!HS32</f>
        <v>20</v>
      </c>
      <c r="AW74" s="380">
        <f>'Таблиця цін схема №1'!HT32</f>
        <v>1</v>
      </c>
      <c r="AX74" s="47" t="str">
        <f>'Таблиця цін схема №1'!HW32</f>
        <v>0-150</v>
      </c>
      <c r="AY74" s="380">
        <f>'Таблиця цін схема №1'!HX32</f>
        <v>1</v>
      </c>
      <c r="AZ74" s="47" t="str">
        <f>'Таблиця цін схема №1'!IA32</f>
        <v>0-120</v>
      </c>
      <c r="BA74" s="380">
        <f>'Таблиця цін схема №1'!IB32</f>
        <v>1</v>
      </c>
      <c r="BB74" s="47" t="str">
        <f>'Таблиця цін схема №1'!IE32</f>
        <v>0-1,6</v>
      </c>
      <c r="BC74" s="380">
        <f>'Таблиця цін схема №1'!IF32</f>
        <v>3</v>
      </c>
      <c r="BD74" s="47" t="str">
        <f>'Таблиця цін схема №1'!II32</f>
        <v>0-1,0</v>
      </c>
      <c r="BE74" s="380">
        <f>'Таблиця цін схема №1'!IJ32</f>
        <v>13</v>
      </c>
      <c r="BF74" s="47" t="str">
        <f>'Таблиця цін схема №1'!IM32</f>
        <v>PSM01</v>
      </c>
      <c r="BG74" s="380">
        <f>'Таблиця цін схема №1'!IN32</f>
        <v>5</v>
      </c>
      <c r="BH74" s="47" t="str">
        <f>'Таблиця цін схема №1'!IQ32</f>
        <v>A-10</v>
      </c>
      <c r="BI74" s="380">
        <f>'Таблиця цін схема №1'!IR32</f>
        <v>6</v>
      </c>
      <c r="BJ74" s="47" t="str">
        <f>'Таблиця цін схема №1'!IU32</f>
        <v>ТСП 1-5</v>
      </c>
      <c r="BK74" s="380">
        <f>'Таблиця цін схема №1'!IV32</f>
        <v>7</v>
      </c>
      <c r="BL74" s="47" t="str">
        <f>'Таблиця цін схема №1'!IY32</f>
        <v>ТСП 2-10Г</v>
      </c>
      <c r="BM74" s="380">
        <f>'Таблиця цін схема №1'!IZ32</f>
        <v>1</v>
      </c>
    </row>
    <row r="75" spans="1:65">
      <c r="A75" s="1115">
        <v>80</v>
      </c>
      <c r="B75" s="1125" t="s">
        <v>792</v>
      </c>
      <c r="C75" s="47">
        <f>'Таблиця цін схема №1'!ER33</f>
        <v>20</v>
      </c>
      <c r="D75" s="380">
        <f>'Таблиця цін схема №1'!ES33</f>
        <v>1</v>
      </c>
      <c r="E75" s="47">
        <f>'Таблиця цін схема №1'!EV33</f>
        <v>65</v>
      </c>
      <c r="F75" s="380">
        <f>'Таблиця цін схема №1'!EW33</f>
        <v>2</v>
      </c>
      <c r="G75" s="47">
        <f>'Таблиця цін схема №1'!EZ33</f>
        <v>40</v>
      </c>
      <c r="H75" s="380">
        <f>'Таблиця цін схема №1'!FA33</f>
        <v>1</v>
      </c>
      <c r="I75" s="47">
        <f>'Таблиця цін схема №1'!FD33</f>
        <v>25</v>
      </c>
      <c r="J75" s="380">
        <f>'Таблиця цін схема №1'!FE33</f>
        <v>1</v>
      </c>
      <c r="K75" s="47">
        <f>'Таблиця цін схема №1'!FH33</f>
        <v>20</v>
      </c>
      <c r="L75" s="380">
        <f>'Таблиця цін схема №1'!FI33</f>
        <v>1</v>
      </c>
      <c r="M75" s="47">
        <f>'Таблиця цін схема №1'!FL33</f>
        <v>40</v>
      </c>
      <c r="N75" s="380">
        <f>'Таблиця цін схема №1'!FM33</f>
        <v>4</v>
      </c>
      <c r="O75" s="47">
        <f>'Таблиця цін схема №1'!FP33</f>
        <v>40</v>
      </c>
      <c r="P75" s="380">
        <f>'Таблиця цін схема №1'!FQ33</f>
        <v>1</v>
      </c>
      <c r="Q75" s="47">
        <f>'Таблиця цін схема №1'!FT33</f>
        <v>25</v>
      </c>
      <c r="R75" s="380">
        <f>'Таблиця цін схема №1'!FU33</f>
        <v>1</v>
      </c>
      <c r="S75" s="1127">
        <f>'Таблиця цін схема №1'!FX33</f>
        <v>24.945861380196916</v>
      </c>
      <c r="T75" s="379">
        <f>'Таблиця цін схема №1'!FY33</f>
        <v>25</v>
      </c>
      <c r="U75" s="380">
        <f>'Таблиця цін схема №1'!FZ33</f>
        <v>2</v>
      </c>
      <c r="V75" s="1129">
        <f>'Таблиця цін схема №1'!GC33</f>
        <v>10.029106029106028</v>
      </c>
      <c r="W75" s="379">
        <f>'Таблиця цін схема №1'!GD33</f>
        <v>9</v>
      </c>
      <c r="X75" s="379">
        <f>'Таблиця цін схема №1'!GE33</f>
        <v>9</v>
      </c>
      <c r="Y75" s="1144" t="str">
        <f>'Таблиця цін схема №1'!GF33</f>
        <v>Yonos MAXO 50/0,5-12 PN 6/10</v>
      </c>
      <c r="Z75" s="78">
        <f>'Таблиця цін схема №1'!GG33</f>
        <v>2</v>
      </c>
      <c r="AA75" s="1129">
        <f>'Таблиця цін схема №1'!GJ33</f>
        <v>1.3582150101419879</v>
      </c>
      <c r="AB75" s="379">
        <f>'Таблиця цін схема №1'!GK33</f>
        <v>9</v>
      </c>
      <c r="AC75" s="379">
        <f>'Таблиця цін схема №1'!GL33</f>
        <v>9</v>
      </c>
      <c r="AD75" s="1144" t="str">
        <f>'Таблиця цін схема №1'!GM33</f>
        <v>TOP-Z 25/10 3- PN 10</v>
      </c>
      <c r="AE75" s="380">
        <f>'Таблиця цін схема №1'!GN33</f>
        <v>1</v>
      </c>
      <c r="AF75" s="1127">
        <f>'Таблиця цін схема №1'!GQ33</f>
        <v>496.8538046402623</v>
      </c>
      <c r="AG75" s="379">
        <f>'Таблиця цін схема №1'!GR33</f>
        <v>500</v>
      </c>
      <c r="AH75" s="379">
        <f>'Таблиця цін схема №1'!GS33</f>
        <v>32</v>
      </c>
      <c r="AI75" s="380">
        <f>'Таблиця цін схема №1'!GT33</f>
        <v>1</v>
      </c>
      <c r="AJ75" s="47">
        <f>'Таблиця цін схема №1'!GW33</f>
        <v>11.13</v>
      </c>
      <c r="AK75" s="379">
        <f>'Таблиця цін схема №1'!GX33</f>
        <v>32</v>
      </c>
      <c r="AL75" s="380">
        <f>'Таблиця цін схема №1'!GY33</f>
        <v>2</v>
      </c>
      <c r="AM75" s="47">
        <f>'Таблиця цін схема №1'!HB33</f>
        <v>15</v>
      </c>
      <c r="AN75" s="380">
        <f>'Таблиця цін схема №1'!HC33</f>
        <v>2</v>
      </c>
      <c r="AO75" s="47">
        <f>'Таблиця цін схема №1'!HF33</f>
        <v>20</v>
      </c>
      <c r="AP75" s="78">
        <f>'Таблиця цін схема №1'!HG33</f>
        <v>1</v>
      </c>
      <c r="AQ75" s="47">
        <f>'Таблиця цін схема №1'!HJ33</f>
        <v>32</v>
      </c>
      <c r="AR75" s="379">
        <f>'Таблиця цін схема №1'!HK33</f>
        <v>6</v>
      </c>
      <c r="AS75" s="380">
        <f>'Таблиця цін схема №1'!HL33</f>
        <v>1</v>
      </c>
      <c r="AT75" s="47">
        <f>'Таблиця цін схема №1'!HO33</f>
        <v>40</v>
      </c>
      <c r="AU75" s="380">
        <f>'Таблиця цін схема №1'!HP33</f>
        <v>1</v>
      </c>
      <c r="AV75" s="47">
        <f>'Таблиця цін схема №1'!HS33</f>
        <v>20</v>
      </c>
      <c r="AW75" s="380">
        <f>'Таблиця цін схема №1'!HT33</f>
        <v>1</v>
      </c>
      <c r="AX75" s="47" t="str">
        <f>'Таблиця цін схема №1'!HW33</f>
        <v>0-150</v>
      </c>
      <c r="AY75" s="380">
        <f>'Таблиця цін схема №1'!HX33</f>
        <v>1</v>
      </c>
      <c r="AZ75" s="47" t="str">
        <f>'Таблиця цін схема №1'!IA33</f>
        <v>0-120</v>
      </c>
      <c r="BA75" s="380">
        <f>'Таблиця цін схема №1'!IB33</f>
        <v>5</v>
      </c>
      <c r="BB75" s="47" t="str">
        <f>'Таблиця цін схема №1'!IE33</f>
        <v>0-1,6</v>
      </c>
      <c r="BC75" s="380">
        <f>'Таблиця цін схема №1'!IF33</f>
        <v>5</v>
      </c>
      <c r="BD75" s="47" t="str">
        <f>'Таблиця цін схема №1'!II33</f>
        <v>0-1,0</v>
      </c>
      <c r="BE75" s="380">
        <f>'Таблиця цін схема №1'!IJ33</f>
        <v>13</v>
      </c>
      <c r="BF75" s="47" t="str">
        <f>'Таблиця цін схема №1'!IM33</f>
        <v>PSM01</v>
      </c>
      <c r="BG75" s="380">
        <f>'Таблиця цін схема №1'!IN33</f>
        <v>5</v>
      </c>
      <c r="BH75" s="47" t="str">
        <f>'Таблиця цін схема №1'!IQ33</f>
        <v>A-10</v>
      </c>
      <c r="BI75" s="380">
        <f>'Таблиця цін схема №1'!IR33</f>
        <v>6</v>
      </c>
      <c r="BJ75" s="47" t="str">
        <f>'Таблиця цін схема №1'!IU33</f>
        <v>ТСП 1-5</v>
      </c>
      <c r="BK75" s="380">
        <f>'Таблиця цін схема №1'!IV33</f>
        <v>7</v>
      </c>
      <c r="BL75" s="47" t="str">
        <f>'Таблиця цін схема №1'!IY33</f>
        <v>ТСП 2-10Г</v>
      </c>
      <c r="BM75" s="380">
        <f>'Таблиця цін схема №1'!IZ33</f>
        <v>1</v>
      </c>
    </row>
    <row r="76" spans="1:65">
      <c r="A76" s="1115">
        <v>81</v>
      </c>
      <c r="B76" s="1125" t="s">
        <v>793</v>
      </c>
      <c r="C76" s="47">
        <f>'Таблиця цін схема №1'!ER34</f>
        <v>20</v>
      </c>
      <c r="D76" s="380">
        <f>'Таблиця цін схема №1'!ES34</f>
        <v>1</v>
      </c>
      <c r="E76" s="47">
        <f>'Таблиця цін схема №1'!EV34</f>
        <v>65</v>
      </c>
      <c r="F76" s="380">
        <f>'Таблиця цін схема №1'!EW34</f>
        <v>2</v>
      </c>
      <c r="G76" s="47">
        <f>'Таблиця цін схема №1'!EZ34</f>
        <v>40</v>
      </c>
      <c r="H76" s="380">
        <f>'Таблиця цін схема №1'!FA34</f>
        <v>1</v>
      </c>
      <c r="I76" s="47">
        <f>'Таблиця цін схема №1'!FD34</f>
        <v>25</v>
      </c>
      <c r="J76" s="380">
        <f>'Таблиця цін схема №1'!FE34</f>
        <v>1</v>
      </c>
      <c r="K76" s="47">
        <f>'Таблиця цін схема №1'!FH34</f>
        <v>20</v>
      </c>
      <c r="L76" s="380">
        <f>'Таблиця цін схема №1'!FI34</f>
        <v>1</v>
      </c>
      <c r="M76" s="47">
        <f>'Таблиця цін схема №1'!FL34</f>
        <v>40</v>
      </c>
      <c r="N76" s="380">
        <f>'Таблиця цін схема №1'!FM34</f>
        <v>4</v>
      </c>
      <c r="O76" s="47">
        <f>'Таблиця цін схема №1'!FP34</f>
        <v>40</v>
      </c>
      <c r="P76" s="380">
        <f>'Таблиця цін схема №1'!FQ34</f>
        <v>1</v>
      </c>
      <c r="Q76" s="47">
        <f>'Таблиця цін схема №1'!FT34</f>
        <v>25</v>
      </c>
      <c r="R76" s="380">
        <f>'Таблиця цін схема №1'!FU34</f>
        <v>1</v>
      </c>
      <c r="S76" s="1127">
        <f>'Таблиця цін схема №1'!FX34</f>
        <v>24.945861380196916</v>
      </c>
      <c r="T76" s="379">
        <f>'Таблиця цін схема №1'!FY34</f>
        <v>25</v>
      </c>
      <c r="U76" s="380">
        <f>'Таблиця цін схема №1'!FZ34</f>
        <v>2</v>
      </c>
      <c r="V76" s="1129">
        <f>'Таблиця цін схема №1'!GC34</f>
        <v>10.029106029106028</v>
      </c>
      <c r="W76" s="379">
        <f>'Таблиця цін схема №1'!GD34</f>
        <v>9</v>
      </c>
      <c r="X76" s="379">
        <f>'Таблиця цін схема №1'!GE34</f>
        <v>9</v>
      </c>
      <c r="Y76" s="1144" t="str">
        <f>'Таблиця цін схема №1'!GF34</f>
        <v>Yonos MAXO 50/0,5-12 PN 6/10</v>
      </c>
      <c r="Z76" s="78">
        <f>'Таблиця цін схема №1'!GG34</f>
        <v>2</v>
      </c>
      <c r="AA76" s="1129">
        <f>'Таблиця цін схема №1'!GJ34</f>
        <v>1.3582150101419879</v>
      </c>
      <c r="AB76" s="379">
        <f>'Таблиця цін схема №1'!GK34</f>
        <v>9</v>
      </c>
      <c r="AC76" s="379">
        <f>'Таблиця цін схема №1'!GL34</f>
        <v>9</v>
      </c>
      <c r="AD76" s="1144" t="str">
        <f>'Таблиця цін схема №1'!GM34</f>
        <v>TOP-Z 25/10 3- PN 10</v>
      </c>
      <c r="AE76" s="380">
        <f>'Таблиця цін схема №1'!GN34</f>
        <v>1</v>
      </c>
      <c r="AF76" s="1127">
        <f>'Таблиця цін схема №1'!GQ34</f>
        <v>496.8538046402623</v>
      </c>
      <c r="AG76" s="379">
        <f>'Таблиця цін схема №1'!GR34</f>
        <v>500</v>
      </c>
      <c r="AH76" s="379">
        <f>'Таблиця цін схема №1'!GS34</f>
        <v>32</v>
      </c>
      <c r="AI76" s="380">
        <f>'Таблиця цін схема №1'!GT34</f>
        <v>1</v>
      </c>
      <c r="AJ76" s="47">
        <f>'Таблиця цін схема №1'!GW34</f>
        <v>11.13</v>
      </c>
      <c r="AK76" s="379">
        <f>'Таблиця цін схема №1'!GX34</f>
        <v>32</v>
      </c>
      <c r="AL76" s="380">
        <f>'Таблиця цін схема №1'!GY34</f>
        <v>2</v>
      </c>
      <c r="AM76" s="47">
        <f>'Таблиця цін схема №1'!HB34</f>
        <v>15</v>
      </c>
      <c r="AN76" s="380">
        <f>'Таблиця цін схема №1'!HC34</f>
        <v>2</v>
      </c>
      <c r="AO76" s="47">
        <f>'Таблиця цін схема №1'!HF34</f>
        <v>20</v>
      </c>
      <c r="AP76" s="78">
        <f>'Таблиця цін схема №1'!HG34</f>
        <v>1</v>
      </c>
      <c r="AQ76" s="47">
        <f>'Таблиця цін схема №1'!HJ34</f>
        <v>32</v>
      </c>
      <c r="AR76" s="379">
        <f>'Таблиця цін схема №1'!HK34</f>
        <v>6</v>
      </c>
      <c r="AS76" s="380">
        <f>'Таблиця цін схема №1'!HL34</f>
        <v>1</v>
      </c>
      <c r="AT76" s="47">
        <f>'Таблиця цін схема №1'!HO34</f>
        <v>40</v>
      </c>
      <c r="AU76" s="380">
        <f>'Таблиця цін схема №1'!HP34</f>
        <v>1</v>
      </c>
      <c r="AV76" s="47">
        <f>'Таблиця цін схема №1'!HS34</f>
        <v>20</v>
      </c>
      <c r="AW76" s="380">
        <f>'Таблиця цін схема №1'!HT34</f>
        <v>1</v>
      </c>
      <c r="AX76" s="47" t="str">
        <f>'Таблиця цін схема №1'!HW34</f>
        <v>0-150</v>
      </c>
      <c r="AY76" s="380">
        <f>'Таблиця цін схема №1'!HX34</f>
        <v>1</v>
      </c>
      <c r="AZ76" s="47" t="str">
        <f>'Таблиця цін схема №1'!IA34</f>
        <v>0-120</v>
      </c>
      <c r="BA76" s="380">
        <f>'Таблиця цін схема №1'!IB34</f>
        <v>1</v>
      </c>
      <c r="BB76" s="47" t="str">
        <f>'Таблиця цін схема №1'!IE34</f>
        <v>0-1,6</v>
      </c>
      <c r="BC76" s="380">
        <f>'Таблиця цін схема №1'!IF34</f>
        <v>3</v>
      </c>
      <c r="BD76" s="47" t="str">
        <f>'Таблиця цін схема №1'!II34</f>
        <v>0-1,0</v>
      </c>
      <c r="BE76" s="380">
        <f>'Таблиця цін схема №1'!IJ34</f>
        <v>13</v>
      </c>
      <c r="BF76" s="47" t="str">
        <f>'Таблиця цін схема №1'!IM34</f>
        <v>PSM01</v>
      </c>
      <c r="BG76" s="380">
        <f>'Таблиця цін схема №1'!IN34</f>
        <v>5</v>
      </c>
      <c r="BH76" s="47" t="str">
        <f>'Таблиця цін схема №1'!IQ34</f>
        <v>A-10</v>
      </c>
      <c r="BI76" s="380">
        <f>'Таблиця цін схема №1'!IR34</f>
        <v>6</v>
      </c>
      <c r="BJ76" s="47" t="str">
        <f>'Таблиця цін схема №1'!IU34</f>
        <v>ТСП 1-5</v>
      </c>
      <c r="BK76" s="380">
        <f>'Таблиця цін схема №1'!IV34</f>
        <v>7</v>
      </c>
      <c r="BL76" s="47" t="str">
        <f>'Таблиця цін схема №1'!IY34</f>
        <v>ТСП 2-10Г</v>
      </c>
      <c r="BM76" s="380">
        <f>'Таблиця цін схема №1'!IZ34</f>
        <v>1</v>
      </c>
    </row>
    <row r="77" spans="1:65">
      <c r="A77" s="1115">
        <v>82</v>
      </c>
      <c r="B77" s="1125" t="s">
        <v>794</v>
      </c>
      <c r="C77" s="47">
        <f>'Таблиця цін схема №1'!ER35</f>
        <v>25</v>
      </c>
      <c r="D77" s="380">
        <f>'Таблиця цін схема №1'!ES35</f>
        <v>1</v>
      </c>
      <c r="E77" s="47">
        <f>'Таблиця цін схема №1'!EV35</f>
        <v>100</v>
      </c>
      <c r="F77" s="380">
        <f>'Таблиця цін схема №1'!EW35</f>
        <v>2</v>
      </c>
      <c r="G77" s="47">
        <f>'Таблиця цін схема №1'!EZ35</f>
        <v>50</v>
      </c>
      <c r="H77" s="380">
        <f>'Таблиця цін схема №1'!FA35</f>
        <v>1</v>
      </c>
      <c r="I77" s="47">
        <f>'Таблиця цін схема №1'!FD35</f>
        <v>32</v>
      </c>
      <c r="J77" s="380">
        <f>'Таблиця цін схема №1'!FE35</f>
        <v>1</v>
      </c>
      <c r="K77" s="47">
        <f>'Таблиця цін схема №1'!FH35</f>
        <v>25</v>
      </c>
      <c r="L77" s="380">
        <f>'Таблиця цін схема №1'!FI35</f>
        <v>1</v>
      </c>
      <c r="M77" s="47">
        <f>'Таблиця цін схема №1'!FL35</f>
        <v>50</v>
      </c>
      <c r="N77" s="380">
        <f>'Таблиця цін схема №1'!FM35</f>
        <v>6</v>
      </c>
      <c r="O77" s="47">
        <f>'Таблиця цін схема №1'!FP35</f>
        <v>50</v>
      </c>
      <c r="P77" s="380">
        <f>'Таблиця цін схема №1'!FQ35</f>
        <v>1</v>
      </c>
      <c r="Q77" s="47">
        <f>'Таблиця цін схема №1'!FT35</f>
        <v>32</v>
      </c>
      <c r="R77" s="380">
        <f>'Таблиця цін схема №1'!FU35</f>
        <v>1</v>
      </c>
      <c r="S77" s="1127">
        <f>'Таблиця цін схема №1'!FX35</f>
        <v>38.348402835059503</v>
      </c>
      <c r="T77" s="379">
        <f>'Таблиця цін схема №1'!FY35</f>
        <v>40</v>
      </c>
      <c r="U77" s="380">
        <f>'Таблиця цін схема №1'!FZ35</f>
        <v>2</v>
      </c>
      <c r="V77" s="1129">
        <f>'Таблиця цін схема №1'!GC35</f>
        <v>23.700623700623701</v>
      </c>
      <c r="W77" s="379">
        <f>'Таблиця цін схема №1'!GD35</f>
        <v>9</v>
      </c>
      <c r="X77" s="379">
        <f>'Таблиця цін схема №1'!GE35</f>
        <v>9</v>
      </c>
      <c r="Y77" s="1144" t="str">
        <f>'Таблиця цін схема №1'!GF35</f>
        <v>Yonos MAXO 50/0,5-16 PN 6/10</v>
      </c>
      <c r="Z77" s="78">
        <f>'Таблиця цін схема №1'!GG35</f>
        <v>2</v>
      </c>
      <c r="AA77" s="1129">
        <f>'Таблиця цін схема №1'!GJ35</f>
        <v>2.4279918864097363</v>
      </c>
      <c r="AB77" s="379">
        <f>'Таблиця цін схема №1'!GK35</f>
        <v>9</v>
      </c>
      <c r="AC77" s="379">
        <f>'Таблиця цін схема №1'!GL35</f>
        <v>9</v>
      </c>
      <c r="AD77" s="1144" t="str">
        <f>'Таблиця цін схема №1'!GM35</f>
        <v>TOP-Z 25/10 3- PN 10</v>
      </c>
      <c r="AE77" s="380">
        <f>'Таблиця цін схема №1'!GN35</f>
        <v>1</v>
      </c>
      <c r="AF77" s="1127">
        <f>'Таблиця цін схема №1'!GQ35</f>
        <v>1173.4206875546618</v>
      </c>
      <c r="AG77" s="379">
        <f>'Таблиця цін схема №1'!GR35</f>
        <v>750</v>
      </c>
      <c r="AH77" s="379">
        <f>'Таблиця цін схема №1'!GS35</f>
        <v>32</v>
      </c>
      <c r="AI77" s="380">
        <f>'Таблиця цін схема №1'!GT35</f>
        <v>2</v>
      </c>
      <c r="AJ77" s="47">
        <f>'Таблиця цін схема №1'!GW35</f>
        <v>22.36</v>
      </c>
      <c r="AK77" s="379">
        <f>'Таблиця цін схема №1'!GX35</f>
        <v>40</v>
      </c>
      <c r="AL77" s="380">
        <f>'Таблиця цін схема №1'!GY35</f>
        <v>3</v>
      </c>
      <c r="AM77" s="47">
        <f>'Таблиця цін схема №1'!HB35</f>
        <v>15</v>
      </c>
      <c r="AN77" s="380">
        <f>'Таблиця цін схема №1'!HC35</f>
        <v>2</v>
      </c>
      <c r="AO77" s="47">
        <f>'Таблиця цін схема №1'!HF35</f>
        <v>25</v>
      </c>
      <c r="AP77" s="78">
        <f>'Таблиця цін схема №1'!HG35</f>
        <v>1</v>
      </c>
      <c r="AQ77" s="47">
        <f>'Таблиця цін схема №1'!HJ35</f>
        <v>40</v>
      </c>
      <c r="AR77" s="379">
        <f>'Таблиця цін схема №1'!HK35</f>
        <v>15</v>
      </c>
      <c r="AS77" s="380">
        <f>'Таблиця цін схема №1'!HL35</f>
        <v>1</v>
      </c>
      <c r="AT77" s="47">
        <f>'Таблиця цін схема №1'!HO35</f>
        <v>50</v>
      </c>
      <c r="AU77" s="380">
        <f>'Таблиця цін схема №1'!HP35</f>
        <v>1</v>
      </c>
      <c r="AV77" s="47">
        <f>'Таблиця цін схема №1'!HS35</f>
        <v>25</v>
      </c>
      <c r="AW77" s="380">
        <f>'Таблиця цін схема №1'!HT35</f>
        <v>1</v>
      </c>
      <c r="AX77" s="47" t="str">
        <f>'Таблиця цін схема №1'!HW35</f>
        <v>0-150</v>
      </c>
      <c r="AY77" s="380">
        <f>'Таблиця цін схема №1'!HX35</f>
        <v>1</v>
      </c>
      <c r="AZ77" s="47" t="str">
        <f>'Таблиця цін схема №1'!IA35</f>
        <v>0-120</v>
      </c>
      <c r="BA77" s="380">
        <f>'Таблиця цін схема №1'!IB35</f>
        <v>1</v>
      </c>
      <c r="BB77" s="47" t="str">
        <f>'Таблиця цін схема №1'!IE35</f>
        <v>0-1,6</v>
      </c>
      <c r="BC77" s="380">
        <f>'Таблиця цін схема №1'!IF35</f>
        <v>3</v>
      </c>
      <c r="BD77" s="47" t="str">
        <f>'Таблиця цін схема №1'!II35</f>
        <v>0-1,0</v>
      </c>
      <c r="BE77" s="380">
        <f>'Таблиця цін схема №1'!IJ35</f>
        <v>14</v>
      </c>
      <c r="BF77" s="47" t="str">
        <f>'Таблиця цін схема №1'!IM35</f>
        <v>PSM01</v>
      </c>
      <c r="BG77" s="380">
        <f>'Таблиця цін схема №1'!IN35</f>
        <v>5</v>
      </c>
      <c r="BH77" s="47" t="str">
        <f>'Таблиця цін схема №1'!IQ35</f>
        <v>A-10</v>
      </c>
      <c r="BI77" s="380">
        <f>'Таблиця цін схема №1'!IR35</f>
        <v>6</v>
      </c>
      <c r="BJ77" s="47" t="str">
        <f>'Таблиця цін схема №1'!IU35</f>
        <v>ТСП 1-5</v>
      </c>
      <c r="BK77" s="380">
        <f>'Таблиця цін схема №1'!IV35</f>
        <v>7</v>
      </c>
      <c r="BL77" s="47" t="str">
        <f>'Таблиця цін схема №1'!IY35</f>
        <v>ТСП 2-10Г</v>
      </c>
      <c r="BM77" s="380">
        <f>'Таблиця цін схема №1'!IZ35</f>
        <v>1</v>
      </c>
    </row>
    <row r="78" spans="1:65">
      <c r="A78" s="1115">
        <v>83</v>
      </c>
      <c r="B78" s="1125" t="s">
        <v>795</v>
      </c>
      <c r="C78" s="47">
        <f>'Таблиця цін схема №1'!ER36</f>
        <v>25</v>
      </c>
      <c r="D78" s="380">
        <f>'Таблиця цін схема №1'!ES36</f>
        <v>1</v>
      </c>
      <c r="E78" s="47">
        <f>'Таблиця цін схема №1'!EV36</f>
        <v>125</v>
      </c>
      <c r="F78" s="380">
        <f>'Таблиця цін схема №1'!EW36</f>
        <v>2</v>
      </c>
      <c r="G78" s="47">
        <f>'Таблиця цін схема №1'!EZ36</f>
        <v>65</v>
      </c>
      <c r="H78" s="380">
        <f>'Таблиця цін схема №1'!FA36</f>
        <v>1</v>
      </c>
      <c r="I78" s="47">
        <f>'Таблиця цін схема №1'!FD36</f>
        <v>40</v>
      </c>
      <c r="J78" s="380">
        <f>'Таблиця цін схема №1'!FE36</f>
        <v>1</v>
      </c>
      <c r="K78" s="47">
        <f>'Таблиця цін схема №1'!FH36</f>
        <v>25</v>
      </c>
      <c r="L78" s="380">
        <f>'Таблиця цін схема №1'!FI36</f>
        <v>1</v>
      </c>
      <c r="M78" s="47">
        <f>'Таблиця цін схема №1'!FL36</f>
        <v>50</v>
      </c>
      <c r="N78" s="380">
        <f>'Таблиця цін схема №1'!FM36</f>
        <v>10</v>
      </c>
      <c r="O78" s="47">
        <f>'Таблиця цін схема №1'!FP36</f>
        <v>65</v>
      </c>
      <c r="P78" s="380">
        <f>'Таблиця цін схема №1'!FQ36</f>
        <v>1</v>
      </c>
      <c r="Q78" s="47">
        <f>'Таблиця цін схема №1'!FT36</f>
        <v>40</v>
      </c>
      <c r="R78" s="380">
        <f>'Таблиця цін схема №1'!FU36</f>
        <v>1</v>
      </c>
      <c r="S78" s="1127">
        <f>'Таблиця цін схема №1'!FX36</f>
        <v>45.995651968419793</v>
      </c>
      <c r="T78" s="379">
        <f>'Таблиця цін схема №1'!FY36</f>
        <v>50</v>
      </c>
      <c r="U78" s="380">
        <f>'Таблиця цін схема №1'!FZ36</f>
        <v>2</v>
      </c>
      <c r="V78" s="1129">
        <f>'Таблиця цін схема №1'!GC36</f>
        <v>34.095634095634097</v>
      </c>
      <c r="W78" s="379">
        <f>'Таблиця цін схема №1'!GD36</f>
        <v>9</v>
      </c>
      <c r="X78" s="379">
        <f>'Таблиця цін схема №1'!GE36</f>
        <v>9</v>
      </c>
      <c r="Y78" s="1144" t="str">
        <f>'Таблиця цін схема №1'!GF36</f>
        <v>Yonos MAXO 65/0,5-16 PN 6/10</v>
      </c>
      <c r="Z78" s="78">
        <f>'Таблиця цін схема №1'!GG36</f>
        <v>2</v>
      </c>
      <c r="AA78" s="1129">
        <f>'Таблиця цін схема №1'!GJ36</f>
        <v>4.2596348884381339</v>
      </c>
      <c r="AB78" s="379">
        <f>'Таблиця цін схема №1'!GK36</f>
        <v>9</v>
      </c>
      <c r="AC78" s="379">
        <f>'Таблиця цін схема №1'!GL36</f>
        <v>9</v>
      </c>
      <c r="AD78" s="1144" t="str">
        <f>'Таблиця цін схема №1'!GM36</f>
        <v>TOP-Z 25/10 3- PN 10</v>
      </c>
      <c r="AE78" s="380">
        <f>'Таблиця цін схема №1'!GN36</f>
        <v>1</v>
      </c>
      <c r="AF78" s="1127">
        <f>'Таблиця цін схема №1'!GQ36</f>
        <v>1691.4172072859988</v>
      </c>
      <c r="AG78" s="379">
        <f>'Таблиця цін схема №1'!GR36</f>
        <v>1000</v>
      </c>
      <c r="AH78" s="379">
        <f>'Таблиця цін схема №1'!GS36</f>
        <v>50</v>
      </c>
      <c r="AI78" s="380">
        <f>'Таблиця цін схема №1'!GT36</f>
        <v>2</v>
      </c>
      <c r="AJ78" s="47">
        <f>'Таблиця цін схема №1'!GW36</f>
        <v>22.36</v>
      </c>
      <c r="AK78" s="379">
        <f>'Таблиця цін схема №1'!GX36</f>
        <v>40</v>
      </c>
      <c r="AL78" s="380">
        <f>'Таблиця цін схема №1'!GY36</f>
        <v>5</v>
      </c>
      <c r="AM78" s="47">
        <f>'Таблиця цін схема №1'!HB36</f>
        <v>15</v>
      </c>
      <c r="AN78" s="380">
        <f>'Таблиця цін схема №1'!HC36</f>
        <v>2</v>
      </c>
      <c r="AO78" s="47">
        <f>'Таблиця цін схема №1'!HF36</f>
        <v>25</v>
      </c>
      <c r="AP78" s="78">
        <f>'Таблиця цін схема №1'!HG36</f>
        <v>1</v>
      </c>
      <c r="AQ78" s="47">
        <f>'Таблиця цін схема №1'!HJ36</f>
        <v>40</v>
      </c>
      <c r="AR78" s="379">
        <f>'Таблиця цін схема №1'!HK36</f>
        <v>15</v>
      </c>
      <c r="AS78" s="380">
        <f>'Таблиця цін схема №1'!HL36</f>
        <v>1</v>
      </c>
      <c r="AT78" s="47">
        <f>'Таблиця цін схема №1'!HO36</f>
        <v>65</v>
      </c>
      <c r="AU78" s="380">
        <f>'Таблиця цін схема №1'!HP36</f>
        <v>1</v>
      </c>
      <c r="AV78" s="47">
        <f>'Таблиця цін схема №1'!HS36</f>
        <v>25</v>
      </c>
      <c r="AW78" s="380">
        <f>'Таблиця цін схема №1'!HT36</f>
        <v>1</v>
      </c>
      <c r="AX78" s="47" t="str">
        <f>'Таблиця цін схема №1'!HW36</f>
        <v>0-150</v>
      </c>
      <c r="AY78" s="380">
        <f>'Таблиця цін схема №1'!HX36</f>
        <v>1</v>
      </c>
      <c r="AZ78" s="47" t="str">
        <f>'Таблиця цін схема №1'!IA36</f>
        <v>0-120</v>
      </c>
      <c r="BA78" s="380">
        <f>'Таблиця цін схема №1'!IB36</f>
        <v>5</v>
      </c>
      <c r="BB78" s="47" t="str">
        <f>'Таблиця цін схема №1'!IE36</f>
        <v>0-1,6</v>
      </c>
      <c r="BC78" s="380">
        <f>'Таблиця цін схема №1'!IF36</f>
        <v>5</v>
      </c>
      <c r="BD78" s="47" t="str">
        <f>'Таблиця цін схема №1'!II36</f>
        <v>0-1,0</v>
      </c>
      <c r="BE78" s="380">
        <f>'Таблиця цін схема №1'!IJ36</f>
        <v>16</v>
      </c>
      <c r="BF78" s="47" t="str">
        <f>'Таблиця цін схема №1'!IM36</f>
        <v>PSM01</v>
      </c>
      <c r="BG78" s="380">
        <f>'Таблиця цін схема №1'!IN36</f>
        <v>5</v>
      </c>
      <c r="BH78" s="47" t="str">
        <f>'Таблиця цін схема №1'!IQ36</f>
        <v>A-10</v>
      </c>
      <c r="BI78" s="380">
        <f>'Таблиця цін схема №1'!IR36</f>
        <v>6</v>
      </c>
      <c r="BJ78" s="47" t="str">
        <f>'Таблиця цін схема №1'!IU36</f>
        <v>ТСП 1-5</v>
      </c>
      <c r="BK78" s="380">
        <f>'Таблиця цін схема №1'!IV36</f>
        <v>7</v>
      </c>
      <c r="BL78" s="47" t="str">
        <f>'Таблиця цін схема №1'!IY36</f>
        <v>ТСП 2-10Г</v>
      </c>
      <c r="BM78" s="380">
        <f>'Таблиця цін схема №1'!IZ36</f>
        <v>1</v>
      </c>
    </row>
    <row r="79" spans="1:65">
      <c r="A79" s="1115">
        <v>84</v>
      </c>
      <c r="B79" s="1125" t="s">
        <v>796</v>
      </c>
      <c r="C79" s="47">
        <f>'Таблиця цін схема №1'!ER37</f>
        <v>25</v>
      </c>
      <c r="D79" s="380">
        <f>'Таблиця цін схема №1'!ES37</f>
        <v>1</v>
      </c>
      <c r="E79" s="47">
        <f>'Таблиця цін схема №1'!EV37</f>
        <v>100</v>
      </c>
      <c r="F79" s="380">
        <f>'Таблиця цін схема №1'!EW37</f>
        <v>2</v>
      </c>
      <c r="G79" s="47">
        <f>'Таблиця цін схема №1'!EZ37</f>
        <v>65</v>
      </c>
      <c r="H79" s="380">
        <f>'Таблиця цін схема №1'!FA37</f>
        <v>1</v>
      </c>
      <c r="I79" s="47">
        <f>'Таблиця цін схема №1'!FD37</f>
        <v>40</v>
      </c>
      <c r="J79" s="380">
        <f>'Таблиця цін схема №1'!FE37</f>
        <v>1</v>
      </c>
      <c r="K79" s="47">
        <f>'Таблиця цін схема №1'!FH37</f>
        <v>25</v>
      </c>
      <c r="L79" s="380">
        <f>'Таблиця цін схема №1'!FI37</f>
        <v>1</v>
      </c>
      <c r="M79" s="47">
        <f>'Таблиця цін схема №1'!FL37</f>
        <v>50</v>
      </c>
      <c r="N79" s="380">
        <f>'Таблиця цін схема №1'!FM37</f>
        <v>8</v>
      </c>
      <c r="O79" s="47">
        <f>'Таблиця цін схема №1'!FP37</f>
        <v>65</v>
      </c>
      <c r="P79" s="380">
        <f>'Таблиця цін схема №1'!FQ37</f>
        <v>1</v>
      </c>
      <c r="Q79" s="47">
        <f>'Таблиця цін схема №1'!FT37</f>
        <v>40</v>
      </c>
      <c r="R79" s="380">
        <f>'Таблиця цін схема №1'!FU37</f>
        <v>1</v>
      </c>
      <c r="S79" s="1127">
        <f>'Таблиця цін схема №1'!FX37</f>
        <v>36.549588232974664</v>
      </c>
      <c r="T79" s="379">
        <f>'Таблиця цін схема №1'!FY37</f>
        <v>40</v>
      </c>
      <c r="U79" s="380">
        <f>'Таблиця цін схема №1'!FZ37</f>
        <v>2</v>
      </c>
      <c r="V79" s="1129">
        <f>'Таблиця цін схема №1'!GC37</f>
        <v>21.529313929313929</v>
      </c>
      <c r="W79" s="379">
        <f>'Таблиця цін схема №1'!GD37</f>
        <v>9</v>
      </c>
      <c r="X79" s="379">
        <f>'Таблиця цін схема №1'!GE37</f>
        <v>9</v>
      </c>
      <c r="Y79" s="1144" t="str">
        <f>'Таблиця цін схема №1'!GF37</f>
        <v>Yonos MAXO 50/0,5-16 PN 6/10</v>
      </c>
      <c r="Z79" s="78">
        <f>'Таблиця цін схема №1'!GG37</f>
        <v>2</v>
      </c>
      <c r="AA79" s="1129">
        <f>'Таблиця цін схема №1'!GJ37</f>
        <v>4.040567951318458</v>
      </c>
      <c r="AB79" s="379">
        <f>'Таблиця цін схема №1'!GK37</f>
        <v>9</v>
      </c>
      <c r="AC79" s="379">
        <f>'Таблиця цін схема №1'!GL37</f>
        <v>9</v>
      </c>
      <c r="AD79" s="1144" t="str">
        <f>'Таблиця цін схема №1'!GM37</f>
        <v>TOP-Z 25/10 3- PN 10</v>
      </c>
      <c r="AE79" s="380">
        <f>'Таблиця цін схема №1'!GN37</f>
        <v>1</v>
      </c>
      <c r="AF79" s="1127">
        <f>'Таблиця цін схема №1'!GQ37</f>
        <v>1067.7071120992869</v>
      </c>
      <c r="AG79" s="379">
        <f>'Таблиця цін схема №1'!GR37</f>
        <v>1000</v>
      </c>
      <c r="AH79" s="379">
        <f>'Таблиця цін схема №1'!GS37</f>
        <v>50</v>
      </c>
      <c r="AI79" s="380">
        <f>'Таблиця цін схема №1'!GT37</f>
        <v>1</v>
      </c>
      <c r="AJ79" s="47">
        <f>'Таблиця цін схема №1'!GW37</f>
        <v>11.13</v>
      </c>
      <c r="AK79" s="379">
        <f>'Таблиця цін схема №1'!GX37</f>
        <v>32</v>
      </c>
      <c r="AL79" s="380">
        <f>'Таблиця цін схема №1'!GY37</f>
        <v>4</v>
      </c>
      <c r="AM79" s="47">
        <f>'Таблиця цін схема №1'!HB37</f>
        <v>15</v>
      </c>
      <c r="AN79" s="380">
        <f>'Таблиця цін схема №1'!HC37</f>
        <v>2</v>
      </c>
      <c r="AO79" s="47">
        <f>'Таблиця цін схема №1'!HF37</f>
        <v>25</v>
      </c>
      <c r="AP79" s="78">
        <f>'Таблиця цін схема №1'!HG37</f>
        <v>1</v>
      </c>
      <c r="AQ79" s="47">
        <f>'Таблиця цін схема №1'!HJ37</f>
        <v>40</v>
      </c>
      <c r="AR79" s="379">
        <f>'Таблиця цін схема №1'!HK37</f>
        <v>15</v>
      </c>
      <c r="AS79" s="380">
        <f>'Таблиця цін схема №1'!HL37</f>
        <v>1</v>
      </c>
      <c r="AT79" s="47">
        <f>'Таблиця цін схема №1'!HO37</f>
        <v>65</v>
      </c>
      <c r="AU79" s="380">
        <f>'Таблиця цін схема №1'!HP37</f>
        <v>1</v>
      </c>
      <c r="AV79" s="47">
        <f>'Таблиця цін схема №1'!HS37</f>
        <v>25</v>
      </c>
      <c r="AW79" s="380">
        <f>'Таблиця цін схема №1'!HT37</f>
        <v>1</v>
      </c>
      <c r="AX79" s="47" t="str">
        <f>'Таблиця цін схема №1'!HW37</f>
        <v>0-150</v>
      </c>
      <c r="AY79" s="380">
        <f>'Таблиця цін схема №1'!HX37</f>
        <v>1</v>
      </c>
      <c r="AZ79" s="47" t="str">
        <f>'Таблиця цін схема №1'!IA37</f>
        <v>0-120</v>
      </c>
      <c r="BA79" s="380">
        <f>'Таблиця цін схема №1'!IB37</f>
        <v>1</v>
      </c>
      <c r="BB79" s="47" t="str">
        <f>'Таблиця цін схема №1'!IE37</f>
        <v>0-1,6</v>
      </c>
      <c r="BC79" s="380">
        <f>'Таблиця цін схема №1'!IF37</f>
        <v>3</v>
      </c>
      <c r="BD79" s="47" t="str">
        <f>'Таблиця цін схема №1'!II37</f>
        <v>0-1,0</v>
      </c>
      <c r="BE79" s="380">
        <f>'Таблиця цін схема №1'!IJ37</f>
        <v>15</v>
      </c>
      <c r="BF79" s="47" t="str">
        <f>'Таблиця цін схема №1'!IM37</f>
        <v>PSM01</v>
      </c>
      <c r="BG79" s="380">
        <f>'Таблиця цін схема №1'!IN37</f>
        <v>5</v>
      </c>
      <c r="BH79" s="47" t="str">
        <f>'Таблиця цін схема №1'!IQ37</f>
        <v>A-10</v>
      </c>
      <c r="BI79" s="380">
        <f>'Таблиця цін схема №1'!IR37</f>
        <v>6</v>
      </c>
      <c r="BJ79" s="47" t="str">
        <f>'Таблиця цін схема №1'!IU37</f>
        <v>ТСП 1-5</v>
      </c>
      <c r="BK79" s="380">
        <f>'Таблиця цін схема №1'!IV37</f>
        <v>7</v>
      </c>
      <c r="BL79" s="47" t="str">
        <f>'Таблиця цін схема №1'!IY37</f>
        <v>ТСП 2-10Г</v>
      </c>
      <c r="BM79" s="380">
        <f>'Таблиця цін схема №1'!IZ37</f>
        <v>1</v>
      </c>
    </row>
    <row r="80" spans="1:65">
      <c r="A80" s="1115">
        <v>85</v>
      </c>
      <c r="B80" s="1125" t="s">
        <v>797</v>
      </c>
      <c r="C80" s="47">
        <f>'Таблиця цін схема №1'!ER38</f>
        <v>25</v>
      </c>
      <c r="D80" s="380">
        <f>'Таблиця цін схема №1'!ES38</f>
        <v>1</v>
      </c>
      <c r="E80" s="47">
        <f>'Таблиця цін схема №1'!EV38</f>
        <v>65</v>
      </c>
      <c r="F80" s="380">
        <f>'Таблиця цін схема №1'!EW38</f>
        <v>2</v>
      </c>
      <c r="G80" s="47">
        <f>'Таблиця цін схема №1'!EZ38</f>
        <v>40</v>
      </c>
      <c r="H80" s="380">
        <f>'Таблиця цін схема №1'!FA38</f>
        <v>1</v>
      </c>
      <c r="I80" s="47">
        <f>'Таблиця цін схема №1'!FD38</f>
        <v>25</v>
      </c>
      <c r="J80" s="380">
        <f>'Таблиця цін схема №1'!FE38</f>
        <v>1</v>
      </c>
      <c r="K80" s="47">
        <f>'Таблиця цін схема №1'!FH38</f>
        <v>25</v>
      </c>
      <c r="L80" s="380">
        <f>'Таблиця цін схема №1'!FI38</f>
        <v>1</v>
      </c>
      <c r="M80" s="47">
        <f>'Таблиця цін схема №1'!FL38</f>
        <v>50</v>
      </c>
      <c r="N80" s="380">
        <f>'Таблиця цін схема №1'!FM38</f>
        <v>4</v>
      </c>
      <c r="O80" s="47">
        <f>'Таблиця цін схема №1'!FP38</f>
        <v>40</v>
      </c>
      <c r="P80" s="380">
        <f>'Таблиця цін схема №1'!FQ38</f>
        <v>1</v>
      </c>
      <c r="Q80" s="47">
        <f>'Таблиця цін схема №1'!FT38</f>
        <v>25</v>
      </c>
      <c r="R80" s="380">
        <f>'Таблиця цін схема №1'!FU38</f>
        <v>1</v>
      </c>
      <c r="S80" s="1127">
        <f>'Таблиця цін схема №1'!FX38</f>
        <v>25.914744837640207</v>
      </c>
      <c r="T80" s="379">
        <f>'Таблиця цін схема №1'!FY38</f>
        <v>25</v>
      </c>
      <c r="U80" s="380">
        <f>'Таблиця цін схема №1'!FZ38</f>
        <v>2</v>
      </c>
      <c r="V80" s="1129">
        <f>'Таблиця цін схема №1'!GC38</f>
        <v>10.823284823284821</v>
      </c>
      <c r="W80" s="379">
        <f>'Таблиця цін схема №1'!GD38</f>
        <v>9</v>
      </c>
      <c r="X80" s="379">
        <f>'Таблиця цін схема №1'!GE38</f>
        <v>9</v>
      </c>
      <c r="Y80" s="1144" t="str">
        <f>'Таблиця цін схема №1'!GF38</f>
        <v>Yonos MAXO 50/0,5-12 PN 6/10</v>
      </c>
      <c r="Z80" s="78">
        <f>'Таблиця цін схема №1'!GG38</f>
        <v>2</v>
      </c>
      <c r="AA80" s="1129">
        <f>'Таблиця цін схема №1'!GJ38</f>
        <v>1.6223123732251523</v>
      </c>
      <c r="AB80" s="379">
        <f>'Таблиця цін схема №1'!GK38</f>
        <v>9</v>
      </c>
      <c r="AC80" s="379">
        <f>'Таблиця цін схема №1'!GL38</f>
        <v>9</v>
      </c>
      <c r="AD80" s="1144" t="str">
        <f>'Таблиця цін схема №1'!GM38</f>
        <v>TOP-Z 25/10 3- PN 10</v>
      </c>
      <c r="AE80" s="380">
        <f>'Таблиця цін схема №1'!GN38</f>
        <v>1</v>
      </c>
      <c r="AF80" s="1127">
        <f>'Таблиця цін схема №1'!GQ38</f>
        <v>537.02496331330474</v>
      </c>
      <c r="AG80" s="379">
        <f>'Таблиця цін схема №1'!GR38</f>
        <v>500</v>
      </c>
      <c r="AH80" s="379">
        <f>'Таблиця цін схема №1'!GS38</f>
        <v>32</v>
      </c>
      <c r="AI80" s="380">
        <f>'Таблиця цін схема №1'!GT38</f>
        <v>1</v>
      </c>
      <c r="AJ80" s="47">
        <f>'Таблиця цін схема №1'!GW38</f>
        <v>11.13</v>
      </c>
      <c r="AK80" s="379">
        <f>'Таблиця цін схема №1'!GX38</f>
        <v>32</v>
      </c>
      <c r="AL80" s="380">
        <f>'Таблиця цін схема №1'!GY38</f>
        <v>2</v>
      </c>
      <c r="AM80" s="47">
        <f>'Таблиця цін схема №1'!HB38</f>
        <v>15</v>
      </c>
      <c r="AN80" s="380">
        <f>'Таблиця цін схема №1'!HC38</f>
        <v>2</v>
      </c>
      <c r="AO80" s="47">
        <f>'Таблиця цін схема №1'!HF38</f>
        <v>25</v>
      </c>
      <c r="AP80" s="78">
        <f>'Таблиця цін схема №1'!HG38</f>
        <v>1</v>
      </c>
      <c r="AQ80" s="47">
        <f>'Таблиця цін схема №1'!HJ38</f>
        <v>32</v>
      </c>
      <c r="AR80" s="379">
        <f>'Таблиця цін схема №1'!HK38</f>
        <v>6</v>
      </c>
      <c r="AS80" s="380">
        <f>'Таблиця цін схема №1'!HL38</f>
        <v>1</v>
      </c>
      <c r="AT80" s="47">
        <f>'Таблиця цін схема №1'!HO38</f>
        <v>40</v>
      </c>
      <c r="AU80" s="380">
        <f>'Таблиця цін схема №1'!HP38</f>
        <v>1</v>
      </c>
      <c r="AV80" s="47">
        <f>'Таблиця цін схема №1'!HS38</f>
        <v>25</v>
      </c>
      <c r="AW80" s="380">
        <f>'Таблиця цін схема №1'!HT38</f>
        <v>1</v>
      </c>
      <c r="AX80" s="47" t="str">
        <f>'Таблиця цін схема №1'!HW38</f>
        <v>0-150</v>
      </c>
      <c r="AY80" s="380">
        <f>'Таблиця цін схема №1'!HX38</f>
        <v>1</v>
      </c>
      <c r="AZ80" s="47" t="str">
        <f>'Таблиця цін схема №1'!IA38</f>
        <v>0-120</v>
      </c>
      <c r="BA80" s="380">
        <f>'Таблиця цін схема №1'!IB38</f>
        <v>1</v>
      </c>
      <c r="BB80" s="47" t="str">
        <f>'Таблиця цін схема №1'!IE38</f>
        <v>0-1,6</v>
      </c>
      <c r="BC80" s="380">
        <f>'Таблиця цін схема №1'!IF38</f>
        <v>3</v>
      </c>
      <c r="BD80" s="47" t="str">
        <f>'Таблиця цін схема №1'!II38</f>
        <v>0-1,0</v>
      </c>
      <c r="BE80" s="380">
        <f>'Таблиця цін схема №1'!IJ38</f>
        <v>13</v>
      </c>
      <c r="BF80" s="47" t="str">
        <f>'Таблиця цін схема №1'!IM38</f>
        <v>PSM01</v>
      </c>
      <c r="BG80" s="380">
        <f>'Таблиця цін схема №1'!IN38</f>
        <v>5</v>
      </c>
      <c r="BH80" s="47" t="str">
        <f>'Таблиця цін схема №1'!IQ38</f>
        <v>A-10</v>
      </c>
      <c r="BI80" s="380">
        <f>'Таблиця цін схема №1'!IR38</f>
        <v>6</v>
      </c>
      <c r="BJ80" s="47" t="str">
        <f>'Таблиця цін схема №1'!IU38</f>
        <v>ТСП 1-5</v>
      </c>
      <c r="BK80" s="380">
        <f>'Таблиця цін схема №1'!IV38</f>
        <v>7</v>
      </c>
      <c r="BL80" s="47" t="str">
        <f>'Таблиця цін схема №1'!IY38</f>
        <v>ТСП 2-10Г</v>
      </c>
      <c r="BM80" s="380">
        <f>'Таблиця цін схема №1'!IZ38</f>
        <v>1</v>
      </c>
    </row>
    <row r="81" spans="1:65">
      <c r="A81" s="1115">
        <v>86</v>
      </c>
      <c r="B81" s="1125" t="s">
        <v>798</v>
      </c>
      <c r="C81" s="47">
        <f>'Таблиця цін схема №1'!ER39</f>
        <v>20</v>
      </c>
      <c r="D81" s="380">
        <f>'Таблиця цін схема №1'!ES39</f>
        <v>1</v>
      </c>
      <c r="E81" s="47">
        <f>'Таблиця цін схема №1'!EV39</f>
        <v>50</v>
      </c>
      <c r="F81" s="380">
        <f>'Таблиця цін схема №1'!EW39</f>
        <v>2</v>
      </c>
      <c r="G81" s="47">
        <f>'Таблиця цін схема №1'!EZ39</f>
        <v>32</v>
      </c>
      <c r="H81" s="380">
        <f>'Таблиця цін схема №1'!FA39</f>
        <v>1</v>
      </c>
      <c r="I81" s="47">
        <f>'Таблиця цін схема №1'!FD39</f>
        <v>20</v>
      </c>
      <c r="J81" s="380">
        <f>'Таблиця цін схема №1'!FE39</f>
        <v>1</v>
      </c>
      <c r="K81" s="47">
        <f>'Таблиця цін схема №1'!FH39</f>
        <v>20</v>
      </c>
      <c r="L81" s="380">
        <f>'Таблиця цін схема №1'!FI39</f>
        <v>1</v>
      </c>
      <c r="M81" s="47">
        <f>'Таблиця цін схема №1'!FL39</f>
        <v>50</v>
      </c>
      <c r="N81" s="380">
        <f>'Таблиця цін схема №1'!FM39</f>
        <v>2</v>
      </c>
      <c r="O81" s="47">
        <f>'Таблиця цін схема №1'!FP39</f>
        <v>32</v>
      </c>
      <c r="P81" s="380">
        <f>'Таблиця цін схема №1'!FQ39</f>
        <v>1</v>
      </c>
      <c r="Q81" s="47">
        <f>'Таблиця цін схема №1'!FT39</f>
        <v>20</v>
      </c>
      <c r="R81" s="380">
        <f>'Таблиця цін схема №1'!FU39</f>
        <v>1</v>
      </c>
      <c r="S81" s="1127">
        <f>'Таблиця цін схема №1'!FX39</f>
        <v>18.233452772308375</v>
      </c>
      <c r="T81" s="379">
        <f>'Таблиця цін схема №1'!FY39</f>
        <v>20</v>
      </c>
      <c r="U81" s="380">
        <f>'Таблиця цін схема №1'!FZ39</f>
        <v>2</v>
      </c>
      <c r="V81" s="1129">
        <f>'Таблиця цін схема №1'!GC39</f>
        <v>5.3580041580041584</v>
      </c>
      <c r="W81" s="379">
        <f>'Таблиця цін схема №1'!GD39</f>
        <v>9</v>
      </c>
      <c r="X81" s="379">
        <f>'Таблиця цін схема №1'!GE39</f>
        <v>9</v>
      </c>
      <c r="Y81" s="1144" t="str">
        <f>'Таблиця цін схема №1'!GF39</f>
        <v>Yonos MAXO 30/0,5-12 PN 10</v>
      </c>
      <c r="Z81" s="78">
        <f>'Таблиця цін схема №1'!GG39</f>
        <v>2</v>
      </c>
      <c r="AA81" s="1129">
        <f>'Таблиця цін схема №1'!GJ39</f>
        <v>0.59446247464503044</v>
      </c>
      <c r="AB81" s="379">
        <f>'Таблиця цін схема №1'!GK39</f>
        <v>9</v>
      </c>
      <c r="AC81" s="379">
        <f>'Таблиця цін схема №1'!GL39</f>
        <v>9</v>
      </c>
      <c r="AD81" s="1144" t="str">
        <f>'Таблиця цін схема №1'!GM39</f>
        <v>TOP-Z 25/10 3- PN 10</v>
      </c>
      <c r="AE81" s="380">
        <f>'Таблиця цін схема №1'!GN39</f>
        <v>1</v>
      </c>
      <c r="AF81" s="1127">
        <f>'Таблиця цін схема №1'!GQ39</f>
        <v>266.39821014754489</v>
      </c>
      <c r="AG81" s="379">
        <f>'Таблиця цін схема №1'!GR39</f>
        <v>300</v>
      </c>
      <c r="AH81" s="379">
        <f>'Таблиця цін схема №1'!GS39</f>
        <v>32</v>
      </c>
      <c r="AI81" s="380">
        <f>'Таблиця цін схема №1'!GT39</f>
        <v>1</v>
      </c>
      <c r="AJ81" s="47">
        <f>'Таблиця цін схема №1'!GW39</f>
        <v>11.13</v>
      </c>
      <c r="AK81" s="379">
        <f>'Таблиця цін схема №1'!GX39</f>
        <v>32</v>
      </c>
      <c r="AL81" s="517" t="s">
        <v>115</v>
      </c>
      <c r="AM81" s="47">
        <f>'Таблиця цін схема №1'!HB39</f>
        <v>15</v>
      </c>
      <c r="AN81" s="380">
        <f>'Таблиця цін схема №1'!HC39</f>
        <v>2</v>
      </c>
      <c r="AO81" s="47">
        <f>'Таблиця цін схема №1'!HF39</f>
        <v>20</v>
      </c>
      <c r="AP81" s="78">
        <f>'Таблиця цін схема №1'!HG39</f>
        <v>1</v>
      </c>
      <c r="AQ81" s="47">
        <f>'Таблиця цін схема №1'!HJ39</f>
        <v>20</v>
      </c>
      <c r="AR81" s="379">
        <f>'Таблиця цін схема №1'!HK39</f>
        <v>2.5</v>
      </c>
      <c r="AS81" s="380">
        <f>'Таблиця цін схема №1'!HL39</f>
        <v>1</v>
      </c>
      <c r="AT81" s="47">
        <f>'Таблиця цін схема №1'!HO39</f>
        <v>32</v>
      </c>
      <c r="AU81" s="380">
        <f>'Таблиця цін схема №1'!HP39</f>
        <v>1</v>
      </c>
      <c r="AV81" s="47">
        <f>'Таблиця цін схема №1'!HS39</f>
        <v>20</v>
      </c>
      <c r="AW81" s="380">
        <f>'Таблиця цін схема №1'!HT39</f>
        <v>1</v>
      </c>
      <c r="AX81" s="47" t="str">
        <f>'Таблиця цін схема №1'!HW39</f>
        <v>0-150</v>
      </c>
      <c r="AY81" s="380">
        <f>'Таблиця цін схема №1'!HX39</f>
        <v>1</v>
      </c>
      <c r="AZ81" s="47" t="str">
        <f>'Таблиця цін схема №1'!IA39</f>
        <v>0-120</v>
      </c>
      <c r="BA81" s="380">
        <f>'Таблиця цін схема №1'!IB39</f>
        <v>5</v>
      </c>
      <c r="BB81" s="47" t="str">
        <f>'Таблиця цін схема №1'!IE39</f>
        <v>0-1,6</v>
      </c>
      <c r="BC81" s="380">
        <f>'Таблиця цін схема №1'!IF39</f>
        <v>5</v>
      </c>
      <c r="BD81" s="47" t="str">
        <f>'Таблиця цін схема №1'!II39</f>
        <v>0-1,0</v>
      </c>
      <c r="BE81" s="380">
        <f>'Таблиця цін схема №1'!IJ39</f>
        <v>11</v>
      </c>
      <c r="BF81" s="47" t="str">
        <f>'Таблиця цін схема №1'!IM39</f>
        <v>PSM01</v>
      </c>
      <c r="BG81" s="380">
        <f>'Таблиця цін схема №1'!IN39</f>
        <v>5</v>
      </c>
      <c r="BH81" s="47" t="str">
        <f>'Таблиця цін схема №1'!IQ39</f>
        <v>A-10</v>
      </c>
      <c r="BI81" s="380">
        <f>'Таблиця цін схема №1'!IR39</f>
        <v>6</v>
      </c>
      <c r="BJ81" s="47" t="str">
        <f>'Таблиця цін схема №1'!IU39</f>
        <v>ТСП 1-5</v>
      </c>
      <c r="BK81" s="380">
        <f>'Таблиця цін схема №1'!IV39</f>
        <v>7</v>
      </c>
      <c r="BL81" s="47" t="str">
        <f>'Таблиця цін схема №1'!IY39</f>
        <v>ТСП 2-10Г</v>
      </c>
      <c r="BM81" s="380">
        <f>'Таблиця цін схема №1'!IZ39</f>
        <v>1</v>
      </c>
    </row>
    <row r="82" spans="1:65" ht="13.5" thickBot="1">
      <c r="A82" s="1116">
        <v>87</v>
      </c>
      <c r="B82" s="1126" t="s">
        <v>799</v>
      </c>
      <c r="C82" s="49">
        <f>'Таблиця цін схема №1'!ER40</f>
        <v>25</v>
      </c>
      <c r="D82" s="7">
        <f>'Таблиця цін схема №1'!ES40</f>
        <v>1</v>
      </c>
      <c r="E82" s="49">
        <f>'Таблиця цін схема №1'!EV40</f>
        <v>125</v>
      </c>
      <c r="F82" s="7">
        <f>'Таблиця цін схема №1'!EW40</f>
        <v>2</v>
      </c>
      <c r="G82" s="49">
        <f>'Таблиця цін схема №1'!EZ40</f>
        <v>100</v>
      </c>
      <c r="H82" s="7">
        <f>'Таблиця цін схема №1'!FA40</f>
        <v>1</v>
      </c>
      <c r="I82" s="49">
        <f>'Таблиця цін схема №1'!FD40</f>
        <v>65</v>
      </c>
      <c r="J82" s="7">
        <f>'Таблиця цін схема №1'!FE40</f>
        <v>1</v>
      </c>
      <c r="K82" s="49">
        <f>'Таблиця цін схема №1'!FH40</f>
        <v>25</v>
      </c>
      <c r="L82" s="7">
        <f>'Таблиця цін схема №1'!FI40</f>
        <v>1</v>
      </c>
      <c r="M82" s="49">
        <f>'Таблиця цін схема №1'!FL40</f>
        <v>50</v>
      </c>
      <c r="N82" s="7">
        <f>'Таблиця цін схема №1'!FM40</f>
        <v>12</v>
      </c>
      <c r="O82" s="49">
        <f>'Таблиця цін схема №1'!FP40</f>
        <v>100</v>
      </c>
      <c r="P82" s="7">
        <f>'Таблиця цін схема №1'!FQ40</f>
        <v>1</v>
      </c>
      <c r="Q82" s="49">
        <f>'Таблиця цін схема №1'!FT40</f>
        <v>65</v>
      </c>
      <c r="R82" s="7">
        <f>'Таблиця цін схема №1'!FU40</f>
        <v>1</v>
      </c>
      <c r="S82" s="1128">
        <f>'Таблиця цін схема №1'!FX40</f>
        <v>51.431725617560218</v>
      </c>
      <c r="T82" s="43">
        <f>'Таблиця цін схема №1'!FY40</f>
        <v>50</v>
      </c>
      <c r="U82" s="7">
        <f>'Таблиця цін схема №1'!FZ40</f>
        <v>2</v>
      </c>
      <c r="V82" s="1130">
        <f>'Таблиця цін схема №1'!GC40</f>
        <v>42.631185031185026</v>
      </c>
      <c r="W82" s="43">
        <f>'Таблиця цін схема №1'!GD40</f>
        <v>9</v>
      </c>
      <c r="X82" s="43">
        <f>'Таблиця цін схема №1'!GE40</f>
        <v>9</v>
      </c>
      <c r="Y82" s="1149" t="str">
        <f>'Таблиця цін схема №1'!GF40</f>
        <v>Yonos MAXO 65/0,5-16 PN 6/10</v>
      </c>
      <c r="Z82" s="1118">
        <f>'Таблиця цін схема №1'!GG40</f>
        <v>2</v>
      </c>
      <c r="AA82" s="1130">
        <f>'Таблиця цін схема №1'!GJ40</f>
        <v>8.9243610547667345</v>
      </c>
      <c r="AB82" s="43">
        <f>'Таблиця цін схема №1'!GK40</f>
        <v>9</v>
      </c>
      <c r="AC82" s="43">
        <f>'Таблиця цін схема №1'!GL40</f>
        <v>9</v>
      </c>
      <c r="AD82" s="1149" t="str">
        <f>'Таблиця цін схема №1'!GM40</f>
        <v>TOP-Z 65/10 3- GG PN 6/10</v>
      </c>
      <c r="AE82" s="7">
        <f>'Таблиця цін схема №1'!GN40</f>
        <v>1</v>
      </c>
      <c r="AF82" s="1128">
        <f>'Таблиця цін схема №1'!GQ40</f>
        <v>2114.2715091074988</v>
      </c>
      <c r="AG82" s="43">
        <f>'Таблиця цін схема №1'!GR40</f>
        <v>1000</v>
      </c>
      <c r="AH82" s="43">
        <f>'Таблиця цін схема №1'!GS40</f>
        <v>50</v>
      </c>
      <c r="AI82" s="7">
        <f>'Таблиця цін схема №1'!GT40</f>
        <v>2</v>
      </c>
      <c r="AJ82" s="49">
        <f>'Таблиця цін схема №1'!GW40</f>
        <v>22.36</v>
      </c>
      <c r="AK82" s="43">
        <f>'Таблиця цін схема №1'!GX40</f>
        <v>40</v>
      </c>
      <c r="AL82" s="7">
        <f>'Таблиця цін схема №1'!GY40</f>
        <v>6</v>
      </c>
      <c r="AM82" s="49">
        <f>'Таблиця цін схема №1'!HB40</f>
        <v>15</v>
      </c>
      <c r="AN82" s="7">
        <f>'Таблиця цін схема №1'!HC40</f>
        <v>2</v>
      </c>
      <c r="AO82" s="49">
        <f>'Таблиця цін схема №1'!HF40</f>
        <v>25</v>
      </c>
      <c r="AP82" s="1118">
        <f>'Таблиця цін схема №1'!HG40</f>
        <v>1</v>
      </c>
      <c r="AQ82" s="49">
        <f>'Таблиця цін схема №1'!HJ40</f>
        <v>80</v>
      </c>
      <c r="AR82" s="43">
        <f>'Таблиця цін схема №1'!HK40</f>
        <v>40</v>
      </c>
      <c r="AS82" s="7">
        <f>'Таблиця цін схема №1'!HL40</f>
        <v>1</v>
      </c>
      <c r="AT82" s="49">
        <f>'Таблиця цін схема №1'!HO40</f>
        <v>100</v>
      </c>
      <c r="AU82" s="7">
        <f>'Таблиця цін схема №1'!HP40</f>
        <v>1</v>
      </c>
      <c r="AV82" s="49">
        <f>'Таблиця цін схема №1'!HS40</f>
        <v>25</v>
      </c>
      <c r="AW82" s="7">
        <f>'Таблиця цін схема №1'!HT40</f>
        <v>1</v>
      </c>
      <c r="AX82" s="49" t="str">
        <f>'Таблиця цін схема №1'!HW40</f>
        <v>0-150</v>
      </c>
      <c r="AY82" s="7">
        <f>'Таблиця цін схема №1'!HX40</f>
        <v>1</v>
      </c>
      <c r="AZ82" s="49" t="str">
        <f>'Таблиця цін схема №1'!IA40</f>
        <v>0-120</v>
      </c>
      <c r="BA82" s="7">
        <f>'Таблиця цін схема №1'!IB40</f>
        <v>5</v>
      </c>
      <c r="BB82" s="49" t="str">
        <f>'Таблиця цін схема №1'!IE40</f>
        <v>0-1,6</v>
      </c>
      <c r="BC82" s="7">
        <f>'Таблиця цін схема №1'!IF40</f>
        <v>5</v>
      </c>
      <c r="BD82" s="49" t="str">
        <f>'Таблиця цін схема №1'!II40</f>
        <v>0-1,0</v>
      </c>
      <c r="BE82" s="7">
        <f>'Таблиця цін схема №1'!IJ40</f>
        <v>17</v>
      </c>
      <c r="BF82" s="49" t="str">
        <f>'Таблиця цін схема №1'!IM40</f>
        <v>PSM01</v>
      </c>
      <c r="BG82" s="7">
        <f>'Таблиця цін схема №1'!IN40</f>
        <v>5</v>
      </c>
      <c r="BH82" s="49" t="str">
        <f>'Таблиця цін схема №1'!IQ40</f>
        <v>A-10</v>
      </c>
      <c r="BI82" s="7">
        <f>'Таблиця цін схема №1'!IR40</f>
        <v>6</v>
      </c>
      <c r="BJ82" s="49" t="str">
        <f>'Таблиця цін схема №1'!IU40</f>
        <v>ТСП 1-5</v>
      </c>
      <c r="BK82" s="7">
        <f>'Таблиця цін схема №1'!IV40</f>
        <v>7</v>
      </c>
      <c r="BL82" s="49" t="str">
        <f>'Таблиця цін схема №1'!IY40</f>
        <v>ТСП 2-10Г</v>
      </c>
      <c r="BM82" s="7">
        <f>'Таблиця цін схема №1'!IZ40</f>
        <v>1</v>
      </c>
    </row>
    <row r="83" spans="1:65">
      <c r="AQ83" s="524"/>
      <c r="AR83" s="524"/>
      <c r="AS83" s="524"/>
    </row>
  </sheetData>
  <mergeCells count="54">
    <mergeCell ref="M4:N4"/>
    <mergeCell ref="C4:D4"/>
    <mergeCell ref="E4:F4"/>
    <mergeCell ref="G4:H4"/>
    <mergeCell ref="I4:J4"/>
    <mergeCell ref="K4:L4"/>
    <mergeCell ref="AQ4:AR4"/>
    <mergeCell ref="AS4:AT4"/>
    <mergeCell ref="O4:Q4"/>
    <mergeCell ref="R4:T4"/>
    <mergeCell ref="U4:V4"/>
    <mergeCell ref="W4:Y4"/>
    <mergeCell ref="Z4:AB4"/>
    <mergeCell ref="AC4:AF4"/>
    <mergeCell ref="BG4:BH4"/>
    <mergeCell ref="BI4:BJ4"/>
    <mergeCell ref="BK4:BL4"/>
    <mergeCell ref="BM4:BN4"/>
    <mergeCell ref="C46:D46"/>
    <mergeCell ref="E46:F46"/>
    <mergeCell ref="AU4:AV4"/>
    <mergeCell ref="AW4:AX4"/>
    <mergeCell ref="AY4:AZ4"/>
    <mergeCell ref="BA4:BB4"/>
    <mergeCell ref="BC4:BD4"/>
    <mergeCell ref="BE4:BF4"/>
    <mergeCell ref="AG4:AJ4"/>
    <mergeCell ref="AK4:AL4"/>
    <mergeCell ref="AM4:AN4"/>
    <mergeCell ref="AO4:AP4"/>
    <mergeCell ref="AM46:AN46"/>
    <mergeCell ref="G46:H46"/>
    <mergeCell ref="I46:J46"/>
    <mergeCell ref="K46:L46"/>
    <mergeCell ref="M46:N46"/>
    <mergeCell ref="O46:P46"/>
    <mergeCell ref="Q46:R46"/>
    <mergeCell ref="S46:U46"/>
    <mergeCell ref="V46:Z46"/>
    <mergeCell ref="AA46:AE46"/>
    <mergeCell ref="AF46:AI46"/>
    <mergeCell ref="AJ46:AL46"/>
    <mergeCell ref="BL46:BM46"/>
    <mergeCell ref="AO46:AP46"/>
    <mergeCell ref="AQ46:AS46"/>
    <mergeCell ref="AT46:AU46"/>
    <mergeCell ref="AV46:AW46"/>
    <mergeCell ref="AX46:AY46"/>
    <mergeCell ref="AZ46:BA46"/>
    <mergeCell ref="BB46:BC46"/>
    <mergeCell ref="BD46:BE46"/>
    <mergeCell ref="BF46:BG46"/>
    <mergeCell ref="BH46:BI46"/>
    <mergeCell ref="BJ46:BK46"/>
  </mergeCells>
  <pageMargins left="0.25" right="0.25" top="0.75" bottom="0.75" header="0.3" footer="0.3"/>
  <pageSetup paperSize="8" scale="32" fitToHeight="10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E148"/>
  <sheetViews>
    <sheetView topLeftCell="A45" zoomScale="40" zoomScaleNormal="40" workbookViewId="0">
      <selection activeCell="D99" sqref="D99"/>
    </sheetView>
  </sheetViews>
  <sheetFormatPr defaultRowHeight="12.75"/>
  <cols>
    <col min="1" max="1" width="4.140625" style="276" bestFit="1" customWidth="1"/>
    <col min="2" max="2" width="48.85546875" style="1064" customWidth="1"/>
    <col min="3" max="14" width="9.140625" style="276"/>
    <col min="15" max="15" width="10.28515625" style="276" bestFit="1" customWidth="1"/>
    <col min="16" max="18" width="9.140625" style="276"/>
    <col min="19" max="19" width="13.42578125" style="276" bestFit="1" customWidth="1"/>
    <col min="20" max="22" width="9.140625" style="276"/>
    <col min="23" max="23" width="16.28515625" style="276" bestFit="1" customWidth="1"/>
    <col min="24" max="24" width="9.140625" style="276"/>
    <col min="25" max="25" width="29.5703125" style="276" bestFit="1" customWidth="1"/>
    <col min="26" max="26" width="9.140625" style="276"/>
    <col min="27" max="27" width="8.7109375" style="276" bestFit="1" customWidth="1"/>
    <col min="28" max="28" width="16.28515625" style="276" bestFit="1" customWidth="1"/>
    <col min="29" max="29" width="9.7109375" style="276" bestFit="1" customWidth="1"/>
    <col min="30" max="30" width="20.7109375" style="276" bestFit="1" customWidth="1"/>
    <col min="31" max="31" width="9.140625" style="276"/>
    <col min="32" max="32" width="10.42578125" style="276" customWidth="1"/>
    <col min="33" max="36" width="9.140625" style="276"/>
    <col min="37" max="37" width="26.7109375" style="276" bestFit="1" customWidth="1"/>
    <col min="38" max="41" width="9.140625" style="276"/>
    <col min="42" max="42" width="13" style="276" bestFit="1" customWidth="1"/>
    <col min="43" max="43" width="9.140625" style="276"/>
    <col min="44" max="44" width="13" style="276" bestFit="1" customWidth="1"/>
    <col min="45" max="45" width="9.140625" style="276"/>
    <col min="46" max="46" width="13" style="276" bestFit="1" customWidth="1"/>
    <col min="47" max="47" width="9.140625" style="276"/>
    <col min="48" max="48" width="13" style="276" bestFit="1" customWidth="1"/>
    <col min="49" max="16384" width="9.140625" style="276"/>
  </cols>
  <sheetData>
    <row r="2" spans="1:56" ht="18">
      <c r="B2" s="1156" t="s">
        <v>1393</v>
      </c>
    </row>
    <row r="3" spans="1:56" ht="13.5" thickBot="1"/>
    <row r="4" spans="1:56" s="1160" customFormat="1" ht="127.5" customHeight="1" thickBot="1">
      <c r="A4" s="1158" t="str">
        <f>'Таблиця цін схема №2'!B3</f>
        <v>№</v>
      </c>
      <c r="B4" s="1158" t="str">
        <f>'Таблиця цін схема №2'!C3</f>
        <v>Adress</v>
      </c>
      <c r="C4" s="1485" t="str">
        <f>'Таблиця цін схема №2'!X3</f>
        <v>Flanged full bore ball valve, PN16, type 11с36п</v>
      </c>
      <c r="D4" s="1487"/>
      <c r="E4" s="1485" t="str">
        <f>'Таблиця цін схема №2'!AB3</f>
        <v>Flanged mud trap EI-FG, PN16</v>
      </c>
      <c r="F4" s="1487"/>
      <c r="G4" s="1485" t="str">
        <f>'Таблиця цін схема №2'!AF3</f>
        <v>Flanged screen filter, PN16, type 821А</v>
      </c>
      <c r="H4" s="1487"/>
      <c r="I4" s="1485" t="str">
        <f>'Таблиця цін схема №2'!AJ3</f>
        <v>Flanged full bore ball valve (heating system), PN16, type 11с36п</v>
      </c>
      <c r="J4" s="1487"/>
      <c r="K4" s="1485" t="str">
        <f>'Таблиця цін схема №2'!AN3</f>
        <v>Flanged full bore ball valve (HWS), PN16,type  11с36п</v>
      </c>
      <c r="L4" s="1487"/>
      <c r="M4" s="1485" t="str">
        <f>'Таблиця цін схема №2'!AR3</f>
        <v>Electrical drive of the control valve (heating system) AMV20</v>
      </c>
      <c r="N4" s="1487"/>
      <c r="O4" s="1485" t="str">
        <f>'Таблиця цін схема №2'!AV3</f>
        <v>Two-way control valve, pressure balanced (heating system) VB2</v>
      </c>
      <c r="P4" s="1486"/>
      <c r="Q4" s="1487"/>
      <c r="R4" s="1485" t="str">
        <f>'Таблиця цін схема №2'!BA3</f>
        <v xml:space="preserve">Pressure difference regulating valve with impulse tubes (heating system) AVP or AFP-9 VFG 2 (DN50 and above) </v>
      </c>
      <c r="S4" s="1486"/>
      <c r="T4" s="1487"/>
      <c r="U4" s="1485" t="str">
        <f>'Таблиця цін схема №2'!BF3</f>
        <v>Electrical drive of the control valve (HWS) AMV33 for Danfoss or Belimo NV 230-3 for LDM</v>
      </c>
      <c r="V4" s="1487"/>
      <c r="W4" s="1485" t="str">
        <f>'Таблиця цін схема №2'!BJ3</f>
        <v>Two-way control valve, pressure balanced (HWS) VB2 (DN15-DN50) or RV113R (DN65 and above)</v>
      </c>
      <c r="X4" s="1486"/>
      <c r="Y4" s="1487"/>
      <c r="Z4" s="1485" t="str">
        <f>'Таблиця цін схема №2'!BO3</f>
        <v xml:space="preserve">Pressure difference regulating valve with impulse tubes (HWS) AVP (DN15-DN50) or AFP-9 VFG 2 (DN65 and above) </v>
      </c>
      <c r="AA4" s="1486"/>
      <c r="AB4" s="1487"/>
      <c r="AC4" s="1485" t="str">
        <f>'Таблиця цін схема №2'!BT3</f>
        <v>Heat meter (heating system), SKS or existed</v>
      </c>
      <c r="AD4" s="1486"/>
      <c r="AE4" s="1486"/>
      <c r="AF4" s="1487"/>
      <c r="AG4" s="1485" t="str">
        <f>'Таблиця цін схема №2'!BZ3</f>
        <v>Heat meter (HWS), SKS</v>
      </c>
      <c r="AH4" s="1486"/>
      <c r="AI4" s="1486"/>
      <c r="AJ4" s="1487"/>
      <c r="AK4" s="1485" t="str">
        <f>'Таблиця цін схема №2'!CF3</f>
        <v>Plate-type heat exchanger of the HWS system</v>
      </c>
      <c r="AL4" s="1487"/>
      <c r="AM4" s="1485" t="str">
        <f>'Таблиця цін схема №2'!CJ3</f>
        <v>Threaded ball valve, type FIV (DN15-32) or flanged full-bore valve, type 11с36п, PN16 (DN40 and above)</v>
      </c>
      <c r="AN4" s="1487"/>
      <c r="AO4" s="1485" t="str">
        <f>'Таблиця цін схема №2'!CN3</f>
        <v>Threaded ball valve type FIV (DN15-32) or flanged valve type T-0520 (for DN40) or КЗК 41нж, PN16 (DN50 and above)</v>
      </c>
      <c r="AP4" s="1487"/>
      <c r="AQ4" s="1485" t="str">
        <f>'Таблиця цін схема №2'!CR3</f>
        <v>Threaded ball valve type FIV (DN15-32) or flanged valve type T-0520 (for DN40) or КЗК 41нж, PN16 (DN50 and above)</v>
      </c>
      <c r="AR4" s="1486"/>
      <c r="AS4" s="1485" t="str">
        <f>'Таблиця цін схема №2'!CV3</f>
        <v>Threaded ball valve, type FIV (DN15-32) or flanged full-bore valve, type 11с36п, PN16 (DN40 and above)</v>
      </c>
      <c r="AT4" s="1487"/>
      <c r="AU4" s="1485" t="str">
        <f>'Таблиця цін схема №2'!CZ3</f>
        <v>Threaded ball valve DN20, type FIV</v>
      </c>
      <c r="AV4" s="1487"/>
      <c r="AW4" s="1485" t="str">
        <f>'Таблиця цін схема №2'!DD3</f>
        <v>Threaded ball valve DN15, type FIV</v>
      </c>
      <c r="AX4" s="1487"/>
      <c r="AY4" s="1485" t="str">
        <f>'Таблиця цін схема №2'!DH3</f>
        <v>Threaded three-way valve DN15 (Art.101112) Skloplylad (for manometers)</v>
      </c>
      <c r="AZ4" s="1487"/>
      <c r="BA4" s="1485" t="str">
        <f>'Таблиця цін схема №2'!DL3</f>
        <v xml:space="preserve">Threaded screen filter IVR 924 (DN15-32) or flanged screen filter Zetkama 821A (DN40 and above) </v>
      </c>
      <c r="BB4" s="1487"/>
      <c r="BC4" s="1485" t="str">
        <f>'Таблиця цін схема №2'!DP3</f>
        <v xml:space="preserve">Threaded screen filter IVR 924 (DN15-32) or flanged screen filter Zetkama 821A (DN40 and above) </v>
      </c>
      <c r="BD4" s="1487"/>
    </row>
    <row r="5" spans="1:56">
      <c r="A5" s="1134"/>
      <c r="B5" s="1134"/>
      <c r="C5" s="1135">
        <f>'Таблиця цін схема №2'!X4</f>
        <v>1</v>
      </c>
      <c r="D5" s="523"/>
      <c r="E5" s="1135">
        <f>'Таблиця цін схема №2'!AB4</f>
        <v>3</v>
      </c>
      <c r="F5" s="523"/>
      <c r="G5" s="1135">
        <f>'Таблиця цін схема №2'!AF4</f>
        <v>2</v>
      </c>
      <c r="H5" s="523"/>
      <c r="I5" s="1135">
        <f>'Таблиця цін схема №2'!AJ4</f>
        <v>4</v>
      </c>
      <c r="J5" s="523"/>
      <c r="K5" s="1135">
        <f>'Таблиця цін схема №2'!AN4</f>
        <v>18</v>
      </c>
      <c r="L5" s="523"/>
      <c r="M5" s="1135" t="str">
        <f>'Таблиця цін схема №2'!AR4</f>
        <v>5.1</v>
      </c>
      <c r="N5" s="523"/>
      <c r="O5" s="1135" t="str">
        <f>'Таблиця цін схема №2'!AV4</f>
        <v>5.2</v>
      </c>
      <c r="P5" s="522"/>
      <c r="Q5" s="523"/>
      <c r="R5" s="1135">
        <f>'Таблиця цін схема №2'!BA4</f>
        <v>6</v>
      </c>
      <c r="S5" s="522"/>
      <c r="T5" s="523"/>
      <c r="U5" s="1135" t="str">
        <f>'Таблиця цін схема №2'!BF4</f>
        <v>20.1</v>
      </c>
      <c r="V5" s="523"/>
      <c r="W5" s="1135" t="str">
        <f>'Таблиця цін схема №2'!BJ4</f>
        <v>20.2</v>
      </c>
      <c r="X5" s="522"/>
      <c r="Y5" s="523"/>
      <c r="Z5" s="1135" t="str">
        <f>'Таблиця цін схема №2'!BO4</f>
        <v>21</v>
      </c>
      <c r="AA5" s="522"/>
      <c r="AB5" s="523"/>
      <c r="AC5" s="1135" t="str">
        <f>'Таблиця цін схема №2'!BT4</f>
        <v>7</v>
      </c>
      <c r="AD5" s="522"/>
      <c r="AE5" s="522" t="str">
        <f>'Таблиця цін схема №2'!BV4</f>
        <v>7.2</v>
      </c>
      <c r="AF5" s="523"/>
      <c r="AG5" s="1135" t="str">
        <f>'Таблиця цін схема №2'!BZ4</f>
        <v>19</v>
      </c>
      <c r="AH5" s="522"/>
      <c r="AI5" s="522" t="str">
        <f>'Таблиця цін схема №2'!CB4</f>
        <v>19.2</v>
      </c>
      <c r="AJ5" s="523"/>
      <c r="AK5" s="1135">
        <f>'Таблиця цін схема №2'!CF4</f>
        <v>32</v>
      </c>
      <c r="AL5" s="523"/>
      <c r="AM5" s="1135">
        <f>'Таблиця цін схема №2'!CJ4</f>
        <v>9</v>
      </c>
      <c r="AN5" s="523"/>
      <c r="AO5" s="1135">
        <f>'Таблиця цін схема №2'!CN4</f>
        <v>22</v>
      </c>
      <c r="AP5" s="523"/>
      <c r="AQ5" s="1135">
        <f>'Таблиця цін схема №2'!CR4</f>
        <v>23</v>
      </c>
      <c r="AR5" s="522"/>
      <c r="AS5" s="1135">
        <f>'Таблиця цін схема №2'!CV4</f>
        <v>10</v>
      </c>
      <c r="AT5" s="523"/>
      <c r="AU5" s="1135">
        <f>'Таблиця цін схема №2'!CZ4</f>
        <v>39</v>
      </c>
      <c r="AV5" s="523"/>
      <c r="AW5" s="1135">
        <f>'Таблиця цін схема №2'!DD4</f>
        <v>40</v>
      </c>
      <c r="AX5" s="523"/>
      <c r="AY5" s="1135">
        <f>'Таблиця цін схема №2'!DH4</f>
        <v>41</v>
      </c>
      <c r="AZ5" s="523"/>
      <c r="BA5" s="1135">
        <f>'Таблиця цін схема №2'!DL4</f>
        <v>11</v>
      </c>
      <c r="BB5" s="523"/>
      <c r="BC5" s="1135">
        <f>'Таблиця цін схема №2'!DP4</f>
        <v>24</v>
      </c>
      <c r="BD5" s="523"/>
    </row>
    <row r="6" spans="1:56">
      <c r="A6" s="1134"/>
      <c r="B6" s="1134"/>
      <c r="C6" s="47" t="str">
        <f>'Таблиця цін схема №2'!X5</f>
        <v>DN, mm</v>
      </c>
      <c r="D6" s="380" t="str">
        <f>'Таблиця цін схема №2'!Y5</f>
        <v>number</v>
      </c>
      <c r="E6" s="47" t="str">
        <f>'Таблиця цін схема №2'!AB5</f>
        <v>DN, mm</v>
      </c>
      <c r="F6" s="380" t="str">
        <f>'Таблиця цін схема №2'!AC5</f>
        <v>number</v>
      </c>
      <c r="G6" s="47" t="str">
        <f>'Таблиця цін схема №2'!AF5</f>
        <v>DN, mm</v>
      </c>
      <c r="H6" s="380" t="str">
        <f>'Таблиця цін схема №2'!AG5</f>
        <v>number</v>
      </c>
      <c r="I6" s="47" t="str">
        <f>'Таблиця цін схема №2'!AJ5</f>
        <v>DN, mm</v>
      </c>
      <c r="J6" s="380" t="str">
        <f>'Таблиця цін схема №2'!AK5</f>
        <v>number</v>
      </c>
      <c r="K6" s="47" t="str">
        <f>'Таблиця цін схема №2'!AN5</f>
        <v>DN, mm</v>
      </c>
      <c r="L6" s="380" t="str">
        <f>'Таблиця цін схема №2'!AO5</f>
        <v>number</v>
      </c>
      <c r="M6" s="47" t="str">
        <f>'Таблиця цін схема №2'!AR5</f>
        <v>type of</v>
      </c>
      <c r="N6" s="380" t="str">
        <f>'Таблиця цін схема №2'!AS5</f>
        <v>number</v>
      </c>
      <c r="O6" s="47" t="str">
        <f>'Таблиця цін схема №2'!AV5</f>
        <v>Kvs, m3/h</v>
      </c>
      <c r="P6" s="379" t="str">
        <f>'Таблиця цін схема №2'!AW5</f>
        <v>DN, mm</v>
      </c>
      <c r="Q6" s="380" t="str">
        <f>'Таблиця цін схема №2'!AX5</f>
        <v>number</v>
      </c>
      <c r="R6" s="47" t="str">
        <f>'Таблиця цін схема №2'!BA5</f>
        <v>Kvs, m3/h</v>
      </c>
      <c r="S6" s="379" t="str">
        <f>'Таблиця цін схема №2'!BB5</f>
        <v>DN, mm</v>
      </c>
      <c r="T6" s="380" t="str">
        <f>'Таблиця цін схема №2'!BC5</f>
        <v>number</v>
      </c>
      <c r="U6" s="47" t="str">
        <f>'Таблиця цін схема №2'!BF5</f>
        <v>type of</v>
      </c>
      <c r="V6" s="380" t="str">
        <f>'Таблиця цін схема №2'!BG5</f>
        <v>number</v>
      </c>
      <c r="W6" s="47" t="str">
        <f>'Таблиця цін схема №2'!BJ5</f>
        <v>Kvs, m3/h</v>
      </c>
      <c r="X6" s="379" t="str">
        <f>'Таблиця цін схема №2'!BK5</f>
        <v>DN, mm</v>
      </c>
      <c r="Y6" s="380" t="str">
        <f>'Таблиця цін схема №2'!BL5</f>
        <v>number</v>
      </c>
      <c r="Z6" s="47" t="str">
        <f>'Таблиця цін схема №2'!BO5</f>
        <v>Kvs, m3/h</v>
      </c>
      <c r="AA6" s="379" t="str">
        <f>'Таблиця цін схема №2'!BP5</f>
        <v>DN, mm</v>
      </c>
      <c r="AB6" s="380" t="str">
        <f>'Таблиця цін схема №2'!BQ5</f>
        <v>number</v>
      </c>
      <c r="AC6" s="47" t="str">
        <f>'Таблиця цін схема №2'!BT5</f>
        <v>DN, mm</v>
      </c>
      <c r="AD6" s="379" t="str">
        <f>'Таблиця цін схема №2'!BU5</f>
        <v>Qн, m3/h</v>
      </c>
      <c r="AE6" s="379" t="str">
        <f>'Таблиця цін схема №2'!BV5</f>
        <v>type</v>
      </c>
      <c r="AF6" s="380" t="str">
        <f>'Таблиця цін схема №2'!BW5</f>
        <v>number</v>
      </c>
      <c r="AG6" s="47" t="str">
        <f>'Таблиця цін схема №2'!BZ5</f>
        <v>DN, mm</v>
      </c>
      <c r="AH6" s="379" t="str">
        <f>'Таблиця цін схема №2'!CA5</f>
        <v>Qн, m3/h</v>
      </c>
      <c r="AI6" s="379" t="str">
        <f>'Таблиця цін схема №2'!CB5</f>
        <v>type</v>
      </c>
      <c r="AJ6" s="380" t="str">
        <f>'Таблиця цін схема №2'!CC5</f>
        <v>number</v>
      </c>
      <c r="AK6" s="47" t="str">
        <f>'Таблиця цін схема №2'!CF5</f>
        <v>heat exchanger</v>
      </c>
      <c r="AL6" s="380" t="str">
        <f>'Таблиця цін схема №2'!CG5</f>
        <v>number</v>
      </c>
      <c r="AM6" s="47" t="str">
        <f>'Таблиця цін схема №2'!CJ5</f>
        <v>DN, mm</v>
      </c>
      <c r="AN6" s="380" t="str">
        <f>'Таблиця цін схема №2'!CK5</f>
        <v>number</v>
      </c>
      <c r="AO6" s="47" t="str">
        <f>'Таблиця цін схема №2'!CN5</f>
        <v>DN, mm</v>
      </c>
      <c r="AP6" s="380" t="str">
        <f>'Таблиця цін схема №2'!CO5</f>
        <v>number</v>
      </c>
      <c r="AQ6" s="47" t="str">
        <f>'Таблиця цін схема №2'!CR5</f>
        <v>DN, mm</v>
      </c>
      <c r="AR6" s="78" t="str">
        <f>'Таблиця цін схема №2'!CS5</f>
        <v>number</v>
      </c>
      <c r="AS6" s="47" t="str">
        <f>'Таблиця цін схема №2'!CV5</f>
        <v>DN, mm</v>
      </c>
      <c r="AT6" s="380" t="str">
        <f>'Таблиця цін схема №2'!CW5</f>
        <v>number</v>
      </c>
      <c r="AU6" s="47" t="str">
        <f>'Таблиця цін схема №2'!CZ5</f>
        <v>DN, mm</v>
      </c>
      <c r="AV6" s="380" t="str">
        <f>'Таблиця цін схема №2'!DA5</f>
        <v>number</v>
      </c>
      <c r="AW6" s="47" t="str">
        <f>'Таблиця цін схема №2'!DD5</f>
        <v>DN, mm</v>
      </c>
      <c r="AX6" s="380" t="str">
        <f>'Таблиця цін схема №2'!DE5</f>
        <v>number</v>
      </c>
      <c r="AY6" s="47" t="str">
        <f>'Таблиця цін схема №2'!DH5</f>
        <v>DN, mm</v>
      </c>
      <c r="AZ6" s="380" t="str">
        <f>'Таблиця цін схема №2'!DI5</f>
        <v>number</v>
      </c>
      <c r="BA6" s="47" t="str">
        <f>'Таблиця цін схема №2'!DL5</f>
        <v>DN, mm</v>
      </c>
      <c r="BB6" s="380" t="str">
        <f>'Таблиця цін схема №2'!DM5</f>
        <v>number</v>
      </c>
      <c r="BC6" s="47" t="str">
        <f>'Таблиця цін схема №2'!DP5</f>
        <v>DN, mm</v>
      </c>
      <c r="BD6" s="380" t="str">
        <f>'Таблиця цін схема №2'!DQ5</f>
        <v>number</v>
      </c>
    </row>
    <row r="7" spans="1:56" ht="13.5" thickBot="1">
      <c r="A7" s="1136"/>
      <c r="B7" s="1136"/>
      <c r="C7" s="49"/>
      <c r="D7" s="7" t="str">
        <f>'Таблиця цін схема №2'!Y6</f>
        <v>pcs.</v>
      </c>
      <c r="E7" s="49"/>
      <c r="F7" s="7" t="str">
        <f>'Таблиця цін схема №2'!AC6</f>
        <v>pcs.</v>
      </c>
      <c r="G7" s="49"/>
      <c r="H7" s="7" t="str">
        <f>'Таблиця цін схема №2'!AG6</f>
        <v>pcs.</v>
      </c>
      <c r="I7" s="49"/>
      <c r="J7" s="7" t="str">
        <f>'Таблиця цін схема №2'!AK6</f>
        <v>pcs.</v>
      </c>
      <c r="K7" s="49"/>
      <c r="L7" s="7" t="str">
        <f>'Таблиця цін схема №2'!AO6</f>
        <v>pcs.</v>
      </c>
      <c r="M7" s="49" t="str">
        <f>'Таблиця цін схема №2'!AR6</f>
        <v>drive</v>
      </c>
      <c r="N7" s="7" t="str">
        <f>'Таблиця цін схема №2'!AS6</f>
        <v>pcs.</v>
      </c>
      <c r="O7" s="49"/>
      <c r="P7" s="43"/>
      <c r="Q7" s="7" t="str">
        <f>'Таблиця цін схема №2'!AX6</f>
        <v>pcs.</v>
      </c>
      <c r="R7" s="49"/>
      <c r="S7" s="43"/>
      <c r="T7" s="7" t="str">
        <f>'Таблиця цін схема №2'!BC6</f>
        <v>pcs.</v>
      </c>
      <c r="U7" s="49" t="str">
        <f>'Таблиця цін схема №2'!BF6</f>
        <v>drive</v>
      </c>
      <c r="V7" s="7" t="str">
        <f>'Таблиця цін схема №2'!BG6</f>
        <v>pcs.</v>
      </c>
      <c r="W7" s="49"/>
      <c r="X7" s="43"/>
      <c r="Y7" s="7" t="str">
        <f>'Таблиця цін схема №2'!BL6</f>
        <v>pcs.</v>
      </c>
      <c r="Z7" s="49"/>
      <c r="AA7" s="43"/>
      <c r="AB7" s="7" t="str">
        <f>'Таблиця цін схема №2'!BQ6</f>
        <v>pcs.</v>
      </c>
      <c r="AC7" s="49"/>
      <c r="AD7" s="43"/>
      <c r="AE7" s="43"/>
      <c r="AF7" s="7" t="str">
        <f>'Таблиця цін схема №2'!BW6</f>
        <v>set.</v>
      </c>
      <c r="AG7" s="49"/>
      <c r="AH7" s="43"/>
      <c r="AI7" s="43"/>
      <c r="AJ7" s="7" t="str">
        <f>'Таблиця цін схема №2'!CC6</f>
        <v>set.</v>
      </c>
      <c r="AK7" s="49" t="str">
        <f>'Таблиця цін схема №2'!CF6</f>
        <v>model</v>
      </c>
      <c r="AL7" s="7" t="str">
        <f>'Таблиця цін схема №2'!CG6</f>
        <v>pcs.</v>
      </c>
      <c r="AM7" s="49"/>
      <c r="AN7" s="7" t="str">
        <f>'Таблиця цін схема №2'!CK6</f>
        <v>pcs.</v>
      </c>
      <c r="AO7" s="49"/>
      <c r="AP7" s="7" t="str">
        <f>'Таблиця цін схема №2'!CO6</f>
        <v>pcs.</v>
      </c>
      <c r="AQ7" s="49"/>
      <c r="AR7" s="1118" t="str">
        <f>'Таблиця цін схема №2'!CS6</f>
        <v>pcs.</v>
      </c>
      <c r="AS7" s="49"/>
      <c r="AT7" s="7" t="str">
        <f>'Таблиця цін схема №2'!CW6</f>
        <v>pcs.</v>
      </c>
      <c r="AU7" s="49"/>
      <c r="AV7" s="7" t="str">
        <f>'Таблиця цін схема №2'!DA6</f>
        <v>pcs.</v>
      </c>
      <c r="AW7" s="49"/>
      <c r="AX7" s="7" t="str">
        <f>'Таблиця цін схема №2'!DE6</f>
        <v>pcs.</v>
      </c>
      <c r="AY7" s="49"/>
      <c r="AZ7" s="7" t="str">
        <f>'Таблиця цін схема №2'!DI6</f>
        <v>pcs.</v>
      </c>
      <c r="BA7" s="49"/>
      <c r="BB7" s="7" t="str">
        <f>'Таблиця цін схема №2'!DM6</f>
        <v>pcs.</v>
      </c>
      <c r="BC7" s="49"/>
      <c r="BD7" s="7" t="str">
        <f>'Таблиця цін схема №2'!DQ6</f>
        <v>pcs.</v>
      </c>
    </row>
    <row r="8" spans="1:56">
      <c r="A8" s="84">
        <f>'Таблиця цін схема №2'!B8</f>
        <v>5</v>
      </c>
      <c r="B8" s="1139" t="str">
        <f>'Таблиця цін схема №2'!C8</f>
        <v>20_3 Korabelov Avenue</v>
      </c>
      <c r="C8" s="1137">
        <f>'Таблиця цін схема №2'!X8</f>
        <v>80</v>
      </c>
      <c r="D8" s="1120">
        <f>'Таблиця цін схема №2'!Y8</f>
        <v>2</v>
      </c>
      <c r="E8" s="1119">
        <f>'Таблиця цін схема №2'!AB8</f>
        <v>80</v>
      </c>
      <c r="F8" s="1120">
        <f>'Таблиця цін схема №2'!AC8</f>
        <v>2</v>
      </c>
      <c r="G8" s="1119">
        <f>'Таблиця цін схема №2'!AF8</f>
        <v>80</v>
      </c>
      <c r="H8" s="1120">
        <f>'Таблиця цін схема №2'!AG8</f>
        <v>1</v>
      </c>
      <c r="I8" s="1119">
        <f>'Таблиця цін схема №2'!AJ8</f>
        <v>50</v>
      </c>
      <c r="J8" s="1120">
        <f>'Таблиця цін схема №2'!AK8</f>
        <v>3</v>
      </c>
      <c r="K8" s="1119">
        <f>'Таблиця цін схема №2'!AN8</f>
        <v>65</v>
      </c>
      <c r="L8" s="1120">
        <f>'Таблиця цін схема №2'!AO8</f>
        <v>4</v>
      </c>
      <c r="M8" s="1119" t="str">
        <f>'Таблиця цін схема №2'!AR8</f>
        <v>AMV20</v>
      </c>
      <c r="N8" s="1120">
        <f>'Таблиця цін схема №2'!AS8</f>
        <v>1</v>
      </c>
      <c r="O8" s="1119">
        <f>'Таблиця цін схема №2'!AV8</f>
        <v>16</v>
      </c>
      <c r="P8" s="1">
        <f>'Таблиця цін схема №2'!AW8</f>
        <v>32</v>
      </c>
      <c r="Q8" s="1120">
        <f>'Таблиця цін схема №2'!AX8</f>
        <v>1</v>
      </c>
      <c r="R8" s="1119">
        <f>'Таблиця цін схема №2'!BA8</f>
        <v>12.5</v>
      </c>
      <c r="S8" s="1">
        <f>'Таблиця цін схема №2'!BB8</f>
        <v>32</v>
      </c>
      <c r="T8" s="1120">
        <f>'Таблиця цін схема №2'!BC8</f>
        <v>1</v>
      </c>
      <c r="U8" s="1119" t="str">
        <f>'Таблиця цін схема №2'!BF8</f>
        <v>AMV33</v>
      </c>
      <c r="V8" s="1120">
        <f>'Таблиця цін схема №2'!BG8</f>
        <v>1</v>
      </c>
      <c r="W8" s="1119">
        <f>'Таблиця цін схема №2'!BJ8</f>
        <v>16</v>
      </c>
      <c r="X8" s="1">
        <f>'Таблиця цін схема №2'!BK8</f>
        <v>32</v>
      </c>
      <c r="Y8" s="1120">
        <f>'Таблиця цін схема №2'!BL8</f>
        <v>1</v>
      </c>
      <c r="Z8" s="1119">
        <f>'Таблиця цін схема №2'!BO8</f>
        <v>20</v>
      </c>
      <c r="AA8" s="1">
        <f>'Таблиця цін схема №2'!BP8</f>
        <v>40</v>
      </c>
      <c r="AB8" s="1120">
        <f>'Таблиця цін схема №2'!BQ8</f>
        <v>1</v>
      </c>
      <c r="AC8" s="1119">
        <f>'Таблиця цін схема №2'!BT8</f>
        <v>40</v>
      </c>
      <c r="AD8" s="1">
        <f>'Таблиця цін схема №2'!BU8</f>
        <v>10</v>
      </c>
      <c r="AE8" s="1" t="str">
        <f>'Таблиця цін схема №2'!BV8</f>
        <v>Pt500</v>
      </c>
      <c r="AF8" s="1120">
        <f>'Таблиця цін схема №2'!BW8</f>
        <v>1</v>
      </c>
      <c r="AG8" s="1119">
        <f>'Таблиця цін схема №2'!BZ8</f>
        <v>40</v>
      </c>
      <c r="AH8" s="1">
        <f>'Таблиця цін схема №2'!CA8</f>
        <v>10</v>
      </c>
      <c r="AI8" s="1" t="str">
        <f>'Таблиця цін схема №2'!CB8</f>
        <v>Pt500</v>
      </c>
      <c r="AJ8" s="1120">
        <f>'Таблиця цін схема №2'!CC8</f>
        <v>1</v>
      </c>
      <c r="AK8" s="1167" t="str">
        <f>'Таблиця цін схема №2'!CF8</f>
        <v>EI-TO-16-023M25HS-364000</v>
      </c>
      <c r="AL8" s="1120">
        <f>'Таблиця цін схема №2'!CG8</f>
        <v>1</v>
      </c>
      <c r="AM8" s="1119">
        <f>'Таблиця цін схема №2'!CJ8</f>
        <v>80</v>
      </c>
      <c r="AN8" s="1120">
        <f>'Таблиця цін схема №2'!CK8</f>
        <v>4</v>
      </c>
      <c r="AO8" s="1119">
        <f>'Таблиця цін схема №2'!CN8</f>
        <v>50</v>
      </c>
      <c r="AP8" s="1120">
        <f>'Таблиця цін схема №2'!CO8</f>
        <v>6</v>
      </c>
      <c r="AQ8" s="1119">
        <f>'Таблиця цін схема №2'!CR8</f>
        <v>32</v>
      </c>
      <c r="AR8" s="1121">
        <f>'Таблиця цін схема №2'!CS8</f>
        <v>3</v>
      </c>
      <c r="AS8" s="1119">
        <f>'Таблиця цін схема №2'!CV8</f>
        <v>65</v>
      </c>
      <c r="AT8" s="1120">
        <f>'Таблиця цін схема №2'!CW8</f>
        <v>4</v>
      </c>
      <c r="AU8" s="1119">
        <f>'Таблиця цін схема №2'!CZ8</f>
        <v>20</v>
      </c>
      <c r="AV8" s="1120">
        <f>'Таблиця цін схема №2'!DA8</f>
        <v>2</v>
      </c>
      <c r="AW8" s="1119">
        <f>'Таблиця цін схема №2'!DD8</f>
        <v>15</v>
      </c>
      <c r="AX8" s="1120">
        <f>'Таблиця цін схема №2'!DE8</f>
        <v>8</v>
      </c>
      <c r="AY8" s="1119">
        <f>'Таблиця цін схема №2'!DH8</f>
        <v>15</v>
      </c>
      <c r="AZ8" s="1120">
        <f>'Таблиця цін схема №2'!DI8</f>
        <v>37</v>
      </c>
      <c r="BA8" s="1119">
        <f>'Таблиця цін схема №2'!DL8</f>
        <v>80</v>
      </c>
      <c r="BB8" s="1120">
        <f>'Таблиця цін схема №2'!DM8</f>
        <v>1</v>
      </c>
      <c r="BC8" s="1119">
        <f>'Таблиця цін схема №2'!DP8</f>
        <v>50</v>
      </c>
      <c r="BD8" s="1120">
        <f>'Таблиця цін схема №2'!DQ8</f>
        <v>1</v>
      </c>
    </row>
    <row r="9" spans="1:56">
      <c r="A9" s="73">
        <f>'Таблиця цін схема №2'!B9</f>
        <v>13</v>
      </c>
      <c r="B9" s="1140" t="str">
        <f>'Таблиця цін схема №2'!C9</f>
        <v>(input 1) 327_2 Bogoyavlenskiy Avenue (Oktyabrskiy)</v>
      </c>
      <c r="C9" s="525">
        <f>'Таблиця цін схема №2'!X9</f>
        <v>50</v>
      </c>
      <c r="D9" s="380">
        <f>'Таблиця цін схема №2'!Y9</f>
        <v>2</v>
      </c>
      <c r="E9" s="47">
        <f>'Таблиця цін схема №2'!AB9</f>
        <v>50</v>
      </c>
      <c r="F9" s="380">
        <f>'Таблиця цін схема №2'!AC9</f>
        <v>2</v>
      </c>
      <c r="G9" s="47">
        <f>'Таблиця цін схема №2'!AF9</f>
        <v>50</v>
      </c>
      <c r="H9" s="517" t="s">
        <v>115</v>
      </c>
      <c r="I9" s="47">
        <f>'Таблиця цін схема №2'!AJ9</f>
        <v>32</v>
      </c>
      <c r="J9" s="380">
        <f>'Таблиця цін схема №2'!AK9</f>
        <v>1</v>
      </c>
      <c r="K9" s="47">
        <f>'Таблиця цін схема №2'!AN9</f>
        <v>40</v>
      </c>
      <c r="L9" s="380">
        <f>'Таблиця цін схема №2'!AO9</f>
        <v>4</v>
      </c>
      <c r="M9" s="47" t="str">
        <f>'Таблиця цін схема №2'!AR9</f>
        <v>AMV20</v>
      </c>
      <c r="N9" s="380">
        <f>'Таблиця цін схема №2'!AS9</f>
        <v>1</v>
      </c>
      <c r="O9" s="47">
        <f>'Таблиця цін схема №2'!AV9</f>
        <v>6.3</v>
      </c>
      <c r="P9" s="379">
        <f>'Таблиця цін схема №2'!AW9</f>
        <v>20</v>
      </c>
      <c r="Q9" s="380">
        <f>'Таблиця цін схема №2'!AX9</f>
        <v>1</v>
      </c>
      <c r="R9" s="47">
        <f>'Таблиця цін схема №2'!BA9</f>
        <v>6.3</v>
      </c>
      <c r="S9" s="379">
        <f>'Таблиця цін схема №2'!BB9</f>
        <v>20</v>
      </c>
      <c r="T9" s="380">
        <f>'Таблиця цін схема №2'!BC9</f>
        <v>1</v>
      </c>
      <c r="U9" s="47" t="str">
        <f>'Таблиця цін схема №2'!BF9</f>
        <v>AMV33</v>
      </c>
      <c r="V9" s="380">
        <f>'Таблиця цін схема №2'!BG9</f>
        <v>1</v>
      </c>
      <c r="W9" s="47">
        <f>'Таблиця цін схема №2'!BJ9</f>
        <v>6.3</v>
      </c>
      <c r="X9" s="379">
        <f>'Таблиця цін схема №2'!BK9</f>
        <v>20</v>
      </c>
      <c r="Y9" s="380">
        <f>'Таблиця цін схема №2'!BL9</f>
        <v>1</v>
      </c>
      <c r="Z9" s="47">
        <f>'Таблиця цін схема №2'!BO9</f>
        <v>6.3</v>
      </c>
      <c r="AA9" s="379">
        <f>'Таблиця цін схема №2'!BP9</f>
        <v>20</v>
      </c>
      <c r="AB9" s="380">
        <f>'Таблиця цін схема №2'!BQ9</f>
        <v>1</v>
      </c>
      <c r="AC9" s="47" t="str">
        <f>'Таблиця цін схема №2'!BT9</f>
        <v>-</v>
      </c>
      <c r="AD9" s="379" t="str">
        <f>'Таблиця цін схема №2'!BU9</f>
        <v>-</v>
      </c>
      <c r="AE9" s="379" t="str">
        <f>'Таблиця цін схема №2'!BV9</f>
        <v>existed</v>
      </c>
      <c r="AF9" s="380">
        <f>'Таблиця цін схема №2'!BW9</f>
        <v>0</v>
      </c>
      <c r="AG9" s="47">
        <f>'Таблиця цін схема №2'!BZ9</f>
        <v>25</v>
      </c>
      <c r="AH9" s="379">
        <f>'Таблиця цін схема №2'!CA9</f>
        <v>3.5</v>
      </c>
      <c r="AI9" s="379" t="str">
        <f>'Таблиця цін схема №2'!CB9</f>
        <v>Pt500</v>
      </c>
      <c r="AJ9" s="380">
        <f>'Таблиця цін схема №2'!CC9</f>
        <v>1</v>
      </c>
      <c r="AK9" s="1168" t="str">
        <f>'Таблиця цін схема №2'!CF9</f>
        <v>ЕІ-ТО-4+035A00HSP-131000</v>
      </c>
      <c r="AL9" s="380">
        <f>'Таблиця цін схема №2'!CG9</f>
        <v>1</v>
      </c>
      <c r="AM9" s="47">
        <f>'Таблиця цін схема №2'!CJ9</f>
        <v>50</v>
      </c>
      <c r="AN9" s="380">
        <f>'Таблиця цін схема №2'!CK9</f>
        <v>4</v>
      </c>
      <c r="AO9" s="47">
        <f>'Таблиця цін схема №2'!CN9</f>
        <v>32</v>
      </c>
      <c r="AP9" s="380">
        <f>'Таблиця цін схема №2'!CO9</f>
        <v>6</v>
      </c>
      <c r="AQ9" s="47">
        <f>'Таблиця цін схема №2'!CR9</f>
        <v>20</v>
      </c>
      <c r="AR9" s="78">
        <f>'Таблиця цін схема №2'!CS9</f>
        <v>3</v>
      </c>
      <c r="AS9" s="47">
        <f>'Таблиця цін схема №2'!CV9</f>
        <v>32</v>
      </c>
      <c r="AT9" s="380">
        <f>'Таблиця цін схема №2'!CW9</f>
        <v>4</v>
      </c>
      <c r="AU9" s="47">
        <f>'Таблиця цін схема №2'!CZ9</f>
        <v>20</v>
      </c>
      <c r="AV9" s="380">
        <f>'Таблиця цін схема №2'!DA9</f>
        <v>2</v>
      </c>
      <c r="AW9" s="47">
        <f>'Таблиця цін схема №2'!DD9</f>
        <v>15</v>
      </c>
      <c r="AX9" s="380">
        <f>'Таблиця цін схема №2'!DE9</f>
        <v>8</v>
      </c>
      <c r="AY9" s="47">
        <f>'Таблиця цін схема №2'!DH9</f>
        <v>15</v>
      </c>
      <c r="AZ9" s="380">
        <f>'Таблиця цін схема №2'!DI9</f>
        <v>37</v>
      </c>
      <c r="BA9" s="47">
        <f>'Таблиця цін схема №2'!DL9</f>
        <v>50</v>
      </c>
      <c r="BB9" s="380">
        <f>'Таблиця цін схема №2'!DM9</f>
        <v>1</v>
      </c>
      <c r="BC9" s="47">
        <f>'Таблиця цін схема №2'!DP9</f>
        <v>32</v>
      </c>
      <c r="BD9" s="380">
        <f>'Таблиця цін схема №2'!DQ9</f>
        <v>1</v>
      </c>
    </row>
    <row r="10" spans="1:56">
      <c r="A10" s="73">
        <f>'Таблиця цін схема №2'!B10</f>
        <v>14</v>
      </c>
      <c r="B10" s="1140" t="str">
        <f>'Таблиця цін схема №2'!C10</f>
        <v>(input 2) 327_2 Bogoyavlenskiy Avenue (Oktyabrskiy)</v>
      </c>
      <c r="C10" s="525">
        <f>'Таблиця цін схема №2'!X10</f>
        <v>50</v>
      </c>
      <c r="D10" s="380">
        <f>'Таблиця цін схема №2'!Y10</f>
        <v>2</v>
      </c>
      <c r="E10" s="47">
        <f>'Таблиця цін схема №2'!AB10</f>
        <v>50</v>
      </c>
      <c r="F10" s="380">
        <f>'Таблиця цін схема №2'!AC10</f>
        <v>2</v>
      </c>
      <c r="G10" s="47">
        <f>'Таблиця цін схема №2'!AF10</f>
        <v>50</v>
      </c>
      <c r="H10" s="517" t="s">
        <v>115</v>
      </c>
      <c r="I10" s="47">
        <f>'Таблиця цін схема №2'!AJ10</f>
        <v>32</v>
      </c>
      <c r="J10" s="380">
        <f>'Таблиця цін схема №2'!AK10</f>
        <v>1</v>
      </c>
      <c r="K10" s="47">
        <f>'Таблиця цін схема №2'!AN10</f>
        <v>40</v>
      </c>
      <c r="L10" s="380">
        <f>'Таблиця цін схема №2'!AO10</f>
        <v>4</v>
      </c>
      <c r="M10" s="47" t="str">
        <f>'Таблиця цін схема №2'!AR10</f>
        <v>AMV20</v>
      </c>
      <c r="N10" s="380">
        <f>'Таблиця цін схема №2'!AS10</f>
        <v>1</v>
      </c>
      <c r="O10" s="47">
        <f>'Таблиця цін схема №2'!AV10</f>
        <v>6.3</v>
      </c>
      <c r="P10" s="379">
        <f>'Таблиця цін схема №2'!AW10</f>
        <v>20</v>
      </c>
      <c r="Q10" s="380">
        <f>'Таблиця цін схема №2'!AX10</f>
        <v>1</v>
      </c>
      <c r="R10" s="47">
        <f>'Таблиця цін схема №2'!BA10</f>
        <v>6.3</v>
      </c>
      <c r="S10" s="379">
        <f>'Таблиця цін схема №2'!BB10</f>
        <v>20</v>
      </c>
      <c r="T10" s="380">
        <f>'Таблиця цін схема №2'!BC10</f>
        <v>1</v>
      </c>
      <c r="U10" s="47" t="str">
        <f>'Таблиця цін схема №2'!BF10</f>
        <v>AMV33</v>
      </c>
      <c r="V10" s="380">
        <f>'Таблиця цін схема №2'!BG10</f>
        <v>1</v>
      </c>
      <c r="W10" s="47">
        <f>'Таблиця цін схема №2'!BJ10</f>
        <v>6.3</v>
      </c>
      <c r="X10" s="379">
        <f>'Таблиця цін схема №2'!BK10</f>
        <v>20</v>
      </c>
      <c r="Y10" s="380">
        <f>'Таблиця цін схема №2'!BL10</f>
        <v>1</v>
      </c>
      <c r="Z10" s="47">
        <f>'Таблиця цін схема №2'!BO10</f>
        <v>6.3</v>
      </c>
      <c r="AA10" s="379">
        <f>'Таблиця цін схема №2'!BP10</f>
        <v>20</v>
      </c>
      <c r="AB10" s="380">
        <f>'Таблиця цін схема №2'!BQ10</f>
        <v>1</v>
      </c>
      <c r="AC10" s="47" t="str">
        <f>'Таблиця цін схема №2'!BT10</f>
        <v>-</v>
      </c>
      <c r="AD10" s="379" t="str">
        <f>'Таблиця цін схема №2'!BU10</f>
        <v>-</v>
      </c>
      <c r="AE10" s="379" t="str">
        <f>'Таблиця цін схема №2'!BV10</f>
        <v>existed</v>
      </c>
      <c r="AF10" s="380">
        <f>'Таблиця цін схема №2'!BW10</f>
        <v>0</v>
      </c>
      <c r="AG10" s="47">
        <f>'Таблиця цін схема №2'!BZ10</f>
        <v>25</v>
      </c>
      <c r="AH10" s="379">
        <f>'Таблиця цін схема №2'!CA10</f>
        <v>3.5</v>
      </c>
      <c r="AI10" s="379" t="str">
        <f>'Таблиця цін схема №2'!CB10</f>
        <v>Pt500</v>
      </c>
      <c r="AJ10" s="380">
        <f>'Таблиця цін схема №2'!CC10</f>
        <v>1</v>
      </c>
      <c r="AK10" s="1168" t="str">
        <f>'Таблиця цін схема №2'!CF10</f>
        <v>ЕІ-ТО-4+035A00HSP-131000</v>
      </c>
      <c r="AL10" s="380">
        <f>'Таблиця цін схема №2'!CG10</f>
        <v>1</v>
      </c>
      <c r="AM10" s="47">
        <f>'Таблиця цін схема №2'!CJ10</f>
        <v>50</v>
      </c>
      <c r="AN10" s="380">
        <f>'Таблиця цін схема №2'!CK10</f>
        <v>4</v>
      </c>
      <c r="AO10" s="47">
        <f>'Таблиця цін схема №2'!CN10</f>
        <v>32</v>
      </c>
      <c r="AP10" s="380">
        <f>'Таблиця цін схема №2'!CO10</f>
        <v>6</v>
      </c>
      <c r="AQ10" s="47">
        <f>'Таблиця цін схема №2'!CR10</f>
        <v>20</v>
      </c>
      <c r="AR10" s="78">
        <f>'Таблиця цін схема №2'!CS10</f>
        <v>3</v>
      </c>
      <c r="AS10" s="47">
        <f>'Таблиця цін схема №2'!CV10</f>
        <v>50</v>
      </c>
      <c r="AT10" s="380">
        <f>'Таблиця цін схема №2'!CW10</f>
        <v>2</v>
      </c>
      <c r="AU10" s="47">
        <f>'Таблиця цін схема №2'!CZ10</f>
        <v>20</v>
      </c>
      <c r="AV10" s="380">
        <f>'Таблиця цін схема №2'!DA10</f>
        <v>2</v>
      </c>
      <c r="AW10" s="47">
        <f>'Таблиця цін схема №2'!DD10</f>
        <v>15</v>
      </c>
      <c r="AX10" s="380">
        <f>'Таблиця цін схема №2'!DE10</f>
        <v>8</v>
      </c>
      <c r="AY10" s="47">
        <f>'Таблиця цін схема №2'!DH10</f>
        <v>15</v>
      </c>
      <c r="AZ10" s="380">
        <f>'Таблиця цін схема №2'!DI10</f>
        <v>35</v>
      </c>
      <c r="BA10" s="47">
        <f>'Таблиця цін схема №2'!DL10</f>
        <v>50</v>
      </c>
      <c r="BB10" s="380">
        <f>'Таблиця цін схема №2'!DM10</f>
        <v>1</v>
      </c>
      <c r="BC10" s="47">
        <f>'Таблиця цін схема №2'!DP10</f>
        <v>32</v>
      </c>
      <c r="BD10" s="380">
        <f>'Таблиця цін схема №2'!DQ10</f>
        <v>1</v>
      </c>
    </row>
    <row r="11" spans="1:56">
      <c r="A11" s="73">
        <f>'Таблиця цін схема №2'!B11</f>
        <v>15</v>
      </c>
      <c r="B11" s="1140" t="str">
        <f>'Таблиця цін схема №2'!C11</f>
        <v>(input 3) 327_2 Bogoyavlenskiy Avenue (Oktyabrskiy)</v>
      </c>
      <c r="C11" s="525">
        <f>'Таблиця цін схема №2'!X11</f>
        <v>50</v>
      </c>
      <c r="D11" s="380">
        <f>'Таблиця цін схема №2'!Y11</f>
        <v>2</v>
      </c>
      <c r="E11" s="47">
        <f>'Таблиця цін схема №2'!AB11</f>
        <v>50</v>
      </c>
      <c r="F11" s="380">
        <f>'Таблиця цін схема №2'!AC11</f>
        <v>2</v>
      </c>
      <c r="G11" s="47">
        <f>'Таблиця цін схема №2'!AF11</f>
        <v>50</v>
      </c>
      <c r="H11" s="380">
        <f>'Таблиця цін схема №2'!AG11</f>
        <v>1</v>
      </c>
      <c r="I11" s="47">
        <f>'Таблиця цін схема №2'!AJ11</f>
        <v>32</v>
      </c>
      <c r="J11" s="380">
        <f>'Таблиця цін схема №2'!AK11</f>
        <v>3</v>
      </c>
      <c r="K11" s="47">
        <f>'Таблиця цін схема №2'!AN11</f>
        <v>40</v>
      </c>
      <c r="L11" s="380">
        <f>'Таблиця цін схема №2'!AO11</f>
        <v>4</v>
      </c>
      <c r="M11" s="47" t="str">
        <f>'Таблиця цін схема №2'!AR11</f>
        <v>AMV20</v>
      </c>
      <c r="N11" s="380">
        <f>'Таблиця цін схема №2'!AS11</f>
        <v>1</v>
      </c>
      <c r="O11" s="47">
        <f>'Таблиця цін схема №2'!AV11</f>
        <v>6.3</v>
      </c>
      <c r="P11" s="379">
        <f>'Таблиця цін схема №2'!AW11</f>
        <v>20</v>
      </c>
      <c r="Q11" s="380">
        <f>'Таблиця цін схема №2'!AX11</f>
        <v>1</v>
      </c>
      <c r="R11" s="47">
        <f>'Таблиця цін схема №2'!BA11</f>
        <v>6.3</v>
      </c>
      <c r="S11" s="379">
        <f>'Таблиця цін схема №2'!BB11</f>
        <v>20</v>
      </c>
      <c r="T11" s="380">
        <f>'Таблиця цін схема №2'!BC11</f>
        <v>1</v>
      </c>
      <c r="U11" s="47" t="str">
        <f>'Таблиця цін схема №2'!BF11</f>
        <v>AMV33</v>
      </c>
      <c r="V11" s="380">
        <f>'Таблиця цін схема №2'!BG11</f>
        <v>1</v>
      </c>
      <c r="W11" s="47">
        <f>'Таблиця цін схема №2'!BJ11</f>
        <v>6.3</v>
      </c>
      <c r="X11" s="379">
        <f>'Таблиця цін схема №2'!BK11</f>
        <v>20</v>
      </c>
      <c r="Y11" s="380">
        <f>'Таблиця цін схема №2'!BL11</f>
        <v>1</v>
      </c>
      <c r="Z11" s="47">
        <f>'Таблиця цін схема №2'!BO11</f>
        <v>6.3</v>
      </c>
      <c r="AA11" s="379">
        <f>'Таблиця цін схема №2'!BP11</f>
        <v>20</v>
      </c>
      <c r="AB11" s="380">
        <f>'Таблиця цін схема №2'!BQ11</f>
        <v>1</v>
      </c>
      <c r="AC11" s="47" t="str">
        <f>'Таблиця цін схема №2'!BT11</f>
        <v>-</v>
      </c>
      <c r="AD11" s="379" t="str">
        <f>'Таблиця цін схема №2'!BU11</f>
        <v>-</v>
      </c>
      <c r="AE11" s="379" t="str">
        <f>'Таблиця цін схема №2'!BV11</f>
        <v>existed</v>
      </c>
      <c r="AF11" s="380">
        <f>'Таблиця цін схема №2'!BW11</f>
        <v>0</v>
      </c>
      <c r="AG11" s="47">
        <f>'Таблиця цін схема №2'!BZ11</f>
        <v>25</v>
      </c>
      <c r="AH11" s="379">
        <f>'Таблиця цін схема №2'!CA11</f>
        <v>3.5</v>
      </c>
      <c r="AI11" s="379" t="str">
        <f>'Таблиця цін схема №2'!CB11</f>
        <v>Pt500</v>
      </c>
      <c r="AJ11" s="380">
        <f>'Таблиця цін схема №2'!CC11</f>
        <v>1</v>
      </c>
      <c r="AK11" s="1168" t="str">
        <f>'Таблиця цін схема №2'!CF11</f>
        <v>ЕІ-ТО-4+035A00HSP-131000</v>
      </c>
      <c r="AL11" s="380">
        <f>'Таблиця цін схема №2'!CG11</f>
        <v>1</v>
      </c>
      <c r="AM11" s="47">
        <f>'Таблиця цін схема №2'!CJ11</f>
        <v>50</v>
      </c>
      <c r="AN11" s="380">
        <f>'Таблиця цін схема №2'!CK11</f>
        <v>4</v>
      </c>
      <c r="AO11" s="47">
        <f>'Таблиця цін схема №2'!CN11</f>
        <v>32</v>
      </c>
      <c r="AP11" s="380">
        <f>'Таблиця цін схема №2'!CO11</f>
        <v>6</v>
      </c>
      <c r="AQ11" s="47">
        <f>'Таблиця цін схема №2'!CR11</f>
        <v>20</v>
      </c>
      <c r="AR11" s="78">
        <f>'Таблиця цін схема №2'!CS11</f>
        <v>3</v>
      </c>
      <c r="AS11" s="47">
        <f>'Таблиця цін схема №2'!CV11</f>
        <v>32</v>
      </c>
      <c r="AT11" s="380">
        <f>'Таблиця цін схема №2'!CW11</f>
        <v>4</v>
      </c>
      <c r="AU11" s="47">
        <f>'Таблиця цін схема №2'!CZ11</f>
        <v>20</v>
      </c>
      <c r="AV11" s="380">
        <f>'Таблиця цін схема №2'!DA11</f>
        <v>2</v>
      </c>
      <c r="AW11" s="47">
        <f>'Таблиця цін схема №2'!DD11</f>
        <v>15</v>
      </c>
      <c r="AX11" s="380">
        <f>'Таблиця цін схема №2'!DE11</f>
        <v>8</v>
      </c>
      <c r="AY11" s="47">
        <f>'Таблиця цін схема №2'!DH11</f>
        <v>15</v>
      </c>
      <c r="AZ11" s="380">
        <f>'Таблиця цін схема №2'!DI11</f>
        <v>37</v>
      </c>
      <c r="BA11" s="47">
        <f>'Таблиця цін схема №2'!DL11</f>
        <v>50</v>
      </c>
      <c r="BB11" s="380">
        <f>'Таблиця цін схема №2'!DM11</f>
        <v>1</v>
      </c>
      <c r="BC11" s="47">
        <f>'Таблиця цін схема №2'!DP11</f>
        <v>32</v>
      </c>
      <c r="BD11" s="380">
        <f>'Таблиця цін схема №2'!DQ11</f>
        <v>1</v>
      </c>
    </row>
    <row r="12" spans="1:56">
      <c r="A12" s="73">
        <f>'Таблиця цін схема №2'!B12</f>
        <v>16</v>
      </c>
      <c r="B12" s="1140" t="str">
        <f>'Таблиця цін схема №2'!C12</f>
        <v>338 Bogoyavlenskiy Avenue (Oktyabrskiy)</v>
      </c>
      <c r="C12" s="525">
        <f>'Таблиця цін схема №2'!X12</f>
        <v>65</v>
      </c>
      <c r="D12" s="380">
        <f>'Таблиця цін схема №2'!Y12</f>
        <v>2</v>
      </c>
      <c r="E12" s="47">
        <f>'Таблиця цін схема №2'!AB12</f>
        <v>65</v>
      </c>
      <c r="F12" s="380">
        <f>'Таблиця цін схема №2'!AC12</f>
        <v>2</v>
      </c>
      <c r="G12" s="47">
        <f>'Таблиця цін схема №2'!AF12</f>
        <v>65</v>
      </c>
      <c r="H12" s="517" t="s">
        <v>115</v>
      </c>
      <c r="I12" s="47">
        <f>'Таблиця цін схема №2'!AJ12</f>
        <v>50</v>
      </c>
      <c r="J12" s="380">
        <f>'Таблиця цін схема №2'!AK12</f>
        <v>1</v>
      </c>
      <c r="K12" s="47">
        <f>'Таблиця цін схема №2'!AN12</f>
        <v>50</v>
      </c>
      <c r="L12" s="380">
        <f>'Таблиця цін схема №2'!AO12</f>
        <v>4</v>
      </c>
      <c r="M12" s="47" t="str">
        <f>'Таблиця цін схема №2'!AR12</f>
        <v>AMV20</v>
      </c>
      <c r="N12" s="380">
        <f>'Таблиця цін схема №2'!AS12</f>
        <v>1</v>
      </c>
      <c r="O12" s="47">
        <f>'Таблиця цін схема №2'!AV12</f>
        <v>16</v>
      </c>
      <c r="P12" s="379">
        <f>'Таблиця цін схема №2'!AW12</f>
        <v>32</v>
      </c>
      <c r="Q12" s="380">
        <f>'Таблиця цін схема №2'!AX12</f>
        <v>1</v>
      </c>
      <c r="R12" s="47">
        <f>'Таблиця цін схема №2'!BA12</f>
        <v>12.5</v>
      </c>
      <c r="S12" s="379">
        <f>'Таблиця цін схема №2'!BB12</f>
        <v>32</v>
      </c>
      <c r="T12" s="380">
        <f>'Таблиця цін схема №2'!BC12</f>
        <v>1</v>
      </c>
      <c r="U12" s="47" t="str">
        <f>'Таблиця цін схема №2'!BF12</f>
        <v>AMV33</v>
      </c>
      <c r="V12" s="380">
        <f>'Таблиця цін схема №2'!BG12</f>
        <v>1</v>
      </c>
      <c r="W12" s="47">
        <f>'Таблиця цін схема №2'!BJ12</f>
        <v>16</v>
      </c>
      <c r="X12" s="379">
        <f>'Таблиця цін схема №2'!BK12</f>
        <v>32</v>
      </c>
      <c r="Y12" s="380">
        <f>'Таблиця цін схема №2'!BL12</f>
        <v>1</v>
      </c>
      <c r="Z12" s="47">
        <f>'Таблиця цін схема №2'!BO12</f>
        <v>20</v>
      </c>
      <c r="AA12" s="379">
        <f>'Таблиця цін схема №2'!BP12</f>
        <v>40</v>
      </c>
      <c r="AB12" s="380">
        <f>'Таблиця цін схема №2'!BQ12</f>
        <v>1</v>
      </c>
      <c r="AC12" s="47" t="str">
        <f>'Таблиця цін схема №2'!BT12</f>
        <v>-</v>
      </c>
      <c r="AD12" s="379" t="str">
        <f>'Таблиця цін схема №2'!BU12</f>
        <v>-</v>
      </c>
      <c r="AE12" s="379" t="str">
        <f>'Таблиця цін схема №2'!BV12</f>
        <v>existed</v>
      </c>
      <c r="AF12" s="380">
        <f>'Таблиця цін схема №2'!BW12</f>
        <v>0</v>
      </c>
      <c r="AG12" s="47">
        <f>'Таблиця цін схема №2'!BZ12</f>
        <v>40</v>
      </c>
      <c r="AH12" s="379">
        <f>'Таблиця цін схема №2'!CA12</f>
        <v>10</v>
      </c>
      <c r="AI12" s="379" t="str">
        <f>'Таблиця цін схема №2'!CB12</f>
        <v>Pt500</v>
      </c>
      <c r="AJ12" s="380">
        <f>'Таблиця цін схема №2'!CC12</f>
        <v>1</v>
      </c>
      <c r="AK12" s="1168" t="str">
        <f>'Таблиця цін схема №2'!CF12</f>
        <v>EI-TO-16+021M30HS-310000</v>
      </c>
      <c r="AL12" s="380">
        <f>'Таблиця цін схема №2'!CG12</f>
        <v>1</v>
      </c>
      <c r="AM12" s="47">
        <f>'Таблиця цін схема №2'!CJ12</f>
        <v>80</v>
      </c>
      <c r="AN12" s="380">
        <f>'Таблиця цін схема №2'!CK12</f>
        <v>4</v>
      </c>
      <c r="AO12" s="47">
        <f>'Таблиця цін схема №2'!CN12</f>
        <v>50</v>
      </c>
      <c r="AP12" s="380">
        <f>'Таблиця цін схема №2'!CO12</f>
        <v>6</v>
      </c>
      <c r="AQ12" s="47">
        <f>'Таблиця цін схема №2'!CR12</f>
        <v>32</v>
      </c>
      <c r="AR12" s="78">
        <f>'Таблиця цін схема №2'!CS12</f>
        <v>3</v>
      </c>
      <c r="AS12" s="47">
        <f>'Таблиця цін схема №2'!CV12</f>
        <v>80</v>
      </c>
      <c r="AT12" s="380">
        <f>'Таблиця цін схема №2'!CW12</f>
        <v>2</v>
      </c>
      <c r="AU12" s="47">
        <f>'Таблиця цін схема №2'!CZ12</f>
        <v>20</v>
      </c>
      <c r="AV12" s="380">
        <f>'Таблиця цін схема №2'!DA12</f>
        <v>2</v>
      </c>
      <c r="AW12" s="47">
        <f>'Таблиця цін схема №2'!DD12</f>
        <v>15</v>
      </c>
      <c r="AX12" s="380">
        <f>'Таблиця цін схема №2'!DE12</f>
        <v>8</v>
      </c>
      <c r="AY12" s="47">
        <f>'Таблиця цін схема №2'!DH12</f>
        <v>15</v>
      </c>
      <c r="AZ12" s="380">
        <f>'Таблиця цін схема №2'!DI12</f>
        <v>35</v>
      </c>
      <c r="BA12" s="47">
        <f>'Таблиця цін схема №2'!DL12</f>
        <v>80</v>
      </c>
      <c r="BB12" s="380">
        <f>'Таблиця цін схема №2'!DM12</f>
        <v>1</v>
      </c>
      <c r="BC12" s="47">
        <f>'Таблиця цін схема №2'!DP12</f>
        <v>50</v>
      </c>
      <c r="BD12" s="380">
        <f>'Таблиця цін схема №2'!DQ12</f>
        <v>1</v>
      </c>
    </row>
    <row r="13" spans="1:56">
      <c r="A13" s="73">
        <f>'Таблиця цін схема №2'!B13</f>
        <v>17</v>
      </c>
      <c r="B13" s="1140" t="str">
        <f>'Таблиця цін схема №2'!C13</f>
        <v>340 Bogoyavlenskiy Avenue (Oktyabrskiy)</v>
      </c>
      <c r="C13" s="525">
        <f>'Таблиця цін схема №2'!X13</f>
        <v>65</v>
      </c>
      <c r="D13" s="380">
        <f>'Таблиця цін схема №2'!Y13</f>
        <v>2</v>
      </c>
      <c r="E13" s="47">
        <f>'Таблиця цін схема №2'!AB13</f>
        <v>65</v>
      </c>
      <c r="F13" s="380">
        <f>'Таблиця цін схема №2'!AC13</f>
        <v>2</v>
      </c>
      <c r="G13" s="47">
        <f>'Таблиця цін схема №2'!AF13</f>
        <v>65</v>
      </c>
      <c r="H13" s="517" t="s">
        <v>115</v>
      </c>
      <c r="I13" s="47">
        <f>'Таблиця цін схема №2'!AJ13</f>
        <v>40</v>
      </c>
      <c r="J13" s="380">
        <f>'Таблиця цін схема №2'!AK13</f>
        <v>1</v>
      </c>
      <c r="K13" s="47">
        <f>'Таблиця цін схема №2'!AN13</f>
        <v>50</v>
      </c>
      <c r="L13" s="380">
        <f>'Таблиця цін схема №2'!AO13</f>
        <v>4</v>
      </c>
      <c r="M13" s="47" t="str">
        <f>'Таблиця цін схема №2'!AR13</f>
        <v>AMV20</v>
      </c>
      <c r="N13" s="380">
        <f>'Таблиця цін схема №2'!AS13</f>
        <v>1</v>
      </c>
      <c r="O13" s="47">
        <f>'Таблиця цін схема №2'!AV13</f>
        <v>10</v>
      </c>
      <c r="P13" s="379">
        <f>'Таблиця цін схема №2'!AW13</f>
        <v>25</v>
      </c>
      <c r="Q13" s="380">
        <f>'Таблиця цін схема №2'!AX13</f>
        <v>1</v>
      </c>
      <c r="R13" s="47">
        <f>'Таблиця цін схема №2'!BA13</f>
        <v>12.5</v>
      </c>
      <c r="S13" s="379">
        <f>'Таблиця цін схема №2'!BB13</f>
        <v>32</v>
      </c>
      <c r="T13" s="380">
        <f>'Таблиця цін схема №2'!BC13</f>
        <v>1</v>
      </c>
      <c r="U13" s="47" t="str">
        <f>'Таблиця цін схема №2'!BF13</f>
        <v>AMV33</v>
      </c>
      <c r="V13" s="380">
        <f>'Таблиця цін схема №2'!BG13</f>
        <v>1</v>
      </c>
      <c r="W13" s="47">
        <f>'Таблиця цін схема №2'!BJ13</f>
        <v>16</v>
      </c>
      <c r="X13" s="379">
        <f>'Таблиця цін схема №2'!BK13</f>
        <v>32</v>
      </c>
      <c r="Y13" s="380">
        <f>'Таблиця цін схема №2'!BL13</f>
        <v>1</v>
      </c>
      <c r="Z13" s="47">
        <f>'Таблиця цін схема №2'!BO13</f>
        <v>12.5</v>
      </c>
      <c r="AA13" s="379">
        <f>'Таблиця цін схема №2'!BP13</f>
        <v>32</v>
      </c>
      <c r="AB13" s="380">
        <f>'Таблиця цін схема №2'!BQ13</f>
        <v>1</v>
      </c>
      <c r="AC13" s="47" t="str">
        <f>'Таблиця цін схема №2'!BT13</f>
        <v>-</v>
      </c>
      <c r="AD13" s="379" t="str">
        <f>'Таблиця цін схема №2'!BU13</f>
        <v>-</v>
      </c>
      <c r="AE13" s="379" t="str">
        <f>'Таблиця цін схема №2'!BV13</f>
        <v>existed</v>
      </c>
      <c r="AF13" s="380">
        <f>'Таблиця цін схема №2'!BW13</f>
        <v>0</v>
      </c>
      <c r="AG13" s="47">
        <f>'Таблиця цін схема №2'!BZ13</f>
        <v>40</v>
      </c>
      <c r="AH13" s="379">
        <f>'Таблиця цін схема №2'!CA13</f>
        <v>10</v>
      </c>
      <c r="AI13" s="379" t="str">
        <f>'Таблиця цін схема №2'!CB13</f>
        <v>Pt500</v>
      </c>
      <c r="AJ13" s="380">
        <f>'Таблиця цін схема №2'!CC13</f>
        <v>1</v>
      </c>
      <c r="AK13" s="1168" t="str">
        <f>'Таблиця цін схема №2'!CF13</f>
        <v>EI-TO-16+017M30HS-240000</v>
      </c>
      <c r="AL13" s="380">
        <f>'Таблиця цін схема №2'!CG13</f>
        <v>1</v>
      </c>
      <c r="AM13" s="47">
        <f>'Таблиця цін схема №2'!CJ13</f>
        <v>65</v>
      </c>
      <c r="AN13" s="380">
        <f>'Таблиця цін схема №2'!CK13</f>
        <v>4</v>
      </c>
      <c r="AO13" s="47">
        <f>'Таблиця цін схема №2'!CN13</f>
        <v>40</v>
      </c>
      <c r="AP13" s="380">
        <f>'Таблиця цін схема №2'!CO13</f>
        <v>6</v>
      </c>
      <c r="AQ13" s="47">
        <f>'Таблиця цін схема №2'!CR13</f>
        <v>25</v>
      </c>
      <c r="AR13" s="78">
        <f>'Таблиця цін схема №2'!CS13</f>
        <v>3</v>
      </c>
      <c r="AS13" s="47">
        <f>'Таблиця цін схема №2'!CV13</f>
        <v>65</v>
      </c>
      <c r="AT13" s="380">
        <f>'Таблиця цін схема №2'!CW13</f>
        <v>2</v>
      </c>
      <c r="AU13" s="47">
        <f>'Таблиця цін схема №2'!CZ13</f>
        <v>20</v>
      </c>
      <c r="AV13" s="380">
        <f>'Таблиця цін схема №2'!DA13</f>
        <v>2</v>
      </c>
      <c r="AW13" s="47">
        <f>'Таблиця цін схема №2'!DD13</f>
        <v>15</v>
      </c>
      <c r="AX13" s="380">
        <f>'Таблиця цін схема №2'!DE13</f>
        <v>8</v>
      </c>
      <c r="AY13" s="47">
        <f>'Таблиця цін схема №2'!DH13</f>
        <v>15</v>
      </c>
      <c r="AZ13" s="380">
        <f>'Таблиця цін схема №2'!DI13</f>
        <v>35</v>
      </c>
      <c r="BA13" s="47">
        <f>'Таблиця цін схема №2'!DL13</f>
        <v>65</v>
      </c>
      <c r="BB13" s="380">
        <f>'Таблиця цін схема №2'!DM13</f>
        <v>1</v>
      </c>
      <c r="BC13" s="47">
        <f>'Таблиця цін схема №2'!DP13</f>
        <v>40</v>
      </c>
      <c r="BD13" s="380">
        <f>'Таблиця цін схема №2'!DQ13</f>
        <v>1</v>
      </c>
    </row>
    <row r="14" spans="1:56">
      <c r="A14" s="73">
        <f>'Таблиця цін схема №2'!B14</f>
        <v>18</v>
      </c>
      <c r="B14" s="1140" t="str">
        <f>'Таблиця цін схема №2'!C14</f>
        <v>340_1 Bogoyavlenskiy Avenue (Oktyabrskiy)</v>
      </c>
      <c r="C14" s="525">
        <f>'Таблиця цін схема №2'!X14</f>
        <v>80</v>
      </c>
      <c r="D14" s="380">
        <f>'Таблиця цін схема №2'!Y14</f>
        <v>2</v>
      </c>
      <c r="E14" s="47">
        <f>'Таблиця цін схема №2'!AB14</f>
        <v>80</v>
      </c>
      <c r="F14" s="380">
        <f>'Таблиця цін схема №2'!AC14</f>
        <v>2</v>
      </c>
      <c r="G14" s="47">
        <f>'Таблиця цін схема №2'!AF14</f>
        <v>80</v>
      </c>
      <c r="H14" s="517" t="s">
        <v>115</v>
      </c>
      <c r="I14" s="47">
        <f>'Таблиця цін схема №2'!AJ14</f>
        <v>50</v>
      </c>
      <c r="J14" s="380">
        <f>'Таблиця цін схема №2'!AK14</f>
        <v>1</v>
      </c>
      <c r="K14" s="47">
        <f>'Таблиця цін схема №2'!AN14</f>
        <v>65</v>
      </c>
      <c r="L14" s="380">
        <f>'Таблиця цін схема №2'!AO14</f>
        <v>4</v>
      </c>
      <c r="M14" s="47" t="str">
        <f>'Таблиця цін схема №2'!AR14</f>
        <v>AMV20</v>
      </c>
      <c r="N14" s="380">
        <f>'Таблиця цін схема №2'!AS14</f>
        <v>1</v>
      </c>
      <c r="O14" s="47">
        <f>'Таблиця цін схема №2'!AV14</f>
        <v>16</v>
      </c>
      <c r="P14" s="379">
        <f>'Таблиця цін схема №2'!AW14</f>
        <v>32</v>
      </c>
      <c r="Q14" s="380">
        <f>'Таблиця цін схема №2'!AX14</f>
        <v>1</v>
      </c>
      <c r="R14" s="47">
        <f>'Таблиця цін схема №2'!BA14</f>
        <v>12.5</v>
      </c>
      <c r="S14" s="379">
        <f>'Таблиця цін схема №2'!BB14</f>
        <v>32</v>
      </c>
      <c r="T14" s="380">
        <f>'Таблиця цін схема №2'!BC14</f>
        <v>1</v>
      </c>
      <c r="U14" s="47" t="str">
        <f>'Таблиця цін схема №2'!BF14</f>
        <v>AMV33</v>
      </c>
      <c r="V14" s="380">
        <f>'Таблиця цін схема №2'!BG14</f>
        <v>1</v>
      </c>
      <c r="W14" s="47">
        <f>'Таблиця цін схема №2'!BJ14</f>
        <v>25</v>
      </c>
      <c r="X14" s="379">
        <f>'Таблиця цін схема №2'!BK14</f>
        <v>40</v>
      </c>
      <c r="Y14" s="380">
        <f>'Таблиця цін схема №2'!BL14</f>
        <v>1</v>
      </c>
      <c r="Z14" s="47">
        <f>'Таблиця цін схема №2'!BO14</f>
        <v>20</v>
      </c>
      <c r="AA14" s="379">
        <f>'Таблиця цін схема №2'!BP14</f>
        <v>40</v>
      </c>
      <c r="AB14" s="380">
        <f>'Таблиця цін схема №2'!BQ14</f>
        <v>1</v>
      </c>
      <c r="AC14" s="47" t="str">
        <f>'Таблиця цін схема №2'!BT14</f>
        <v>-</v>
      </c>
      <c r="AD14" s="379" t="str">
        <f>'Таблиця цін схема №2'!BU14</f>
        <v>-</v>
      </c>
      <c r="AE14" s="379" t="str">
        <f>'Таблиця цін схема №2'!BV14</f>
        <v>existed</v>
      </c>
      <c r="AF14" s="380">
        <f>'Таблиця цін схема №2'!BW14</f>
        <v>0</v>
      </c>
      <c r="AG14" s="47">
        <f>'Таблиця цін схема №2'!BZ14</f>
        <v>40</v>
      </c>
      <c r="AH14" s="379">
        <f>'Таблиця цін схема №2'!CA14</f>
        <v>10</v>
      </c>
      <c r="AI14" s="379" t="str">
        <f>'Таблиця цін схема №2'!CB14</f>
        <v>Pt500</v>
      </c>
      <c r="AJ14" s="380">
        <f>'Таблиця цін схема №2'!CC14</f>
        <v>1</v>
      </c>
      <c r="AK14" s="1168" t="str">
        <f>'Таблиця цін схема №2'!CF14</f>
        <v>EI-TO-16+023M25HS-370000</v>
      </c>
      <c r="AL14" s="380">
        <f>'Таблиця цін схема №2'!CG14</f>
        <v>1</v>
      </c>
      <c r="AM14" s="47">
        <f>'Таблиця цін схема №2'!CJ14</f>
        <v>80</v>
      </c>
      <c r="AN14" s="380">
        <f>'Таблиця цін схема №2'!CK14</f>
        <v>4</v>
      </c>
      <c r="AO14" s="47">
        <f>'Таблиця цін схема №2'!CN14</f>
        <v>50</v>
      </c>
      <c r="AP14" s="380">
        <f>'Таблиця цін схема №2'!CO14</f>
        <v>6</v>
      </c>
      <c r="AQ14" s="47">
        <f>'Таблиця цін схема №2'!CR14</f>
        <v>32</v>
      </c>
      <c r="AR14" s="78">
        <f>'Таблиця цін схема №2'!CS14</f>
        <v>3</v>
      </c>
      <c r="AS14" s="47">
        <f>'Таблиця цін схема №2'!CV14</f>
        <v>65</v>
      </c>
      <c r="AT14" s="380">
        <f>'Таблиця цін схема №2'!CW14</f>
        <v>4</v>
      </c>
      <c r="AU14" s="47">
        <f>'Таблиця цін схема №2'!CZ14</f>
        <v>20</v>
      </c>
      <c r="AV14" s="380">
        <f>'Таблиця цін схема №2'!DA14</f>
        <v>2</v>
      </c>
      <c r="AW14" s="47">
        <f>'Таблиця цін схема №2'!DD14</f>
        <v>15</v>
      </c>
      <c r="AX14" s="380">
        <f>'Таблиця цін схема №2'!DE14</f>
        <v>8</v>
      </c>
      <c r="AY14" s="47">
        <f>'Таблиця цін схема №2'!DH14</f>
        <v>15</v>
      </c>
      <c r="AZ14" s="380">
        <f>'Таблиця цін схема №2'!DI14</f>
        <v>37</v>
      </c>
      <c r="BA14" s="47">
        <f>'Таблиця цін схема №2'!DL14</f>
        <v>80</v>
      </c>
      <c r="BB14" s="380">
        <f>'Таблиця цін схема №2'!DM14</f>
        <v>1</v>
      </c>
      <c r="BC14" s="47">
        <f>'Таблиця цін схема №2'!DP14</f>
        <v>50</v>
      </c>
      <c r="BD14" s="380">
        <f>'Таблиця цін схема №2'!DQ14</f>
        <v>1</v>
      </c>
    </row>
    <row r="15" spans="1:56">
      <c r="A15" s="73">
        <f>'Таблиця цін схема №2'!B15</f>
        <v>19</v>
      </c>
      <c r="B15" s="1140" t="str">
        <f>'Таблиця цін схема №2'!C15</f>
        <v>340_2 Bogoyavlenskiy Avenue (Oktyabrskiy)</v>
      </c>
      <c r="C15" s="525">
        <f>'Таблиця цін схема №2'!X15</f>
        <v>100</v>
      </c>
      <c r="D15" s="380">
        <f>'Таблиця цін схема №2'!Y15</f>
        <v>2</v>
      </c>
      <c r="E15" s="47">
        <f>'Таблиця цін схема №2'!AB15</f>
        <v>100</v>
      </c>
      <c r="F15" s="380">
        <f>'Таблиця цін схема №2'!AC15</f>
        <v>2</v>
      </c>
      <c r="G15" s="47">
        <f>'Таблиця цін схема №2'!AF15</f>
        <v>100</v>
      </c>
      <c r="H15" s="380">
        <f>'Таблиця цін схема №2'!AG15</f>
        <v>1</v>
      </c>
      <c r="I15" s="47">
        <f>'Таблиця цін схема №2'!AJ15</f>
        <v>65</v>
      </c>
      <c r="J15" s="380">
        <f>'Таблиця цін схема №2'!AK15</f>
        <v>3</v>
      </c>
      <c r="K15" s="47">
        <f>'Таблиця цін схема №2'!AN15</f>
        <v>80</v>
      </c>
      <c r="L15" s="380">
        <f>'Таблиця цін схема №2'!AO15</f>
        <v>4</v>
      </c>
      <c r="M15" s="47" t="str">
        <f>'Таблиця цін схема №2'!AR15</f>
        <v>AMV20</v>
      </c>
      <c r="N15" s="380">
        <f>'Таблиця цін схема №2'!AS15</f>
        <v>1</v>
      </c>
      <c r="O15" s="47">
        <f>'Таблиця цін схема №2'!AV15</f>
        <v>25</v>
      </c>
      <c r="P15" s="379">
        <f>'Таблиця цін схема №2'!AW15</f>
        <v>40</v>
      </c>
      <c r="Q15" s="380">
        <f>'Таблиця цін схема №2'!AX15</f>
        <v>1</v>
      </c>
      <c r="R15" s="47">
        <f>'Таблиця цін схема №2'!BA15</f>
        <v>32</v>
      </c>
      <c r="S15" s="379">
        <f>'Таблиця цін схема №2'!BB15</f>
        <v>50</v>
      </c>
      <c r="T15" s="380">
        <f>'Таблиця цін схема №2'!BC15</f>
        <v>1</v>
      </c>
      <c r="U15" s="47" t="str">
        <f>'Таблиця цін схема №2'!BF15</f>
        <v>AMV33</v>
      </c>
      <c r="V15" s="380">
        <f>'Таблиця цін схема №2'!BG15</f>
        <v>1</v>
      </c>
      <c r="W15" s="47">
        <f>'Таблиця цін схема №2'!BJ15</f>
        <v>40</v>
      </c>
      <c r="X15" s="379">
        <f>'Таблиця цін схема №2'!BK15</f>
        <v>50</v>
      </c>
      <c r="Y15" s="380">
        <f>'Таблиця цін схема №2'!BL15</f>
        <v>1</v>
      </c>
      <c r="Z15" s="47">
        <f>'Таблиця цін схема №2'!BO15</f>
        <v>32</v>
      </c>
      <c r="AA15" s="379">
        <f>'Таблиця цін схема №2'!BP15</f>
        <v>50</v>
      </c>
      <c r="AB15" s="380">
        <f>'Таблиця цін схема №2'!BQ15</f>
        <v>1</v>
      </c>
      <c r="AC15" s="47">
        <f>'Таблиця цін схема №2'!BT15</f>
        <v>50</v>
      </c>
      <c r="AD15" s="379">
        <f>'Таблиця цін схема №2'!BU15</f>
        <v>15</v>
      </c>
      <c r="AE15" s="379" t="str">
        <f>'Таблиця цін схема №2'!BV15</f>
        <v>Pt500</v>
      </c>
      <c r="AF15" s="380">
        <f>'Таблиця цін схема №2'!BW15</f>
        <v>1</v>
      </c>
      <c r="AG15" s="47">
        <f>'Таблиця цін схема №2'!BZ15</f>
        <v>65</v>
      </c>
      <c r="AH15" s="379">
        <f>'Таблиця цін схема №2'!CA15</f>
        <v>25</v>
      </c>
      <c r="AI15" s="379" t="str">
        <f>'Таблиця цін схема №2'!CB15</f>
        <v>Pt500</v>
      </c>
      <c r="AJ15" s="380">
        <f>'Таблиця цін схема №2'!CC15</f>
        <v>1</v>
      </c>
      <c r="AK15" s="1168" t="str">
        <f>'Таблиця цін схема №2'!CF15</f>
        <v>EI-TO-16+045M25HS-677000</v>
      </c>
      <c r="AL15" s="380">
        <f>'Таблиця цін схема №2'!CG15</f>
        <v>1</v>
      </c>
      <c r="AM15" s="47">
        <f>'Таблиця цін схема №2'!CJ15</f>
        <v>100</v>
      </c>
      <c r="AN15" s="380">
        <f>'Таблиця цін схема №2'!CK15</f>
        <v>4</v>
      </c>
      <c r="AO15" s="47">
        <f>'Таблиця цін схема №2'!CN15</f>
        <v>80</v>
      </c>
      <c r="AP15" s="380">
        <f>'Таблиця цін схема №2'!CO15</f>
        <v>6</v>
      </c>
      <c r="AQ15" s="47">
        <f>'Таблиця цін схема №2'!CR15</f>
        <v>50</v>
      </c>
      <c r="AR15" s="78">
        <f>'Таблиця цін схема №2'!CS15</f>
        <v>3</v>
      </c>
      <c r="AS15" s="47">
        <f>'Таблиця цін схема №2'!CV15</f>
        <v>40</v>
      </c>
      <c r="AT15" s="380">
        <f>'Таблиця цін схема №2'!CW15</f>
        <v>16</v>
      </c>
      <c r="AU15" s="47">
        <f>'Таблиця цін схема №2'!CZ15</f>
        <v>20</v>
      </c>
      <c r="AV15" s="380">
        <f>'Таблиця цін схема №2'!DA15</f>
        <v>2</v>
      </c>
      <c r="AW15" s="47">
        <f>'Таблиця цін схема №2'!DD15</f>
        <v>15</v>
      </c>
      <c r="AX15" s="380">
        <f>'Таблиця цін схема №2'!DE15</f>
        <v>8</v>
      </c>
      <c r="AY15" s="47">
        <f>'Таблиця цін схема №2'!DH15</f>
        <v>15</v>
      </c>
      <c r="AZ15" s="380">
        <f>'Таблиця цін схема №2'!DI15</f>
        <v>43</v>
      </c>
      <c r="BA15" s="47">
        <f>'Таблиця цін схема №2'!DL15</f>
        <v>100</v>
      </c>
      <c r="BB15" s="380">
        <f>'Таблиця цін схема №2'!DM15</f>
        <v>1</v>
      </c>
      <c r="BC15" s="47">
        <f>'Таблиця цін схема №2'!DP15</f>
        <v>80</v>
      </c>
      <c r="BD15" s="380">
        <f>'Таблиця цін схема №2'!DQ15</f>
        <v>1</v>
      </c>
    </row>
    <row r="16" spans="1:56">
      <c r="A16" s="73">
        <f>'Таблиця цін схема №2'!B16</f>
        <v>32</v>
      </c>
      <c r="B16" s="1140" t="str">
        <f>'Таблиця цін схема №2'!C16</f>
        <v xml:space="preserve">22 Okeanovskaya (Artema) Street </v>
      </c>
      <c r="C16" s="525">
        <f>'Таблиця цін схема №2'!X16</f>
        <v>100</v>
      </c>
      <c r="D16" s="380">
        <f>'Таблиця цін схема №2'!Y16</f>
        <v>2</v>
      </c>
      <c r="E16" s="47">
        <f>'Таблиця цін схема №2'!AB16</f>
        <v>100</v>
      </c>
      <c r="F16" s="380">
        <f>'Таблиця цін схема №2'!AC16</f>
        <v>2</v>
      </c>
      <c r="G16" s="47">
        <f>'Таблиця цін схема №2'!AF16</f>
        <v>100</v>
      </c>
      <c r="H16" s="517" t="s">
        <v>115</v>
      </c>
      <c r="I16" s="47">
        <f>'Таблиця цін схема №2'!AJ16</f>
        <v>65</v>
      </c>
      <c r="J16" s="380">
        <f>'Таблиця цін схема №2'!AK16</f>
        <v>1</v>
      </c>
      <c r="K16" s="47">
        <f>'Таблиця цін схема №2'!AN16</f>
        <v>80</v>
      </c>
      <c r="L16" s="380">
        <f>'Таблиця цін схема №2'!AO16</f>
        <v>4</v>
      </c>
      <c r="M16" s="47" t="str">
        <f>'Таблиця цін схема №2'!AR16</f>
        <v>AMV20</v>
      </c>
      <c r="N16" s="380">
        <f>'Таблиця цін схема №2'!AS16</f>
        <v>1</v>
      </c>
      <c r="O16" s="47">
        <f>'Таблиця цін схема №2'!AV16</f>
        <v>25</v>
      </c>
      <c r="P16" s="379">
        <f>'Таблиця цін схема №2'!AW16</f>
        <v>40</v>
      </c>
      <c r="Q16" s="380">
        <f>'Таблиця цін схема №2'!AX16</f>
        <v>1</v>
      </c>
      <c r="R16" s="47">
        <f>'Таблиця цін схема №2'!BA16</f>
        <v>20</v>
      </c>
      <c r="S16" s="379">
        <f>'Таблиця цін схема №2'!BB16</f>
        <v>50</v>
      </c>
      <c r="T16" s="380">
        <f>'Таблиця цін схема №2'!BC16</f>
        <v>1</v>
      </c>
      <c r="U16" s="47" t="str">
        <f>'Таблиця цін схема №2'!BF16</f>
        <v>AMV33</v>
      </c>
      <c r="V16" s="380">
        <f>'Таблиця цін схема №2'!BG16</f>
        <v>1</v>
      </c>
      <c r="W16" s="47">
        <f>'Таблиця цін схема №2'!BJ16</f>
        <v>40</v>
      </c>
      <c r="X16" s="379">
        <f>'Таблиця цін схема №2'!BK16</f>
        <v>50</v>
      </c>
      <c r="Y16" s="380">
        <f>'Таблиця цін схема №2'!BL16</f>
        <v>1</v>
      </c>
      <c r="Z16" s="47">
        <f>'Таблиця цін схема №2'!BO16</f>
        <v>32</v>
      </c>
      <c r="AA16" s="379">
        <f>'Таблиця цін схема №2'!BP16</f>
        <v>50</v>
      </c>
      <c r="AB16" s="380">
        <f>'Таблиця цін схема №2'!BQ16</f>
        <v>1</v>
      </c>
      <c r="AC16" s="47" t="str">
        <f>'Таблиця цін схема №2'!BT16</f>
        <v>-</v>
      </c>
      <c r="AD16" s="379" t="str">
        <f>'Таблиця цін схема №2'!BU16</f>
        <v>-</v>
      </c>
      <c r="AE16" s="379" t="str">
        <f>'Таблиця цін схема №2'!BV16</f>
        <v>existed</v>
      </c>
      <c r="AF16" s="380">
        <f>'Таблиця цін схема №2'!BW16</f>
        <v>0</v>
      </c>
      <c r="AG16" s="47">
        <f>'Таблиця цін схема №2'!BZ16</f>
        <v>65</v>
      </c>
      <c r="AH16" s="379">
        <f>'Таблиця цін схема №2'!CA16</f>
        <v>25</v>
      </c>
      <c r="AI16" s="379" t="str">
        <f>'Таблиця цін схема №2'!CB16</f>
        <v>Pt500</v>
      </c>
      <c r="AJ16" s="380">
        <f>'Таблиця цін схема №2'!CC16</f>
        <v>1</v>
      </c>
      <c r="AK16" s="1168" t="str">
        <f>'Таблиця цін схема №2'!CF16</f>
        <v>EI-TO-16+043M25HS-660000</v>
      </c>
      <c r="AL16" s="380">
        <f>'Таблиця цін схема №2'!CG16</f>
        <v>1</v>
      </c>
      <c r="AM16" s="47">
        <f>'Таблиця цін схема №2'!CJ16</f>
        <v>100</v>
      </c>
      <c r="AN16" s="380">
        <f>'Таблиця цін схема №2'!CK16</f>
        <v>4</v>
      </c>
      <c r="AO16" s="47">
        <f>'Таблиця цін схема №2'!CN16</f>
        <v>80</v>
      </c>
      <c r="AP16" s="380">
        <f>'Таблиця цін схема №2'!CO16</f>
        <v>6</v>
      </c>
      <c r="AQ16" s="47">
        <f>'Таблиця цін схема №2'!CR16</f>
        <v>50</v>
      </c>
      <c r="AR16" s="78">
        <f>'Таблиця цін схема №2'!CS16</f>
        <v>3</v>
      </c>
      <c r="AS16" s="47">
        <f>'Таблиця цін схема №2'!CV16</f>
        <v>32</v>
      </c>
      <c r="AT16" s="380">
        <f>'Таблиця цін схема №2'!CW16</f>
        <v>20</v>
      </c>
      <c r="AU16" s="47">
        <f>'Таблиця цін схема №2'!CZ16</f>
        <v>20</v>
      </c>
      <c r="AV16" s="380">
        <f>'Таблиця цін схема №2'!DA16</f>
        <v>2</v>
      </c>
      <c r="AW16" s="47">
        <f>'Таблиця цін схема №2'!DD16</f>
        <v>15</v>
      </c>
      <c r="AX16" s="380">
        <f>'Таблиця цін схема №2'!DE16</f>
        <v>8</v>
      </c>
      <c r="AY16" s="47">
        <f>'Таблиця цін схема №2'!DH16</f>
        <v>15</v>
      </c>
      <c r="AZ16" s="380">
        <f>'Таблиця цін схема №2'!DI16</f>
        <v>45</v>
      </c>
      <c r="BA16" s="47">
        <f>'Таблиця цін схема №2'!DL16</f>
        <v>100</v>
      </c>
      <c r="BB16" s="380">
        <f>'Таблиця цін схема №2'!DM16</f>
        <v>1</v>
      </c>
      <c r="BC16" s="47">
        <f>'Таблиця цін схема №2'!DP16</f>
        <v>80</v>
      </c>
      <c r="BD16" s="380">
        <f>'Таблиця цін схема №2'!DQ16</f>
        <v>1</v>
      </c>
    </row>
    <row r="17" spans="1:56">
      <c r="A17" s="73">
        <f>'Таблиця цін схема №2'!B17</f>
        <v>33</v>
      </c>
      <c r="B17" s="1140" t="str">
        <f>'Таблиця цін схема №2'!C17</f>
        <v xml:space="preserve">24 (entrance 1 and 2) Okeanovskaya (Artema) Street </v>
      </c>
      <c r="C17" s="525">
        <f>'Таблиця цін схема №2'!X17</f>
        <v>65</v>
      </c>
      <c r="D17" s="380">
        <f>'Таблиця цін схема №2'!Y17</f>
        <v>2</v>
      </c>
      <c r="E17" s="47">
        <f>'Таблиця цін схема №2'!AB17</f>
        <v>65</v>
      </c>
      <c r="F17" s="380">
        <f>'Таблиця цін схема №2'!AC17</f>
        <v>2</v>
      </c>
      <c r="G17" s="47">
        <f>'Таблиця цін схема №2'!AF17</f>
        <v>65</v>
      </c>
      <c r="H17" s="380">
        <f>'Таблиця цін схема №2'!AG17</f>
        <v>1</v>
      </c>
      <c r="I17" s="47">
        <f>'Таблиця цін схема №2'!AJ17</f>
        <v>50</v>
      </c>
      <c r="J17" s="380">
        <f>'Таблиця цін схема №2'!AK17</f>
        <v>3</v>
      </c>
      <c r="K17" s="47">
        <f>'Таблиця цін схема №2'!AN17</f>
        <v>50</v>
      </c>
      <c r="L17" s="380">
        <f>'Таблиця цін схема №2'!AO17</f>
        <v>4</v>
      </c>
      <c r="M17" s="47" t="str">
        <f>'Таблиця цін схема №2'!AR17</f>
        <v>AMV20</v>
      </c>
      <c r="N17" s="380">
        <f>'Таблиця цін схема №2'!AS17</f>
        <v>1</v>
      </c>
      <c r="O17" s="47">
        <f>'Таблиця цін схема №2'!AV17</f>
        <v>10</v>
      </c>
      <c r="P17" s="379">
        <f>'Таблиця цін схема №2'!AW17</f>
        <v>25</v>
      </c>
      <c r="Q17" s="380">
        <f>'Таблиця цін схема №2'!AX17</f>
        <v>1</v>
      </c>
      <c r="R17" s="47">
        <f>'Таблиця цін схема №2'!BA17</f>
        <v>12.5</v>
      </c>
      <c r="S17" s="379">
        <f>'Таблиця цін схема №2'!BB17</f>
        <v>32</v>
      </c>
      <c r="T17" s="380">
        <f>'Таблиця цін схема №2'!BC17</f>
        <v>1</v>
      </c>
      <c r="U17" s="47" t="str">
        <f>'Таблиця цін схема №2'!BF17</f>
        <v>AMV33</v>
      </c>
      <c r="V17" s="380">
        <f>'Таблиця цін схема №2'!BG17</f>
        <v>1</v>
      </c>
      <c r="W17" s="47">
        <f>'Таблиця цін схема №2'!BJ17</f>
        <v>16</v>
      </c>
      <c r="X17" s="379">
        <f>'Таблиця цін схема №2'!BK17</f>
        <v>32</v>
      </c>
      <c r="Y17" s="380">
        <f>'Таблиця цін схема №2'!BL17</f>
        <v>1</v>
      </c>
      <c r="Z17" s="47">
        <f>'Таблиця цін схема №2'!BO17</f>
        <v>12.5</v>
      </c>
      <c r="AA17" s="379">
        <f>'Таблиця цін схема №2'!BP17</f>
        <v>32</v>
      </c>
      <c r="AB17" s="380">
        <f>'Таблиця цін схема №2'!BQ17</f>
        <v>1</v>
      </c>
      <c r="AC17" s="47">
        <f>'Таблиця цін схема №2'!BT17</f>
        <v>25</v>
      </c>
      <c r="AD17" s="379">
        <f>'Таблиця цін схема №2'!BU17</f>
        <v>6</v>
      </c>
      <c r="AE17" s="379" t="str">
        <f>'Таблиця цін схема №2'!BV17</f>
        <v>Pt500</v>
      </c>
      <c r="AF17" s="380">
        <f>'Таблиця цін схема №2'!BW17</f>
        <v>1</v>
      </c>
      <c r="AG17" s="47">
        <f>'Таблиця цін схема №2'!BZ17</f>
        <v>40</v>
      </c>
      <c r="AH17" s="379">
        <f>'Таблиця цін схема №2'!CA17</f>
        <v>10</v>
      </c>
      <c r="AI17" s="379" t="str">
        <f>'Таблиця цін схема №2'!CB17</f>
        <v>Pt500</v>
      </c>
      <c r="AJ17" s="380">
        <f>'Таблиця цін схема №2'!CC17</f>
        <v>1</v>
      </c>
      <c r="AK17" s="1168" t="str">
        <f>'Таблиця цін схема №2'!CF17</f>
        <v>EI-TO-16+019M30HS-270000</v>
      </c>
      <c r="AL17" s="380">
        <f>'Таблиця цін схема №2'!CG17</f>
        <v>1</v>
      </c>
      <c r="AM17" s="47">
        <f>'Таблиця цін схема №2'!CJ17</f>
        <v>65</v>
      </c>
      <c r="AN17" s="380">
        <f>'Таблиця цін схема №2'!CK17</f>
        <v>4</v>
      </c>
      <c r="AO17" s="47">
        <f>'Таблиця цін схема №2'!CN17</f>
        <v>50</v>
      </c>
      <c r="AP17" s="380">
        <f>'Таблиця цін схема №2'!CO17</f>
        <v>6</v>
      </c>
      <c r="AQ17" s="47">
        <f>'Таблиця цін схема №2'!CR17</f>
        <v>32</v>
      </c>
      <c r="AR17" s="78">
        <f>'Таблиця цін схема №2'!CS17</f>
        <v>3</v>
      </c>
      <c r="AS17" s="47">
        <f>'Таблиця цін схема №2'!CV17</f>
        <v>50</v>
      </c>
      <c r="AT17" s="380">
        <f>'Таблиця цін схема №2'!CW17</f>
        <v>4</v>
      </c>
      <c r="AU17" s="47">
        <f>'Таблиця цін схема №2'!CZ17</f>
        <v>20</v>
      </c>
      <c r="AV17" s="380">
        <f>'Таблиця цін схема №2'!DA17</f>
        <v>2</v>
      </c>
      <c r="AW17" s="47">
        <f>'Таблиця цін схема №2'!DD17</f>
        <v>15</v>
      </c>
      <c r="AX17" s="380">
        <f>'Таблиця цін схема №2'!DE17</f>
        <v>8</v>
      </c>
      <c r="AY17" s="47">
        <f>'Таблиця цін схема №2'!DH17</f>
        <v>15</v>
      </c>
      <c r="AZ17" s="380">
        <f>'Таблиця цін схема №2'!DI17</f>
        <v>37</v>
      </c>
      <c r="BA17" s="47">
        <f>'Таблиця цін схема №2'!DL17</f>
        <v>65</v>
      </c>
      <c r="BB17" s="380">
        <f>'Таблиця цін схема №2'!DM17</f>
        <v>1</v>
      </c>
      <c r="BC17" s="47">
        <f>'Таблиця цін схема №2'!DP17</f>
        <v>50</v>
      </c>
      <c r="BD17" s="380">
        <f>'Таблиця цін схема №2'!DQ17</f>
        <v>1</v>
      </c>
    </row>
    <row r="18" spans="1:56">
      <c r="A18" s="73">
        <f>'Таблиця цін схема №2'!B18</f>
        <v>34</v>
      </c>
      <c r="B18" s="1140" t="str">
        <f>'Таблиця цін схема №2'!C18</f>
        <v xml:space="preserve">24 (entrance 3) Okeanovskaya (Artema) Street </v>
      </c>
      <c r="C18" s="525">
        <f>'Таблиця цін схема №2'!X18</f>
        <v>50</v>
      </c>
      <c r="D18" s="380">
        <f>'Таблиця цін схема №2'!Y18</f>
        <v>2</v>
      </c>
      <c r="E18" s="47">
        <f>'Таблиця цін схема №2'!AB18</f>
        <v>50</v>
      </c>
      <c r="F18" s="380">
        <f>'Таблиця цін схема №2'!AC18</f>
        <v>2</v>
      </c>
      <c r="G18" s="47">
        <f>'Таблиця цін схема №2'!AF18</f>
        <v>50</v>
      </c>
      <c r="H18" s="380">
        <f>'Таблиця цін схема №2'!AG18</f>
        <v>1</v>
      </c>
      <c r="I18" s="47">
        <f>'Таблиця цін схема №2'!AJ18</f>
        <v>32</v>
      </c>
      <c r="J18" s="380">
        <f>'Таблиця цін схема №2'!AK18</f>
        <v>3</v>
      </c>
      <c r="K18" s="47">
        <f>'Таблиця цін схема №2'!AN18</f>
        <v>40</v>
      </c>
      <c r="L18" s="380">
        <f>'Таблиця цін схема №2'!AO18</f>
        <v>4</v>
      </c>
      <c r="M18" s="47" t="str">
        <f>'Таблиця цін схема №2'!AR18</f>
        <v>AMV20</v>
      </c>
      <c r="N18" s="380">
        <f>'Таблиця цін схема №2'!AS18</f>
        <v>1</v>
      </c>
      <c r="O18" s="47">
        <f>'Таблиця цін схема №2'!AV18</f>
        <v>6.3</v>
      </c>
      <c r="P18" s="379">
        <f>'Таблиця цін схема №2'!AW18</f>
        <v>20</v>
      </c>
      <c r="Q18" s="380">
        <f>'Таблиця цін схема №2'!AX18</f>
        <v>1</v>
      </c>
      <c r="R18" s="47">
        <f>'Таблиця цін схема №2'!BA18</f>
        <v>6.3</v>
      </c>
      <c r="S18" s="379">
        <f>'Таблиця цін схема №2'!BB18</f>
        <v>20</v>
      </c>
      <c r="T18" s="380">
        <f>'Таблиця цін схема №2'!BC18</f>
        <v>1</v>
      </c>
      <c r="U18" s="47" t="str">
        <f>'Таблиця цін схема №2'!BF18</f>
        <v>AMV33</v>
      </c>
      <c r="V18" s="380">
        <f>'Таблиця цін схема №2'!BG18</f>
        <v>1</v>
      </c>
      <c r="W18" s="47">
        <f>'Таблиця цін схема №2'!BJ18</f>
        <v>6.3</v>
      </c>
      <c r="X18" s="379">
        <f>'Таблиця цін схема №2'!BK18</f>
        <v>20</v>
      </c>
      <c r="Y18" s="380">
        <f>'Таблиця цін схема №2'!BL18</f>
        <v>1</v>
      </c>
      <c r="Z18" s="47">
        <f>'Таблиця цін схема №2'!BO18</f>
        <v>6.3</v>
      </c>
      <c r="AA18" s="379">
        <f>'Таблиця цін схема №2'!BP18</f>
        <v>20</v>
      </c>
      <c r="AB18" s="380">
        <f>'Таблиця цін схема №2'!BQ18</f>
        <v>1</v>
      </c>
      <c r="AC18" s="47">
        <f>'Таблиця цін схема №2'!BT18</f>
        <v>25</v>
      </c>
      <c r="AD18" s="379">
        <f>'Таблиця цін схема №2'!BU18</f>
        <v>3.5</v>
      </c>
      <c r="AE18" s="379" t="str">
        <f>'Таблиця цін схема №2'!BV18</f>
        <v>Pt500</v>
      </c>
      <c r="AF18" s="380">
        <f>'Таблиця цін схема №2'!BW18</f>
        <v>1</v>
      </c>
      <c r="AG18" s="47">
        <f>'Таблиця цін схема №2'!BZ18</f>
        <v>25</v>
      </c>
      <c r="AH18" s="379">
        <f>'Таблиця цін схема №2'!CA18</f>
        <v>6</v>
      </c>
      <c r="AI18" s="379" t="str">
        <f>'Таблиця цін схема №2'!CB18</f>
        <v>Pt500</v>
      </c>
      <c r="AJ18" s="380">
        <f>'Таблиця цін схема №2'!CC18</f>
        <v>1</v>
      </c>
      <c r="AK18" s="1168" t="str">
        <f>'Таблиця цін схема №2'!CF18</f>
        <v>ЕІ-ТО-4+037A00HS-140000</v>
      </c>
      <c r="AL18" s="380">
        <f>'Таблиця цін схема №2'!CG18</f>
        <v>1</v>
      </c>
      <c r="AM18" s="47">
        <f>'Таблиця цін схема №2'!CJ18</f>
        <v>50</v>
      </c>
      <c r="AN18" s="380">
        <f>'Таблиця цін схема №2'!CK18</f>
        <v>4</v>
      </c>
      <c r="AO18" s="47">
        <f>'Таблиця цін схема №2'!CN18</f>
        <v>32</v>
      </c>
      <c r="AP18" s="380">
        <f>'Таблиця цін схема №2'!CO18</f>
        <v>6</v>
      </c>
      <c r="AQ18" s="47">
        <f>'Таблиця цін схема №2'!CR18</f>
        <v>20</v>
      </c>
      <c r="AR18" s="78">
        <f>'Таблиця цін схема №2'!CS18</f>
        <v>3</v>
      </c>
      <c r="AS18" s="47">
        <f>'Таблиця цін схема №2'!CV18</f>
        <v>50</v>
      </c>
      <c r="AT18" s="380">
        <f>'Таблиця цін схема №2'!CW18</f>
        <v>2</v>
      </c>
      <c r="AU18" s="47">
        <f>'Таблиця цін схема №2'!CZ18</f>
        <v>20</v>
      </c>
      <c r="AV18" s="380">
        <f>'Таблиця цін схема №2'!DA18</f>
        <v>2</v>
      </c>
      <c r="AW18" s="47">
        <f>'Таблиця цін схема №2'!DD18</f>
        <v>15</v>
      </c>
      <c r="AX18" s="380">
        <f>'Таблиця цін схема №2'!DE18</f>
        <v>8</v>
      </c>
      <c r="AY18" s="47">
        <f>'Таблиця цін схема №2'!DH18</f>
        <v>15</v>
      </c>
      <c r="AZ18" s="380">
        <f>'Таблиця цін схема №2'!DI18</f>
        <v>35</v>
      </c>
      <c r="BA18" s="47">
        <f>'Таблиця цін схема №2'!DL18</f>
        <v>50</v>
      </c>
      <c r="BB18" s="380">
        <f>'Таблиця цін схема №2'!DM18</f>
        <v>1</v>
      </c>
      <c r="BC18" s="47">
        <f>'Таблиця цін схема №2'!DP18</f>
        <v>32</v>
      </c>
      <c r="BD18" s="380">
        <f>'Таблиця цін схема №2'!DQ18</f>
        <v>1</v>
      </c>
    </row>
    <row r="19" spans="1:56">
      <c r="A19" s="73">
        <f>'Таблиця цін схема №2'!B19</f>
        <v>35</v>
      </c>
      <c r="B19" s="1140" t="str">
        <f>'Таблиця цін схема №2'!C19</f>
        <v xml:space="preserve">26 Okeanovskaya (Artema) Street </v>
      </c>
      <c r="C19" s="525">
        <f>'Таблиця цін схема №2'!X19</f>
        <v>100</v>
      </c>
      <c r="D19" s="380">
        <f>'Таблиця цін схема №2'!Y19</f>
        <v>2</v>
      </c>
      <c r="E19" s="47">
        <f>'Таблиця цін схема №2'!AB19</f>
        <v>100</v>
      </c>
      <c r="F19" s="380">
        <f>'Таблиця цін схема №2'!AC19</f>
        <v>2</v>
      </c>
      <c r="G19" s="47">
        <f>'Таблиця цін схема №2'!AF19</f>
        <v>100</v>
      </c>
      <c r="H19" s="380">
        <f>'Таблиця цін схема №2'!AG19</f>
        <v>1</v>
      </c>
      <c r="I19" s="47">
        <f>'Таблиця цін схема №2'!AJ19</f>
        <v>65</v>
      </c>
      <c r="J19" s="380">
        <f>'Таблиця цін схема №2'!AK19</f>
        <v>3</v>
      </c>
      <c r="K19" s="47">
        <f>'Таблиця цін схема №2'!AN19</f>
        <v>65</v>
      </c>
      <c r="L19" s="380">
        <f>'Таблиця цін схема №2'!AO19</f>
        <v>4</v>
      </c>
      <c r="M19" s="47" t="str">
        <f>'Таблиця цін схема №2'!AR19</f>
        <v>AMV20</v>
      </c>
      <c r="N19" s="380">
        <f>'Таблиця цін схема №2'!AS19</f>
        <v>1</v>
      </c>
      <c r="O19" s="47">
        <f>'Таблиця цін схема №2'!AV19</f>
        <v>25</v>
      </c>
      <c r="P19" s="379">
        <f>'Таблиця цін схема №2'!AW19</f>
        <v>40</v>
      </c>
      <c r="Q19" s="380">
        <f>'Таблиця цін схема №2'!AX19</f>
        <v>1</v>
      </c>
      <c r="R19" s="47">
        <f>'Таблиця цін схема №2'!BA19</f>
        <v>20</v>
      </c>
      <c r="S19" s="379">
        <f>'Таблиця цін схема №2'!BB19</f>
        <v>50</v>
      </c>
      <c r="T19" s="380">
        <f>'Таблиця цін схема №2'!BC19</f>
        <v>1</v>
      </c>
      <c r="U19" s="47" t="str">
        <f>'Таблиця цін схема №2'!BF19</f>
        <v>AMV33</v>
      </c>
      <c r="V19" s="380">
        <f>'Таблиця цін схема №2'!BG19</f>
        <v>1</v>
      </c>
      <c r="W19" s="47">
        <f>'Таблиця цін схема №2'!BJ19</f>
        <v>25</v>
      </c>
      <c r="X19" s="379">
        <f>'Таблиця цін схема №2'!BK19</f>
        <v>40</v>
      </c>
      <c r="Y19" s="380">
        <f>'Таблиця цін схема №2'!BL19</f>
        <v>1</v>
      </c>
      <c r="Z19" s="47">
        <f>'Таблиця цін схема №2'!BO19</f>
        <v>25</v>
      </c>
      <c r="AA19" s="379">
        <f>'Таблиця цін схема №2'!BP19</f>
        <v>50</v>
      </c>
      <c r="AB19" s="380">
        <f>'Таблиця цін схема №2'!BQ19</f>
        <v>1</v>
      </c>
      <c r="AC19" s="47">
        <f>'Таблиця цін схема №2'!BT19</f>
        <v>40</v>
      </c>
      <c r="AD19" s="379">
        <f>'Таблиця цін схема №2'!BU19</f>
        <v>10</v>
      </c>
      <c r="AE19" s="379" t="str">
        <f>'Таблиця цін схема №2'!BV19</f>
        <v>Pt500</v>
      </c>
      <c r="AF19" s="380">
        <f>'Таблиця цін схема №2'!BW19</f>
        <v>1</v>
      </c>
      <c r="AG19" s="47">
        <f>'Таблиця цін схема №2'!BZ19</f>
        <v>50</v>
      </c>
      <c r="AH19" s="379">
        <f>'Таблиця цін схема №2'!CA19</f>
        <v>15</v>
      </c>
      <c r="AI19" s="379" t="str">
        <f>'Таблиця цін схема №2'!CB19</f>
        <v>Pt500</v>
      </c>
      <c r="AJ19" s="380">
        <f>'Таблиця цін схема №2'!CC19</f>
        <v>1</v>
      </c>
      <c r="AK19" s="1168" t="str">
        <f>'Таблиця цін схема №2'!CF19</f>
        <v>EI-TO-16+033M25HS-521000</v>
      </c>
      <c r="AL19" s="380">
        <f>'Таблиця цін схема №2'!CG19</f>
        <v>1</v>
      </c>
      <c r="AM19" s="47">
        <f>'Таблиця цін схема №2'!CJ19</f>
        <v>100</v>
      </c>
      <c r="AN19" s="380">
        <f>'Таблиця цін схема №2'!CK19</f>
        <v>4</v>
      </c>
      <c r="AO19" s="47">
        <f>'Таблиця цін схема №2'!CN19</f>
        <v>65</v>
      </c>
      <c r="AP19" s="380">
        <f>'Таблиця цін схема №2'!CO19</f>
        <v>6</v>
      </c>
      <c r="AQ19" s="47">
        <f>'Таблиця цін схема №2'!CR19</f>
        <v>40</v>
      </c>
      <c r="AR19" s="78">
        <f>'Таблиця цін схема №2'!CS19</f>
        <v>3</v>
      </c>
      <c r="AS19" s="47">
        <f>'Таблиця цін схема №2'!CV19</f>
        <v>32</v>
      </c>
      <c r="AT19" s="380">
        <f>'Таблиця цін схема №2'!CW19</f>
        <v>18</v>
      </c>
      <c r="AU19" s="47">
        <f>'Таблиця цін схема №2'!CZ19</f>
        <v>20</v>
      </c>
      <c r="AV19" s="380">
        <f>'Таблиця цін схема №2'!DA19</f>
        <v>2</v>
      </c>
      <c r="AW19" s="47">
        <f>'Таблиця цін схема №2'!DD19</f>
        <v>15</v>
      </c>
      <c r="AX19" s="380">
        <f>'Таблиця цін схема №2'!DE19</f>
        <v>8</v>
      </c>
      <c r="AY19" s="47">
        <f>'Таблиця цін схема №2'!DH19</f>
        <v>15</v>
      </c>
      <c r="AZ19" s="380">
        <f>'Таблиця цін схема №2'!DI19</f>
        <v>44</v>
      </c>
      <c r="BA19" s="47">
        <f>'Таблиця цін схема №2'!DL19</f>
        <v>100</v>
      </c>
      <c r="BB19" s="380">
        <f>'Таблиця цін схема №2'!DM19</f>
        <v>1</v>
      </c>
      <c r="BC19" s="47">
        <f>'Таблиця цін схема №2'!DP19</f>
        <v>65</v>
      </c>
      <c r="BD19" s="380">
        <f>'Таблиця цін схема №2'!DQ19</f>
        <v>1</v>
      </c>
    </row>
    <row r="20" spans="1:56">
      <c r="A20" s="73">
        <f>'Таблиця цін схема №2'!B20</f>
        <v>36</v>
      </c>
      <c r="B20" s="1140" t="str">
        <f>'Таблиця цін схема №2'!C20</f>
        <v xml:space="preserve">28 Okeanovskaya (Artema) Street </v>
      </c>
      <c r="C20" s="525">
        <f>'Таблиця цін схема №2'!X20</f>
        <v>100</v>
      </c>
      <c r="D20" s="380">
        <f>'Таблиця цін схема №2'!Y20</f>
        <v>2</v>
      </c>
      <c r="E20" s="47">
        <f>'Таблиця цін схема №2'!AB20</f>
        <v>100</v>
      </c>
      <c r="F20" s="380">
        <f>'Таблиця цін схема №2'!AC20</f>
        <v>2</v>
      </c>
      <c r="G20" s="47">
        <f>'Таблиця цін схема №2'!AF20</f>
        <v>100</v>
      </c>
      <c r="H20" s="380">
        <f>'Таблиця цін схема №2'!AG20</f>
        <v>1</v>
      </c>
      <c r="I20" s="47">
        <f>'Таблиця цін схема №2'!AJ20</f>
        <v>65</v>
      </c>
      <c r="J20" s="380">
        <f>'Таблиця цін схема №2'!AK20</f>
        <v>3</v>
      </c>
      <c r="K20" s="47">
        <f>'Таблиця цін схема №2'!AN20</f>
        <v>65</v>
      </c>
      <c r="L20" s="380">
        <f>'Таблиця цін схема №2'!AO20</f>
        <v>4</v>
      </c>
      <c r="M20" s="47" t="str">
        <f>'Таблиця цін схема №2'!AR20</f>
        <v>AMV20</v>
      </c>
      <c r="N20" s="380">
        <f>'Таблиця цін схема №2'!AS20</f>
        <v>1</v>
      </c>
      <c r="O20" s="47">
        <f>'Таблиця цін схема №2'!AV20</f>
        <v>25</v>
      </c>
      <c r="P20" s="379">
        <f>'Таблиця цін схема №2'!AW20</f>
        <v>40</v>
      </c>
      <c r="Q20" s="380">
        <f>'Таблиця цін схема №2'!AX20</f>
        <v>1</v>
      </c>
      <c r="R20" s="47">
        <f>'Таблиця цін схема №2'!BA20</f>
        <v>32</v>
      </c>
      <c r="S20" s="379">
        <f>'Таблиця цін схема №2'!BB20</f>
        <v>50</v>
      </c>
      <c r="T20" s="380">
        <f>'Таблиця цін схема №2'!BC20</f>
        <v>1</v>
      </c>
      <c r="U20" s="47" t="str">
        <f>'Таблиця цін схема №2'!BF20</f>
        <v>AMV33</v>
      </c>
      <c r="V20" s="380">
        <f>'Таблиця цін схема №2'!BG20</f>
        <v>1</v>
      </c>
      <c r="W20" s="47">
        <f>'Таблиця цін схема №2'!BJ20</f>
        <v>25</v>
      </c>
      <c r="X20" s="379">
        <f>'Таблиця цін схема №2'!BK20</f>
        <v>40</v>
      </c>
      <c r="Y20" s="380">
        <f>'Таблиця цін схема №2'!BL20</f>
        <v>1</v>
      </c>
      <c r="Z20" s="47">
        <f>'Таблиця цін схема №2'!BO20</f>
        <v>25</v>
      </c>
      <c r="AA20" s="379">
        <f>'Таблиця цін схема №2'!BP20</f>
        <v>50</v>
      </c>
      <c r="AB20" s="380">
        <f>'Таблиця цін схема №2'!BQ20</f>
        <v>1</v>
      </c>
      <c r="AC20" s="47">
        <f>'Таблиця цін схема №2'!BT20</f>
        <v>50</v>
      </c>
      <c r="AD20" s="379">
        <f>'Таблиця цін схема №2'!BU20</f>
        <v>15</v>
      </c>
      <c r="AE20" s="379" t="str">
        <f>'Таблиця цін схема №2'!BV20</f>
        <v>Pt500</v>
      </c>
      <c r="AF20" s="380">
        <f>'Таблиця цін схема №2'!BW20</f>
        <v>1</v>
      </c>
      <c r="AG20" s="47">
        <f>'Таблиця цін схема №2'!BZ20</f>
        <v>50</v>
      </c>
      <c r="AH20" s="379">
        <f>'Таблиця цін схема №2'!CA20</f>
        <v>15</v>
      </c>
      <c r="AI20" s="379" t="str">
        <f>'Таблиця цін схема №2'!CB20</f>
        <v>Pt500</v>
      </c>
      <c r="AJ20" s="380">
        <f>'Таблиця цін схема №2'!CC20</f>
        <v>1</v>
      </c>
      <c r="AK20" s="1168" t="str">
        <f>'Таблиця цін схема №2'!CF20</f>
        <v>EI-TO-16+035M25HS-544000</v>
      </c>
      <c r="AL20" s="380">
        <f>'Таблиця цін схема №2'!CG20</f>
        <v>1</v>
      </c>
      <c r="AM20" s="47">
        <f>'Таблиця цін схема №2'!CJ20</f>
        <v>100</v>
      </c>
      <c r="AN20" s="380">
        <f>'Таблиця цін схема №2'!CK20</f>
        <v>4</v>
      </c>
      <c r="AO20" s="47">
        <f>'Таблиця цін схема №2'!CN20</f>
        <v>65</v>
      </c>
      <c r="AP20" s="380">
        <f>'Таблиця цін схема №2'!CO20</f>
        <v>6</v>
      </c>
      <c r="AQ20" s="47">
        <f>'Таблиця цін схема №2'!CR20</f>
        <v>40</v>
      </c>
      <c r="AR20" s="78">
        <f>'Таблиця цін схема №2'!CS20</f>
        <v>3</v>
      </c>
      <c r="AS20" s="47">
        <f>'Таблиця цін схема №2'!CV20</f>
        <v>40</v>
      </c>
      <c r="AT20" s="380">
        <f>'Таблиця цін схема №2'!CW20</f>
        <v>12</v>
      </c>
      <c r="AU20" s="47">
        <f>'Таблиця цін схема №2'!CZ20</f>
        <v>20</v>
      </c>
      <c r="AV20" s="380">
        <f>'Таблиця цін схема №2'!DA20</f>
        <v>2</v>
      </c>
      <c r="AW20" s="47">
        <f>'Таблиця цін схема №2'!DD20</f>
        <v>15</v>
      </c>
      <c r="AX20" s="380">
        <f>'Таблиця цін схема №2'!DE20</f>
        <v>8</v>
      </c>
      <c r="AY20" s="47">
        <f>'Таблиця цін схема №2'!DH20</f>
        <v>15</v>
      </c>
      <c r="AZ20" s="380">
        <f>'Таблиця цін схема №2'!DI20</f>
        <v>41</v>
      </c>
      <c r="BA20" s="47">
        <f>'Таблиця цін схема №2'!DL20</f>
        <v>100</v>
      </c>
      <c r="BB20" s="380">
        <f>'Таблиця цін схема №2'!DM20</f>
        <v>1</v>
      </c>
      <c r="BC20" s="47">
        <f>'Таблиця цін схема №2'!DP20</f>
        <v>65</v>
      </c>
      <c r="BD20" s="380">
        <f>'Таблиця цін схема №2'!DQ20</f>
        <v>1</v>
      </c>
    </row>
    <row r="21" spans="1:56">
      <c r="A21" s="73">
        <f>'Таблиця цін схема №2'!B21</f>
        <v>37</v>
      </c>
      <c r="B21" s="1140" t="str">
        <f>'Таблиця цін схема №2'!C21</f>
        <v xml:space="preserve">30 Okeanovskaya (Artema) Street </v>
      </c>
      <c r="C21" s="525">
        <f>'Таблиця цін схема №2'!X21</f>
        <v>80</v>
      </c>
      <c r="D21" s="380">
        <f>'Таблиця цін схема №2'!Y21</f>
        <v>2</v>
      </c>
      <c r="E21" s="47">
        <f>'Таблиця цін схема №2'!AB21</f>
        <v>80</v>
      </c>
      <c r="F21" s="380">
        <f>'Таблиця цін схема №2'!AC21</f>
        <v>2</v>
      </c>
      <c r="G21" s="47">
        <f>'Таблиця цін схема №2'!AF21</f>
        <v>80</v>
      </c>
      <c r="H21" s="380">
        <f>'Таблиця цін схема №2'!AG21</f>
        <v>1</v>
      </c>
      <c r="I21" s="47">
        <f>'Таблиця цін схема №2'!AJ21</f>
        <v>50</v>
      </c>
      <c r="J21" s="380">
        <f>'Таблиця цін схема №2'!AK21</f>
        <v>3</v>
      </c>
      <c r="K21" s="47">
        <f>'Таблиця цін схема №2'!AN21</f>
        <v>65</v>
      </c>
      <c r="L21" s="380">
        <f>'Таблиця цін схема №2'!AO21</f>
        <v>4</v>
      </c>
      <c r="M21" s="47" t="str">
        <f>'Таблиця цін схема №2'!AR21</f>
        <v>AMV20</v>
      </c>
      <c r="N21" s="380">
        <f>'Таблиця цін схема №2'!AS21</f>
        <v>1</v>
      </c>
      <c r="O21" s="47">
        <f>'Таблиця цін схема №2'!AV21</f>
        <v>16</v>
      </c>
      <c r="P21" s="379">
        <f>'Таблиця цін схема №2'!AW21</f>
        <v>32</v>
      </c>
      <c r="Q21" s="380">
        <f>'Таблиця цін схема №2'!AX21</f>
        <v>1</v>
      </c>
      <c r="R21" s="47">
        <f>'Таблиця цін схема №2'!BA21</f>
        <v>20</v>
      </c>
      <c r="S21" s="379">
        <f>'Таблиця цін схема №2'!BB21</f>
        <v>50</v>
      </c>
      <c r="T21" s="380">
        <f>'Таблиця цін схема №2'!BC21</f>
        <v>1</v>
      </c>
      <c r="U21" s="47" t="str">
        <f>'Таблиця цін схема №2'!BF21</f>
        <v>AMV33</v>
      </c>
      <c r="V21" s="380">
        <f>'Таблиця цін схема №2'!BG21</f>
        <v>1</v>
      </c>
      <c r="W21" s="47">
        <f>'Таблиця цін схема №2'!BJ21</f>
        <v>25</v>
      </c>
      <c r="X21" s="379">
        <f>'Таблиця цін схема №2'!BK21</f>
        <v>40</v>
      </c>
      <c r="Y21" s="380">
        <f>'Таблиця цін схема №2'!BL21</f>
        <v>1</v>
      </c>
      <c r="Z21" s="47">
        <f>'Таблиця цін схема №2'!BO21</f>
        <v>20</v>
      </c>
      <c r="AA21" s="379">
        <f>'Таблиця цін схема №2'!BP21</f>
        <v>40</v>
      </c>
      <c r="AB21" s="380">
        <f>'Таблиця цін схема №2'!BQ21</f>
        <v>1</v>
      </c>
      <c r="AC21" s="47" t="str">
        <f>'Таблиця цін схема №2'!BT21</f>
        <v>-</v>
      </c>
      <c r="AD21" s="379" t="str">
        <f>'Таблиця цін схема №2'!BU21</f>
        <v>-</v>
      </c>
      <c r="AE21" s="379" t="str">
        <f>'Таблиця цін схема №2'!BV21</f>
        <v>existed</v>
      </c>
      <c r="AF21" s="380">
        <f>'Таблиця цін схема №2'!BW21</f>
        <v>0</v>
      </c>
      <c r="AG21" s="47">
        <f>'Таблиця цін схема №2'!BZ21</f>
        <v>50</v>
      </c>
      <c r="AH21" s="379">
        <f>'Таблиця цін схема №2'!CA21</f>
        <v>15</v>
      </c>
      <c r="AI21" s="379" t="str">
        <f>'Таблиця цін схема №2'!CB21</f>
        <v>Pt500</v>
      </c>
      <c r="AJ21" s="380">
        <f>'Таблиця цін схема №2'!CC21</f>
        <v>1</v>
      </c>
      <c r="AK21" s="1168" t="str">
        <f>'Таблиця цін схема №2'!CF21</f>
        <v>EI-TO-16+027M30HS-421000</v>
      </c>
      <c r="AL21" s="380">
        <f>'Таблиця цін схема №2'!CG21</f>
        <v>1</v>
      </c>
      <c r="AM21" s="47">
        <f>'Таблиця цін схема №2'!CJ21</f>
        <v>80</v>
      </c>
      <c r="AN21" s="380">
        <f>'Таблиця цін схема №2'!CK21</f>
        <v>4</v>
      </c>
      <c r="AO21" s="47">
        <f>'Таблиця цін схема №2'!CN21</f>
        <v>65</v>
      </c>
      <c r="AP21" s="380">
        <f>'Таблиця цін схема №2'!CO21</f>
        <v>6</v>
      </c>
      <c r="AQ21" s="47">
        <f>'Таблиця цін схема №2'!CR21</f>
        <v>40</v>
      </c>
      <c r="AR21" s="78">
        <f>'Таблиця цін схема №2'!CS21</f>
        <v>3</v>
      </c>
      <c r="AS21" s="47">
        <f>'Таблиця цін схема №2'!CV21</f>
        <v>40</v>
      </c>
      <c r="AT21" s="380">
        <f>'Таблиця цін схема №2'!CW21</f>
        <v>8</v>
      </c>
      <c r="AU21" s="47">
        <f>'Таблиця цін схема №2'!CZ21</f>
        <v>20</v>
      </c>
      <c r="AV21" s="380">
        <f>'Таблиця цін схема №2'!DA21</f>
        <v>2</v>
      </c>
      <c r="AW21" s="47">
        <f>'Таблиця цін схема №2'!DD21</f>
        <v>15</v>
      </c>
      <c r="AX21" s="380">
        <f>'Таблиця цін схема №2'!DE21</f>
        <v>8</v>
      </c>
      <c r="AY21" s="47">
        <f>'Таблиця цін схема №2'!DH21</f>
        <v>15</v>
      </c>
      <c r="AZ21" s="380">
        <f>'Таблиця цін схема №2'!DI21</f>
        <v>39</v>
      </c>
      <c r="BA21" s="47">
        <f>'Таблиця цін схема №2'!DL21</f>
        <v>80</v>
      </c>
      <c r="BB21" s="380">
        <f>'Таблиця цін схема №2'!DM21</f>
        <v>1</v>
      </c>
      <c r="BC21" s="47">
        <f>'Таблиця цін схема №2'!DP21</f>
        <v>65</v>
      </c>
      <c r="BD21" s="380">
        <f>'Таблиця цін схема №2'!DQ21</f>
        <v>1</v>
      </c>
    </row>
    <row r="22" spans="1:56">
      <c r="A22" s="73">
        <f>'Таблиця цін схема №2'!B22</f>
        <v>38</v>
      </c>
      <c r="B22" s="1140" t="str">
        <f>'Таблиця цін схема №2'!C22</f>
        <v xml:space="preserve">30а (entrance 2-4) Okeanovskaya (Artema) Street </v>
      </c>
      <c r="C22" s="525">
        <f>'Таблиця цін схема №2'!X22</f>
        <v>80</v>
      </c>
      <c r="D22" s="380">
        <f>'Таблиця цін схема №2'!Y22</f>
        <v>2</v>
      </c>
      <c r="E22" s="47">
        <f>'Таблиця цін схема №2'!AB22</f>
        <v>80</v>
      </c>
      <c r="F22" s="380">
        <f>'Таблиця цін схема №2'!AC22</f>
        <v>2</v>
      </c>
      <c r="G22" s="47">
        <f>'Таблиця цін схема №2'!AF22</f>
        <v>80</v>
      </c>
      <c r="H22" s="517" t="s">
        <v>115</v>
      </c>
      <c r="I22" s="47">
        <f>'Таблиця цін схема №2'!AJ22</f>
        <v>50</v>
      </c>
      <c r="J22" s="380">
        <f>'Таблиця цін схема №2'!AK22</f>
        <v>1</v>
      </c>
      <c r="K22" s="47">
        <f>'Таблиця цін схема №2'!AN22</f>
        <v>50</v>
      </c>
      <c r="L22" s="380">
        <f>'Таблиця цін схема №2'!AO22</f>
        <v>4</v>
      </c>
      <c r="M22" s="47" t="str">
        <f>'Таблиця цін схема №2'!AR22</f>
        <v>AMV20</v>
      </c>
      <c r="N22" s="380">
        <f>'Таблиця цін схема №2'!AS22</f>
        <v>1</v>
      </c>
      <c r="O22" s="47">
        <f>'Таблиця цін схема №2'!AV22</f>
        <v>16</v>
      </c>
      <c r="P22" s="379">
        <f>'Таблиця цін схема №2'!AW22</f>
        <v>32</v>
      </c>
      <c r="Q22" s="380">
        <f>'Таблиця цін схема №2'!AX22</f>
        <v>1</v>
      </c>
      <c r="R22" s="47">
        <f>'Таблиця цін схема №2'!BA22</f>
        <v>20</v>
      </c>
      <c r="S22" s="379">
        <f>'Таблиця цін схема №2'!BB22</f>
        <v>50</v>
      </c>
      <c r="T22" s="380">
        <f>'Таблиця цін схема №2'!BC22</f>
        <v>1</v>
      </c>
      <c r="U22" s="47" t="str">
        <f>'Таблиця цін схема №2'!BF22</f>
        <v>AMV33</v>
      </c>
      <c r="V22" s="380">
        <f>'Таблиця цін схема №2'!BG22</f>
        <v>1</v>
      </c>
      <c r="W22" s="47">
        <f>'Таблиця цін схема №2'!BJ22</f>
        <v>16</v>
      </c>
      <c r="X22" s="379">
        <f>'Таблиця цін схема №2'!BK22</f>
        <v>32</v>
      </c>
      <c r="Y22" s="380">
        <f>'Таблиця цін схема №2'!BL22</f>
        <v>1</v>
      </c>
      <c r="Z22" s="47">
        <f>'Таблиця цін схема №2'!BO22</f>
        <v>20</v>
      </c>
      <c r="AA22" s="379">
        <f>'Таблиця цін схема №2'!BP22</f>
        <v>40</v>
      </c>
      <c r="AB22" s="380">
        <f>'Таблиця цін схема №2'!BQ22</f>
        <v>1</v>
      </c>
      <c r="AC22" s="47" t="str">
        <f>'Таблиця цін схема №2'!BT22</f>
        <v>-</v>
      </c>
      <c r="AD22" s="379" t="str">
        <f>'Таблиця цін схема №2'!BU22</f>
        <v>-</v>
      </c>
      <c r="AE22" s="379" t="str">
        <f>'Таблиця цін схема №2'!BV22</f>
        <v>existed</v>
      </c>
      <c r="AF22" s="380">
        <f>'Таблиця цін схема №2'!BW22</f>
        <v>0</v>
      </c>
      <c r="AG22" s="47">
        <f>'Таблиця цін схема №2'!BZ22</f>
        <v>40</v>
      </c>
      <c r="AH22" s="379">
        <f>'Таблиця цін схема №2'!CA22</f>
        <v>10</v>
      </c>
      <c r="AI22" s="379" t="str">
        <f>'Таблиця цін схема №2'!CB22</f>
        <v>Pt500</v>
      </c>
      <c r="AJ22" s="380">
        <f>'Таблиця цін схема №2'!CC22</f>
        <v>1</v>
      </c>
      <c r="AK22" s="1168" t="str">
        <f>'Таблиця цін схема №2'!CF22</f>
        <v>EI-TO-16+021M30HS-315000</v>
      </c>
      <c r="AL22" s="380">
        <f>'Таблиця цін схема №2'!CG22</f>
        <v>1</v>
      </c>
      <c r="AM22" s="47">
        <f>'Таблиця цін схема №2'!CJ22</f>
        <v>80</v>
      </c>
      <c r="AN22" s="380">
        <f>'Таблиця цін схема №2'!CK22</f>
        <v>4</v>
      </c>
      <c r="AO22" s="47">
        <f>'Таблиця цін схема №2'!CN22</f>
        <v>50</v>
      </c>
      <c r="AP22" s="380">
        <f>'Таблиця цін схема №2'!CO22</f>
        <v>6</v>
      </c>
      <c r="AQ22" s="47">
        <f>'Таблиця цін схема №2'!CR22</f>
        <v>32</v>
      </c>
      <c r="AR22" s="78">
        <f>'Таблиця цін схема №2'!CS22</f>
        <v>3</v>
      </c>
      <c r="AS22" s="47">
        <f>'Таблиця цін схема №2'!CV22</f>
        <v>50</v>
      </c>
      <c r="AT22" s="380">
        <f>'Таблиця цін схема №2'!CW22</f>
        <v>6</v>
      </c>
      <c r="AU22" s="47">
        <f>'Таблиця цін схема №2'!CZ22</f>
        <v>20</v>
      </c>
      <c r="AV22" s="380">
        <f>'Таблиця цін схема №2'!DA22</f>
        <v>2</v>
      </c>
      <c r="AW22" s="47">
        <f>'Таблиця цін схема №2'!DD22</f>
        <v>15</v>
      </c>
      <c r="AX22" s="380">
        <f>'Таблиця цін схема №2'!DE22</f>
        <v>8</v>
      </c>
      <c r="AY22" s="47">
        <f>'Таблиця цін схема №2'!DH22</f>
        <v>15</v>
      </c>
      <c r="AZ22" s="380">
        <f>'Таблиця цін схема №2'!DI22</f>
        <v>38</v>
      </c>
      <c r="BA22" s="47">
        <f>'Таблиця цін схема №2'!DL22</f>
        <v>80</v>
      </c>
      <c r="BB22" s="380">
        <f>'Таблиця цін схема №2'!DM22</f>
        <v>1</v>
      </c>
      <c r="BC22" s="47">
        <f>'Таблиця цін схема №2'!DP22</f>
        <v>50</v>
      </c>
      <c r="BD22" s="380">
        <f>'Таблиця цін схема №2'!DQ22</f>
        <v>1</v>
      </c>
    </row>
    <row r="23" spans="1:56">
      <c r="A23" s="73">
        <f>'Таблиця цін схема №2'!B23</f>
        <v>39</v>
      </c>
      <c r="B23" s="1140" t="str">
        <f>'Таблиця цін схема №2'!C23</f>
        <v xml:space="preserve">30а (entrance 1) Okeanovskaya (Artema) Street </v>
      </c>
      <c r="C23" s="525">
        <f>'Таблиця цін схема №2'!X23</f>
        <v>50</v>
      </c>
      <c r="D23" s="380">
        <f>'Таблиця цін схема №2'!Y23</f>
        <v>2</v>
      </c>
      <c r="E23" s="47">
        <f>'Таблиця цін схема №2'!AB23</f>
        <v>50</v>
      </c>
      <c r="F23" s="380">
        <f>'Таблиця цін схема №2'!AC23</f>
        <v>2</v>
      </c>
      <c r="G23" s="47">
        <f>'Таблиця цін схема №2'!AF23</f>
        <v>50</v>
      </c>
      <c r="H23" s="517" t="s">
        <v>115</v>
      </c>
      <c r="I23" s="47">
        <f>'Таблиця цін схема №2'!AJ23</f>
        <v>32</v>
      </c>
      <c r="J23" s="380">
        <f>'Таблиця цін схема №2'!AK23</f>
        <v>1</v>
      </c>
      <c r="K23" s="47">
        <f>'Таблиця цін схема №2'!AN23</f>
        <v>40</v>
      </c>
      <c r="L23" s="380">
        <f>'Таблиця цін схема №2'!AO23</f>
        <v>4</v>
      </c>
      <c r="M23" s="47" t="str">
        <f>'Таблиця цін схема №2'!AR23</f>
        <v>AMV20</v>
      </c>
      <c r="N23" s="380">
        <f>'Таблиця цін схема №2'!AS23</f>
        <v>1</v>
      </c>
      <c r="O23" s="47">
        <f>'Таблиця цін схема №2'!AV23</f>
        <v>6.3</v>
      </c>
      <c r="P23" s="379">
        <f>'Таблиця цін схема №2'!AW23</f>
        <v>20</v>
      </c>
      <c r="Q23" s="380">
        <f>'Таблиця цін схема №2'!AX23</f>
        <v>1</v>
      </c>
      <c r="R23" s="47">
        <f>'Таблиця цін схема №2'!BA23</f>
        <v>6.3</v>
      </c>
      <c r="S23" s="379">
        <f>'Таблиця цін схема №2'!BB23</f>
        <v>20</v>
      </c>
      <c r="T23" s="380">
        <f>'Таблиця цін схема №2'!BC23</f>
        <v>1</v>
      </c>
      <c r="U23" s="47" t="str">
        <f>'Таблиця цін схема №2'!BF23</f>
        <v>AMV33</v>
      </c>
      <c r="V23" s="380">
        <f>'Таблиця цін схема №2'!BG23</f>
        <v>1</v>
      </c>
      <c r="W23" s="47">
        <f>'Таблиця цін схема №2'!BJ23</f>
        <v>6.3</v>
      </c>
      <c r="X23" s="379">
        <f>'Таблиця цін схема №2'!BK23</f>
        <v>20</v>
      </c>
      <c r="Y23" s="380">
        <f>'Таблиця цін схема №2'!BL23</f>
        <v>1</v>
      </c>
      <c r="Z23" s="47">
        <f>'Таблиця цін схема №2'!BO23</f>
        <v>6.3</v>
      </c>
      <c r="AA23" s="379">
        <f>'Таблиця цін схема №2'!BP23</f>
        <v>20</v>
      </c>
      <c r="AB23" s="380">
        <f>'Таблиця цін схема №2'!BQ23</f>
        <v>1</v>
      </c>
      <c r="AC23" s="47" t="str">
        <f>'Таблиця цін схема №2'!BT23</f>
        <v>-</v>
      </c>
      <c r="AD23" s="379" t="str">
        <f>'Таблиця цін схема №2'!BU23</f>
        <v>-</v>
      </c>
      <c r="AE23" s="379" t="str">
        <f>'Таблиця цін схема №2'!BV23</f>
        <v>existed</v>
      </c>
      <c r="AF23" s="380">
        <f>'Таблиця цін схема №2'!BW23</f>
        <v>0</v>
      </c>
      <c r="AG23" s="47">
        <f>'Таблиця цін схема №2'!BZ23</f>
        <v>25</v>
      </c>
      <c r="AH23" s="379">
        <f>'Таблиця цін схема №2'!CA23</f>
        <v>3.5</v>
      </c>
      <c r="AI23" s="379" t="str">
        <f>'Таблиця цін схема №2'!CB23</f>
        <v>Pt500</v>
      </c>
      <c r="AJ23" s="380">
        <f>'Таблиця цін схема №2'!CC23</f>
        <v>1</v>
      </c>
      <c r="AK23" s="1168" t="str">
        <f>'Таблиця цін схема №2'!CF23</f>
        <v>ЕІ-ТО-4+033A00HS- 125000</v>
      </c>
      <c r="AL23" s="380">
        <f>'Таблиця цін схема №2'!CG23</f>
        <v>1</v>
      </c>
      <c r="AM23" s="47">
        <f>'Таблиця цін схема №2'!CJ23</f>
        <v>50</v>
      </c>
      <c r="AN23" s="380">
        <f>'Таблиця цін схема №2'!CK23</f>
        <v>4</v>
      </c>
      <c r="AO23" s="47">
        <f>'Таблиця цін схема №2'!CN23</f>
        <v>32</v>
      </c>
      <c r="AP23" s="380">
        <f>'Таблиця цін схема №2'!CO23</f>
        <v>6</v>
      </c>
      <c r="AQ23" s="47">
        <f>'Таблиця цін схема №2'!CR23</f>
        <v>20</v>
      </c>
      <c r="AR23" s="78">
        <f>'Таблиця цін схема №2'!CS23</f>
        <v>3</v>
      </c>
      <c r="AS23" s="47">
        <f>'Таблиця цін схема №2'!CV23</f>
        <v>50</v>
      </c>
      <c r="AT23" s="380">
        <f>'Таблиця цін схема №2'!CW23</f>
        <v>2</v>
      </c>
      <c r="AU23" s="47">
        <f>'Таблиця цін схема №2'!CZ23</f>
        <v>20</v>
      </c>
      <c r="AV23" s="380">
        <f>'Таблиця цін схема №2'!DA23</f>
        <v>2</v>
      </c>
      <c r="AW23" s="47">
        <f>'Таблиця цін схема №2'!DD23</f>
        <v>15</v>
      </c>
      <c r="AX23" s="380">
        <f>'Таблиця цін схема №2'!DE23</f>
        <v>8</v>
      </c>
      <c r="AY23" s="47">
        <f>'Таблиця цін схема №2'!DH23</f>
        <v>15</v>
      </c>
      <c r="AZ23" s="380">
        <f>'Таблиця цін схема №2'!DI23</f>
        <v>35</v>
      </c>
      <c r="BA23" s="47">
        <f>'Таблиця цін схема №2'!DL23</f>
        <v>50</v>
      </c>
      <c r="BB23" s="380">
        <f>'Таблиця цін схема №2'!DM23</f>
        <v>1</v>
      </c>
      <c r="BC23" s="47">
        <f>'Таблиця цін схема №2'!DP23</f>
        <v>32</v>
      </c>
      <c r="BD23" s="380">
        <f>'Таблиця цін схема №2'!DQ23</f>
        <v>1</v>
      </c>
    </row>
    <row r="24" spans="1:56">
      <c r="A24" s="73">
        <f>'Таблиця цін схема №2'!B24</f>
        <v>40</v>
      </c>
      <c r="B24" s="1140" t="str">
        <f>'Таблиця цін схема №2'!C24</f>
        <v xml:space="preserve">32 Okeanovskaya (Artema) Street </v>
      </c>
      <c r="C24" s="525">
        <f>'Таблиця цін схема №2'!X24</f>
        <v>80</v>
      </c>
      <c r="D24" s="380">
        <f>'Таблиця цін схема №2'!Y24</f>
        <v>2</v>
      </c>
      <c r="E24" s="47">
        <f>'Таблиця цін схема №2'!AB24</f>
        <v>80</v>
      </c>
      <c r="F24" s="380">
        <f>'Таблиця цін схема №2'!AC24</f>
        <v>2</v>
      </c>
      <c r="G24" s="47">
        <f>'Таблиця цін схема №2'!AF24</f>
        <v>80</v>
      </c>
      <c r="H24" s="380">
        <f>'Таблиця цін схема №2'!AG24</f>
        <v>1</v>
      </c>
      <c r="I24" s="47">
        <f>'Таблиця цін схема №2'!AJ24</f>
        <v>50</v>
      </c>
      <c r="J24" s="380">
        <f>'Таблиця цін схема №2'!AK24</f>
        <v>3</v>
      </c>
      <c r="K24" s="47">
        <f>'Таблиця цін схема №2'!AN24</f>
        <v>65</v>
      </c>
      <c r="L24" s="380">
        <f>'Таблиця цін схема №2'!AO24</f>
        <v>4</v>
      </c>
      <c r="M24" s="47" t="str">
        <f>'Таблиця цін схема №2'!AR24</f>
        <v>AMV20</v>
      </c>
      <c r="N24" s="380">
        <f>'Таблиця цін схема №2'!AS24</f>
        <v>1</v>
      </c>
      <c r="O24" s="47">
        <f>'Таблиця цін схема №2'!AV24</f>
        <v>16</v>
      </c>
      <c r="P24" s="379">
        <f>'Таблиця цін схема №2'!AW24</f>
        <v>32</v>
      </c>
      <c r="Q24" s="380">
        <f>'Таблиця цін схема №2'!AX24</f>
        <v>1</v>
      </c>
      <c r="R24" s="47">
        <f>'Таблиця цін схема №2'!BA24</f>
        <v>20</v>
      </c>
      <c r="S24" s="379">
        <f>'Таблиця цін схема №2'!BB24</f>
        <v>50</v>
      </c>
      <c r="T24" s="380">
        <f>'Таблиця цін схема №2'!BC24</f>
        <v>1</v>
      </c>
      <c r="U24" s="47" t="str">
        <f>'Таблиця цін схема №2'!BF24</f>
        <v>AMV33</v>
      </c>
      <c r="V24" s="380">
        <f>'Таблиця цін схема №2'!BG24</f>
        <v>1</v>
      </c>
      <c r="W24" s="47">
        <f>'Таблиця цін схема №2'!BJ24</f>
        <v>25</v>
      </c>
      <c r="X24" s="379">
        <f>'Таблиця цін схема №2'!BK24</f>
        <v>40</v>
      </c>
      <c r="Y24" s="380">
        <f>'Таблиця цін схема №2'!BL24</f>
        <v>1</v>
      </c>
      <c r="Z24" s="47">
        <f>'Таблиця цін схема №2'!BO24</f>
        <v>20</v>
      </c>
      <c r="AA24" s="379">
        <f>'Таблиця цін схема №2'!BP24</f>
        <v>40</v>
      </c>
      <c r="AB24" s="380">
        <f>'Таблиця цін схема №2'!BQ24</f>
        <v>1</v>
      </c>
      <c r="AC24" s="47">
        <f>'Таблиця цін схема №2'!BT24</f>
        <v>40</v>
      </c>
      <c r="AD24" s="379">
        <f>'Таблиця цін схема №2'!BU24</f>
        <v>10</v>
      </c>
      <c r="AE24" s="379" t="str">
        <f>'Таблиця цін схема №2'!BV24</f>
        <v>Pt500</v>
      </c>
      <c r="AF24" s="380">
        <f>'Таблиця цін схема №2'!BW24</f>
        <v>1</v>
      </c>
      <c r="AG24" s="47">
        <f>'Таблиця цін схема №2'!BZ24</f>
        <v>50</v>
      </c>
      <c r="AH24" s="379">
        <f>'Таблиця цін схема №2'!CA24</f>
        <v>15</v>
      </c>
      <c r="AI24" s="379" t="str">
        <f>'Таблиця цін схема №2'!CB24</f>
        <v>Pt500</v>
      </c>
      <c r="AJ24" s="380">
        <f>'Таблиця цін схема №2'!CC24</f>
        <v>1</v>
      </c>
      <c r="AK24" s="1168" t="str">
        <f>'Таблиця цін схема №2'!CF24</f>
        <v>EI-TO-16+027M30HS-421000</v>
      </c>
      <c r="AL24" s="380">
        <f>'Таблиця цін схема №2'!CG24</f>
        <v>1</v>
      </c>
      <c r="AM24" s="47">
        <f>'Таблиця цін схема №2'!CJ24</f>
        <v>80</v>
      </c>
      <c r="AN24" s="380">
        <f>'Таблиця цін схема №2'!CK24</f>
        <v>4</v>
      </c>
      <c r="AO24" s="47">
        <f>'Таблиця цін схема №2'!CN24</f>
        <v>65</v>
      </c>
      <c r="AP24" s="380">
        <f>'Таблиця цін схема №2'!CO24</f>
        <v>6</v>
      </c>
      <c r="AQ24" s="47">
        <f>'Таблиця цін схема №2'!CR24</f>
        <v>40</v>
      </c>
      <c r="AR24" s="78">
        <f>'Таблиця цін схема №2'!CS24</f>
        <v>3</v>
      </c>
      <c r="AS24" s="47">
        <f>'Таблиця цін схема №2'!CV24</f>
        <v>40</v>
      </c>
      <c r="AT24" s="380">
        <f>'Таблиця цін схема №2'!CW24</f>
        <v>8</v>
      </c>
      <c r="AU24" s="47">
        <f>'Таблиця цін схема №2'!CZ24</f>
        <v>20</v>
      </c>
      <c r="AV24" s="380">
        <f>'Таблиця цін схема №2'!DA24</f>
        <v>2</v>
      </c>
      <c r="AW24" s="47">
        <f>'Таблиця цін схема №2'!DD24</f>
        <v>15</v>
      </c>
      <c r="AX24" s="380">
        <f>'Таблиця цін схема №2'!DE24</f>
        <v>8</v>
      </c>
      <c r="AY24" s="47">
        <f>'Таблиця цін схема №2'!DH24</f>
        <v>15</v>
      </c>
      <c r="AZ24" s="380">
        <f>'Таблиця цін схема №2'!DI24</f>
        <v>39</v>
      </c>
      <c r="BA24" s="47">
        <f>'Таблиця цін схема №2'!DL24</f>
        <v>80</v>
      </c>
      <c r="BB24" s="380">
        <f>'Таблиця цін схема №2'!DM24</f>
        <v>1</v>
      </c>
      <c r="BC24" s="47">
        <f>'Таблиця цін схема №2'!DP24</f>
        <v>65</v>
      </c>
      <c r="BD24" s="380">
        <f>'Таблиця цін схема №2'!DQ24</f>
        <v>1</v>
      </c>
    </row>
    <row r="25" spans="1:56">
      <c r="A25" s="73">
        <f>'Таблиця цін схема №2'!B25</f>
        <v>41</v>
      </c>
      <c r="B25" s="1140" t="str">
        <f>'Таблиця цін схема №2'!C25</f>
        <v xml:space="preserve">32a (а) Okeanovskaya (Artema) Street </v>
      </c>
      <c r="C25" s="525">
        <f>'Таблиця цін схема №2'!X25</f>
        <v>80</v>
      </c>
      <c r="D25" s="380">
        <f>'Таблиця цін схема №2'!Y25</f>
        <v>2</v>
      </c>
      <c r="E25" s="47">
        <f>'Таблиця цін схема №2'!AB25</f>
        <v>80</v>
      </c>
      <c r="F25" s="380">
        <f>'Таблиця цін схема №2'!AC25</f>
        <v>2</v>
      </c>
      <c r="G25" s="47">
        <f>'Таблиця цін схема №2'!AF25</f>
        <v>80</v>
      </c>
      <c r="H25" s="517" t="s">
        <v>115</v>
      </c>
      <c r="I25" s="47">
        <f>'Таблиця цін схема №2'!AJ25</f>
        <v>50</v>
      </c>
      <c r="J25" s="380">
        <f>'Таблиця цін схема №2'!AK25</f>
        <v>1</v>
      </c>
      <c r="K25" s="47">
        <f>'Таблиця цін схема №2'!AN25</f>
        <v>65</v>
      </c>
      <c r="L25" s="380">
        <f>'Таблиця цін схема №2'!AO25</f>
        <v>4</v>
      </c>
      <c r="M25" s="47" t="str">
        <f>'Таблиця цін схема №2'!AR25</f>
        <v>AMV20</v>
      </c>
      <c r="N25" s="380">
        <f>'Таблиця цін схема №2'!AS25</f>
        <v>1</v>
      </c>
      <c r="O25" s="47">
        <f>'Таблиця цін схема №2'!AV25</f>
        <v>16</v>
      </c>
      <c r="P25" s="379">
        <f>'Таблиця цін схема №2'!AW25</f>
        <v>32</v>
      </c>
      <c r="Q25" s="380">
        <f>'Таблиця цін схема №2'!AX25</f>
        <v>1</v>
      </c>
      <c r="R25" s="47">
        <f>'Таблиця цін схема №2'!BA25</f>
        <v>20</v>
      </c>
      <c r="S25" s="379">
        <f>'Таблиця цін схема №2'!BB25</f>
        <v>50</v>
      </c>
      <c r="T25" s="380">
        <f>'Таблиця цін схема №2'!BC25</f>
        <v>1</v>
      </c>
      <c r="U25" s="47" t="str">
        <f>'Таблиця цін схема №2'!BF25</f>
        <v>AMV33</v>
      </c>
      <c r="V25" s="380">
        <f>'Таблиця цін схема №2'!BG25</f>
        <v>1</v>
      </c>
      <c r="W25" s="47">
        <f>'Таблиця цін схема №2'!BJ25</f>
        <v>25</v>
      </c>
      <c r="X25" s="379">
        <f>'Таблиця цін схема №2'!BK25</f>
        <v>40</v>
      </c>
      <c r="Y25" s="380">
        <f>'Таблиця цін схема №2'!BL25</f>
        <v>1</v>
      </c>
      <c r="Z25" s="47">
        <f>'Таблиця цін схема №2'!BO25</f>
        <v>20</v>
      </c>
      <c r="AA25" s="379">
        <f>'Таблиця цін схема №2'!BP25</f>
        <v>40</v>
      </c>
      <c r="AB25" s="380">
        <f>'Таблиця цін схема №2'!BQ25</f>
        <v>1</v>
      </c>
      <c r="AC25" s="47" t="str">
        <f>'Таблиця цін схема №2'!BT25</f>
        <v>-</v>
      </c>
      <c r="AD25" s="379" t="str">
        <f>'Таблиця цін схема №2'!BU25</f>
        <v>-</v>
      </c>
      <c r="AE25" s="379" t="str">
        <f>'Таблиця цін схема №2'!BV25</f>
        <v>existed</v>
      </c>
      <c r="AF25" s="380">
        <f>'Таблиця цін схема №2'!BW25</f>
        <v>0</v>
      </c>
      <c r="AG25" s="47">
        <f>'Таблиця цін схема №2'!BZ25</f>
        <v>50</v>
      </c>
      <c r="AH25" s="379">
        <f>'Таблиця цін схема №2'!CA25</f>
        <v>15</v>
      </c>
      <c r="AI25" s="379" t="str">
        <f>'Таблиця цін схема №2'!CB25</f>
        <v>Pt500</v>
      </c>
      <c r="AJ25" s="380">
        <f>'Таблиця цін схема №2'!CC25</f>
        <v>1</v>
      </c>
      <c r="AK25" s="1168" t="str">
        <f>'Таблиця цін схема №2'!CF25</f>
        <v>EI-TO-16+027M30HS-421000</v>
      </c>
      <c r="AL25" s="380">
        <f>'Таблиця цін схема №2'!CG25</f>
        <v>1</v>
      </c>
      <c r="AM25" s="47">
        <f>'Таблиця цін схема №2'!CJ25</f>
        <v>80</v>
      </c>
      <c r="AN25" s="380">
        <f>'Таблиця цін схема №2'!CK25</f>
        <v>4</v>
      </c>
      <c r="AO25" s="47">
        <f>'Таблиця цін схема №2'!CN25</f>
        <v>65</v>
      </c>
      <c r="AP25" s="380">
        <f>'Таблиця цін схема №2'!CO25</f>
        <v>6</v>
      </c>
      <c r="AQ25" s="47">
        <f>'Таблиця цін схема №2'!CR25</f>
        <v>40</v>
      </c>
      <c r="AR25" s="78">
        <f>'Таблиця цін схема №2'!CS25</f>
        <v>3</v>
      </c>
      <c r="AS25" s="47">
        <f>'Таблиця цін схема №2'!CV25</f>
        <v>40</v>
      </c>
      <c r="AT25" s="380">
        <f>'Таблиця цін схема №2'!CW25</f>
        <v>8</v>
      </c>
      <c r="AU25" s="47">
        <f>'Таблиця цін схема №2'!CZ25</f>
        <v>20</v>
      </c>
      <c r="AV25" s="380">
        <f>'Таблиця цін схема №2'!DA25</f>
        <v>2</v>
      </c>
      <c r="AW25" s="47">
        <f>'Таблиця цін схема №2'!DD25</f>
        <v>15</v>
      </c>
      <c r="AX25" s="380">
        <f>'Таблиця цін схема №2'!DE25</f>
        <v>8</v>
      </c>
      <c r="AY25" s="47">
        <f>'Таблиця цін схема №2'!DH25</f>
        <v>15</v>
      </c>
      <c r="AZ25" s="380">
        <f>'Таблиця цін схема №2'!DI25</f>
        <v>39</v>
      </c>
      <c r="BA25" s="47">
        <f>'Таблиця цін схема №2'!DL25</f>
        <v>80</v>
      </c>
      <c r="BB25" s="380">
        <f>'Таблиця цін схема №2'!DM25</f>
        <v>1</v>
      </c>
      <c r="BC25" s="47">
        <f>'Таблиця цін схема №2'!DP25</f>
        <v>65</v>
      </c>
      <c r="BD25" s="380">
        <f>'Таблиця цін схема №2'!DQ25</f>
        <v>1</v>
      </c>
    </row>
    <row r="26" spans="1:56">
      <c r="A26" s="73">
        <f>'Таблиця цін схема №2'!B26</f>
        <v>42</v>
      </c>
      <c r="B26" s="1140" t="str">
        <f>'Таблиця цін схема №2'!C26</f>
        <v xml:space="preserve">32b (б) Okeanovskaya (Artema) Street </v>
      </c>
      <c r="C26" s="525">
        <f>'Таблиця цін схема №2'!X26</f>
        <v>50</v>
      </c>
      <c r="D26" s="380">
        <f>'Таблиця цін схема №2'!Y26</f>
        <v>2</v>
      </c>
      <c r="E26" s="47">
        <f>'Таблиця цін схема №2'!AB26</f>
        <v>50</v>
      </c>
      <c r="F26" s="380">
        <f>'Таблиця цін схема №2'!AC26</f>
        <v>2</v>
      </c>
      <c r="G26" s="47">
        <f>'Таблиця цін схема №2'!AF26</f>
        <v>50</v>
      </c>
      <c r="H26" s="517" t="s">
        <v>115</v>
      </c>
      <c r="I26" s="47">
        <f>'Таблиця цін схема №2'!AJ26</f>
        <v>32</v>
      </c>
      <c r="J26" s="380">
        <f>'Таблиця цін схема №2'!AK26</f>
        <v>1</v>
      </c>
      <c r="K26" s="47">
        <f>'Таблиця цін схема №2'!AN26</f>
        <v>40</v>
      </c>
      <c r="L26" s="380">
        <f>'Таблиця цін схема №2'!AO26</f>
        <v>4</v>
      </c>
      <c r="M26" s="47" t="str">
        <f>'Таблиця цін схема №2'!AR26</f>
        <v>AMV20</v>
      </c>
      <c r="N26" s="380">
        <f>'Таблиця цін схема №2'!AS26</f>
        <v>1</v>
      </c>
      <c r="O26" s="47">
        <f>'Таблиця цін схема №2'!AV26</f>
        <v>4</v>
      </c>
      <c r="P26" s="379">
        <f>'Таблиця цін схема №2'!AW26</f>
        <v>15</v>
      </c>
      <c r="Q26" s="380">
        <f>'Таблиця цін схема №2'!AX26</f>
        <v>1</v>
      </c>
      <c r="R26" s="47">
        <f>'Таблиця цін схема №2'!BA26</f>
        <v>4</v>
      </c>
      <c r="S26" s="379">
        <f>'Таблиця цін схема №2'!BB26</f>
        <v>15</v>
      </c>
      <c r="T26" s="380">
        <f>'Таблиця цін схема №2'!BC26</f>
        <v>1</v>
      </c>
      <c r="U26" s="47" t="str">
        <f>'Таблиця цін схема №2'!BF26</f>
        <v>AMV33</v>
      </c>
      <c r="V26" s="380">
        <f>'Таблиця цін схема №2'!BG26</f>
        <v>1</v>
      </c>
      <c r="W26" s="47">
        <f>'Таблиця цін схема №2'!BJ26</f>
        <v>6.3</v>
      </c>
      <c r="X26" s="379">
        <f>'Таблиця цін схема №2'!BK26</f>
        <v>20</v>
      </c>
      <c r="Y26" s="380">
        <f>'Таблиця цін схема №2'!BL26</f>
        <v>1</v>
      </c>
      <c r="Z26" s="47">
        <f>'Таблиця цін схема №2'!BO26</f>
        <v>6.3</v>
      </c>
      <c r="AA26" s="379">
        <f>'Таблиця цін схема №2'!BP26</f>
        <v>20</v>
      </c>
      <c r="AB26" s="380">
        <f>'Таблиця цін схема №2'!BQ26</f>
        <v>1</v>
      </c>
      <c r="AC26" s="47" t="str">
        <f>'Таблиця цін схема №2'!BT26</f>
        <v>-</v>
      </c>
      <c r="AD26" s="379" t="str">
        <f>'Таблиця цін схема №2'!BU26</f>
        <v>-</v>
      </c>
      <c r="AE26" s="379" t="str">
        <f>'Таблиця цін схема №2'!BV26</f>
        <v>existed</v>
      </c>
      <c r="AF26" s="380">
        <f>'Таблиця цін схема №2'!BW26</f>
        <v>0</v>
      </c>
      <c r="AG26" s="47">
        <f>'Таблиця цін схема №2'!BZ26</f>
        <v>25</v>
      </c>
      <c r="AH26" s="379">
        <f>'Таблиця цін схема №2'!CA26</f>
        <v>3.5</v>
      </c>
      <c r="AI26" s="379" t="str">
        <f>'Таблиця цін схема №2'!CB26</f>
        <v>Pt500</v>
      </c>
      <c r="AJ26" s="380">
        <f>'Таблиця цін схема №2'!CC26</f>
        <v>1</v>
      </c>
      <c r="AK26" s="1168" t="str">
        <f>'Таблиця цін схема №2'!CF26</f>
        <v>ЕІ-ТО-4+035A00HS-132000</v>
      </c>
      <c r="AL26" s="380">
        <f>'Таблиця цін схема №2'!CG26</f>
        <v>1</v>
      </c>
      <c r="AM26" s="47">
        <f>'Таблиця цін схема №2'!CJ26</f>
        <v>50</v>
      </c>
      <c r="AN26" s="380">
        <f>'Таблиця цін схема №2'!CK26</f>
        <v>4</v>
      </c>
      <c r="AO26" s="47">
        <f>'Таблиця цін схема №2'!CN26</f>
        <v>32</v>
      </c>
      <c r="AP26" s="380">
        <f>'Таблиця цін схема №2'!CO26</f>
        <v>6</v>
      </c>
      <c r="AQ26" s="47">
        <f>'Таблиця цін схема №2'!CR26</f>
        <v>20</v>
      </c>
      <c r="AR26" s="78">
        <f>'Таблиця цін схема №2'!CS26</f>
        <v>3</v>
      </c>
      <c r="AS26" s="47">
        <f>'Таблиця цін схема №2'!CV26</f>
        <v>50</v>
      </c>
      <c r="AT26" s="380">
        <f>'Таблиця цін схема №2'!CW26</f>
        <v>2</v>
      </c>
      <c r="AU26" s="47">
        <f>'Таблиця цін схема №2'!CZ26</f>
        <v>20</v>
      </c>
      <c r="AV26" s="380">
        <f>'Таблиця цін схема №2'!DA26</f>
        <v>2</v>
      </c>
      <c r="AW26" s="47">
        <f>'Таблиця цін схема №2'!DD26</f>
        <v>15</v>
      </c>
      <c r="AX26" s="380">
        <f>'Таблиця цін схема №2'!DE26</f>
        <v>8</v>
      </c>
      <c r="AY26" s="47">
        <f>'Таблиця цін схема №2'!DH26</f>
        <v>15</v>
      </c>
      <c r="AZ26" s="380">
        <f>'Таблиця цін схема №2'!DI26</f>
        <v>35</v>
      </c>
      <c r="BA26" s="47">
        <f>'Таблиця цін схема №2'!DL26</f>
        <v>50</v>
      </c>
      <c r="BB26" s="380">
        <f>'Таблиця цін схема №2'!DM26</f>
        <v>1</v>
      </c>
      <c r="BC26" s="47">
        <f>'Таблиця цін схема №2'!DP26</f>
        <v>32</v>
      </c>
      <c r="BD26" s="380">
        <f>'Таблиця цін схема №2'!DQ26</f>
        <v>1</v>
      </c>
    </row>
    <row r="27" spans="1:56">
      <c r="A27" s="73">
        <f>'Таблиця цін схема №2'!B27</f>
        <v>43</v>
      </c>
      <c r="B27" s="1140" t="str">
        <f>'Таблиця цін схема №2'!C27</f>
        <v xml:space="preserve">32v (в) Okeanovskaya (Artema) Street </v>
      </c>
      <c r="C27" s="525">
        <f>'Таблиця цін схема №2'!X27</f>
        <v>65</v>
      </c>
      <c r="D27" s="380">
        <f>'Таблиця цін схема №2'!Y27</f>
        <v>2</v>
      </c>
      <c r="E27" s="47">
        <f>'Таблиця цін схема №2'!AB27</f>
        <v>65</v>
      </c>
      <c r="F27" s="380">
        <f>'Таблиця цін схема №2'!AC27</f>
        <v>2</v>
      </c>
      <c r="G27" s="47">
        <f>'Таблиця цін схема №2'!AF27</f>
        <v>65</v>
      </c>
      <c r="H27" s="380">
        <f>'Таблиця цін схема №2'!AG27</f>
        <v>1</v>
      </c>
      <c r="I27" s="47">
        <f>'Таблиця цін схема №2'!AJ27</f>
        <v>40</v>
      </c>
      <c r="J27" s="380">
        <f>'Таблиця цін схема №2'!AK27</f>
        <v>3</v>
      </c>
      <c r="K27" s="47">
        <f>'Таблиця цін схема №2'!AN27</f>
        <v>50</v>
      </c>
      <c r="L27" s="380">
        <f>'Таблиця цін схема №2'!AO27</f>
        <v>4</v>
      </c>
      <c r="M27" s="47" t="str">
        <f>'Таблиця цін схема №2'!AR27</f>
        <v>AMV20</v>
      </c>
      <c r="N27" s="380">
        <f>'Таблиця цін схема №2'!AS27</f>
        <v>1</v>
      </c>
      <c r="O27" s="47">
        <f>'Таблиця цін схема №2'!AV27</f>
        <v>10</v>
      </c>
      <c r="P27" s="379">
        <f>'Таблиця цін схема №2'!AW27</f>
        <v>25</v>
      </c>
      <c r="Q27" s="380">
        <f>'Таблиця цін схема №2'!AX27</f>
        <v>1</v>
      </c>
      <c r="R27" s="47">
        <f>'Таблиця цін схема №2'!BA27</f>
        <v>8</v>
      </c>
      <c r="S27" s="379">
        <f>'Таблиця цін схема №2'!BB27</f>
        <v>25</v>
      </c>
      <c r="T27" s="380">
        <f>'Таблиця цін схема №2'!BC27</f>
        <v>1</v>
      </c>
      <c r="U27" s="47" t="str">
        <f>'Таблиця цін схема №2'!BF27</f>
        <v>AMV33</v>
      </c>
      <c r="V27" s="380">
        <f>'Таблиця цін схема №2'!BG27</f>
        <v>1</v>
      </c>
      <c r="W27" s="47">
        <f>'Таблиця цін схема №2'!BJ27</f>
        <v>10</v>
      </c>
      <c r="X27" s="379">
        <f>'Таблиця цін схема №2'!BK27</f>
        <v>25</v>
      </c>
      <c r="Y27" s="380">
        <f>'Таблиця цін схема №2'!BL27</f>
        <v>1</v>
      </c>
      <c r="Z27" s="47">
        <f>'Таблиця цін схема №2'!BO27</f>
        <v>12.5</v>
      </c>
      <c r="AA27" s="379">
        <f>'Таблиця цін схема №2'!BP27</f>
        <v>32</v>
      </c>
      <c r="AB27" s="380">
        <f>'Таблиця цін схема №2'!BQ27</f>
        <v>1</v>
      </c>
      <c r="AC27" s="47">
        <f>'Таблиця цін схема №2'!BT27</f>
        <v>25</v>
      </c>
      <c r="AD27" s="379">
        <f>'Таблиця цін схема №2'!BU27</f>
        <v>6</v>
      </c>
      <c r="AE27" s="379" t="str">
        <f>'Таблиця цін схема №2'!BV27</f>
        <v>Pt500</v>
      </c>
      <c r="AF27" s="380">
        <f>'Таблиця цін схема №2'!BW27</f>
        <v>1</v>
      </c>
      <c r="AG27" s="47">
        <f>'Таблиця цін схема №2'!BZ27</f>
        <v>25</v>
      </c>
      <c r="AH27" s="379">
        <f>'Таблиця цін схема №2'!CA27</f>
        <v>6</v>
      </c>
      <c r="AI27" s="379" t="str">
        <f>'Таблиця цін схема №2'!CB27</f>
        <v>Pt500</v>
      </c>
      <c r="AJ27" s="380">
        <f>'Таблиця цін схема №2'!CC27</f>
        <v>1</v>
      </c>
      <c r="AK27" s="1168" t="str">
        <f>'Таблиця цін схема №2'!CF27</f>
        <v>EI-TO-16+015M30HS-223000</v>
      </c>
      <c r="AL27" s="380">
        <f>'Таблиця цін схема №2'!CG27</f>
        <v>1</v>
      </c>
      <c r="AM27" s="47">
        <f>'Таблиця цін схема №2'!CJ27</f>
        <v>65</v>
      </c>
      <c r="AN27" s="380">
        <f>'Таблиця цін схема №2'!CK27</f>
        <v>4</v>
      </c>
      <c r="AO27" s="47">
        <f>'Таблиця цін схема №2'!CN27</f>
        <v>40</v>
      </c>
      <c r="AP27" s="380">
        <f>'Таблиця цін схема №2'!CO27</f>
        <v>6</v>
      </c>
      <c r="AQ27" s="47">
        <f>'Таблиця цін схема №2'!CR27</f>
        <v>25</v>
      </c>
      <c r="AR27" s="78">
        <f>'Таблиця цін схема №2'!CS27</f>
        <v>3</v>
      </c>
      <c r="AS27" s="47">
        <f>'Таблиця цін схема №2'!CV27</f>
        <v>50</v>
      </c>
      <c r="AT27" s="380">
        <f>'Таблиця цін схема №2'!CW27</f>
        <v>4</v>
      </c>
      <c r="AU27" s="47">
        <f>'Таблиця цін схема №2'!CZ27</f>
        <v>20</v>
      </c>
      <c r="AV27" s="380">
        <f>'Таблиця цін схема №2'!DA27</f>
        <v>2</v>
      </c>
      <c r="AW27" s="47">
        <f>'Таблиця цін схема №2'!DD27</f>
        <v>15</v>
      </c>
      <c r="AX27" s="380">
        <f>'Таблиця цін схема №2'!DE27</f>
        <v>8</v>
      </c>
      <c r="AY27" s="47">
        <f>'Таблиця цін схема №2'!DH27</f>
        <v>15</v>
      </c>
      <c r="AZ27" s="380">
        <f>'Таблиця цін схема №2'!DI27</f>
        <v>37</v>
      </c>
      <c r="BA27" s="47">
        <f>'Таблиця цін схема №2'!DL27</f>
        <v>65</v>
      </c>
      <c r="BB27" s="380">
        <f>'Таблиця цін схема №2'!DM27</f>
        <v>1</v>
      </c>
      <c r="BC27" s="47">
        <f>'Таблиця цін схема №2'!DP27</f>
        <v>40</v>
      </c>
      <c r="BD27" s="380">
        <f>'Таблиця цін схема №2'!DQ27</f>
        <v>1</v>
      </c>
    </row>
    <row r="28" spans="1:56">
      <c r="A28" s="73">
        <f>'Таблиця цін схема №2'!B28</f>
        <v>44</v>
      </c>
      <c r="B28" s="1140" t="str">
        <f>'Таблиця цін схема №2'!C28</f>
        <v xml:space="preserve">34 (entrance 1 and 2) Okeanovskaya (Artema) Street </v>
      </c>
      <c r="C28" s="525">
        <f>'Таблиця цін схема №2'!X28</f>
        <v>65</v>
      </c>
      <c r="D28" s="380">
        <f>'Таблиця цін схема №2'!Y28</f>
        <v>2</v>
      </c>
      <c r="E28" s="47">
        <f>'Таблиця цін схема №2'!AB28</f>
        <v>65</v>
      </c>
      <c r="F28" s="380">
        <f>'Таблиця цін схема №2'!AC28</f>
        <v>2</v>
      </c>
      <c r="G28" s="47">
        <f>'Таблиця цін схема №2'!AF28</f>
        <v>65</v>
      </c>
      <c r="H28" s="517" t="s">
        <v>115</v>
      </c>
      <c r="I28" s="47">
        <f>'Таблиця цін схема №2'!AJ28</f>
        <v>40</v>
      </c>
      <c r="J28" s="380">
        <f>'Таблиця цін схема №2'!AK28</f>
        <v>1</v>
      </c>
      <c r="K28" s="47">
        <f>'Таблиця цін схема №2'!AN28</f>
        <v>50</v>
      </c>
      <c r="L28" s="380">
        <f>'Таблиця цін схема №2'!AO28</f>
        <v>4</v>
      </c>
      <c r="M28" s="47" t="str">
        <f>'Таблиця цін схема №2'!AR28</f>
        <v>AMV20</v>
      </c>
      <c r="N28" s="380">
        <f>'Таблиця цін схема №2'!AS28</f>
        <v>1</v>
      </c>
      <c r="O28" s="47">
        <f>'Таблиця цін схема №2'!AV28</f>
        <v>10</v>
      </c>
      <c r="P28" s="379">
        <f>'Таблиця цін схема №2'!AW28</f>
        <v>25</v>
      </c>
      <c r="Q28" s="380">
        <f>'Таблиця цін схема №2'!AX28</f>
        <v>1</v>
      </c>
      <c r="R28" s="47">
        <f>'Таблиця цін схема №2'!BA28</f>
        <v>12.5</v>
      </c>
      <c r="S28" s="379">
        <f>'Таблиця цін схема №2'!BB28</f>
        <v>32</v>
      </c>
      <c r="T28" s="380">
        <f>'Таблиця цін схема №2'!BC28</f>
        <v>1</v>
      </c>
      <c r="U28" s="47" t="str">
        <f>'Таблиця цін схема №2'!BF28</f>
        <v>AMV33</v>
      </c>
      <c r="V28" s="380">
        <f>'Таблиця цін схема №2'!BG28</f>
        <v>1</v>
      </c>
      <c r="W28" s="47">
        <f>'Таблиця цін схема №2'!BJ28</f>
        <v>16</v>
      </c>
      <c r="X28" s="379">
        <f>'Таблиця цін схема №2'!BK28</f>
        <v>32</v>
      </c>
      <c r="Y28" s="380">
        <f>'Таблиця цін схема №2'!BL28</f>
        <v>1</v>
      </c>
      <c r="Z28" s="47">
        <f>'Таблиця цін схема №2'!BO28</f>
        <v>12.5</v>
      </c>
      <c r="AA28" s="379">
        <f>'Таблиця цін схема №2'!BP28</f>
        <v>32</v>
      </c>
      <c r="AB28" s="380">
        <f>'Таблиця цін схема №2'!BQ28</f>
        <v>1</v>
      </c>
      <c r="AC28" s="47" t="str">
        <f>'Таблиця цін схема №2'!BT28</f>
        <v>-</v>
      </c>
      <c r="AD28" s="379" t="str">
        <f>'Таблиця цін схема №2'!BU28</f>
        <v>-</v>
      </c>
      <c r="AE28" s="379" t="str">
        <f>'Таблиця цін схема №2'!BV28</f>
        <v>existed</v>
      </c>
      <c r="AF28" s="380">
        <f>'Таблиця цін схема №2'!BW28</f>
        <v>0</v>
      </c>
      <c r="AG28" s="47">
        <f>'Таблиця цін схема №2'!BZ28</f>
        <v>40</v>
      </c>
      <c r="AH28" s="379">
        <f>'Таблиця цін схема №2'!CA28</f>
        <v>10</v>
      </c>
      <c r="AI28" s="379" t="str">
        <f>'Таблиця цін схема №2'!CB28</f>
        <v>Pt500</v>
      </c>
      <c r="AJ28" s="380">
        <f>'Таблиця цін схема №2'!CC28</f>
        <v>1</v>
      </c>
      <c r="AK28" s="1168" t="str">
        <f>'Таблиця цін схема №2'!CF28</f>
        <v>EI-TO-16+019M30HS-269000</v>
      </c>
      <c r="AL28" s="380">
        <f>'Таблиця цін схема №2'!CG28</f>
        <v>1</v>
      </c>
      <c r="AM28" s="47">
        <f>'Таблиця цін схема №2'!CJ28</f>
        <v>65</v>
      </c>
      <c r="AN28" s="380">
        <f>'Таблиця цін схема №2'!CK28</f>
        <v>4</v>
      </c>
      <c r="AO28" s="47">
        <f>'Таблиця цін схема №2'!CN28</f>
        <v>50</v>
      </c>
      <c r="AP28" s="380">
        <f>'Таблиця цін схема №2'!CO28</f>
        <v>6</v>
      </c>
      <c r="AQ28" s="47">
        <f>'Таблиця цін схема №2'!CR28</f>
        <v>32</v>
      </c>
      <c r="AR28" s="78">
        <f>'Таблиця цін схема №2'!CS28</f>
        <v>3</v>
      </c>
      <c r="AS28" s="47">
        <f>'Таблиця цін схема №2'!CV28</f>
        <v>50</v>
      </c>
      <c r="AT28" s="380">
        <f>'Таблиця цін схема №2'!CW28</f>
        <v>4</v>
      </c>
      <c r="AU28" s="47">
        <f>'Таблиця цін схема №2'!CZ28</f>
        <v>20</v>
      </c>
      <c r="AV28" s="380">
        <f>'Таблиця цін схема №2'!DA28</f>
        <v>2</v>
      </c>
      <c r="AW28" s="47">
        <f>'Таблиця цін схема №2'!DD28</f>
        <v>15</v>
      </c>
      <c r="AX28" s="380">
        <f>'Таблиця цін схема №2'!DE28</f>
        <v>8</v>
      </c>
      <c r="AY28" s="47">
        <f>'Таблиця цін схема №2'!DH28</f>
        <v>15</v>
      </c>
      <c r="AZ28" s="380">
        <f>'Таблиця цін схема №2'!DI28</f>
        <v>37</v>
      </c>
      <c r="BA28" s="47">
        <f>'Таблиця цін схема №2'!DL28</f>
        <v>65</v>
      </c>
      <c r="BB28" s="380">
        <f>'Таблиця цін схема №2'!DM28</f>
        <v>1</v>
      </c>
      <c r="BC28" s="47">
        <f>'Таблиця цін схема №2'!DP28</f>
        <v>50</v>
      </c>
      <c r="BD28" s="380">
        <f>'Таблиця цін схема №2'!DQ28</f>
        <v>1</v>
      </c>
    </row>
    <row r="29" spans="1:56">
      <c r="A29" s="73">
        <f>'Таблиця цін схема №2'!B29</f>
        <v>45</v>
      </c>
      <c r="B29" s="1140" t="str">
        <f>'Таблиця цін схема №2'!C29</f>
        <v xml:space="preserve">34 (entrance 3) Okeanovskaya (Artema) Street </v>
      </c>
      <c r="C29" s="525">
        <f>'Таблиця цін схема №2'!X29</f>
        <v>50</v>
      </c>
      <c r="D29" s="380">
        <f>'Таблиця цін схема №2'!Y29</f>
        <v>2</v>
      </c>
      <c r="E29" s="47">
        <f>'Таблиця цін схема №2'!AB29</f>
        <v>50</v>
      </c>
      <c r="F29" s="380">
        <f>'Таблиця цін схема №2'!AC29</f>
        <v>2</v>
      </c>
      <c r="G29" s="47">
        <f>'Таблиця цін схема №2'!AF29</f>
        <v>50</v>
      </c>
      <c r="H29" s="517" t="s">
        <v>115</v>
      </c>
      <c r="I29" s="47">
        <f>'Таблиця цін схема №2'!AJ29</f>
        <v>32</v>
      </c>
      <c r="J29" s="380">
        <f>'Таблиця цін схема №2'!AK29</f>
        <v>1</v>
      </c>
      <c r="K29" s="47">
        <f>'Таблиця цін схема №2'!AN29</f>
        <v>40</v>
      </c>
      <c r="L29" s="380">
        <f>'Таблиця цін схема №2'!AO29</f>
        <v>4</v>
      </c>
      <c r="M29" s="47" t="str">
        <f>'Таблиця цін схема №2'!AR29</f>
        <v>AMV20</v>
      </c>
      <c r="N29" s="380">
        <f>'Таблиця цін схема №2'!AS29</f>
        <v>1</v>
      </c>
      <c r="O29" s="47">
        <f>'Таблиця цін схема №2'!AV29</f>
        <v>6.3</v>
      </c>
      <c r="P29" s="379">
        <f>'Таблиця цін схема №2'!AW29</f>
        <v>20</v>
      </c>
      <c r="Q29" s="380">
        <f>'Таблиця цін схема №2'!AX29</f>
        <v>1</v>
      </c>
      <c r="R29" s="47">
        <f>'Таблиця цін схема №2'!BA29</f>
        <v>6.3</v>
      </c>
      <c r="S29" s="379">
        <f>'Таблиця цін схема №2'!BB29</f>
        <v>20</v>
      </c>
      <c r="T29" s="380">
        <f>'Таблиця цін схема №2'!BC29</f>
        <v>1</v>
      </c>
      <c r="U29" s="47" t="str">
        <f>'Таблиця цін схема №2'!BF29</f>
        <v>AMV33</v>
      </c>
      <c r="V29" s="380">
        <f>'Таблиця цін схема №2'!BG29</f>
        <v>1</v>
      </c>
      <c r="W29" s="47">
        <f>'Таблиця цін схема №2'!BJ29</f>
        <v>6.3</v>
      </c>
      <c r="X29" s="379">
        <f>'Таблиця цін схема №2'!BK29</f>
        <v>20</v>
      </c>
      <c r="Y29" s="380">
        <f>'Таблиця цін схема №2'!BL29</f>
        <v>1</v>
      </c>
      <c r="Z29" s="47">
        <f>'Таблиця цін схема №2'!BO29</f>
        <v>6.3</v>
      </c>
      <c r="AA29" s="379">
        <f>'Таблиця цін схема №2'!BP29</f>
        <v>20</v>
      </c>
      <c r="AB29" s="380">
        <f>'Таблиця цін схема №2'!BQ29</f>
        <v>1</v>
      </c>
      <c r="AC29" s="47" t="str">
        <f>'Таблиця цін схема №2'!BT29</f>
        <v>-</v>
      </c>
      <c r="AD29" s="379" t="str">
        <f>'Таблиця цін схема №2'!BU29</f>
        <v>-</v>
      </c>
      <c r="AE29" s="379" t="str">
        <f>'Таблиця цін схема №2'!BV29</f>
        <v>existed</v>
      </c>
      <c r="AF29" s="380">
        <f>'Таблиця цін схема №2'!BW29</f>
        <v>0</v>
      </c>
      <c r="AG29" s="47">
        <f>'Таблиця цін схема №2'!BZ29</f>
        <v>25</v>
      </c>
      <c r="AH29" s="379">
        <f>'Таблиця цін схема №2'!CA29</f>
        <v>3.5</v>
      </c>
      <c r="AI29" s="379" t="str">
        <f>'Таблиця цін схема №2'!CB29</f>
        <v>Pt500</v>
      </c>
      <c r="AJ29" s="380">
        <f>'Таблиця цін схема №2'!CC29</f>
        <v>1</v>
      </c>
      <c r="AK29" s="1168" t="str">
        <f>'Таблиця цін схема №2'!CF29</f>
        <v>ЕІ-ТО-4+035A00HS-130000</v>
      </c>
      <c r="AL29" s="380">
        <f>'Таблиця цін схема №2'!CG29</f>
        <v>1</v>
      </c>
      <c r="AM29" s="47">
        <f>'Таблиця цін схема №2'!CJ29</f>
        <v>50</v>
      </c>
      <c r="AN29" s="380">
        <f>'Таблиця цін схема №2'!CK29</f>
        <v>4</v>
      </c>
      <c r="AO29" s="47">
        <f>'Таблиця цін схема №2'!CN29</f>
        <v>32</v>
      </c>
      <c r="AP29" s="380">
        <f>'Таблиця цін схема №2'!CO29</f>
        <v>6</v>
      </c>
      <c r="AQ29" s="47">
        <f>'Таблиця цін схема №2'!CR29</f>
        <v>20</v>
      </c>
      <c r="AR29" s="78">
        <f>'Таблиця цін схема №2'!CS29</f>
        <v>3</v>
      </c>
      <c r="AS29" s="47">
        <f>'Таблиця цін схема №2'!CV29</f>
        <v>50</v>
      </c>
      <c r="AT29" s="380">
        <f>'Таблиця цін схема №2'!CW29</f>
        <v>2</v>
      </c>
      <c r="AU29" s="47">
        <f>'Таблиця цін схема №2'!CZ29</f>
        <v>20</v>
      </c>
      <c r="AV29" s="380">
        <f>'Таблиця цін схема №2'!DA29</f>
        <v>2</v>
      </c>
      <c r="AW29" s="47">
        <f>'Таблиця цін схема №2'!DD29</f>
        <v>15</v>
      </c>
      <c r="AX29" s="380">
        <f>'Таблиця цін схема №2'!DE29</f>
        <v>8</v>
      </c>
      <c r="AY29" s="47">
        <f>'Таблиця цін схема №2'!DH29</f>
        <v>15</v>
      </c>
      <c r="AZ29" s="380">
        <f>'Таблиця цін схема №2'!DI29</f>
        <v>35</v>
      </c>
      <c r="BA29" s="47">
        <f>'Таблиця цін схема №2'!DL29</f>
        <v>50</v>
      </c>
      <c r="BB29" s="380">
        <f>'Таблиця цін схема №2'!DM29</f>
        <v>1</v>
      </c>
      <c r="BC29" s="47">
        <f>'Таблиця цін схема №2'!DP29</f>
        <v>32</v>
      </c>
      <c r="BD29" s="380">
        <f>'Таблиця цін схема №2'!DQ29</f>
        <v>1</v>
      </c>
    </row>
    <row r="30" spans="1:56">
      <c r="A30" s="73">
        <f>'Таблиця цін схема №2'!B30</f>
        <v>46</v>
      </c>
      <c r="B30" s="1140" t="str">
        <f>'Таблиця цін схема №2'!C30</f>
        <v xml:space="preserve">36 (entrance 1-3) Okeanovskaya (Artema) Street </v>
      </c>
      <c r="C30" s="525">
        <f>'Таблиця цін схема №2'!X30</f>
        <v>80</v>
      </c>
      <c r="D30" s="380">
        <f>'Таблиця цін схема №2'!Y30</f>
        <v>2</v>
      </c>
      <c r="E30" s="47">
        <f>'Таблиця цін схема №2'!AB30</f>
        <v>80</v>
      </c>
      <c r="F30" s="380">
        <f>'Таблиця цін схема №2'!AC30</f>
        <v>2</v>
      </c>
      <c r="G30" s="47">
        <f>'Таблиця цін схема №2'!AF30</f>
        <v>80</v>
      </c>
      <c r="H30" s="380">
        <f>'Таблиця цін схема №2'!AG30</f>
        <v>1</v>
      </c>
      <c r="I30" s="47">
        <f>'Таблиця цін схема №2'!AJ30</f>
        <v>50</v>
      </c>
      <c r="J30" s="380">
        <f>'Таблиця цін схема №2'!AK30</f>
        <v>3</v>
      </c>
      <c r="K30" s="47">
        <f>'Таблиця цін схема №2'!AN30</f>
        <v>65</v>
      </c>
      <c r="L30" s="380">
        <f>'Таблиця цін схема №2'!AO30</f>
        <v>4</v>
      </c>
      <c r="M30" s="47" t="str">
        <f>'Таблиця цін схема №2'!AR30</f>
        <v>AMV20</v>
      </c>
      <c r="N30" s="380">
        <f>'Таблиця цін схема №2'!AS30</f>
        <v>1</v>
      </c>
      <c r="O30" s="47">
        <f>'Таблиця цін схема №2'!AV30</f>
        <v>16</v>
      </c>
      <c r="P30" s="379">
        <f>'Таблиця цін схема №2'!AW30</f>
        <v>32</v>
      </c>
      <c r="Q30" s="380">
        <f>'Таблиця цін схема №2'!AX30</f>
        <v>1</v>
      </c>
      <c r="R30" s="47">
        <f>'Таблиця цін схема №2'!BA30</f>
        <v>20</v>
      </c>
      <c r="S30" s="379">
        <f>'Таблиця цін схема №2'!BB30</f>
        <v>50</v>
      </c>
      <c r="T30" s="380">
        <f>'Таблиця цін схема №2'!BC30</f>
        <v>1</v>
      </c>
      <c r="U30" s="47" t="str">
        <f>'Таблиця цін схема №2'!BF30</f>
        <v>AMV33</v>
      </c>
      <c r="V30" s="380">
        <f>'Таблиця цін схема №2'!BG30</f>
        <v>1</v>
      </c>
      <c r="W30" s="47">
        <f>'Таблиця цін схема №2'!BJ30</f>
        <v>25</v>
      </c>
      <c r="X30" s="379">
        <f>'Таблиця цін схема №2'!BK30</f>
        <v>40</v>
      </c>
      <c r="Y30" s="380">
        <f>'Таблиця цін схема №2'!BL30</f>
        <v>1</v>
      </c>
      <c r="Z30" s="47">
        <f>'Таблиця цін схема №2'!BO30</f>
        <v>20</v>
      </c>
      <c r="AA30" s="379">
        <f>'Таблиця цін схема №2'!BP30</f>
        <v>40</v>
      </c>
      <c r="AB30" s="380">
        <f>'Таблиця цін схема №2'!BQ30</f>
        <v>1</v>
      </c>
      <c r="AC30" s="47">
        <f>'Таблиця цін схема №2'!BT30</f>
        <v>40</v>
      </c>
      <c r="AD30" s="379">
        <f>'Таблиця цін схема №2'!BU30</f>
        <v>10</v>
      </c>
      <c r="AE30" s="379" t="str">
        <f>'Таблиця цін схема №2'!BV30</f>
        <v>Pt500</v>
      </c>
      <c r="AF30" s="380">
        <f>'Таблиця цін схема №2'!BW30</f>
        <v>1</v>
      </c>
      <c r="AG30" s="47">
        <f>'Таблиця цін схема №2'!BZ30</f>
        <v>50</v>
      </c>
      <c r="AH30" s="379">
        <f>'Таблиця цін схема №2'!CA30</f>
        <v>15</v>
      </c>
      <c r="AI30" s="379" t="str">
        <f>'Таблиця цін схема №2'!CB30</f>
        <v>Pt500</v>
      </c>
      <c r="AJ30" s="380">
        <f>'Таблиця цін схема №2'!CC30</f>
        <v>1</v>
      </c>
      <c r="AK30" s="1168" t="str">
        <f>'Таблиця цін схема №2'!CF30</f>
        <v>EI-TO-16+027M25HS-420000</v>
      </c>
      <c r="AL30" s="380">
        <f>'Таблиця цін схема №2'!CG30</f>
        <v>1</v>
      </c>
      <c r="AM30" s="47">
        <f>'Таблиця цін схема №2'!CJ30</f>
        <v>80</v>
      </c>
      <c r="AN30" s="380">
        <f>'Таблиця цін схема №2'!CK30</f>
        <v>4</v>
      </c>
      <c r="AO30" s="47">
        <f>'Таблиця цін схема №2'!CN30</f>
        <v>65</v>
      </c>
      <c r="AP30" s="380">
        <f>'Таблиця цін схема №2'!CO30</f>
        <v>6</v>
      </c>
      <c r="AQ30" s="47">
        <f>'Таблиця цін схема №2'!CR30</f>
        <v>40</v>
      </c>
      <c r="AR30" s="78">
        <f>'Таблиця цін схема №2'!CS30</f>
        <v>3</v>
      </c>
      <c r="AS30" s="47">
        <f>'Таблиця цін схема №2'!CV30</f>
        <v>50</v>
      </c>
      <c r="AT30" s="380">
        <f>'Таблиця цін схема №2'!CW30</f>
        <v>6</v>
      </c>
      <c r="AU30" s="47">
        <f>'Таблиця цін схема №2'!CZ30</f>
        <v>20</v>
      </c>
      <c r="AV30" s="380">
        <f>'Таблиця цін схема №2'!DA30</f>
        <v>2</v>
      </c>
      <c r="AW30" s="47">
        <f>'Таблиця цін схема №2'!DD30</f>
        <v>15</v>
      </c>
      <c r="AX30" s="380">
        <f>'Таблиця цін схема №2'!DE30</f>
        <v>8</v>
      </c>
      <c r="AY30" s="47">
        <f>'Таблиця цін схема №2'!DH30</f>
        <v>15</v>
      </c>
      <c r="AZ30" s="380">
        <f>'Таблиця цін схема №2'!DI30</f>
        <v>38</v>
      </c>
      <c r="BA30" s="47">
        <f>'Таблиця цін схема №2'!DL30</f>
        <v>80</v>
      </c>
      <c r="BB30" s="380">
        <f>'Таблиця цін схема №2'!DM30</f>
        <v>1</v>
      </c>
      <c r="BC30" s="47">
        <f>'Таблиця цін схема №2'!DP30</f>
        <v>65</v>
      </c>
      <c r="BD30" s="380">
        <f>'Таблиця цін схема №2'!DQ30</f>
        <v>1</v>
      </c>
    </row>
    <row r="31" spans="1:56">
      <c r="A31" s="73">
        <f>'Таблиця цін схема №2'!B31</f>
        <v>47</v>
      </c>
      <c r="B31" s="1140" t="str">
        <f>'Таблиця цін схема №2'!C31</f>
        <v xml:space="preserve">36 (entrance 4) Okeanovskaya (Artema) Street </v>
      </c>
      <c r="C31" s="525">
        <f>'Таблиця цін схема №2'!X31</f>
        <v>50</v>
      </c>
      <c r="D31" s="380">
        <f>'Таблиця цін схема №2'!Y31</f>
        <v>2</v>
      </c>
      <c r="E31" s="47">
        <f>'Таблиця цін схема №2'!AB31</f>
        <v>50</v>
      </c>
      <c r="F31" s="380">
        <f>'Таблиця цін схема №2'!AC31</f>
        <v>2</v>
      </c>
      <c r="G31" s="47">
        <f>'Таблиця цін схема №2'!AF31</f>
        <v>50</v>
      </c>
      <c r="H31" s="380">
        <f>'Таблиця цін схема №2'!AG31</f>
        <v>1</v>
      </c>
      <c r="I31" s="47">
        <f>'Таблиця цін схема №2'!AJ31</f>
        <v>32</v>
      </c>
      <c r="J31" s="380">
        <f>'Таблиця цін схема №2'!AK31</f>
        <v>3</v>
      </c>
      <c r="K31" s="47">
        <f>'Таблиця цін схема №2'!AN31</f>
        <v>40</v>
      </c>
      <c r="L31" s="380">
        <f>'Таблиця цін схема №2'!AO31</f>
        <v>4</v>
      </c>
      <c r="M31" s="47" t="str">
        <f>'Таблиця цін схема №2'!AR31</f>
        <v>AMV20</v>
      </c>
      <c r="N31" s="380">
        <f>'Таблиця цін схема №2'!AS31</f>
        <v>1</v>
      </c>
      <c r="O31" s="47">
        <f>'Таблиця цін схема №2'!AV31</f>
        <v>4</v>
      </c>
      <c r="P31" s="379">
        <f>'Таблиця цін схема №2'!AW31</f>
        <v>15</v>
      </c>
      <c r="Q31" s="380">
        <f>'Таблиця цін схема №2'!AX31</f>
        <v>1</v>
      </c>
      <c r="R31" s="47">
        <f>'Таблиця цін схема №2'!BA31</f>
        <v>4</v>
      </c>
      <c r="S31" s="379">
        <f>'Таблиця цін схема №2'!BB31</f>
        <v>15</v>
      </c>
      <c r="T31" s="380">
        <f>'Таблиця цін схема №2'!BC31</f>
        <v>1</v>
      </c>
      <c r="U31" s="47" t="str">
        <f>'Таблиця цін схема №2'!BF31</f>
        <v>AMV33</v>
      </c>
      <c r="V31" s="380">
        <f>'Таблиця цін схема №2'!BG31</f>
        <v>1</v>
      </c>
      <c r="W31" s="47">
        <f>'Таблиця цін схема №2'!BJ31</f>
        <v>6.3</v>
      </c>
      <c r="X31" s="379">
        <f>'Таблиця цін схема №2'!BK31</f>
        <v>20</v>
      </c>
      <c r="Y31" s="380">
        <f>'Таблиця цін схема №2'!BL31</f>
        <v>1</v>
      </c>
      <c r="Z31" s="47">
        <f>'Таблиця цін схема №2'!BO31</f>
        <v>6.3</v>
      </c>
      <c r="AA31" s="379">
        <f>'Таблиця цін схема №2'!BP31</f>
        <v>20</v>
      </c>
      <c r="AB31" s="380">
        <f>'Таблиця цін схема №2'!BQ31</f>
        <v>1</v>
      </c>
      <c r="AC31" s="47">
        <f>'Таблиця цін схема №2'!BT31</f>
        <v>20</v>
      </c>
      <c r="AD31" s="379">
        <f>'Таблиця цін схема №2'!BU31</f>
        <v>2.5</v>
      </c>
      <c r="AE31" s="379" t="str">
        <f>'Таблиця цін схема №2'!BV31</f>
        <v>Pt500</v>
      </c>
      <c r="AF31" s="380">
        <f>'Таблиця цін схема №2'!BW31</f>
        <v>1</v>
      </c>
      <c r="AG31" s="47">
        <f>'Таблиця цін схема №2'!BZ31</f>
        <v>25</v>
      </c>
      <c r="AH31" s="379">
        <f>'Таблиця цін схема №2'!CA31</f>
        <v>3.5</v>
      </c>
      <c r="AI31" s="379" t="str">
        <f>'Таблиця цін схема №2'!CB31</f>
        <v>Pt500</v>
      </c>
      <c r="AJ31" s="380">
        <f>'Таблиця цін схема №2'!CC31</f>
        <v>1</v>
      </c>
      <c r="AK31" s="1168" t="str">
        <f>'Таблиця цін схема №2'!CF31</f>
        <v>ЕІ-ТО-4+035A00HS-130000</v>
      </c>
      <c r="AL31" s="380">
        <f>'Таблиця цін схема №2'!CG31</f>
        <v>1</v>
      </c>
      <c r="AM31" s="47">
        <f>'Таблиця цін схема №2'!CJ31</f>
        <v>50</v>
      </c>
      <c r="AN31" s="380">
        <f>'Таблиця цін схема №2'!CK31</f>
        <v>4</v>
      </c>
      <c r="AO31" s="47">
        <f>'Таблиця цін схема №2'!CN31</f>
        <v>32</v>
      </c>
      <c r="AP31" s="380">
        <f>'Таблиця цін схема №2'!CO31</f>
        <v>6</v>
      </c>
      <c r="AQ31" s="47">
        <f>'Таблиця цін схема №2'!CR31</f>
        <v>20</v>
      </c>
      <c r="AR31" s="78">
        <f>'Таблиця цін схема №2'!CS31</f>
        <v>3</v>
      </c>
      <c r="AS31" s="47">
        <f>'Таблиця цін схема №2'!CV31</f>
        <v>50</v>
      </c>
      <c r="AT31" s="380">
        <f>'Таблиця цін схема №2'!CW31</f>
        <v>2</v>
      </c>
      <c r="AU31" s="47">
        <f>'Таблиця цін схема №2'!CZ31</f>
        <v>20</v>
      </c>
      <c r="AV31" s="380">
        <f>'Таблиця цін схема №2'!DA31</f>
        <v>2</v>
      </c>
      <c r="AW31" s="47">
        <f>'Таблиця цін схема №2'!DD31</f>
        <v>15</v>
      </c>
      <c r="AX31" s="380">
        <f>'Таблиця цін схема №2'!DE31</f>
        <v>8</v>
      </c>
      <c r="AY31" s="47">
        <f>'Таблиця цін схема №2'!DH31</f>
        <v>15</v>
      </c>
      <c r="AZ31" s="380">
        <f>'Таблиця цін схема №2'!DI31</f>
        <v>35</v>
      </c>
      <c r="BA31" s="47">
        <f>'Таблиця цін схема №2'!DL31</f>
        <v>50</v>
      </c>
      <c r="BB31" s="380">
        <f>'Таблиця цін схема №2'!DM31</f>
        <v>1</v>
      </c>
      <c r="BC31" s="47">
        <f>'Таблиця цін схема №2'!DP31</f>
        <v>32</v>
      </c>
      <c r="BD31" s="380">
        <f>'Таблиця цін схема №2'!DQ31</f>
        <v>1</v>
      </c>
    </row>
    <row r="32" spans="1:56">
      <c r="A32" s="73">
        <f>'Таблиця цін схема №2'!B32</f>
        <v>48</v>
      </c>
      <c r="B32" s="1140" t="str">
        <f>'Таблиця цін схема №2'!C32</f>
        <v xml:space="preserve">38 (entrance 1 and 3) Okeanovskaya (Artema) Street </v>
      </c>
      <c r="C32" s="525">
        <f>'Таблиця цін схема №2'!X32</f>
        <v>80</v>
      </c>
      <c r="D32" s="380">
        <f>'Таблиця цін схема №2'!Y32</f>
        <v>2</v>
      </c>
      <c r="E32" s="47">
        <f>'Таблиця цін схема №2'!AB32</f>
        <v>80</v>
      </c>
      <c r="F32" s="380">
        <f>'Таблиця цін схема №2'!AC32</f>
        <v>2</v>
      </c>
      <c r="G32" s="47">
        <f>'Таблиця цін схема №2'!AF32</f>
        <v>80</v>
      </c>
      <c r="H32" s="380">
        <f>'Таблиця цін схема №2'!AG32</f>
        <v>1</v>
      </c>
      <c r="I32" s="47">
        <f>'Таблиця цін схема №2'!AJ32</f>
        <v>50</v>
      </c>
      <c r="J32" s="380">
        <f>'Таблиця цін схема №2'!AK32</f>
        <v>3</v>
      </c>
      <c r="K32" s="47">
        <f>'Таблиця цін схема №2'!AN32</f>
        <v>65</v>
      </c>
      <c r="L32" s="380">
        <f>'Таблиця цін схема №2'!AO32</f>
        <v>4</v>
      </c>
      <c r="M32" s="47" t="str">
        <f>'Таблиця цін схема №2'!AR32</f>
        <v>AMV20</v>
      </c>
      <c r="N32" s="380">
        <f>'Таблиця цін схема №2'!AS32</f>
        <v>1</v>
      </c>
      <c r="O32" s="47">
        <f>'Таблиця цін схема №2'!AV32</f>
        <v>16</v>
      </c>
      <c r="P32" s="379">
        <f>'Таблиця цін схема №2'!AW32</f>
        <v>32</v>
      </c>
      <c r="Q32" s="380">
        <f>'Таблиця цін схема №2'!AX32</f>
        <v>1</v>
      </c>
      <c r="R32" s="47">
        <f>'Таблиця цін схема №2'!BA32</f>
        <v>20</v>
      </c>
      <c r="S32" s="379">
        <f>'Таблиця цін схема №2'!BB32</f>
        <v>50</v>
      </c>
      <c r="T32" s="380">
        <f>'Таблиця цін схема №2'!BC32</f>
        <v>1</v>
      </c>
      <c r="U32" s="47" t="str">
        <f>'Таблиця цін схема №2'!BF32</f>
        <v>AMV33</v>
      </c>
      <c r="V32" s="380">
        <f>'Таблиця цін схема №2'!BG32</f>
        <v>1</v>
      </c>
      <c r="W32" s="47">
        <f>'Таблиця цін схема №2'!BJ32</f>
        <v>16</v>
      </c>
      <c r="X32" s="379">
        <f>'Таблиця цін схема №2'!BK32</f>
        <v>32</v>
      </c>
      <c r="Y32" s="380">
        <f>'Таблиця цін схема №2'!BL32</f>
        <v>1</v>
      </c>
      <c r="Z32" s="47">
        <f>'Таблиця цін схема №2'!BO32</f>
        <v>20</v>
      </c>
      <c r="AA32" s="379">
        <f>'Таблиця цін схема №2'!BP32</f>
        <v>40</v>
      </c>
      <c r="AB32" s="380">
        <f>'Таблиця цін схема №2'!BQ32</f>
        <v>1</v>
      </c>
      <c r="AC32" s="47" t="str">
        <f>'Таблиця цін схема №2'!BT32</f>
        <v>-</v>
      </c>
      <c r="AD32" s="379" t="str">
        <f>'Таблиця цін схема №2'!BU32</f>
        <v>-</v>
      </c>
      <c r="AE32" s="379" t="str">
        <f>'Таблиця цін схема №2'!BV32</f>
        <v>existed</v>
      </c>
      <c r="AF32" s="380">
        <f>'Таблиця цін схема №2'!BW32</f>
        <v>0</v>
      </c>
      <c r="AG32" s="47">
        <f>'Таблиця цін схема №2'!BZ32</f>
        <v>40</v>
      </c>
      <c r="AH32" s="379">
        <f>'Таблиця цін схема №2'!CA32</f>
        <v>10</v>
      </c>
      <c r="AI32" s="379" t="str">
        <f>'Таблиця цін схема №2'!CB32</f>
        <v>Pt500</v>
      </c>
      <c r="AJ32" s="380">
        <f>'Таблиця цін схема №2'!CC32</f>
        <v>1</v>
      </c>
      <c r="AK32" s="1168" t="str">
        <f>'Таблиця цін схема №2'!CF32</f>
        <v>EI-TO-16+023M25HS-368000</v>
      </c>
      <c r="AL32" s="380">
        <f>'Таблиця цін схема №2'!CG32</f>
        <v>1</v>
      </c>
      <c r="AM32" s="47">
        <f>'Таблиця цін схема №2'!CJ32</f>
        <v>80</v>
      </c>
      <c r="AN32" s="380">
        <f>'Таблиця цін схема №2'!CK32</f>
        <v>4</v>
      </c>
      <c r="AO32" s="47">
        <f>'Таблиця цін схема №2'!CN32</f>
        <v>50</v>
      </c>
      <c r="AP32" s="380">
        <f>'Таблиця цін схема №2'!CO32</f>
        <v>6</v>
      </c>
      <c r="AQ32" s="47">
        <f>'Таблиця цін схема №2'!CR32</f>
        <v>32</v>
      </c>
      <c r="AR32" s="78">
        <f>'Таблиця цін схема №2'!CS32</f>
        <v>3</v>
      </c>
      <c r="AS32" s="47">
        <f>'Таблиця цін схема №2'!CV32</f>
        <v>50</v>
      </c>
      <c r="AT32" s="380">
        <f>'Таблиця цін схема №2'!CW32</f>
        <v>6</v>
      </c>
      <c r="AU32" s="47">
        <f>'Таблиця цін схема №2'!CZ32</f>
        <v>20</v>
      </c>
      <c r="AV32" s="380">
        <f>'Таблиця цін схема №2'!DA32</f>
        <v>2</v>
      </c>
      <c r="AW32" s="47">
        <f>'Таблиця цін схема №2'!DD32</f>
        <v>15</v>
      </c>
      <c r="AX32" s="380">
        <f>'Таблиця цін схема №2'!DE32</f>
        <v>8</v>
      </c>
      <c r="AY32" s="47">
        <f>'Таблиця цін схема №2'!DH32</f>
        <v>15</v>
      </c>
      <c r="AZ32" s="380">
        <f>'Таблиця цін схема №2'!DI32</f>
        <v>38</v>
      </c>
      <c r="BA32" s="47">
        <f>'Таблиця цін схема №2'!DL32</f>
        <v>80</v>
      </c>
      <c r="BB32" s="380">
        <f>'Таблиця цін схема №2'!DM32</f>
        <v>1</v>
      </c>
      <c r="BC32" s="47">
        <f>'Таблиця цін схема №2'!DP32</f>
        <v>50</v>
      </c>
      <c r="BD32" s="380">
        <f>'Таблиця цін схема №2'!DQ32</f>
        <v>1</v>
      </c>
    </row>
    <row r="33" spans="1:56">
      <c r="A33" s="73">
        <f>'Таблиця цін схема №2'!B33</f>
        <v>49</v>
      </c>
      <c r="B33" s="1140" t="str">
        <f>'Таблиця цін схема №2'!C33</f>
        <v xml:space="preserve">38 (entrance 4 and 5) Okeanovskaya (Artema) Street </v>
      </c>
      <c r="C33" s="525">
        <f>'Таблиця цін схема №2'!X33</f>
        <v>65</v>
      </c>
      <c r="D33" s="380">
        <f>'Таблиця цін схема №2'!Y33</f>
        <v>2</v>
      </c>
      <c r="E33" s="47">
        <f>'Таблиця цін схема №2'!AB33</f>
        <v>65</v>
      </c>
      <c r="F33" s="380">
        <f>'Таблиця цін схема №2'!AC33</f>
        <v>2</v>
      </c>
      <c r="G33" s="47">
        <f>'Таблиця цін схема №2'!AF33</f>
        <v>65</v>
      </c>
      <c r="H33" s="517" t="s">
        <v>115</v>
      </c>
      <c r="I33" s="47">
        <f>'Таблиця цін схема №2'!AJ33</f>
        <v>50</v>
      </c>
      <c r="J33" s="380">
        <f>'Таблиця цін схема №2'!AK33</f>
        <v>1</v>
      </c>
      <c r="K33" s="47">
        <f>'Таблиця цін схема №2'!AN33</f>
        <v>50</v>
      </c>
      <c r="L33" s="380">
        <f>'Таблиця цін схема №2'!AO33</f>
        <v>4</v>
      </c>
      <c r="M33" s="47" t="str">
        <f>'Таблиця цін схема №2'!AR33</f>
        <v>AMV20</v>
      </c>
      <c r="N33" s="380">
        <f>'Таблиця цін схема №2'!AS33</f>
        <v>1</v>
      </c>
      <c r="O33" s="47">
        <f>'Таблиця цін схема №2'!AV33</f>
        <v>10</v>
      </c>
      <c r="P33" s="379">
        <f>'Таблиця цін схема №2'!AW33</f>
        <v>25</v>
      </c>
      <c r="Q33" s="380">
        <f>'Таблиця цін схема №2'!AX33</f>
        <v>1</v>
      </c>
      <c r="R33" s="47">
        <f>'Таблиця цін схема №2'!BA33</f>
        <v>12.5</v>
      </c>
      <c r="S33" s="379">
        <f>'Таблиця цін схема №2'!BB33</f>
        <v>32</v>
      </c>
      <c r="T33" s="380">
        <f>'Таблиця цін схема №2'!BC33</f>
        <v>1</v>
      </c>
      <c r="U33" s="47" t="str">
        <f>'Таблиця цін схема №2'!BF33</f>
        <v>AMV33</v>
      </c>
      <c r="V33" s="380">
        <f>'Таблиця цін схема №2'!BG33</f>
        <v>1</v>
      </c>
      <c r="W33" s="47">
        <f>'Таблиця цін схема №2'!BJ33</f>
        <v>16</v>
      </c>
      <c r="X33" s="379">
        <f>'Таблиця цін схема №2'!BK33</f>
        <v>32</v>
      </c>
      <c r="Y33" s="380">
        <f>'Таблиця цін схема №2'!BL33</f>
        <v>1</v>
      </c>
      <c r="Z33" s="47">
        <f>'Таблиця цін схема №2'!BO33</f>
        <v>12.5</v>
      </c>
      <c r="AA33" s="379">
        <f>'Таблиця цін схема №2'!BP33</f>
        <v>32</v>
      </c>
      <c r="AB33" s="380">
        <f>'Таблиця цін схема №2'!BQ33</f>
        <v>1</v>
      </c>
      <c r="AC33" s="47" t="str">
        <f>'Таблиця цін схема №2'!BT33</f>
        <v>-</v>
      </c>
      <c r="AD33" s="379" t="str">
        <f>'Таблиця цін схема №2'!BU33</f>
        <v>-</v>
      </c>
      <c r="AE33" s="379" t="str">
        <f>'Таблиця цін схема №2'!BV33</f>
        <v>existed</v>
      </c>
      <c r="AF33" s="380">
        <f>'Таблиця цін схема №2'!BW33</f>
        <v>0</v>
      </c>
      <c r="AG33" s="47">
        <f>'Таблиця цін схема №2'!BZ33</f>
        <v>40</v>
      </c>
      <c r="AH33" s="379">
        <f>'Таблиця цін схема №2'!CA33</f>
        <v>10</v>
      </c>
      <c r="AI33" s="379" t="str">
        <f>'Таблиця цін схема №2'!CB33</f>
        <v>Pt500</v>
      </c>
      <c r="AJ33" s="380">
        <f>'Таблиця цін схема №2'!CC33</f>
        <v>1</v>
      </c>
      <c r="AK33" s="1168" t="str">
        <f>'Таблиця цін схема №2'!CF33</f>
        <v>EI-TO-16+017M30HS-245000</v>
      </c>
      <c r="AL33" s="380">
        <f>'Таблиця цін схема №2'!CG33</f>
        <v>1</v>
      </c>
      <c r="AM33" s="47">
        <f>'Таблиця цін схема №2'!CJ33</f>
        <v>65</v>
      </c>
      <c r="AN33" s="380">
        <f>'Таблиця цін схема №2'!CK33</f>
        <v>4</v>
      </c>
      <c r="AO33" s="47">
        <f>'Таблиця цін схема №2'!CN33</f>
        <v>50</v>
      </c>
      <c r="AP33" s="380">
        <f>'Таблиця цін схема №2'!CO33</f>
        <v>6</v>
      </c>
      <c r="AQ33" s="47">
        <f>'Таблиця цін схема №2'!CR33</f>
        <v>32</v>
      </c>
      <c r="AR33" s="78">
        <f>'Таблиця цін схема №2'!CS33</f>
        <v>3</v>
      </c>
      <c r="AS33" s="47">
        <f>'Таблиця цін схема №2'!CV33</f>
        <v>50</v>
      </c>
      <c r="AT33" s="380">
        <f>'Таблиця цін схема №2'!CW33</f>
        <v>4</v>
      </c>
      <c r="AU33" s="47">
        <f>'Таблиця цін схема №2'!CZ33</f>
        <v>20</v>
      </c>
      <c r="AV33" s="380">
        <f>'Таблиця цін схема №2'!DA33</f>
        <v>2</v>
      </c>
      <c r="AW33" s="47">
        <f>'Таблиця цін схема №2'!DD33</f>
        <v>15</v>
      </c>
      <c r="AX33" s="380">
        <f>'Таблиця цін схема №2'!DE33</f>
        <v>8</v>
      </c>
      <c r="AY33" s="47">
        <f>'Таблиця цін схема №2'!DH33</f>
        <v>15</v>
      </c>
      <c r="AZ33" s="380">
        <f>'Таблиця цін схема №2'!DI33</f>
        <v>37</v>
      </c>
      <c r="BA33" s="47">
        <f>'Таблиця цін схема №2'!DL33</f>
        <v>65</v>
      </c>
      <c r="BB33" s="380">
        <f>'Таблиця цін схема №2'!DM33</f>
        <v>1</v>
      </c>
      <c r="BC33" s="47">
        <f>'Таблиця цін схема №2'!DP33</f>
        <v>50</v>
      </c>
      <c r="BD33" s="380">
        <f>'Таблиця цін схема №2'!DQ33</f>
        <v>1</v>
      </c>
    </row>
    <row r="34" spans="1:56">
      <c r="A34" s="73">
        <f>'Таблиця цін схема №2'!B34</f>
        <v>50</v>
      </c>
      <c r="B34" s="1140" t="str">
        <f>'Таблиця цін схема №2'!C34</f>
        <v xml:space="preserve">38a (а) Okeanovskaya (Artema) Street </v>
      </c>
      <c r="C34" s="525">
        <f>'Таблиця цін схема №2'!X34</f>
        <v>80</v>
      </c>
      <c r="D34" s="380">
        <f>'Таблиця цін схема №2'!Y34</f>
        <v>2</v>
      </c>
      <c r="E34" s="47">
        <f>'Таблиця цін схема №2'!AB34</f>
        <v>80</v>
      </c>
      <c r="F34" s="380">
        <f>'Таблиця цін схема №2'!AC34</f>
        <v>2</v>
      </c>
      <c r="G34" s="47">
        <f>'Таблиця цін схема №2'!AF34</f>
        <v>80</v>
      </c>
      <c r="H34" s="380">
        <f>'Таблиця цін схема №2'!AG34</f>
        <v>1</v>
      </c>
      <c r="I34" s="47">
        <f>'Таблиця цін схема №2'!AJ34</f>
        <v>50</v>
      </c>
      <c r="J34" s="380">
        <f>'Таблиця цін схема №2'!AK34</f>
        <v>3</v>
      </c>
      <c r="K34" s="47">
        <f>'Таблиця цін схема №2'!AN34</f>
        <v>65</v>
      </c>
      <c r="L34" s="380">
        <f>'Таблиця цін схема №2'!AO34</f>
        <v>4</v>
      </c>
      <c r="M34" s="47" t="str">
        <f>'Таблиця цін схема №2'!AR34</f>
        <v>AMV20</v>
      </c>
      <c r="N34" s="380">
        <f>'Таблиця цін схема №2'!AS34</f>
        <v>1</v>
      </c>
      <c r="O34" s="47">
        <f>'Таблиця цін схема №2'!AV34</f>
        <v>16</v>
      </c>
      <c r="P34" s="379">
        <f>'Таблиця цін схема №2'!AW34</f>
        <v>32</v>
      </c>
      <c r="Q34" s="380">
        <f>'Таблиця цін схема №2'!AX34</f>
        <v>1</v>
      </c>
      <c r="R34" s="47">
        <f>'Таблиця цін схема №2'!BA34</f>
        <v>12.5</v>
      </c>
      <c r="S34" s="379">
        <f>'Таблиця цін схема №2'!BB34</f>
        <v>32</v>
      </c>
      <c r="T34" s="380">
        <f>'Таблиця цін схема №2'!BC34</f>
        <v>1</v>
      </c>
      <c r="U34" s="47" t="str">
        <f>'Таблиця цін схема №2'!BF34</f>
        <v>AMV33</v>
      </c>
      <c r="V34" s="380">
        <f>'Таблиця цін схема №2'!BG34</f>
        <v>1</v>
      </c>
      <c r="W34" s="47">
        <f>'Таблиця цін схема №2'!BJ34</f>
        <v>16</v>
      </c>
      <c r="X34" s="379">
        <f>'Таблиця цін схема №2'!BK34</f>
        <v>32</v>
      </c>
      <c r="Y34" s="380">
        <f>'Таблиця цін схема №2'!BL34</f>
        <v>1</v>
      </c>
      <c r="Z34" s="47">
        <f>'Таблиця цін схема №2'!BO34</f>
        <v>20</v>
      </c>
      <c r="AA34" s="379">
        <f>'Таблиця цін схема №2'!BP34</f>
        <v>40</v>
      </c>
      <c r="AB34" s="380">
        <f>'Таблиця цін схема №2'!BQ34</f>
        <v>1</v>
      </c>
      <c r="AC34" s="47">
        <f>'Таблиця цін схема №2'!BT34</f>
        <v>40</v>
      </c>
      <c r="AD34" s="379">
        <f>'Таблиця цін схема №2'!BU34</f>
        <v>10</v>
      </c>
      <c r="AE34" s="379" t="str">
        <f>'Таблиця цін схема №2'!BV34</f>
        <v>Pt500</v>
      </c>
      <c r="AF34" s="380">
        <f>'Таблиця цін схема №2'!BW34</f>
        <v>1</v>
      </c>
      <c r="AG34" s="47">
        <f>'Таблиця цін схема №2'!BZ34</f>
        <v>40</v>
      </c>
      <c r="AH34" s="379">
        <f>'Таблиця цін схема №2'!CA34</f>
        <v>10</v>
      </c>
      <c r="AI34" s="379" t="str">
        <f>'Таблиця цін схема №2'!CB34</f>
        <v>Pt500</v>
      </c>
      <c r="AJ34" s="380">
        <f>'Таблиця цін схема №2'!CC34</f>
        <v>1</v>
      </c>
      <c r="AK34" s="1168" t="str">
        <f>'Таблиця цін схема №2'!CF34</f>
        <v>EI-TO-16+023M25HS-360000</v>
      </c>
      <c r="AL34" s="380">
        <f>'Таблиця цін схема №2'!CG34</f>
        <v>1</v>
      </c>
      <c r="AM34" s="47">
        <f>'Таблиця цін схема №2'!CJ34</f>
        <v>80</v>
      </c>
      <c r="AN34" s="380">
        <f>'Таблиця цін схема №2'!CK34</f>
        <v>4</v>
      </c>
      <c r="AO34" s="47">
        <f>'Таблиця цін схема №2'!CN34</f>
        <v>50</v>
      </c>
      <c r="AP34" s="380">
        <f>'Таблиця цін схема №2'!CO34</f>
        <v>6</v>
      </c>
      <c r="AQ34" s="47">
        <f>'Таблиця цін схема №2'!CR34</f>
        <v>32</v>
      </c>
      <c r="AR34" s="78">
        <f>'Таблиця цін схема №2'!CS34</f>
        <v>3</v>
      </c>
      <c r="AS34" s="47">
        <f>'Таблиця цін схема №2'!CV34</f>
        <v>50</v>
      </c>
      <c r="AT34" s="380">
        <f>'Таблиця цін схема №2'!CW34</f>
        <v>6</v>
      </c>
      <c r="AU34" s="47">
        <f>'Таблиця цін схема №2'!CZ34</f>
        <v>20</v>
      </c>
      <c r="AV34" s="380">
        <f>'Таблиця цін схема №2'!DA34</f>
        <v>2</v>
      </c>
      <c r="AW34" s="47">
        <f>'Таблиця цін схема №2'!DD34</f>
        <v>15</v>
      </c>
      <c r="AX34" s="380">
        <f>'Таблиця цін схема №2'!DE34</f>
        <v>8</v>
      </c>
      <c r="AY34" s="47">
        <f>'Таблиця цін схема №2'!DH34</f>
        <v>15</v>
      </c>
      <c r="AZ34" s="380">
        <f>'Таблиця цін схема №2'!DI34</f>
        <v>38</v>
      </c>
      <c r="BA34" s="47">
        <f>'Таблиця цін схема №2'!DL34</f>
        <v>80</v>
      </c>
      <c r="BB34" s="380">
        <f>'Таблиця цін схема №2'!DM34</f>
        <v>1</v>
      </c>
      <c r="BC34" s="47">
        <f>'Таблиця цін схема №2'!DP34</f>
        <v>50</v>
      </c>
      <c r="BD34" s="380">
        <f>'Таблиця цін схема №2'!DQ34</f>
        <v>1</v>
      </c>
    </row>
    <row r="35" spans="1:56">
      <c r="A35" s="73">
        <f>'Таблиця цін схема №2'!B35</f>
        <v>51</v>
      </c>
      <c r="B35" s="1140" t="str">
        <f>'Таблиця цін схема №2'!C35</f>
        <v xml:space="preserve">38b (б) Okeanovskaya (Artema) Street </v>
      </c>
      <c r="C35" s="525">
        <f>'Таблиця цін схема №2'!X35</f>
        <v>65</v>
      </c>
      <c r="D35" s="380">
        <f>'Таблиця цін схема №2'!Y35</f>
        <v>2</v>
      </c>
      <c r="E35" s="47">
        <f>'Таблиця цін схема №2'!AB35</f>
        <v>65</v>
      </c>
      <c r="F35" s="380">
        <f>'Таблиця цін схема №2'!AC35</f>
        <v>2</v>
      </c>
      <c r="G35" s="47">
        <f>'Таблиця цін схема №2'!AF35</f>
        <v>65</v>
      </c>
      <c r="H35" s="380">
        <f>'Таблиця цін схема №2'!AG35</f>
        <v>1</v>
      </c>
      <c r="I35" s="47">
        <f>'Таблиця цін схема №2'!AJ35</f>
        <v>40</v>
      </c>
      <c r="J35" s="380">
        <f>'Таблиця цін схема №2'!AK35</f>
        <v>3</v>
      </c>
      <c r="K35" s="47">
        <f>'Таблиця цін схема №2'!AN35</f>
        <v>50</v>
      </c>
      <c r="L35" s="380">
        <f>'Таблиця цін схема №2'!AO35</f>
        <v>4</v>
      </c>
      <c r="M35" s="47" t="str">
        <f>'Таблиця цін схема №2'!AR35</f>
        <v>AMV20</v>
      </c>
      <c r="N35" s="380">
        <f>'Таблиця цін схема №2'!AS35</f>
        <v>1</v>
      </c>
      <c r="O35" s="47">
        <f>'Таблиця цін схема №2'!AV35</f>
        <v>10</v>
      </c>
      <c r="P35" s="379">
        <f>'Таблиця цін схема №2'!AW35</f>
        <v>25</v>
      </c>
      <c r="Q35" s="380">
        <f>'Таблиця цін схема №2'!AX35</f>
        <v>1</v>
      </c>
      <c r="R35" s="47">
        <f>'Таблиця цін схема №2'!BA35</f>
        <v>8</v>
      </c>
      <c r="S35" s="379">
        <f>'Таблиця цін схема №2'!BB35</f>
        <v>25</v>
      </c>
      <c r="T35" s="380">
        <f>'Таблиця цін схема №2'!BC35</f>
        <v>1</v>
      </c>
      <c r="U35" s="47" t="str">
        <f>'Таблиця цін схема №2'!BF35</f>
        <v>AMV33</v>
      </c>
      <c r="V35" s="380">
        <f>'Таблиця цін схема №2'!BG35</f>
        <v>1</v>
      </c>
      <c r="W35" s="47">
        <f>'Таблиця цін схема №2'!BJ35</f>
        <v>10</v>
      </c>
      <c r="X35" s="379">
        <f>'Таблиця цін схема №2'!BK35</f>
        <v>25</v>
      </c>
      <c r="Y35" s="380">
        <f>'Таблиця цін схема №2'!BL35</f>
        <v>1</v>
      </c>
      <c r="Z35" s="47">
        <f>'Таблиця цін схема №2'!BO35</f>
        <v>12.5</v>
      </c>
      <c r="AA35" s="379">
        <f>'Таблиця цін схема №2'!BP35</f>
        <v>32</v>
      </c>
      <c r="AB35" s="380">
        <f>'Таблиця цін схема №2'!BQ35</f>
        <v>1</v>
      </c>
      <c r="AC35" s="47">
        <f>'Таблиця цін схема №2'!BT35</f>
        <v>25</v>
      </c>
      <c r="AD35" s="379">
        <f>'Таблиця цін схема №2'!BU35</f>
        <v>6</v>
      </c>
      <c r="AE35" s="379" t="str">
        <f>'Таблиця цін схема №2'!BV35</f>
        <v>Pt500</v>
      </c>
      <c r="AF35" s="380">
        <f>'Таблиця цін схема №2'!BW35</f>
        <v>1</v>
      </c>
      <c r="AG35" s="47">
        <f>'Таблиця цін схема №2'!BZ35</f>
        <v>25</v>
      </c>
      <c r="AH35" s="379">
        <f>'Таблиця цін схема №2'!CA35</f>
        <v>6</v>
      </c>
      <c r="AI35" s="379" t="str">
        <f>'Таблиця цін схема №2'!CB35</f>
        <v>Pt500</v>
      </c>
      <c r="AJ35" s="380">
        <f>'Таблиця цін схема №2'!CC35</f>
        <v>1</v>
      </c>
      <c r="AK35" s="1168" t="str">
        <f>'Таблиця цін схема №2'!CF35</f>
        <v>EI-TO-16+015M30HS-223000</v>
      </c>
      <c r="AL35" s="380">
        <f>'Таблиця цін схема №2'!CG35</f>
        <v>1</v>
      </c>
      <c r="AM35" s="47">
        <f>'Таблиця цін схема №2'!CJ35</f>
        <v>65</v>
      </c>
      <c r="AN35" s="380">
        <f>'Таблиця цін схема №2'!CK35</f>
        <v>4</v>
      </c>
      <c r="AO35" s="47">
        <f>'Таблиця цін схема №2'!CN35</f>
        <v>40</v>
      </c>
      <c r="AP35" s="380">
        <f>'Таблиця цін схема №2'!CO35</f>
        <v>6</v>
      </c>
      <c r="AQ35" s="47">
        <f>'Таблиця цін схема №2'!CR35</f>
        <v>25</v>
      </c>
      <c r="AR35" s="78">
        <f>'Таблиця цін схема №2'!CS35</f>
        <v>3</v>
      </c>
      <c r="AS35" s="47">
        <f>'Таблиця цін схема №2'!CV35</f>
        <v>50</v>
      </c>
      <c r="AT35" s="380">
        <f>'Таблиця цін схема №2'!CW35</f>
        <v>4</v>
      </c>
      <c r="AU35" s="47">
        <f>'Таблиця цін схема №2'!CZ35</f>
        <v>20</v>
      </c>
      <c r="AV35" s="380">
        <f>'Таблиця цін схема №2'!DA35</f>
        <v>2</v>
      </c>
      <c r="AW35" s="47">
        <f>'Таблиця цін схема №2'!DD35</f>
        <v>15</v>
      </c>
      <c r="AX35" s="380">
        <f>'Таблиця цін схема №2'!DE35</f>
        <v>8</v>
      </c>
      <c r="AY35" s="47">
        <f>'Таблиця цін схема №2'!DH35</f>
        <v>15</v>
      </c>
      <c r="AZ35" s="380">
        <f>'Таблиця цін схема №2'!DI35</f>
        <v>37</v>
      </c>
      <c r="BA35" s="47">
        <f>'Таблиця цін схема №2'!DL35</f>
        <v>65</v>
      </c>
      <c r="BB35" s="380">
        <f>'Таблиця цін схема №2'!DM35</f>
        <v>1</v>
      </c>
      <c r="BC35" s="47">
        <f>'Таблиця цін схема №2'!DP35</f>
        <v>40</v>
      </c>
      <c r="BD35" s="380">
        <f>'Таблиця цін схема №2'!DQ35</f>
        <v>1</v>
      </c>
    </row>
    <row r="36" spans="1:56">
      <c r="A36" s="73">
        <f>'Таблиця цін схема №2'!B36</f>
        <v>52</v>
      </c>
      <c r="B36" s="1140" t="str">
        <f>'Таблиця цін схема №2'!C36</f>
        <v xml:space="preserve">40 Okeanovskaya (Artema) Street </v>
      </c>
      <c r="C36" s="525">
        <f>'Таблиця цін схема №2'!X36</f>
        <v>65</v>
      </c>
      <c r="D36" s="380">
        <f>'Таблиця цін схема №2'!Y36</f>
        <v>2</v>
      </c>
      <c r="E36" s="47">
        <f>'Таблиця цін схема №2'!AB36</f>
        <v>65</v>
      </c>
      <c r="F36" s="380">
        <f>'Таблиця цін схема №2'!AC36</f>
        <v>2</v>
      </c>
      <c r="G36" s="47">
        <f>'Таблиця цін схема №2'!AF36</f>
        <v>65</v>
      </c>
      <c r="H36" s="380">
        <f>'Таблиця цін схема №2'!AG36</f>
        <v>1</v>
      </c>
      <c r="I36" s="47">
        <f>'Таблиця цін схема №2'!AJ36</f>
        <v>40</v>
      </c>
      <c r="J36" s="380">
        <f>'Таблиця цін схема №2'!AK36</f>
        <v>3</v>
      </c>
      <c r="K36" s="47">
        <f>'Таблиця цін схема №2'!AN36</f>
        <v>50</v>
      </c>
      <c r="L36" s="380">
        <f>'Таблиця цін схема №2'!AO36</f>
        <v>4</v>
      </c>
      <c r="M36" s="47" t="str">
        <f>'Таблиця цін схема №2'!AR36</f>
        <v>AMV20</v>
      </c>
      <c r="N36" s="380">
        <f>'Таблиця цін схема №2'!AS36</f>
        <v>1</v>
      </c>
      <c r="O36" s="47">
        <f>'Таблиця цін схема №2'!AV36</f>
        <v>10</v>
      </c>
      <c r="P36" s="379">
        <f>'Таблиця цін схема №2'!AW36</f>
        <v>25</v>
      </c>
      <c r="Q36" s="380">
        <f>'Таблиця цін схема №2'!AX36</f>
        <v>1</v>
      </c>
      <c r="R36" s="47">
        <f>'Таблиця цін схема №2'!BA36</f>
        <v>8</v>
      </c>
      <c r="S36" s="379">
        <f>'Таблиця цін схема №2'!BB36</f>
        <v>25</v>
      </c>
      <c r="T36" s="380">
        <f>'Таблиця цін схема №2'!BC36</f>
        <v>1</v>
      </c>
      <c r="U36" s="47" t="str">
        <f>'Таблиця цін схема №2'!BF36</f>
        <v>AMV33</v>
      </c>
      <c r="V36" s="380">
        <f>'Таблиця цін схема №2'!BG36</f>
        <v>1</v>
      </c>
      <c r="W36" s="47">
        <f>'Таблиця цін схема №2'!BJ36</f>
        <v>10</v>
      </c>
      <c r="X36" s="379">
        <f>'Таблиця цін схема №2'!BK36</f>
        <v>25</v>
      </c>
      <c r="Y36" s="380">
        <f>'Таблиця цін схема №2'!BL36</f>
        <v>1</v>
      </c>
      <c r="Z36" s="47">
        <f>'Таблиця цін схема №2'!BO36</f>
        <v>12.5</v>
      </c>
      <c r="AA36" s="379">
        <f>'Таблиця цін схема №2'!BP36</f>
        <v>32</v>
      </c>
      <c r="AB36" s="380">
        <f>'Таблиця цін схема №2'!BQ36</f>
        <v>1</v>
      </c>
      <c r="AC36" s="47" t="str">
        <f>'Таблиця цін схема №2'!BT36</f>
        <v>-</v>
      </c>
      <c r="AD36" s="379" t="str">
        <f>'Таблиця цін схема №2'!BU36</f>
        <v>-</v>
      </c>
      <c r="AE36" s="379" t="str">
        <f>'Таблиця цін схема №2'!BV36</f>
        <v>existed</v>
      </c>
      <c r="AF36" s="380">
        <f>'Таблиця цін схема №2'!BW36</f>
        <v>0</v>
      </c>
      <c r="AG36" s="47">
        <f>'Таблиця цін схема №2'!BZ36</f>
        <v>25</v>
      </c>
      <c r="AH36" s="379">
        <f>'Таблиця цін схема №2'!CA36</f>
        <v>6</v>
      </c>
      <c r="AI36" s="379" t="str">
        <f>'Таблиця цін схема №2'!CB36</f>
        <v>Pt500</v>
      </c>
      <c r="AJ36" s="380">
        <f>'Таблиця цін схема №2'!CC36</f>
        <v>1</v>
      </c>
      <c r="AK36" s="1168" t="str">
        <f>'Таблиця цін схема №2'!CF36</f>
        <v>EI-TO-16+015M30HS-223000</v>
      </c>
      <c r="AL36" s="380">
        <f>'Таблиця цін схема №2'!CG36</f>
        <v>1</v>
      </c>
      <c r="AM36" s="47">
        <f>'Таблиця цін схема №2'!CJ36</f>
        <v>65</v>
      </c>
      <c r="AN36" s="380">
        <f>'Таблиця цін схема №2'!CK36</f>
        <v>4</v>
      </c>
      <c r="AO36" s="47">
        <f>'Таблиця цін схема №2'!CN36</f>
        <v>40</v>
      </c>
      <c r="AP36" s="380">
        <f>'Таблиця цін схема №2'!CO36</f>
        <v>6</v>
      </c>
      <c r="AQ36" s="47">
        <f>'Таблиця цін схема №2'!CR36</f>
        <v>25</v>
      </c>
      <c r="AR36" s="78">
        <f>'Таблиця цін схема №2'!CS36</f>
        <v>3</v>
      </c>
      <c r="AS36" s="47">
        <f>'Таблиця цін схема №2'!CV36</f>
        <v>50</v>
      </c>
      <c r="AT36" s="380">
        <f>'Таблиця цін схема №2'!CW36</f>
        <v>4</v>
      </c>
      <c r="AU36" s="47">
        <f>'Таблиця цін схема №2'!CZ36</f>
        <v>20</v>
      </c>
      <c r="AV36" s="380">
        <f>'Таблиця цін схема №2'!DA36</f>
        <v>2</v>
      </c>
      <c r="AW36" s="47">
        <f>'Таблиця цін схема №2'!DD36</f>
        <v>15</v>
      </c>
      <c r="AX36" s="380">
        <f>'Таблиця цін схема №2'!DE36</f>
        <v>8</v>
      </c>
      <c r="AY36" s="47">
        <f>'Таблиця цін схема №2'!DH36</f>
        <v>15</v>
      </c>
      <c r="AZ36" s="380">
        <f>'Таблиця цін схема №2'!DI36</f>
        <v>37</v>
      </c>
      <c r="BA36" s="47">
        <f>'Таблиця цін схема №2'!DL36</f>
        <v>65</v>
      </c>
      <c r="BB36" s="380">
        <f>'Таблиця цін схема №2'!DM36</f>
        <v>1</v>
      </c>
      <c r="BC36" s="47">
        <f>'Таблиця цін схема №2'!DP36</f>
        <v>40</v>
      </c>
      <c r="BD36" s="380">
        <f>'Таблиця цін схема №2'!DQ36</f>
        <v>1</v>
      </c>
    </row>
    <row r="37" spans="1:56">
      <c r="A37" s="73">
        <f>'Таблиця цін схема №2'!B37</f>
        <v>53</v>
      </c>
      <c r="B37" s="1140" t="str">
        <f>'Таблиця цін схема №2'!C37</f>
        <v xml:space="preserve">40a (а) Okeanovskaya (Artema) Street </v>
      </c>
      <c r="C37" s="525">
        <f>'Таблиця цін схема №2'!X37</f>
        <v>80</v>
      </c>
      <c r="D37" s="380">
        <f>'Таблиця цін схема №2'!Y37</f>
        <v>2</v>
      </c>
      <c r="E37" s="47">
        <f>'Таблиця цін схема №2'!AB37</f>
        <v>80</v>
      </c>
      <c r="F37" s="380">
        <f>'Таблиця цін схема №2'!AC37</f>
        <v>2</v>
      </c>
      <c r="G37" s="47">
        <f>'Таблиця цін схема №2'!AF37</f>
        <v>80</v>
      </c>
      <c r="H37" s="380">
        <f>'Таблиця цін схема №2'!AG37</f>
        <v>1</v>
      </c>
      <c r="I37" s="47">
        <f>'Таблиця цін схема №2'!AJ37</f>
        <v>50</v>
      </c>
      <c r="J37" s="380">
        <f>'Таблиця цін схема №2'!AK37</f>
        <v>3</v>
      </c>
      <c r="K37" s="47">
        <f>'Таблиця цін схема №2'!AN37</f>
        <v>65</v>
      </c>
      <c r="L37" s="380">
        <f>'Таблиця цін схема №2'!AO37</f>
        <v>4</v>
      </c>
      <c r="M37" s="47" t="str">
        <f>'Таблиця цін схема №2'!AR37</f>
        <v>AMV20</v>
      </c>
      <c r="N37" s="380">
        <f>'Таблиця цін схема №2'!AS37</f>
        <v>1</v>
      </c>
      <c r="O37" s="47">
        <f>'Таблиця цін схема №2'!AV37</f>
        <v>16</v>
      </c>
      <c r="P37" s="379">
        <f>'Таблиця цін схема №2'!AW37</f>
        <v>32</v>
      </c>
      <c r="Q37" s="380">
        <f>'Таблиця цін схема №2'!AX37</f>
        <v>1</v>
      </c>
      <c r="R37" s="47">
        <f>'Таблиця цін схема №2'!BA37</f>
        <v>12.5</v>
      </c>
      <c r="S37" s="379">
        <f>'Таблиця цін схема №2'!BB37</f>
        <v>32</v>
      </c>
      <c r="T37" s="380">
        <f>'Таблиця цін схема №2'!BC37</f>
        <v>1</v>
      </c>
      <c r="U37" s="47" t="str">
        <f>'Таблиця цін схема №2'!BF37</f>
        <v>AMV33</v>
      </c>
      <c r="V37" s="380">
        <f>'Таблиця цін схема №2'!BG37</f>
        <v>1</v>
      </c>
      <c r="W37" s="47">
        <f>'Таблиця цін схема №2'!BJ37</f>
        <v>25</v>
      </c>
      <c r="X37" s="379">
        <f>'Таблиця цін схема №2'!BK37</f>
        <v>40</v>
      </c>
      <c r="Y37" s="380">
        <f>'Таблиця цін схема №2'!BL37</f>
        <v>1</v>
      </c>
      <c r="Z37" s="47">
        <f>'Таблиця цін схема №2'!BO37</f>
        <v>20</v>
      </c>
      <c r="AA37" s="379">
        <f>'Таблиця цін схема №2'!BP37</f>
        <v>40</v>
      </c>
      <c r="AB37" s="380">
        <f>'Таблиця цін схема №2'!BQ37</f>
        <v>1</v>
      </c>
      <c r="AC37" s="47">
        <f>'Таблиця цін схема №2'!BT37</f>
        <v>40</v>
      </c>
      <c r="AD37" s="379">
        <f>'Таблиця цін схема №2'!BU37</f>
        <v>10</v>
      </c>
      <c r="AE37" s="379" t="str">
        <f>'Таблиця цін схема №2'!BV37</f>
        <v>Pt500</v>
      </c>
      <c r="AF37" s="380">
        <f>'Таблиця цін схема №2'!BW37</f>
        <v>1</v>
      </c>
      <c r="AG37" s="47">
        <f>'Таблиця цін схема №2'!BZ37</f>
        <v>50</v>
      </c>
      <c r="AH37" s="379">
        <f>'Таблиця цін схема №2'!CA37</f>
        <v>15</v>
      </c>
      <c r="AI37" s="379" t="str">
        <f>'Таблиця цін схема №2'!CB37</f>
        <v>Pt500</v>
      </c>
      <c r="AJ37" s="380">
        <f>'Таблиця цін схема №2'!CC37</f>
        <v>1</v>
      </c>
      <c r="AK37" s="1168" t="str">
        <f>'Таблиця цін схема №2'!CF37</f>
        <v>EI-TO-16+027M30HS-421000</v>
      </c>
      <c r="AL37" s="380">
        <f>'Таблиця цін схема №2'!CG37</f>
        <v>1</v>
      </c>
      <c r="AM37" s="47">
        <f>'Таблиця цін схема №2'!CJ37</f>
        <v>80</v>
      </c>
      <c r="AN37" s="380">
        <f>'Таблиця цін схема №2'!CK37</f>
        <v>4</v>
      </c>
      <c r="AO37" s="47">
        <f>'Таблиця цін схема №2'!CN37</f>
        <v>65</v>
      </c>
      <c r="AP37" s="380">
        <f>'Таблиця цін схема №2'!CO37</f>
        <v>6</v>
      </c>
      <c r="AQ37" s="47">
        <f>'Таблиця цін схема №2'!CR37</f>
        <v>40</v>
      </c>
      <c r="AR37" s="78">
        <f>'Таблиця цін схема №2'!CS37</f>
        <v>3</v>
      </c>
      <c r="AS37" s="47">
        <f>'Таблиця цін схема №2'!CV37</f>
        <v>40</v>
      </c>
      <c r="AT37" s="380">
        <f>'Таблиця цін схема №2'!CW37</f>
        <v>8</v>
      </c>
      <c r="AU37" s="47">
        <f>'Таблиця цін схема №2'!CZ37</f>
        <v>20</v>
      </c>
      <c r="AV37" s="380">
        <f>'Таблиця цін схема №2'!DA37</f>
        <v>2</v>
      </c>
      <c r="AW37" s="47">
        <f>'Таблиця цін схема №2'!DD37</f>
        <v>15</v>
      </c>
      <c r="AX37" s="380">
        <f>'Таблиця цін схема №2'!DE37</f>
        <v>8</v>
      </c>
      <c r="AY37" s="47">
        <f>'Таблиця цін схема №2'!DH37</f>
        <v>15</v>
      </c>
      <c r="AZ37" s="380">
        <f>'Таблиця цін схема №2'!DI37</f>
        <v>39</v>
      </c>
      <c r="BA37" s="47">
        <f>'Таблиця цін схема №2'!DL37</f>
        <v>80</v>
      </c>
      <c r="BB37" s="380">
        <f>'Таблиця цін схема №2'!DM37</f>
        <v>1</v>
      </c>
      <c r="BC37" s="47">
        <f>'Таблиця цін схема №2'!DP37</f>
        <v>65</v>
      </c>
      <c r="BD37" s="380">
        <f>'Таблиця цін схема №2'!DQ37</f>
        <v>1</v>
      </c>
    </row>
    <row r="38" spans="1:56">
      <c r="A38" s="73">
        <f>'Таблиця цін схема №2'!B38</f>
        <v>54</v>
      </c>
      <c r="B38" s="1140" t="str">
        <f>'Таблиця цін схема №2'!C38</f>
        <v xml:space="preserve">40b (б) Okeanovskaya (Artema) Street </v>
      </c>
      <c r="C38" s="525">
        <f>'Таблиця цін схема №2'!X38</f>
        <v>65</v>
      </c>
      <c r="D38" s="380">
        <f>'Таблиця цін схема №2'!Y38</f>
        <v>2</v>
      </c>
      <c r="E38" s="47">
        <f>'Таблиця цін схема №2'!AB38</f>
        <v>65</v>
      </c>
      <c r="F38" s="380">
        <f>'Таблиця цін схема №2'!AC38</f>
        <v>2</v>
      </c>
      <c r="G38" s="47">
        <f>'Таблиця цін схема №2'!AF38</f>
        <v>65</v>
      </c>
      <c r="H38" s="380">
        <f>'Таблиця цін схема №2'!AG38</f>
        <v>1</v>
      </c>
      <c r="I38" s="47">
        <f>'Таблиця цін схема №2'!AJ38</f>
        <v>40</v>
      </c>
      <c r="J38" s="380">
        <f>'Таблиця цін схема №2'!AK38</f>
        <v>3</v>
      </c>
      <c r="K38" s="47">
        <f>'Таблиця цін схема №2'!AN38</f>
        <v>50</v>
      </c>
      <c r="L38" s="380">
        <f>'Таблиця цін схема №2'!AO38</f>
        <v>4</v>
      </c>
      <c r="M38" s="47" t="str">
        <f>'Таблиця цін схема №2'!AR38</f>
        <v>AMV20</v>
      </c>
      <c r="N38" s="380">
        <f>'Таблиця цін схема №2'!AS38</f>
        <v>1</v>
      </c>
      <c r="O38" s="47">
        <f>'Таблиця цін схема №2'!AV38</f>
        <v>10</v>
      </c>
      <c r="P38" s="379">
        <f>'Таблиця цін схема №2'!AW38</f>
        <v>25</v>
      </c>
      <c r="Q38" s="380">
        <f>'Таблиця цін схема №2'!AX38</f>
        <v>1</v>
      </c>
      <c r="R38" s="47">
        <f>'Таблиця цін схема №2'!BA38</f>
        <v>12.5</v>
      </c>
      <c r="S38" s="379">
        <f>'Таблиця цін схема №2'!BB38</f>
        <v>32</v>
      </c>
      <c r="T38" s="380">
        <f>'Таблиця цін схема №2'!BC38</f>
        <v>1</v>
      </c>
      <c r="U38" s="47" t="str">
        <f>'Таблиця цін схема №2'!BF38</f>
        <v>AMV33</v>
      </c>
      <c r="V38" s="380">
        <f>'Таблиця цін схема №2'!BG38</f>
        <v>1</v>
      </c>
      <c r="W38" s="47">
        <f>'Таблиця цін схема №2'!BJ38</f>
        <v>16</v>
      </c>
      <c r="X38" s="379">
        <f>'Таблиця цін схема №2'!BK38</f>
        <v>32</v>
      </c>
      <c r="Y38" s="380">
        <f>'Таблиця цін схема №2'!BL38</f>
        <v>1</v>
      </c>
      <c r="Z38" s="47">
        <f>'Таблиця цін схема №2'!BO38</f>
        <v>12.5</v>
      </c>
      <c r="AA38" s="379">
        <f>'Таблиця цін схема №2'!BP38</f>
        <v>32</v>
      </c>
      <c r="AB38" s="380">
        <f>'Таблиця цін схема №2'!BQ38</f>
        <v>1</v>
      </c>
      <c r="AC38" s="47" t="str">
        <f>'Таблиця цін схема №2'!BT38</f>
        <v>-</v>
      </c>
      <c r="AD38" s="379" t="str">
        <f>'Таблиця цін схема №2'!BU38</f>
        <v>-</v>
      </c>
      <c r="AE38" s="379" t="str">
        <f>'Таблиця цін схема №2'!BV38</f>
        <v>existed</v>
      </c>
      <c r="AF38" s="380">
        <f>'Таблиця цін схема №2'!BW38</f>
        <v>0</v>
      </c>
      <c r="AG38" s="47">
        <f>'Таблиця цін схема №2'!BZ38</f>
        <v>40</v>
      </c>
      <c r="AH38" s="379">
        <f>'Таблиця цін схема №2'!CA38</f>
        <v>10</v>
      </c>
      <c r="AI38" s="379" t="str">
        <f>'Таблиця цін схема №2'!CB38</f>
        <v>Pt500</v>
      </c>
      <c r="AJ38" s="380">
        <f>'Таблиця цін схема №2'!CC38</f>
        <v>1</v>
      </c>
      <c r="AK38" s="1168" t="str">
        <f>'Таблиця цін схема №2'!CF38</f>
        <v>EI-TO-16+017M30HS-266000</v>
      </c>
      <c r="AL38" s="380">
        <f>'Таблиця цін схема №2'!CG38</f>
        <v>1</v>
      </c>
      <c r="AM38" s="47">
        <f>'Таблиця цін схема №2'!CJ38</f>
        <v>65</v>
      </c>
      <c r="AN38" s="380">
        <f>'Таблиця цін схема №2'!CK38</f>
        <v>4</v>
      </c>
      <c r="AO38" s="47">
        <f>'Таблиця цін схема №2'!CN38</f>
        <v>50</v>
      </c>
      <c r="AP38" s="380">
        <f>'Таблиця цін схема №2'!CO38</f>
        <v>6</v>
      </c>
      <c r="AQ38" s="47">
        <f>'Таблиця цін схема №2'!CR38</f>
        <v>32</v>
      </c>
      <c r="AR38" s="78">
        <f>'Таблиця цін схема №2'!CS38</f>
        <v>3</v>
      </c>
      <c r="AS38" s="47">
        <f>'Таблиця цін схема №2'!CV38</f>
        <v>40</v>
      </c>
      <c r="AT38" s="380">
        <f>'Таблиця цін схема №2'!CW38</f>
        <v>6</v>
      </c>
      <c r="AU38" s="47">
        <f>'Таблиця цін схема №2'!CZ38</f>
        <v>20</v>
      </c>
      <c r="AV38" s="380">
        <f>'Таблиця цін схема №2'!DA38</f>
        <v>2</v>
      </c>
      <c r="AW38" s="47">
        <f>'Таблиця цін схема №2'!DD38</f>
        <v>15</v>
      </c>
      <c r="AX38" s="380">
        <f>'Таблиця цін схема №2'!DE38</f>
        <v>8</v>
      </c>
      <c r="AY38" s="47">
        <f>'Таблиця цін схема №2'!DH38</f>
        <v>15</v>
      </c>
      <c r="AZ38" s="380">
        <f>'Таблиця цін схема №2'!DI38</f>
        <v>38</v>
      </c>
      <c r="BA38" s="47">
        <f>'Таблиця цін схема №2'!DL38</f>
        <v>65</v>
      </c>
      <c r="BB38" s="380">
        <f>'Таблиця цін схема №2'!DM38</f>
        <v>1</v>
      </c>
      <c r="BC38" s="47">
        <f>'Таблиця цін схема №2'!DP38</f>
        <v>50</v>
      </c>
      <c r="BD38" s="380">
        <f>'Таблиця цін схема №2'!DQ38</f>
        <v>1</v>
      </c>
    </row>
    <row r="39" spans="1:56">
      <c r="A39" s="73">
        <f>'Таблиця цін схема №2'!B39</f>
        <v>55</v>
      </c>
      <c r="B39" s="1140" t="str">
        <f>'Таблиця цін схема №2'!C39</f>
        <v xml:space="preserve">40v (в) Okeanovskaya (Artema) Street </v>
      </c>
      <c r="C39" s="525">
        <f>'Таблиця цін схема №2'!X39</f>
        <v>65</v>
      </c>
      <c r="D39" s="380">
        <f>'Таблиця цін схема №2'!Y39</f>
        <v>2</v>
      </c>
      <c r="E39" s="47">
        <f>'Таблиця цін схема №2'!AB39</f>
        <v>65</v>
      </c>
      <c r="F39" s="380">
        <f>'Таблиця цін схема №2'!AC39</f>
        <v>2</v>
      </c>
      <c r="G39" s="47">
        <f>'Таблиця цін схема №2'!AF39</f>
        <v>65</v>
      </c>
      <c r="H39" s="380">
        <f>'Таблиця цін схема №2'!AG39</f>
        <v>1</v>
      </c>
      <c r="I39" s="47">
        <f>'Таблиця цін схема №2'!AJ39</f>
        <v>50</v>
      </c>
      <c r="J39" s="380">
        <f>'Таблиця цін схема №2'!AK39</f>
        <v>3</v>
      </c>
      <c r="K39" s="47">
        <f>'Таблиця цін схема №2'!AN39</f>
        <v>50</v>
      </c>
      <c r="L39" s="380">
        <f>'Таблиця цін схема №2'!AO39</f>
        <v>4</v>
      </c>
      <c r="M39" s="47" t="str">
        <f>'Таблиця цін схема №2'!AR39</f>
        <v>AMV20</v>
      </c>
      <c r="N39" s="380">
        <f>'Таблиця цін схема №2'!AS39</f>
        <v>1</v>
      </c>
      <c r="O39" s="47">
        <f>'Таблиця цін схема №2'!AV39</f>
        <v>16</v>
      </c>
      <c r="P39" s="379">
        <f>'Таблиця цін схема №2'!AW39</f>
        <v>32</v>
      </c>
      <c r="Q39" s="380">
        <f>'Таблиця цін схема №2'!AX39</f>
        <v>1</v>
      </c>
      <c r="R39" s="47">
        <f>'Таблиця цін схема №2'!BA39</f>
        <v>12.5</v>
      </c>
      <c r="S39" s="379">
        <f>'Таблиця цін схема №2'!BB39</f>
        <v>32</v>
      </c>
      <c r="T39" s="380">
        <f>'Таблиця цін схема №2'!BC39</f>
        <v>1</v>
      </c>
      <c r="U39" s="47" t="str">
        <f>'Таблиця цін схема №2'!BF39</f>
        <v>AMV33</v>
      </c>
      <c r="V39" s="380">
        <f>'Таблиця цін схема №2'!BG39</f>
        <v>1</v>
      </c>
      <c r="W39" s="47">
        <f>'Таблиця цін схема №2'!BJ39</f>
        <v>16</v>
      </c>
      <c r="X39" s="379">
        <f>'Таблиця цін схема №2'!BK39</f>
        <v>32</v>
      </c>
      <c r="Y39" s="380">
        <f>'Таблиця цін схема №2'!BL39</f>
        <v>1</v>
      </c>
      <c r="Z39" s="47">
        <f>'Таблиця цін схема №2'!BO39</f>
        <v>12.5</v>
      </c>
      <c r="AA39" s="379">
        <f>'Таблиця цін схема №2'!BP39</f>
        <v>32</v>
      </c>
      <c r="AB39" s="380">
        <f>'Таблиця цін схема №2'!BQ39</f>
        <v>1</v>
      </c>
      <c r="AC39" s="47" t="str">
        <f>'Таблиця цін схема №2'!BT39</f>
        <v>-</v>
      </c>
      <c r="AD39" s="379" t="str">
        <f>'Таблиця цін схема №2'!BU39</f>
        <v>-</v>
      </c>
      <c r="AE39" s="379" t="str">
        <f>'Таблиця цін схема №2'!BV39</f>
        <v>existed</v>
      </c>
      <c r="AF39" s="380">
        <f>'Таблиця цін схема №2'!BW39</f>
        <v>0</v>
      </c>
      <c r="AG39" s="47">
        <f>'Таблиця цін схема №2'!BZ39</f>
        <v>40</v>
      </c>
      <c r="AH39" s="379">
        <f>'Таблиця цін схема №2'!CA39</f>
        <v>10</v>
      </c>
      <c r="AI39" s="379" t="str">
        <f>'Таблиця цін схема №2'!CB39</f>
        <v>Pt500</v>
      </c>
      <c r="AJ39" s="380">
        <f>'Таблиця цін схема №2'!CC39</f>
        <v>1</v>
      </c>
      <c r="AK39" s="1168" t="str">
        <f>'Таблиця цін схема №2'!CF39</f>
        <v>EI-TO-16+017M30HS-266000</v>
      </c>
      <c r="AL39" s="380">
        <f>'Таблиця цін схема №2'!CG39</f>
        <v>1</v>
      </c>
      <c r="AM39" s="47">
        <f>'Таблиця цін схема №2'!CJ39</f>
        <v>80</v>
      </c>
      <c r="AN39" s="380">
        <f>'Таблиця цін схема №2'!CK39</f>
        <v>4</v>
      </c>
      <c r="AO39" s="47">
        <f>'Таблиця цін схема №2'!CN39</f>
        <v>50</v>
      </c>
      <c r="AP39" s="380">
        <f>'Таблиця цін схема №2'!CO39</f>
        <v>6</v>
      </c>
      <c r="AQ39" s="47">
        <f>'Таблиця цін схема №2'!CR39</f>
        <v>32</v>
      </c>
      <c r="AR39" s="78">
        <f>'Таблиця цін схема №2'!CS39</f>
        <v>3</v>
      </c>
      <c r="AS39" s="47">
        <f>'Таблиця цін схема №2'!CV39</f>
        <v>40</v>
      </c>
      <c r="AT39" s="380">
        <f>'Таблиця цін схема №2'!CW39</f>
        <v>6</v>
      </c>
      <c r="AU39" s="47">
        <f>'Таблиця цін схема №2'!CZ39</f>
        <v>20</v>
      </c>
      <c r="AV39" s="380">
        <f>'Таблиця цін схема №2'!DA39</f>
        <v>2</v>
      </c>
      <c r="AW39" s="47">
        <f>'Таблиця цін схема №2'!DD39</f>
        <v>15</v>
      </c>
      <c r="AX39" s="380">
        <f>'Таблиця цін схема №2'!DE39</f>
        <v>8</v>
      </c>
      <c r="AY39" s="47">
        <f>'Таблиця цін схема №2'!DH39</f>
        <v>15</v>
      </c>
      <c r="AZ39" s="380">
        <f>'Таблиця цін схема №2'!DI39</f>
        <v>38</v>
      </c>
      <c r="BA39" s="47">
        <f>'Таблиця цін схема №2'!DL39</f>
        <v>80</v>
      </c>
      <c r="BB39" s="380">
        <f>'Таблиця цін схема №2'!DM39</f>
        <v>1</v>
      </c>
      <c r="BC39" s="47">
        <f>'Таблиця цін схема №2'!DP39</f>
        <v>50</v>
      </c>
      <c r="BD39" s="380">
        <f>'Таблиця цін схема №2'!DQ39</f>
        <v>1</v>
      </c>
    </row>
    <row r="40" spans="1:56">
      <c r="A40" s="73">
        <f>'Таблиця цін схема №2'!B40</f>
        <v>56</v>
      </c>
      <c r="B40" s="1140" t="str">
        <f>'Таблиця цін схема №2'!C40</f>
        <v xml:space="preserve">45 Okeanovskaya (Artema) Street </v>
      </c>
      <c r="C40" s="525">
        <f>'Таблиця цін схема №2'!X40</f>
        <v>65</v>
      </c>
      <c r="D40" s="380">
        <f>'Таблиця цін схема №2'!Y40</f>
        <v>2</v>
      </c>
      <c r="E40" s="47">
        <f>'Таблиця цін схема №2'!AB40</f>
        <v>65</v>
      </c>
      <c r="F40" s="380">
        <f>'Таблиця цін схема №2'!AC40</f>
        <v>2</v>
      </c>
      <c r="G40" s="47">
        <f>'Таблиця цін схема №2'!AF40</f>
        <v>65</v>
      </c>
      <c r="H40" s="517" t="s">
        <v>115</v>
      </c>
      <c r="I40" s="47">
        <f>'Таблиця цін схема №2'!AJ40</f>
        <v>50</v>
      </c>
      <c r="J40" s="380">
        <f>'Таблиця цін схема №2'!AK40</f>
        <v>1</v>
      </c>
      <c r="K40" s="47">
        <f>'Таблиця цін схема №2'!AN40</f>
        <v>50</v>
      </c>
      <c r="L40" s="380">
        <f>'Таблиця цін схема №2'!AO40</f>
        <v>4</v>
      </c>
      <c r="M40" s="47" t="str">
        <f>'Таблиця цін схема №2'!AR40</f>
        <v>AMV20</v>
      </c>
      <c r="N40" s="380">
        <f>'Таблиця цін схема №2'!AS40</f>
        <v>1</v>
      </c>
      <c r="O40" s="47">
        <f>'Таблиця цін схема №2'!AV40</f>
        <v>16</v>
      </c>
      <c r="P40" s="379">
        <f>'Таблиця цін схема №2'!AW40</f>
        <v>32</v>
      </c>
      <c r="Q40" s="380">
        <f>'Таблиця цін схема №2'!AX40</f>
        <v>1</v>
      </c>
      <c r="R40" s="47">
        <f>'Таблиця цін схема №2'!BA40</f>
        <v>12.5</v>
      </c>
      <c r="S40" s="379">
        <f>'Таблиця цін схема №2'!BB40</f>
        <v>32</v>
      </c>
      <c r="T40" s="380">
        <f>'Таблиця цін схема №2'!BC40</f>
        <v>1</v>
      </c>
      <c r="U40" s="47" t="str">
        <f>'Таблиця цін схема №2'!BF40</f>
        <v>AMV33</v>
      </c>
      <c r="V40" s="380">
        <f>'Таблиця цін схема №2'!BG40</f>
        <v>1</v>
      </c>
      <c r="W40" s="47">
        <f>'Таблиця цін схема №2'!BJ40</f>
        <v>16</v>
      </c>
      <c r="X40" s="379">
        <f>'Таблиця цін схема №2'!BK40</f>
        <v>32</v>
      </c>
      <c r="Y40" s="380">
        <f>'Таблиця цін схема №2'!BL40</f>
        <v>1</v>
      </c>
      <c r="Z40" s="47">
        <f>'Таблиця цін схема №2'!BO40</f>
        <v>12.5</v>
      </c>
      <c r="AA40" s="379">
        <f>'Таблиця цін схема №2'!BP40</f>
        <v>32</v>
      </c>
      <c r="AB40" s="380">
        <f>'Таблиця цін схема №2'!BQ40</f>
        <v>1</v>
      </c>
      <c r="AC40" s="47" t="str">
        <f>'Таблиця цін схема №2'!BT40</f>
        <v>-</v>
      </c>
      <c r="AD40" s="379" t="str">
        <f>'Таблиця цін схема №2'!BU40</f>
        <v>-</v>
      </c>
      <c r="AE40" s="379" t="str">
        <f>'Таблиця цін схема №2'!BV40</f>
        <v>existed</v>
      </c>
      <c r="AF40" s="380">
        <f>'Таблиця цін схема №2'!BW40</f>
        <v>0</v>
      </c>
      <c r="AG40" s="47">
        <f>'Таблиця цін схема №2'!BZ40</f>
        <v>40</v>
      </c>
      <c r="AH40" s="379">
        <f>'Таблиця цін схема №2'!CA40</f>
        <v>10</v>
      </c>
      <c r="AI40" s="379" t="str">
        <f>'Таблиця цін схема №2'!CB40</f>
        <v>Pt500</v>
      </c>
      <c r="AJ40" s="380">
        <f>'Таблиця цін схема №2'!CC40</f>
        <v>1</v>
      </c>
      <c r="AK40" s="1168" t="str">
        <f>'Таблиця цін схема №2'!CF40</f>
        <v>EI-TO-16+019M30HS-270000</v>
      </c>
      <c r="AL40" s="380">
        <f>'Таблиця цін схема №2'!CG40</f>
        <v>1</v>
      </c>
      <c r="AM40" s="47">
        <f>'Таблиця цін схема №2'!CJ40</f>
        <v>80</v>
      </c>
      <c r="AN40" s="380">
        <f>'Таблиця цін схема №2'!CK40</f>
        <v>4</v>
      </c>
      <c r="AO40" s="47">
        <f>'Таблиця цін схема №2'!CN40</f>
        <v>50</v>
      </c>
      <c r="AP40" s="380">
        <f>'Таблиця цін схема №2'!CO40</f>
        <v>6</v>
      </c>
      <c r="AQ40" s="47">
        <f>'Таблиця цін схема №2'!CR40</f>
        <v>32</v>
      </c>
      <c r="AR40" s="78">
        <f>'Таблиця цін схема №2'!CS40</f>
        <v>3</v>
      </c>
      <c r="AS40" s="47">
        <f>'Таблиця цін схема №2'!CV40</f>
        <v>80</v>
      </c>
      <c r="AT40" s="380">
        <f>'Таблиця цін схема №2'!CW40</f>
        <v>2</v>
      </c>
      <c r="AU40" s="47">
        <f>'Таблиця цін схема №2'!CZ40</f>
        <v>20</v>
      </c>
      <c r="AV40" s="380">
        <f>'Таблиця цін схема №2'!DA40</f>
        <v>2</v>
      </c>
      <c r="AW40" s="47">
        <f>'Таблиця цін схема №2'!DD40</f>
        <v>15</v>
      </c>
      <c r="AX40" s="380">
        <f>'Таблиця цін схема №2'!DE40</f>
        <v>8</v>
      </c>
      <c r="AY40" s="47">
        <f>'Таблиця цін схема №2'!DH40</f>
        <v>15</v>
      </c>
      <c r="AZ40" s="380">
        <f>'Таблиця цін схема №2'!DI40</f>
        <v>35</v>
      </c>
      <c r="BA40" s="47">
        <f>'Таблиця цін схема №2'!DL40</f>
        <v>80</v>
      </c>
      <c r="BB40" s="380">
        <f>'Таблиця цін схема №2'!DM40</f>
        <v>1</v>
      </c>
      <c r="BC40" s="47">
        <f>'Таблиця цін схема №2'!DP40</f>
        <v>50</v>
      </c>
      <c r="BD40" s="380">
        <f>'Таблиця цін схема №2'!DQ40</f>
        <v>1</v>
      </c>
    </row>
    <row r="41" spans="1:56">
      <c r="A41" s="73">
        <f>'Таблиця цін схема №2'!B41</f>
        <v>57</v>
      </c>
      <c r="B41" s="1140" t="str">
        <f>'Таблиця цін схема №2'!C41</f>
        <v xml:space="preserve">46 Okeanovskaya (Artema) Street </v>
      </c>
      <c r="C41" s="525">
        <f>'Таблиця цін схема №2'!X41</f>
        <v>65</v>
      </c>
      <c r="D41" s="380">
        <f>'Таблиця цін схема №2'!Y41</f>
        <v>2</v>
      </c>
      <c r="E41" s="47">
        <f>'Таблиця цін схема №2'!AB41</f>
        <v>65</v>
      </c>
      <c r="F41" s="380">
        <f>'Таблиця цін схема №2'!AC41</f>
        <v>2</v>
      </c>
      <c r="G41" s="47">
        <f>'Таблиця цін схема №2'!AF41</f>
        <v>65</v>
      </c>
      <c r="H41" s="517" t="s">
        <v>115</v>
      </c>
      <c r="I41" s="47">
        <f>'Таблиця цін схема №2'!AJ41</f>
        <v>40</v>
      </c>
      <c r="J41" s="380">
        <f>'Таблиця цін схема №2'!AK41</f>
        <v>1</v>
      </c>
      <c r="K41" s="47">
        <f>'Таблиця цін схема №2'!AN41</f>
        <v>50</v>
      </c>
      <c r="L41" s="380">
        <f>'Таблиця цін схема №2'!AO41</f>
        <v>4</v>
      </c>
      <c r="M41" s="47" t="str">
        <f>'Таблиця цін схема №2'!AR41</f>
        <v>AMV20</v>
      </c>
      <c r="N41" s="380">
        <f>'Таблиця цін схема №2'!AS41</f>
        <v>1</v>
      </c>
      <c r="O41" s="47">
        <f>'Таблиця цін схема №2'!AV41</f>
        <v>10</v>
      </c>
      <c r="P41" s="379">
        <f>'Таблиця цін схема №2'!AW41</f>
        <v>25</v>
      </c>
      <c r="Q41" s="380">
        <f>'Таблиця цін схема №2'!AX41</f>
        <v>1</v>
      </c>
      <c r="R41" s="47">
        <f>'Таблиця цін схема №2'!BA41</f>
        <v>12.5</v>
      </c>
      <c r="S41" s="379">
        <f>'Таблиця цін схема №2'!BB41</f>
        <v>32</v>
      </c>
      <c r="T41" s="380">
        <f>'Таблиця цін схема №2'!BC41</f>
        <v>1</v>
      </c>
      <c r="U41" s="47" t="str">
        <f>'Таблиця цін схема №2'!BF41</f>
        <v>AMV33</v>
      </c>
      <c r="V41" s="380">
        <f>'Таблиця цін схема №2'!BG41</f>
        <v>1</v>
      </c>
      <c r="W41" s="47">
        <f>'Таблиця цін схема №2'!BJ41</f>
        <v>16</v>
      </c>
      <c r="X41" s="379">
        <f>'Таблиця цін схема №2'!BK41</f>
        <v>32</v>
      </c>
      <c r="Y41" s="380">
        <f>'Таблиця цін схема №2'!BL41</f>
        <v>1</v>
      </c>
      <c r="Z41" s="47">
        <f>'Таблиця цін схема №2'!BO41</f>
        <v>20</v>
      </c>
      <c r="AA41" s="379">
        <f>'Таблиця цін схема №2'!BP41</f>
        <v>40</v>
      </c>
      <c r="AB41" s="380">
        <f>'Таблиця цін схема №2'!BQ41</f>
        <v>1</v>
      </c>
      <c r="AC41" s="47" t="str">
        <f>'Таблиця цін схема №2'!BT41</f>
        <v>-</v>
      </c>
      <c r="AD41" s="379" t="str">
        <f>'Таблиця цін схема №2'!BU41</f>
        <v>-</v>
      </c>
      <c r="AE41" s="379" t="str">
        <f>'Таблиця цін схема №2'!BV41</f>
        <v>existed</v>
      </c>
      <c r="AF41" s="380">
        <f>'Таблиця цін схема №2'!BW41</f>
        <v>0</v>
      </c>
      <c r="AG41" s="47">
        <f>'Таблиця цін схема №2'!BZ41</f>
        <v>40</v>
      </c>
      <c r="AH41" s="379">
        <f>'Таблиця цін схема №2'!CA41</f>
        <v>10</v>
      </c>
      <c r="AI41" s="379" t="str">
        <f>'Таблиця цін схема №2'!CB41</f>
        <v>Pt500</v>
      </c>
      <c r="AJ41" s="380">
        <f>'Таблиця цін схема №2'!CC41</f>
        <v>1</v>
      </c>
      <c r="AK41" s="1168" t="str">
        <f>'Таблиця цін схема №2'!CF41</f>
        <v>EI-TO-16+021M30HS-328000</v>
      </c>
      <c r="AL41" s="380">
        <f>'Таблиця цін схема №2'!CG41</f>
        <v>1</v>
      </c>
      <c r="AM41" s="47">
        <f>'Таблиця цін схема №2'!CJ41</f>
        <v>65</v>
      </c>
      <c r="AN41" s="380">
        <f>'Таблиця цін схема №2'!CK41</f>
        <v>4</v>
      </c>
      <c r="AO41" s="47">
        <f>'Таблиця цін схема №2'!CN41</f>
        <v>50</v>
      </c>
      <c r="AP41" s="380">
        <f>'Таблиця цін схема №2'!CO41</f>
        <v>6</v>
      </c>
      <c r="AQ41" s="47">
        <f>'Таблиця цін схема №2'!CR41</f>
        <v>32</v>
      </c>
      <c r="AR41" s="78">
        <f>'Таблиця цін схема №2'!CS41</f>
        <v>3</v>
      </c>
      <c r="AS41" s="47">
        <f>'Таблиця цін схема №2'!CV41</f>
        <v>50</v>
      </c>
      <c r="AT41" s="380">
        <f>'Таблиця цін схема №2'!CW41</f>
        <v>4</v>
      </c>
      <c r="AU41" s="47">
        <f>'Таблиця цін схема №2'!CZ41</f>
        <v>20</v>
      </c>
      <c r="AV41" s="380">
        <f>'Таблиця цін схема №2'!DA41</f>
        <v>2</v>
      </c>
      <c r="AW41" s="47">
        <f>'Таблиця цін схема №2'!DD41</f>
        <v>15</v>
      </c>
      <c r="AX41" s="380">
        <f>'Таблиця цін схема №2'!DE41</f>
        <v>8</v>
      </c>
      <c r="AY41" s="47">
        <f>'Таблиця цін схема №2'!DH41</f>
        <v>15</v>
      </c>
      <c r="AZ41" s="380">
        <f>'Таблиця цін схема №2'!DI41</f>
        <v>37</v>
      </c>
      <c r="BA41" s="47">
        <f>'Таблиця цін схема №2'!DL41</f>
        <v>65</v>
      </c>
      <c r="BB41" s="380">
        <f>'Таблиця цін схема №2'!DM41</f>
        <v>1</v>
      </c>
      <c r="BC41" s="47">
        <f>'Таблиця цін схема №2'!DP41</f>
        <v>50</v>
      </c>
      <c r="BD41" s="380">
        <f>'Таблиця цін схема №2'!DQ41</f>
        <v>1</v>
      </c>
    </row>
    <row r="42" spans="1:56">
      <c r="A42" s="73">
        <f>'Таблиця цін схема №2'!B42</f>
        <v>58</v>
      </c>
      <c r="B42" s="1140" t="str">
        <f>'Таблиця цін схема №2'!C42</f>
        <v xml:space="preserve">47 Okeanovskaya (Artema) Street </v>
      </c>
      <c r="C42" s="525">
        <f>'Таблиця цін схема №2'!X42</f>
        <v>65</v>
      </c>
      <c r="D42" s="380">
        <f>'Таблиця цін схема №2'!Y42</f>
        <v>2</v>
      </c>
      <c r="E42" s="47">
        <f>'Таблиця цін схема №2'!AB42</f>
        <v>65</v>
      </c>
      <c r="F42" s="380">
        <f>'Таблиця цін схема №2'!AC42</f>
        <v>2</v>
      </c>
      <c r="G42" s="47">
        <f>'Таблиця цін схема №2'!AF42</f>
        <v>65</v>
      </c>
      <c r="H42" s="380">
        <f>'Таблиця цін схема №2'!AG42</f>
        <v>1</v>
      </c>
      <c r="I42" s="47">
        <f>'Таблиця цін схема №2'!AJ42</f>
        <v>50</v>
      </c>
      <c r="J42" s="380">
        <f>'Таблиця цін схема №2'!AK42</f>
        <v>3</v>
      </c>
      <c r="K42" s="47">
        <f>'Таблиця цін схема №2'!AN42</f>
        <v>50</v>
      </c>
      <c r="L42" s="380">
        <f>'Таблиця цін схема №2'!AO42</f>
        <v>4</v>
      </c>
      <c r="M42" s="47" t="str">
        <f>'Таблиця цін схема №2'!AR42</f>
        <v>AMV20</v>
      </c>
      <c r="N42" s="380">
        <f>'Таблиця цін схема №2'!AS42</f>
        <v>1</v>
      </c>
      <c r="O42" s="47">
        <f>'Таблиця цін схема №2'!AV42</f>
        <v>16</v>
      </c>
      <c r="P42" s="379">
        <f>'Таблиця цін схема №2'!AW42</f>
        <v>32</v>
      </c>
      <c r="Q42" s="380">
        <f>'Таблиця цін схема №2'!AX42</f>
        <v>1</v>
      </c>
      <c r="R42" s="47">
        <f>'Таблиця цін схема №2'!BA42</f>
        <v>12.5</v>
      </c>
      <c r="S42" s="379">
        <f>'Таблиця цін схема №2'!BB42</f>
        <v>32</v>
      </c>
      <c r="T42" s="380">
        <f>'Таблиця цін схема №2'!BC42</f>
        <v>1</v>
      </c>
      <c r="U42" s="47" t="str">
        <f>'Таблиця цін схема №2'!BF42</f>
        <v>AMV33</v>
      </c>
      <c r="V42" s="380">
        <f>'Таблиця цін схема №2'!BG42</f>
        <v>1</v>
      </c>
      <c r="W42" s="47">
        <f>'Таблиця цін схема №2'!BJ42</f>
        <v>10</v>
      </c>
      <c r="X42" s="379">
        <f>'Таблиця цін схема №2'!BK42</f>
        <v>25</v>
      </c>
      <c r="Y42" s="380">
        <f>'Таблиця цін схема №2'!BL42</f>
        <v>1</v>
      </c>
      <c r="Z42" s="47">
        <f>'Таблиця цін схема №2'!BO42</f>
        <v>12.5</v>
      </c>
      <c r="AA42" s="379">
        <f>'Таблиця цін схема №2'!BP42</f>
        <v>32</v>
      </c>
      <c r="AB42" s="380">
        <f>'Таблиця цін схема №2'!BQ42</f>
        <v>1</v>
      </c>
      <c r="AC42" s="47" t="str">
        <f>'Таблиця цін схема №2'!BT42</f>
        <v>-</v>
      </c>
      <c r="AD42" s="379" t="str">
        <f>'Таблиця цін схема №2'!BU42</f>
        <v>-</v>
      </c>
      <c r="AE42" s="379" t="str">
        <f>'Таблиця цін схема №2'!BV42</f>
        <v>existed</v>
      </c>
      <c r="AF42" s="380">
        <f>'Таблиця цін схема №2'!BW42</f>
        <v>0</v>
      </c>
      <c r="AG42" s="47">
        <f>'Таблиця цін схема №2'!BZ42</f>
        <v>25</v>
      </c>
      <c r="AH42" s="379">
        <f>'Таблиця цін схема №2'!CA42</f>
        <v>6</v>
      </c>
      <c r="AI42" s="379" t="str">
        <f>'Таблиця цін схема №2'!CB42</f>
        <v>Pt500</v>
      </c>
      <c r="AJ42" s="380">
        <f>'Таблиця цін схема №2'!CC42</f>
        <v>1</v>
      </c>
      <c r="AK42" s="1168" t="str">
        <f>'Таблиця цін схема №2'!CF42</f>
        <v>EI-TO-16+015M30HS-225000</v>
      </c>
      <c r="AL42" s="380">
        <f>'Таблиця цін схема №2'!CG42</f>
        <v>1</v>
      </c>
      <c r="AM42" s="47">
        <f>'Таблиця цін схема №2'!CJ42</f>
        <v>80</v>
      </c>
      <c r="AN42" s="380">
        <f>'Таблиця цін схема №2'!CK42</f>
        <v>4</v>
      </c>
      <c r="AO42" s="47">
        <f>'Таблиця цін схема №2'!CN42</f>
        <v>40</v>
      </c>
      <c r="AP42" s="380">
        <f>'Таблиця цін схема №2'!CO42</f>
        <v>6</v>
      </c>
      <c r="AQ42" s="47">
        <f>'Таблиця цін схема №2'!CR42</f>
        <v>25</v>
      </c>
      <c r="AR42" s="78">
        <f>'Таблиця цін схема №2'!CS42</f>
        <v>3</v>
      </c>
      <c r="AS42" s="47">
        <f>'Таблиця цін схема №2'!CV42</f>
        <v>80</v>
      </c>
      <c r="AT42" s="380">
        <f>'Таблиця цін схема №2'!CW42</f>
        <v>2</v>
      </c>
      <c r="AU42" s="47">
        <f>'Таблиця цін схема №2'!CZ42</f>
        <v>20</v>
      </c>
      <c r="AV42" s="380">
        <f>'Таблиця цін схема №2'!DA42</f>
        <v>2</v>
      </c>
      <c r="AW42" s="47">
        <f>'Таблиця цін схема №2'!DD42</f>
        <v>15</v>
      </c>
      <c r="AX42" s="380">
        <f>'Таблиця цін схема №2'!DE42</f>
        <v>8</v>
      </c>
      <c r="AY42" s="47">
        <f>'Таблиця цін схема №2'!DH42</f>
        <v>15</v>
      </c>
      <c r="AZ42" s="380">
        <f>'Таблиця цін схема №2'!DI42</f>
        <v>35</v>
      </c>
      <c r="BA42" s="47">
        <f>'Таблиця цін схема №2'!DL42</f>
        <v>80</v>
      </c>
      <c r="BB42" s="380">
        <f>'Таблиця цін схема №2'!DM42</f>
        <v>1</v>
      </c>
      <c r="BC42" s="47">
        <f>'Таблиця цін схема №2'!DP42</f>
        <v>40</v>
      </c>
      <c r="BD42" s="380">
        <f>'Таблиця цін схема №2'!DQ42</f>
        <v>1</v>
      </c>
    </row>
    <row r="43" spans="1:56">
      <c r="A43" s="73">
        <f>'Таблиця цін схема №2'!B43</f>
        <v>59</v>
      </c>
      <c r="B43" s="1140" t="str">
        <f>'Таблиця цін схема №2'!C43</f>
        <v xml:space="preserve">48 Okeanovskaya (Artema) Street </v>
      </c>
      <c r="C43" s="525">
        <f>'Таблиця цін схема №2'!X43</f>
        <v>50</v>
      </c>
      <c r="D43" s="380">
        <f>'Таблиця цін схема №2'!Y43</f>
        <v>2</v>
      </c>
      <c r="E43" s="47">
        <f>'Таблиця цін схема №2'!AB43</f>
        <v>50</v>
      </c>
      <c r="F43" s="380">
        <f>'Таблиця цін схема №2'!AC43</f>
        <v>2</v>
      </c>
      <c r="G43" s="47">
        <f>'Таблиця цін схема №2'!AF43</f>
        <v>50</v>
      </c>
      <c r="H43" s="517" t="s">
        <v>115</v>
      </c>
      <c r="I43" s="47">
        <f>'Таблиця цін схема №2'!AJ43</f>
        <v>32</v>
      </c>
      <c r="J43" s="380">
        <f>'Таблиця цін схема №2'!AK43</f>
        <v>1</v>
      </c>
      <c r="K43" s="47">
        <f>'Таблиця цін схема №2'!AN43</f>
        <v>40</v>
      </c>
      <c r="L43" s="380">
        <f>'Таблиця цін схема №2'!AO43</f>
        <v>4</v>
      </c>
      <c r="M43" s="47" t="str">
        <f>'Таблиця цін схема №2'!AR43</f>
        <v>AMV20</v>
      </c>
      <c r="N43" s="380">
        <f>'Таблиця цін схема №2'!AS43</f>
        <v>1</v>
      </c>
      <c r="O43" s="47">
        <f>'Таблиця цін схема №2'!AV43</f>
        <v>6.3</v>
      </c>
      <c r="P43" s="379">
        <f>'Таблиця цін схема №2'!AW43</f>
        <v>20</v>
      </c>
      <c r="Q43" s="380">
        <f>'Таблиця цін схема №2'!AX43</f>
        <v>1</v>
      </c>
      <c r="R43" s="47">
        <f>'Таблиця цін схема №2'!BA43</f>
        <v>6.3</v>
      </c>
      <c r="S43" s="379">
        <f>'Таблиця цін схема №2'!BB43</f>
        <v>20</v>
      </c>
      <c r="T43" s="380">
        <f>'Таблиця цін схема №2'!BC43</f>
        <v>1</v>
      </c>
      <c r="U43" s="47" t="str">
        <f>'Таблиця цін схема №2'!BF43</f>
        <v>AMV33</v>
      </c>
      <c r="V43" s="380">
        <f>'Таблиця цін схема №2'!BG43</f>
        <v>1</v>
      </c>
      <c r="W43" s="47">
        <f>'Таблиця цін схема №2'!BJ43</f>
        <v>10</v>
      </c>
      <c r="X43" s="379">
        <f>'Таблиця цін схема №2'!BK43</f>
        <v>25</v>
      </c>
      <c r="Y43" s="380">
        <f>'Таблиця цін схема №2'!BL43</f>
        <v>1</v>
      </c>
      <c r="Z43" s="47">
        <f>'Таблиця цін схема №2'!BO43</f>
        <v>12.5</v>
      </c>
      <c r="AA43" s="379">
        <f>'Таблиця цін схема №2'!BP43</f>
        <v>32</v>
      </c>
      <c r="AB43" s="380">
        <f>'Таблиця цін схема №2'!BQ43</f>
        <v>1</v>
      </c>
      <c r="AC43" s="47" t="str">
        <f>'Таблиця цін схема №2'!BT43</f>
        <v>-</v>
      </c>
      <c r="AD43" s="379" t="str">
        <f>'Таблиця цін схема №2'!BU43</f>
        <v>-</v>
      </c>
      <c r="AE43" s="379" t="str">
        <f>'Таблиця цін схема №2'!BV43</f>
        <v>existed</v>
      </c>
      <c r="AF43" s="380">
        <f>'Таблиця цін схема №2'!BW43</f>
        <v>0</v>
      </c>
      <c r="AG43" s="47">
        <f>'Таблиця цін схема №2'!BZ43</f>
        <v>25</v>
      </c>
      <c r="AH43" s="379">
        <f>'Таблиця цін схема №2'!CA43</f>
        <v>6</v>
      </c>
      <c r="AI43" s="379" t="str">
        <f>'Таблиця цін схема №2'!CB43</f>
        <v>Pt500</v>
      </c>
      <c r="AJ43" s="380">
        <f>'Таблиця цін схема №2'!CC43</f>
        <v>1</v>
      </c>
      <c r="AK43" s="1168" t="str">
        <f>'Таблиця цін схема №2'!CF43</f>
        <v>EI-TO-16+013M30HS-195000</v>
      </c>
      <c r="AL43" s="380">
        <f>'Таблиця цін схема №2'!CG43</f>
        <v>1</v>
      </c>
      <c r="AM43" s="47">
        <f>'Таблиця цін схема №2'!CJ43</f>
        <v>50</v>
      </c>
      <c r="AN43" s="380">
        <f>'Таблиця цін схема №2'!CK43</f>
        <v>4</v>
      </c>
      <c r="AO43" s="47">
        <f>'Таблиця цін схема №2'!CN43</f>
        <v>40</v>
      </c>
      <c r="AP43" s="380">
        <f>'Таблиця цін схема №2'!CO43</f>
        <v>6</v>
      </c>
      <c r="AQ43" s="47">
        <f>'Таблиця цін схема №2'!CR43</f>
        <v>25</v>
      </c>
      <c r="AR43" s="78">
        <f>'Таблиця цін схема №2'!CS43</f>
        <v>3</v>
      </c>
      <c r="AS43" s="47">
        <f>'Таблиця цін схема №2'!CV43</f>
        <v>50</v>
      </c>
      <c r="AT43" s="380">
        <f>'Таблиця цін схема №2'!CW43</f>
        <v>2</v>
      </c>
      <c r="AU43" s="47">
        <f>'Таблиця цін схема №2'!CZ43</f>
        <v>20</v>
      </c>
      <c r="AV43" s="380">
        <f>'Таблиця цін схема №2'!DA43</f>
        <v>2</v>
      </c>
      <c r="AW43" s="47">
        <f>'Таблиця цін схема №2'!DD43</f>
        <v>15</v>
      </c>
      <c r="AX43" s="380">
        <f>'Таблиця цін схема №2'!DE43</f>
        <v>8</v>
      </c>
      <c r="AY43" s="47">
        <f>'Таблиця цін схема №2'!DH43</f>
        <v>15</v>
      </c>
      <c r="AZ43" s="380">
        <f>'Таблиця цін схема №2'!DI43</f>
        <v>35</v>
      </c>
      <c r="BA43" s="47">
        <f>'Таблиця цін схема №2'!DL43</f>
        <v>50</v>
      </c>
      <c r="BB43" s="380">
        <f>'Таблиця цін схема №2'!DM43</f>
        <v>1</v>
      </c>
      <c r="BC43" s="47">
        <f>'Таблиця цін схема №2'!DP43</f>
        <v>40</v>
      </c>
      <c r="BD43" s="380">
        <f>'Таблиця цін схема №2'!DQ43</f>
        <v>1</v>
      </c>
    </row>
    <row r="44" spans="1:56">
      <c r="A44" s="73">
        <f>'Таблиця цін схема №2'!B44</f>
        <v>60</v>
      </c>
      <c r="B44" s="1140" t="str">
        <f>'Таблиця цін схема №2'!C44</f>
        <v xml:space="preserve">50 Okeanovskaya (Artema) Street </v>
      </c>
      <c r="C44" s="525">
        <f>'Таблиця цін схема №2'!X44</f>
        <v>80</v>
      </c>
      <c r="D44" s="380">
        <f>'Таблиця цін схема №2'!Y44</f>
        <v>2</v>
      </c>
      <c r="E44" s="47">
        <f>'Таблиця цін схема №2'!AB44</f>
        <v>80</v>
      </c>
      <c r="F44" s="380">
        <f>'Таблиця цін схема №2'!AC44</f>
        <v>2</v>
      </c>
      <c r="G44" s="47">
        <f>'Таблиця цін схема №2'!AF44</f>
        <v>80</v>
      </c>
      <c r="H44" s="380">
        <f>'Таблиця цін схема №2'!AG44</f>
        <v>1</v>
      </c>
      <c r="I44" s="47">
        <f>'Таблиця цін схема №2'!AJ44</f>
        <v>50</v>
      </c>
      <c r="J44" s="380">
        <f>'Таблиця цін схема №2'!AK44</f>
        <v>3</v>
      </c>
      <c r="K44" s="47">
        <f>'Таблиця цін схема №2'!AN44</f>
        <v>65</v>
      </c>
      <c r="L44" s="380">
        <f>'Таблиця цін схема №2'!AO44</f>
        <v>4</v>
      </c>
      <c r="M44" s="47" t="str">
        <f>'Таблиця цін схема №2'!AR44</f>
        <v>AMV20</v>
      </c>
      <c r="N44" s="380">
        <f>'Таблиця цін схема №2'!AS44</f>
        <v>1</v>
      </c>
      <c r="O44" s="47">
        <f>'Таблиця цін схема №2'!AV44</f>
        <v>16</v>
      </c>
      <c r="P44" s="379">
        <f>'Таблиця цін схема №2'!AW44</f>
        <v>32</v>
      </c>
      <c r="Q44" s="380">
        <f>'Таблиця цін схема №2'!AX44</f>
        <v>1</v>
      </c>
      <c r="R44" s="47">
        <f>'Таблиця цін схема №2'!BA44</f>
        <v>20</v>
      </c>
      <c r="S44" s="379">
        <f>'Таблиця цін схема №2'!BB44</f>
        <v>50</v>
      </c>
      <c r="T44" s="380">
        <f>'Таблиця цін схема №2'!BC44</f>
        <v>1</v>
      </c>
      <c r="U44" s="47" t="str">
        <f>'Таблиця цін схема №2'!BF44</f>
        <v>AMV33</v>
      </c>
      <c r="V44" s="380">
        <f>'Таблиця цін схема №2'!BG44</f>
        <v>1</v>
      </c>
      <c r="W44" s="47">
        <f>'Таблиця цін схема №2'!BJ44</f>
        <v>25</v>
      </c>
      <c r="X44" s="379">
        <f>'Таблиця цін схема №2'!BK44</f>
        <v>40</v>
      </c>
      <c r="Y44" s="380">
        <f>'Таблиця цін схема №2'!BL44</f>
        <v>1</v>
      </c>
      <c r="Z44" s="47">
        <f>'Таблиця цін схема №2'!BO44</f>
        <v>20</v>
      </c>
      <c r="AA44" s="379">
        <f>'Таблиця цін схема №2'!BP44</f>
        <v>40</v>
      </c>
      <c r="AB44" s="380">
        <f>'Таблиця цін схема №2'!BQ44</f>
        <v>1</v>
      </c>
      <c r="AC44" s="47">
        <f>'Таблиця цін схема №2'!BT44</f>
        <v>40</v>
      </c>
      <c r="AD44" s="379">
        <f>'Таблиця цін схема №2'!BU44</f>
        <v>10</v>
      </c>
      <c r="AE44" s="379" t="str">
        <f>'Таблиця цін схема №2'!BV44</f>
        <v>Pt500</v>
      </c>
      <c r="AF44" s="380">
        <f>'Таблиця цін схема №2'!BW44</f>
        <v>1</v>
      </c>
      <c r="AG44" s="47">
        <f>'Таблиця цін схема №2'!BZ44</f>
        <v>50</v>
      </c>
      <c r="AH44" s="379">
        <f>'Таблиця цін схема №2'!CA44</f>
        <v>15</v>
      </c>
      <c r="AI44" s="379" t="str">
        <f>'Таблиця цін схема №2'!CB44</f>
        <v>Pt500</v>
      </c>
      <c r="AJ44" s="380">
        <f>'Таблиця цін схема №2'!CC44</f>
        <v>1</v>
      </c>
      <c r="AK44" s="1168" t="str">
        <f>'Таблиця цін схема №2'!CF44</f>
        <v>EI-TO-16+027M30HS-421000</v>
      </c>
      <c r="AL44" s="380">
        <f>'Таблиця цін схема №2'!CG44</f>
        <v>1</v>
      </c>
      <c r="AM44" s="47">
        <f>'Таблиця цін схема №2'!CJ44</f>
        <v>80</v>
      </c>
      <c r="AN44" s="380">
        <f>'Таблиця цін схема №2'!CK44</f>
        <v>4</v>
      </c>
      <c r="AO44" s="47">
        <f>'Таблиця цін схема №2'!CN44</f>
        <v>65</v>
      </c>
      <c r="AP44" s="380">
        <f>'Таблиця цін схема №2'!CO44</f>
        <v>6</v>
      </c>
      <c r="AQ44" s="47">
        <f>'Таблиця цін схема №2'!CR44</f>
        <v>40</v>
      </c>
      <c r="AR44" s="78">
        <f>'Таблиця цін схема №2'!CS44</f>
        <v>3</v>
      </c>
      <c r="AS44" s="47">
        <f>'Таблиця цін схема №2'!CV44</f>
        <v>40</v>
      </c>
      <c r="AT44" s="380">
        <f>'Таблиця цін схема №2'!CW44</f>
        <v>8</v>
      </c>
      <c r="AU44" s="47">
        <f>'Таблиця цін схема №2'!CZ44</f>
        <v>20</v>
      </c>
      <c r="AV44" s="380">
        <f>'Таблиця цін схема №2'!DA44</f>
        <v>2</v>
      </c>
      <c r="AW44" s="47">
        <f>'Таблиця цін схема №2'!DD44</f>
        <v>15</v>
      </c>
      <c r="AX44" s="380">
        <f>'Таблиця цін схема №2'!DE44</f>
        <v>8</v>
      </c>
      <c r="AY44" s="47">
        <f>'Таблиця цін схема №2'!DH44</f>
        <v>15</v>
      </c>
      <c r="AZ44" s="380">
        <f>'Таблиця цін схема №2'!DI44</f>
        <v>39</v>
      </c>
      <c r="BA44" s="47">
        <f>'Таблиця цін схема №2'!DL44</f>
        <v>80</v>
      </c>
      <c r="BB44" s="380">
        <f>'Таблиця цін схема №2'!DM44</f>
        <v>1</v>
      </c>
      <c r="BC44" s="47">
        <f>'Таблиця цін схема №2'!DP44</f>
        <v>65</v>
      </c>
      <c r="BD44" s="380">
        <f>'Таблиця цін схема №2'!DQ44</f>
        <v>1</v>
      </c>
    </row>
    <row r="45" spans="1:56">
      <c r="A45" s="73">
        <f>'Таблиця цін схема №2'!B45</f>
        <v>61</v>
      </c>
      <c r="B45" s="1140" t="str">
        <f>'Таблиця цін схема №2'!C45</f>
        <v xml:space="preserve">52 Okeanovskaya (Artema) Street </v>
      </c>
      <c r="C45" s="525">
        <f>'Таблиця цін схема №2'!X45</f>
        <v>65</v>
      </c>
      <c r="D45" s="380">
        <f>'Таблиця цін схема №2'!Y45</f>
        <v>2</v>
      </c>
      <c r="E45" s="47">
        <f>'Таблиця цін схема №2'!AB45</f>
        <v>65</v>
      </c>
      <c r="F45" s="380">
        <f>'Таблиця цін схема №2'!AC45</f>
        <v>2</v>
      </c>
      <c r="G45" s="47">
        <f>'Таблиця цін схема №2'!AF45</f>
        <v>65</v>
      </c>
      <c r="H45" s="380">
        <f>'Таблиця цін схема №2'!AG45</f>
        <v>1</v>
      </c>
      <c r="I45" s="47">
        <f>'Таблиця цін схема №2'!AJ45</f>
        <v>50</v>
      </c>
      <c r="J45" s="380">
        <f>'Таблиця цін схема №2'!AK45</f>
        <v>3</v>
      </c>
      <c r="K45" s="47">
        <f>'Таблиця цін схема №2'!AN45</f>
        <v>40</v>
      </c>
      <c r="L45" s="380">
        <f>'Таблиця цін схема №2'!AO45</f>
        <v>4</v>
      </c>
      <c r="M45" s="47" t="str">
        <f>'Таблиця цін схема №2'!AR45</f>
        <v>AMV20</v>
      </c>
      <c r="N45" s="380">
        <f>'Таблиця цін схема №2'!AS45</f>
        <v>1</v>
      </c>
      <c r="O45" s="47">
        <f>'Таблиця цін схема №2'!AV45</f>
        <v>16</v>
      </c>
      <c r="P45" s="379">
        <f>'Таблиця цін схема №2'!AW45</f>
        <v>32</v>
      </c>
      <c r="Q45" s="380">
        <f>'Таблиця цін схема №2'!AX45</f>
        <v>1</v>
      </c>
      <c r="R45" s="47">
        <f>'Таблиця цін схема №2'!BA45</f>
        <v>12.5</v>
      </c>
      <c r="S45" s="379">
        <f>'Таблиця цін схема №2'!BB45</f>
        <v>32</v>
      </c>
      <c r="T45" s="380">
        <f>'Таблиця цін схема №2'!BC45</f>
        <v>1</v>
      </c>
      <c r="U45" s="47" t="str">
        <f>'Таблиця цін схема №2'!BF45</f>
        <v>AMV33</v>
      </c>
      <c r="V45" s="380">
        <f>'Таблиця цін схема №2'!BG45</f>
        <v>1</v>
      </c>
      <c r="W45" s="47">
        <f>'Таблиця цін схема №2'!BJ45</f>
        <v>10</v>
      </c>
      <c r="X45" s="379">
        <f>'Таблиця цін схема №2'!BK45</f>
        <v>25</v>
      </c>
      <c r="Y45" s="380">
        <f>'Таблиця цін схема №2'!BL45</f>
        <v>1</v>
      </c>
      <c r="Z45" s="47">
        <f>'Таблиця цін схема №2'!BO45</f>
        <v>8</v>
      </c>
      <c r="AA45" s="379">
        <f>'Таблиця цін схема №2'!BP45</f>
        <v>25</v>
      </c>
      <c r="AB45" s="380">
        <f>'Таблиця цін схема №2'!BQ45</f>
        <v>1</v>
      </c>
      <c r="AC45" s="47" t="str">
        <f>'Таблиця цін схема №2'!BT45</f>
        <v>-</v>
      </c>
      <c r="AD45" s="379" t="str">
        <f>'Таблиця цін схема №2'!BU45</f>
        <v>-</v>
      </c>
      <c r="AE45" s="379" t="str">
        <f>'Таблиця цін схема №2'!BV45</f>
        <v>existed</v>
      </c>
      <c r="AF45" s="380">
        <f>'Таблиця цін схема №2'!BW45</f>
        <v>0</v>
      </c>
      <c r="AG45" s="47">
        <f>'Таблиця цін схема №2'!BZ45</f>
        <v>25</v>
      </c>
      <c r="AH45" s="379">
        <f>'Таблиця цін схема №2'!CA45</f>
        <v>6</v>
      </c>
      <c r="AI45" s="379" t="str">
        <f>'Таблиця цін схема №2'!CB45</f>
        <v>Pt500</v>
      </c>
      <c r="AJ45" s="380">
        <f>'Таблиця цін схема №2'!CC45</f>
        <v>1</v>
      </c>
      <c r="AK45" s="1168" t="str">
        <f>'Таблиця цін схема №2'!CF45</f>
        <v>EI-TO-16+013M30HS-169000</v>
      </c>
      <c r="AL45" s="380">
        <f>'Таблиця цін схема №2'!CG45</f>
        <v>1</v>
      </c>
      <c r="AM45" s="47">
        <f>'Таблиця цін схема №2'!CJ45</f>
        <v>80</v>
      </c>
      <c r="AN45" s="380">
        <f>'Таблиця цін схема №2'!CK45</f>
        <v>4</v>
      </c>
      <c r="AO45" s="47">
        <f>'Таблиця цін схема №2'!CN45</f>
        <v>40</v>
      </c>
      <c r="AP45" s="380">
        <f>'Таблиця цін схема №2'!CO45</f>
        <v>6</v>
      </c>
      <c r="AQ45" s="47">
        <f>'Таблиця цін схема №2'!CR45</f>
        <v>25</v>
      </c>
      <c r="AR45" s="78">
        <f>'Таблиця цін схема №2'!CS45</f>
        <v>3</v>
      </c>
      <c r="AS45" s="47">
        <f>'Таблиця цін схема №2'!CV45</f>
        <v>40</v>
      </c>
      <c r="AT45" s="380">
        <f>'Таблиця цін схема №2'!CW45</f>
        <v>8</v>
      </c>
      <c r="AU45" s="47">
        <f>'Таблиця цін схема №2'!CZ45</f>
        <v>20</v>
      </c>
      <c r="AV45" s="380">
        <f>'Таблиця цін схема №2'!DA45</f>
        <v>2</v>
      </c>
      <c r="AW45" s="47">
        <f>'Таблиця цін схема №2'!DD45</f>
        <v>15</v>
      </c>
      <c r="AX45" s="380">
        <f>'Таблиця цін схема №2'!DE45</f>
        <v>8</v>
      </c>
      <c r="AY45" s="47">
        <f>'Таблиця цін схема №2'!DH45</f>
        <v>15</v>
      </c>
      <c r="AZ45" s="380">
        <f>'Таблиця цін схема №2'!DI45</f>
        <v>39</v>
      </c>
      <c r="BA45" s="47">
        <f>'Таблиця цін схема №2'!DL45</f>
        <v>80</v>
      </c>
      <c r="BB45" s="380">
        <f>'Таблиця цін схема №2'!DM45</f>
        <v>1</v>
      </c>
      <c r="BC45" s="47">
        <f>'Таблиця цін схема №2'!DP45</f>
        <v>40</v>
      </c>
      <c r="BD45" s="380">
        <f>'Таблиця цін схема №2'!DQ45</f>
        <v>1</v>
      </c>
    </row>
    <row r="46" spans="1:56">
      <c r="A46" s="73">
        <f>'Таблиця цін схема №2'!B46</f>
        <v>62</v>
      </c>
      <c r="B46" s="1140" t="str">
        <f>'Таблиця цін схема №2'!C46</f>
        <v xml:space="preserve">54 Okeanovskaya (Artema) Street </v>
      </c>
      <c r="C46" s="525">
        <f>'Таблиця цін схема №2'!X46</f>
        <v>65</v>
      </c>
      <c r="D46" s="380">
        <f>'Таблиця цін схема №2'!Y46</f>
        <v>2</v>
      </c>
      <c r="E46" s="47">
        <f>'Таблиця цін схема №2'!AB46</f>
        <v>65</v>
      </c>
      <c r="F46" s="380">
        <f>'Таблиця цін схема №2'!AC46</f>
        <v>2</v>
      </c>
      <c r="G46" s="47">
        <f>'Таблиця цін схема №2'!AF46</f>
        <v>65</v>
      </c>
      <c r="H46" s="380">
        <f>'Таблиця цін схема №2'!AG46</f>
        <v>1</v>
      </c>
      <c r="I46" s="47">
        <f>'Таблиця цін схема №2'!AJ46</f>
        <v>50</v>
      </c>
      <c r="J46" s="380">
        <f>'Таблиця цін схема №2'!AK46</f>
        <v>3</v>
      </c>
      <c r="K46" s="47">
        <f>'Таблиця цін схема №2'!AN46</f>
        <v>50</v>
      </c>
      <c r="L46" s="380">
        <f>'Таблиця цін схема №2'!AO46</f>
        <v>4</v>
      </c>
      <c r="M46" s="47" t="str">
        <f>'Таблиця цін схема №2'!AR46</f>
        <v>AMV20</v>
      </c>
      <c r="N46" s="380">
        <f>'Таблиця цін схема №2'!AS46</f>
        <v>1</v>
      </c>
      <c r="O46" s="47">
        <f>'Таблиця цін схема №2'!AV46</f>
        <v>16</v>
      </c>
      <c r="P46" s="379">
        <f>'Таблиця цін схема №2'!AW46</f>
        <v>32</v>
      </c>
      <c r="Q46" s="380">
        <f>'Таблиця цін схема №2'!AX46</f>
        <v>1</v>
      </c>
      <c r="R46" s="47">
        <f>'Таблиця цін схема №2'!BA46</f>
        <v>20</v>
      </c>
      <c r="S46" s="379">
        <f>'Таблиця цін схема №2'!BB46</f>
        <v>50</v>
      </c>
      <c r="T46" s="380">
        <f>'Таблиця цін схема №2'!BC46</f>
        <v>1</v>
      </c>
      <c r="U46" s="47" t="str">
        <f>'Таблиця цін схема №2'!BF46</f>
        <v>AMV33</v>
      </c>
      <c r="V46" s="380">
        <f>'Таблиця цін схема №2'!BG46</f>
        <v>1</v>
      </c>
      <c r="W46" s="47">
        <f>'Таблиця цін схема №2'!BJ46</f>
        <v>10</v>
      </c>
      <c r="X46" s="379">
        <f>'Таблиця цін схема №2'!BK46</f>
        <v>25</v>
      </c>
      <c r="Y46" s="380">
        <f>'Таблиця цін схема №2'!BL46</f>
        <v>1</v>
      </c>
      <c r="Z46" s="47">
        <f>'Таблиця цін схема №2'!BO46</f>
        <v>12.5</v>
      </c>
      <c r="AA46" s="379">
        <f>'Таблиця цін схема №2'!BP46</f>
        <v>32</v>
      </c>
      <c r="AB46" s="380">
        <f>'Таблиця цін схема №2'!BQ46</f>
        <v>1</v>
      </c>
      <c r="AC46" s="47">
        <f>'Таблиця цін схема №2'!BT46</f>
        <v>40</v>
      </c>
      <c r="AD46" s="379">
        <f>'Таблиця цін схема №2'!BU46</f>
        <v>10</v>
      </c>
      <c r="AE46" s="379" t="str">
        <f>'Таблиця цін схема №2'!BV46</f>
        <v>Pt500</v>
      </c>
      <c r="AF46" s="380">
        <f>'Таблиця цін схема №2'!BW46</f>
        <v>1</v>
      </c>
      <c r="AG46" s="47">
        <f>'Таблиця цін схема №2'!BZ46</f>
        <v>25</v>
      </c>
      <c r="AH46" s="379">
        <f>'Таблиця цін схема №2'!CA46</f>
        <v>6</v>
      </c>
      <c r="AI46" s="379" t="str">
        <f>'Таблиця цін схема №2'!CB46</f>
        <v>Pt500</v>
      </c>
      <c r="AJ46" s="380">
        <f>'Таблиця цін схема №2'!CC46</f>
        <v>1</v>
      </c>
      <c r="AK46" s="1168" t="str">
        <f>'Таблиця цін схема №2'!CF46</f>
        <v>EI-TO-16+015M30HS-222000</v>
      </c>
      <c r="AL46" s="380">
        <f>'Таблиця цін схема №2'!CG46</f>
        <v>1</v>
      </c>
      <c r="AM46" s="47">
        <f>'Таблиця цін схема №2'!CJ46</f>
        <v>80</v>
      </c>
      <c r="AN46" s="380">
        <f>'Таблиця цін схема №2'!CK46</f>
        <v>4</v>
      </c>
      <c r="AO46" s="47">
        <f>'Таблиця цін схема №2'!CN46</f>
        <v>40</v>
      </c>
      <c r="AP46" s="380">
        <f>'Таблиця цін схема №2'!CO46</f>
        <v>6</v>
      </c>
      <c r="AQ46" s="47">
        <f>'Таблиця цін схема №2'!CR46</f>
        <v>25</v>
      </c>
      <c r="AR46" s="78">
        <f>'Таблиця цін схема №2'!CS46</f>
        <v>3</v>
      </c>
      <c r="AS46" s="47">
        <f>'Таблиця цін схема №2'!CV46</f>
        <v>40</v>
      </c>
      <c r="AT46" s="380">
        <f>'Таблиця цін схема №2'!CW46</f>
        <v>8</v>
      </c>
      <c r="AU46" s="47">
        <f>'Таблиця цін схема №2'!CZ46</f>
        <v>20</v>
      </c>
      <c r="AV46" s="380">
        <f>'Таблиця цін схема №2'!DA46</f>
        <v>2</v>
      </c>
      <c r="AW46" s="47">
        <f>'Таблиця цін схема №2'!DD46</f>
        <v>15</v>
      </c>
      <c r="AX46" s="380">
        <f>'Таблиця цін схема №2'!DE46</f>
        <v>8</v>
      </c>
      <c r="AY46" s="47">
        <f>'Таблиця цін схема №2'!DH46</f>
        <v>15</v>
      </c>
      <c r="AZ46" s="380">
        <f>'Таблиця цін схема №2'!DI46</f>
        <v>39</v>
      </c>
      <c r="BA46" s="47">
        <f>'Таблиця цін схема №2'!DL46</f>
        <v>80</v>
      </c>
      <c r="BB46" s="380">
        <f>'Таблиця цін схема №2'!DM46</f>
        <v>1</v>
      </c>
      <c r="BC46" s="47">
        <f>'Таблиця цін схема №2'!DP46</f>
        <v>40</v>
      </c>
      <c r="BD46" s="380">
        <f>'Таблиця цін схема №2'!DQ46</f>
        <v>1</v>
      </c>
    </row>
    <row r="47" spans="1:56">
      <c r="A47" s="73">
        <f>'Таблиця цін схема №2'!B47</f>
        <v>63</v>
      </c>
      <c r="B47" s="1140" t="str">
        <f>'Таблиця цін схема №2'!C47</f>
        <v xml:space="preserve">56 Okeanovskaya (Artema) Street </v>
      </c>
      <c r="C47" s="525">
        <f>'Таблиця цін схема №2'!X47</f>
        <v>50</v>
      </c>
      <c r="D47" s="380">
        <f>'Таблиця цін схема №2'!Y47</f>
        <v>2</v>
      </c>
      <c r="E47" s="47">
        <f>'Таблиця цін схема №2'!AB47</f>
        <v>50</v>
      </c>
      <c r="F47" s="380">
        <f>'Таблиця цін схема №2'!AC47</f>
        <v>2</v>
      </c>
      <c r="G47" s="47">
        <f>'Таблиця цін схема №2'!AF47</f>
        <v>50</v>
      </c>
      <c r="H47" s="517" t="s">
        <v>115</v>
      </c>
      <c r="I47" s="47">
        <f>'Таблиця цін схема №2'!AJ47</f>
        <v>40</v>
      </c>
      <c r="J47" s="380">
        <f>'Таблиця цін схема №2'!AK47</f>
        <v>1</v>
      </c>
      <c r="K47" s="47">
        <f>'Таблиця цін схема №2'!AN47</f>
        <v>32</v>
      </c>
      <c r="L47" s="380">
        <f>'Таблиця цін схема №2'!AO47</f>
        <v>4</v>
      </c>
      <c r="M47" s="47" t="str">
        <f>'Таблиця цін схема №2'!AR47</f>
        <v>AMV20</v>
      </c>
      <c r="N47" s="380">
        <f>'Таблиця цін схема №2'!AS47</f>
        <v>1</v>
      </c>
      <c r="O47" s="47">
        <f>'Таблиця цін схема №2'!AV47</f>
        <v>10</v>
      </c>
      <c r="P47" s="379">
        <f>'Таблиця цін схема №2'!AW47</f>
        <v>25</v>
      </c>
      <c r="Q47" s="380">
        <f>'Таблиця цін схема №2'!AX47</f>
        <v>1</v>
      </c>
      <c r="R47" s="47">
        <f>'Таблиця цін схема №2'!BA47</f>
        <v>12.5</v>
      </c>
      <c r="S47" s="379">
        <f>'Таблиця цін схема №2'!BB47</f>
        <v>32</v>
      </c>
      <c r="T47" s="380">
        <f>'Таблиця цін схема №2'!BC47</f>
        <v>1</v>
      </c>
      <c r="U47" s="47" t="str">
        <f>'Таблиця цін схема №2'!BF47</f>
        <v>AMV33</v>
      </c>
      <c r="V47" s="380">
        <f>'Таблиця цін схема №2'!BG47</f>
        <v>1</v>
      </c>
      <c r="W47" s="47">
        <f>'Таблиця цін схема №2'!BJ47</f>
        <v>6.3</v>
      </c>
      <c r="X47" s="379">
        <f>'Таблиця цін схема №2'!BK47</f>
        <v>20</v>
      </c>
      <c r="Y47" s="380">
        <f>'Таблиця цін схема №2'!BL47</f>
        <v>1</v>
      </c>
      <c r="Z47" s="47">
        <f>'Таблиця цін схема №2'!BO47</f>
        <v>6.3</v>
      </c>
      <c r="AA47" s="379">
        <f>'Таблиця цін схема №2'!BP47</f>
        <v>20</v>
      </c>
      <c r="AB47" s="380">
        <f>'Таблиця цін схема №2'!BQ47</f>
        <v>1</v>
      </c>
      <c r="AC47" s="47" t="str">
        <f>'Таблиця цін схема №2'!BT47</f>
        <v>-</v>
      </c>
      <c r="AD47" s="379" t="str">
        <f>'Таблиця цін схема №2'!BU47</f>
        <v>-</v>
      </c>
      <c r="AE47" s="379" t="str">
        <f>'Таблиця цін схема №2'!BV47</f>
        <v>existed</v>
      </c>
      <c r="AF47" s="380">
        <f>'Таблиця цін схема №2'!BW47</f>
        <v>0</v>
      </c>
      <c r="AG47" s="47">
        <f>'Таблиця цін схема №2'!BZ47</f>
        <v>25</v>
      </c>
      <c r="AH47" s="379">
        <f>'Таблиця цін схема №2'!CA47</f>
        <v>3.5</v>
      </c>
      <c r="AI47" s="379" t="str">
        <f>'Таблиця цін схема №2'!CB47</f>
        <v>Pt500</v>
      </c>
      <c r="AJ47" s="380">
        <f>'Таблиця цін схема №2'!CC47</f>
        <v>1</v>
      </c>
      <c r="AK47" s="1168" t="str">
        <f>'Таблиця цін схема №2'!CF47</f>
        <v>ЕІ-ТО-4+031A00HS- 113000</v>
      </c>
      <c r="AL47" s="380">
        <f>'Таблиця цін схема №2'!CG47</f>
        <v>1</v>
      </c>
      <c r="AM47" s="47">
        <f>'Таблиця цін схема №2'!CJ47</f>
        <v>65</v>
      </c>
      <c r="AN47" s="380">
        <f>'Таблиця цін схема №2'!CK47</f>
        <v>4</v>
      </c>
      <c r="AO47" s="47">
        <f>'Таблиця цін схема №2'!CN47</f>
        <v>32</v>
      </c>
      <c r="AP47" s="380">
        <f>'Таблиця цін схема №2'!CO47</f>
        <v>6</v>
      </c>
      <c r="AQ47" s="47">
        <f>'Таблиця цін схема №2'!CR47</f>
        <v>20</v>
      </c>
      <c r="AR47" s="78">
        <f>'Таблиця цін схема №2'!CS47</f>
        <v>3</v>
      </c>
      <c r="AS47" s="47">
        <f>'Таблиця цін схема №2'!CV47</f>
        <v>32</v>
      </c>
      <c r="AT47" s="380">
        <f>'Таблиця цін схема №2'!CW47</f>
        <v>8</v>
      </c>
      <c r="AU47" s="47">
        <f>'Таблиця цін схема №2'!CZ47</f>
        <v>20</v>
      </c>
      <c r="AV47" s="380">
        <f>'Таблиця цін схема №2'!DA47</f>
        <v>2</v>
      </c>
      <c r="AW47" s="47">
        <f>'Таблиця цін схема №2'!DD47</f>
        <v>15</v>
      </c>
      <c r="AX47" s="380">
        <f>'Таблиця цін схема №2'!DE47</f>
        <v>8</v>
      </c>
      <c r="AY47" s="47">
        <f>'Таблиця цін схема №2'!DH47</f>
        <v>15</v>
      </c>
      <c r="AZ47" s="380">
        <f>'Таблиця цін схема №2'!DI47</f>
        <v>39</v>
      </c>
      <c r="BA47" s="47">
        <f>'Таблиця цін схема №2'!DL47</f>
        <v>65</v>
      </c>
      <c r="BB47" s="380">
        <f>'Таблиця цін схема №2'!DM47</f>
        <v>1</v>
      </c>
      <c r="BC47" s="47">
        <f>'Таблиця цін схема №2'!DP47</f>
        <v>32</v>
      </c>
      <c r="BD47" s="380">
        <f>'Таблиця цін схема №2'!DQ47</f>
        <v>1</v>
      </c>
    </row>
    <row r="48" spans="1:56">
      <c r="A48" s="73">
        <f>'Таблиця цін схема №2'!B48</f>
        <v>64</v>
      </c>
      <c r="B48" s="1140" t="str">
        <f>'Таблиця цін схема №2'!C48</f>
        <v xml:space="preserve">56А Okeanovskaya (Artema) Street </v>
      </c>
      <c r="C48" s="525">
        <f>'Таблиця цін схема №2'!X48</f>
        <v>50</v>
      </c>
      <c r="D48" s="380">
        <f>'Таблиця цін схема №2'!Y48</f>
        <v>2</v>
      </c>
      <c r="E48" s="47">
        <f>'Таблиця цін схема №2'!AB48</f>
        <v>50</v>
      </c>
      <c r="F48" s="380">
        <f>'Таблиця цін схема №2'!AC48</f>
        <v>2</v>
      </c>
      <c r="G48" s="47">
        <f>'Таблиця цін схема №2'!AF48</f>
        <v>50</v>
      </c>
      <c r="H48" s="380">
        <f>'Таблиця цін схема №2'!AG48</f>
        <v>1</v>
      </c>
      <c r="I48" s="47">
        <f>'Таблиця цін схема №2'!AJ48</f>
        <v>40</v>
      </c>
      <c r="J48" s="380">
        <f>'Таблиця цін схема №2'!AK48</f>
        <v>3</v>
      </c>
      <c r="K48" s="47">
        <f>'Таблиця цін схема №2'!AN48</f>
        <v>32</v>
      </c>
      <c r="L48" s="380">
        <f>'Таблиця цін схема №2'!AO48</f>
        <v>4</v>
      </c>
      <c r="M48" s="47" t="str">
        <f>'Таблиця цін схема №2'!AR48</f>
        <v>AMV20</v>
      </c>
      <c r="N48" s="380">
        <f>'Таблиця цін схема №2'!AS48</f>
        <v>1</v>
      </c>
      <c r="O48" s="47">
        <f>'Таблиця цін схема №2'!AV48</f>
        <v>10</v>
      </c>
      <c r="P48" s="379">
        <f>'Таблиця цін схема №2'!AW48</f>
        <v>25</v>
      </c>
      <c r="Q48" s="380">
        <f>'Таблиця цін схема №2'!AX48</f>
        <v>1</v>
      </c>
      <c r="R48" s="47">
        <f>'Таблиця цін схема №2'!BA48</f>
        <v>8</v>
      </c>
      <c r="S48" s="379">
        <f>'Таблиця цін схема №2'!BB48</f>
        <v>25</v>
      </c>
      <c r="T48" s="380">
        <f>'Таблиця цін схема №2'!BC48</f>
        <v>1</v>
      </c>
      <c r="U48" s="47" t="str">
        <f>'Таблиця цін схема №2'!BF48</f>
        <v>AMV33</v>
      </c>
      <c r="V48" s="380">
        <f>'Таблиця цін схема №2'!BG48</f>
        <v>1</v>
      </c>
      <c r="W48" s="47">
        <f>'Таблиця цін схема №2'!BJ48</f>
        <v>6.3</v>
      </c>
      <c r="X48" s="379">
        <f>'Таблиця цін схема №2'!BK48</f>
        <v>20</v>
      </c>
      <c r="Y48" s="380">
        <f>'Таблиця цін схема №2'!BL48</f>
        <v>1</v>
      </c>
      <c r="Z48" s="47">
        <f>'Таблиця цін схема №2'!BO48</f>
        <v>6.3</v>
      </c>
      <c r="AA48" s="379">
        <f>'Таблиця цін схема №2'!BP48</f>
        <v>20</v>
      </c>
      <c r="AB48" s="380">
        <f>'Таблиця цін схема №2'!BQ48</f>
        <v>1</v>
      </c>
      <c r="AC48" s="47">
        <f>'Таблиця цін схема №2'!BT48</f>
        <v>25</v>
      </c>
      <c r="AD48" s="379">
        <f>'Таблиця цін схема №2'!BU48</f>
        <v>6</v>
      </c>
      <c r="AE48" s="379" t="str">
        <f>'Таблиця цін схема №2'!BV48</f>
        <v>Pt500</v>
      </c>
      <c r="AF48" s="380">
        <f>'Таблиця цін схема №2'!BW48</f>
        <v>1</v>
      </c>
      <c r="AG48" s="47">
        <f>'Таблиця цін схема №2'!BZ48</f>
        <v>25</v>
      </c>
      <c r="AH48" s="379">
        <f>'Таблиця цін схема №2'!CA48</f>
        <v>3.5</v>
      </c>
      <c r="AI48" s="379" t="str">
        <f>'Таблиця цін схема №2'!CB48</f>
        <v>Pt500</v>
      </c>
      <c r="AJ48" s="380">
        <f>'Таблиця цін схема №2'!CC48</f>
        <v>1</v>
      </c>
      <c r="AK48" s="1168" t="str">
        <f>'Таблиця цін схема №2'!CF48</f>
        <v>ЕІ-ТО-4+033A00HS-122000</v>
      </c>
      <c r="AL48" s="380">
        <f>'Таблиця цін схема №2'!CG48</f>
        <v>1</v>
      </c>
      <c r="AM48" s="47">
        <f>'Таблиця цін схема №2'!CJ48</f>
        <v>65</v>
      </c>
      <c r="AN48" s="380">
        <f>'Таблиця цін схема №2'!CK48</f>
        <v>4</v>
      </c>
      <c r="AO48" s="47">
        <f>'Таблиця цін схема №2'!CN48</f>
        <v>32</v>
      </c>
      <c r="AP48" s="380">
        <f>'Таблиця цін схема №2'!CO48</f>
        <v>6</v>
      </c>
      <c r="AQ48" s="47">
        <f>'Таблиця цін схема №2'!CR48</f>
        <v>20</v>
      </c>
      <c r="AR48" s="78">
        <f>'Таблиця цін схема №2'!CS48</f>
        <v>3</v>
      </c>
      <c r="AS48" s="47">
        <f>'Таблиця цін схема №2'!CV48</f>
        <v>32</v>
      </c>
      <c r="AT48" s="380">
        <f>'Таблиця цін схема №2'!CW48</f>
        <v>8</v>
      </c>
      <c r="AU48" s="47">
        <f>'Таблиця цін схема №2'!CZ48</f>
        <v>20</v>
      </c>
      <c r="AV48" s="380">
        <f>'Таблиця цін схема №2'!DA48</f>
        <v>2</v>
      </c>
      <c r="AW48" s="47">
        <f>'Таблиця цін схема №2'!DD48</f>
        <v>15</v>
      </c>
      <c r="AX48" s="380">
        <f>'Таблиця цін схема №2'!DE48</f>
        <v>8</v>
      </c>
      <c r="AY48" s="47">
        <f>'Таблиця цін схема №2'!DH48</f>
        <v>15</v>
      </c>
      <c r="AZ48" s="380">
        <f>'Таблиця цін схема №2'!DI48</f>
        <v>39</v>
      </c>
      <c r="BA48" s="47">
        <f>'Таблиця цін схема №2'!DL48</f>
        <v>65</v>
      </c>
      <c r="BB48" s="380">
        <f>'Таблиця цін схема №2'!DM48</f>
        <v>1</v>
      </c>
      <c r="BC48" s="47">
        <f>'Таблиця цін схема №2'!DP48</f>
        <v>32</v>
      </c>
      <c r="BD48" s="380">
        <f>'Таблиця цін схема №2'!DQ48</f>
        <v>1</v>
      </c>
    </row>
    <row r="49" spans="1:56">
      <c r="A49" s="73">
        <f>'Таблиця цін схема №2'!B49</f>
        <v>65</v>
      </c>
      <c r="B49" s="1140" t="str">
        <f>'Таблиця цін схема №2'!C49</f>
        <v xml:space="preserve">58 Okeanovskaya (Artema) Street </v>
      </c>
      <c r="C49" s="525">
        <f>'Таблиця цін схема №2'!X49</f>
        <v>50</v>
      </c>
      <c r="D49" s="380">
        <f>'Таблиця цін схема №2'!Y49</f>
        <v>2</v>
      </c>
      <c r="E49" s="47">
        <f>'Таблиця цін схема №2'!AB49</f>
        <v>50</v>
      </c>
      <c r="F49" s="380">
        <f>'Таблиця цін схема №2'!AC49</f>
        <v>2</v>
      </c>
      <c r="G49" s="47">
        <f>'Таблиця цін схема №2'!AF49</f>
        <v>50</v>
      </c>
      <c r="H49" s="380">
        <f>'Таблиця цін схема №2'!AG49</f>
        <v>1</v>
      </c>
      <c r="I49" s="47">
        <f>'Таблиця цін схема №2'!AJ49</f>
        <v>40</v>
      </c>
      <c r="J49" s="380">
        <f>'Таблиця цін схема №2'!AK49</f>
        <v>3</v>
      </c>
      <c r="K49" s="47">
        <f>'Таблиця цін схема №2'!AN49</f>
        <v>32</v>
      </c>
      <c r="L49" s="380">
        <f>'Таблиця цін схема №2'!AO49</f>
        <v>4</v>
      </c>
      <c r="M49" s="47" t="str">
        <f>'Таблиця цін схема №2'!AR49</f>
        <v>AMV20</v>
      </c>
      <c r="N49" s="380">
        <f>'Таблиця цін схема №2'!AS49</f>
        <v>1</v>
      </c>
      <c r="O49" s="47">
        <f>'Таблиця цін схема №2'!AV49</f>
        <v>10</v>
      </c>
      <c r="P49" s="379">
        <f>'Таблиця цін схема №2'!AW49</f>
        <v>25</v>
      </c>
      <c r="Q49" s="380">
        <f>'Таблиця цін схема №2'!AX49</f>
        <v>1</v>
      </c>
      <c r="R49" s="47">
        <f>'Таблиця цін схема №2'!BA49</f>
        <v>8</v>
      </c>
      <c r="S49" s="379">
        <f>'Таблиця цін схема №2'!BB49</f>
        <v>25</v>
      </c>
      <c r="T49" s="380">
        <f>'Таблиця цін схема №2'!BC49</f>
        <v>1</v>
      </c>
      <c r="U49" s="47" t="str">
        <f>'Таблиця цін схема №2'!BF49</f>
        <v>AMV33</v>
      </c>
      <c r="V49" s="380">
        <f>'Таблиця цін схема №2'!BG49</f>
        <v>1</v>
      </c>
      <c r="W49" s="47">
        <f>'Таблиця цін схема №2'!BJ49</f>
        <v>6.3</v>
      </c>
      <c r="X49" s="379">
        <f>'Таблиця цін схема №2'!BK49</f>
        <v>20</v>
      </c>
      <c r="Y49" s="380">
        <f>'Таблиця цін схема №2'!BL49</f>
        <v>1</v>
      </c>
      <c r="Z49" s="47">
        <f>'Таблиця цін схема №2'!BO49</f>
        <v>6.3</v>
      </c>
      <c r="AA49" s="379">
        <f>'Таблиця цін схема №2'!BP49</f>
        <v>20</v>
      </c>
      <c r="AB49" s="380">
        <f>'Таблиця цін схема №2'!BQ49</f>
        <v>1</v>
      </c>
      <c r="AC49" s="47" t="str">
        <f>'Таблиця цін схема №2'!BT49</f>
        <v>-</v>
      </c>
      <c r="AD49" s="379" t="str">
        <f>'Таблиця цін схема №2'!BU49</f>
        <v>-</v>
      </c>
      <c r="AE49" s="379" t="str">
        <f>'Таблиця цін схема №2'!BV49</f>
        <v>existed</v>
      </c>
      <c r="AF49" s="380">
        <f>'Таблиця цін схема №2'!BW49</f>
        <v>0</v>
      </c>
      <c r="AG49" s="47">
        <f>'Таблиця цін схема №2'!BZ49</f>
        <v>25</v>
      </c>
      <c r="AH49" s="379">
        <f>'Таблиця цін схема №2'!CA49</f>
        <v>3.5</v>
      </c>
      <c r="AI49" s="379" t="str">
        <f>'Таблиця цін схема №2'!CB49</f>
        <v>Pt500</v>
      </c>
      <c r="AJ49" s="380">
        <f>'Таблиця цін схема №2'!CC49</f>
        <v>1</v>
      </c>
      <c r="AK49" s="1168" t="str">
        <f>'Таблиця цін схема №2'!CF49</f>
        <v>ЕІ-ТО-4+033A00HS-125000</v>
      </c>
      <c r="AL49" s="380">
        <f>'Таблиця цін схема №2'!CG49</f>
        <v>1</v>
      </c>
      <c r="AM49" s="47">
        <f>'Таблиця цін схема №2'!CJ49</f>
        <v>65</v>
      </c>
      <c r="AN49" s="380">
        <f>'Таблиця цін схема №2'!CK49</f>
        <v>4</v>
      </c>
      <c r="AO49" s="47">
        <f>'Таблиця цін схема №2'!CN49</f>
        <v>32</v>
      </c>
      <c r="AP49" s="380">
        <f>'Таблиця цін схема №2'!CO49</f>
        <v>6</v>
      </c>
      <c r="AQ49" s="47">
        <f>'Таблиця цін схема №2'!CR49</f>
        <v>20</v>
      </c>
      <c r="AR49" s="78">
        <f>'Таблиця цін схема №2'!CS49</f>
        <v>3</v>
      </c>
      <c r="AS49" s="47">
        <f>'Таблиця цін схема №2'!CV49</f>
        <v>32</v>
      </c>
      <c r="AT49" s="380">
        <f>'Таблиця цін схема №2'!CW49</f>
        <v>8</v>
      </c>
      <c r="AU49" s="47">
        <f>'Таблиця цін схема №2'!CZ49</f>
        <v>20</v>
      </c>
      <c r="AV49" s="380">
        <f>'Таблиця цін схема №2'!DA49</f>
        <v>2</v>
      </c>
      <c r="AW49" s="47">
        <f>'Таблиця цін схема №2'!DD49</f>
        <v>15</v>
      </c>
      <c r="AX49" s="380">
        <f>'Таблиця цін схема №2'!DE49</f>
        <v>8</v>
      </c>
      <c r="AY49" s="47">
        <f>'Таблиця цін схема №2'!DH49</f>
        <v>15</v>
      </c>
      <c r="AZ49" s="380">
        <f>'Таблиця цін схема №2'!DI49</f>
        <v>39</v>
      </c>
      <c r="BA49" s="47">
        <f>'Таблиця цін схема №2'!DL49</f>
        <v>65</v>
      </c>
      <c r="BB49" s="380">
        <f>'Таблиця цін схема №2'!DM49</f>
        <v>1</v>
      </c>
      <c r="BC49" s="47">
        <f>'Таблиця цін схема №2'!DP49</f>
        <v>32</v>
      </c>
      <c r="BD49" s="380">
        <f>'Таблиця цін схема №2'!DQ49</f>
        <v>1</v>
      </c>
    </row>
    <row r="50" spans="1:56">
      <c r="A50" s="73">
        <f>'Таблиця цін схема №2'!B50</f>
        <v>66</v>
      </c>
      <c r="B50" s="1140" t="str">
        <f>'Таблиця цін схема №2'!C50</f>
        <v xml:space="preserve">58А Okeanovskaya (Artema) Street </v>
      </c>
      <c r="C50" s="525">
        <f>'Таблиця цін схема №2'!X50</f>
        <v>50</v>
      </c>
      <c r="D50" s="380">
        <f>'Таблиця цін схема №2'!Y50</f>
        <v>2</v>
      </c>
      <c r="E50" s="47">
        <f>'Таблиця цін схема №2'!AB50</f>
        <v>50</v>
      </c>
      <c r="F50" s="380">
        <f>'Таблиця цін схема №2'!AC50</f>
        <v>2</v>
      </c>
      <c r="G50" s="47">
        <f>'Таблиця цін схема №2'!AF50</f>
        <v>50</v>
      </c>
      <c r="H50" s="517" t="s">
        <v>115</v>
      </c>
      <c r="I50" s="47">
        <f>'Таблиця цін схема №2'!AJ50</f>
        <v>40</v>
      </c>
      <c r="J50" s="380">
        <f>'Таблиця цін схема №2'!AK50</f>
        <v>1</v>
      </c>
      <c r="K50" s="47">
        <f>'Таблиця цін схема №2'!AN50</f>
        <v>32</v>
      </c>
      <c r="L50" s="380">
        <f>'Таблиця цін схема №2'!AO50</f>
        <v>4</v>
      </c>
      <c r="M50" s="47" t="str">
        <f>'Таблиця цін схема №2'!AR50</f>
        <v>AMV20</v>
      </c>
      <c r="N50" s="380">
        <f>'Таблиця цін схема №2'!AS50</f>
        <v>1</v>
      </c>
      <c r="O50" s="47">
        <f>'Таблиця цін схема №2'!AV50</f>
        <v>10</v>
      </c>
      <c r="P50" s="379">
        <f>'Таблиця цін схема №2'!AW50</f>
        <v>25</v>
      </c>
      <c r="Q50" s="380">
        <f>'Таблиця цін схема №2'!AX50</f>
        <v>1</v>
      </c>
      <c r="R50" s="47">
        <f>'Таблиця цін схема №2'!BA50</f>
        <v>8</v>
      </c>
      <c r="S50" s="379">
        <f>'Таблиця цін схема №2'!BB50</f>
        <v>25</v>
      </c>
      <c r="T50" s="380">
        <f>'Таблиця цін схема №2'!BC50</f>
        <v>1</v>
      </c>
      <c r="U50" s="47" t="str">
        <f>'Таблиця цін схема №2'!BF50</f>
        <v>AMV33</v>
      </c>
      <c r="V50" s="380">
        <f>'Таблиця цін схема №2'!BG50</f>
        <v>1</v>
      </c>
      <c r="W50" s="47">
        <f>'Таблиця цін схема №2'!BJ50</f>
        <v>6.3</v>
      </c>
      <c r="X50" s="379">
        <f>'Таблиця цін схема №2'!BK50</f>
        <v>20</v>
      </c>
      <c r="Y50" s="380">
        <f>'Таблиця цін схема №2'!BL50</f>
        <v>1</v>
      </c>
      <c r="Z50" s="47">
        <f>'Таблиця цін схема №2'!BO50</f>
        <v>6.3</v>
      </c>
      <c r="AA50" s="379">
        <f>'Таблиця цін схема №2'!BP50</f>
        <v>20</v>
      </c>
      <c r="AB50" s="380">
        <f>'Таблиця цін схема №2'!BQ50</f>
        <v>1</v>
      </c>
      <c r="AC50" s="47" t="str">
        <f>'Таблиця цін схема №2'!BT50</f>
        <v>-</v>
      </c>
      <c r="AD50" s="379" t="str">
        <f>'Таблиця цін схема №2'!BU50</f>
        <v>-</v>
      </c>
      <c r="AE50" s="379" t="str">
        <f>'Таблиця цін схема №2'!BV50</f>
        <v>existed</v>
      </c>
      <c r="AF50" s="380">
        <f>'Таблиця цін схема №2'!BW50</f>
        <v>0</v>
      </c>
      <c r="AG50" s="47">
        <f>'Таблиця цін схема №2'!BZ50</f>
        <v>25</v>
      </c>
      <c r="AH50" s="379">
        <f>'Таблиця цін схема №2'!CA50</f>
        <v>3.5</v>
      </c>
      <c r="AI50" s="379" t="str">
        <f>'Таблиця цін схема №2'!CB50</f>
        <v>Pt500</v>
      </c>
      <c r="AJ50" s="380">
        <f>'Таблиця цін схема №2'!CC50</f>
        <v>1</v>
      </c>
      <c r="AK50" s="1168" t="str">
        <f>'Таблиця цін схема №2'!CF50</f>
        <v>ЕІ-ТО-4+033A00HS126000</v>
      </c>
      <c r="AL50" s="380">
        <f>'Таблиця цін схема №2'!CG50</f>
        <v>1</v>
      </c>
      <c r="AM50" s="47">
        <f>'Таблиця цін схема №2'!CJ50</f>
        <v>65</v>
      </c>
      <c r="AN50" s="380">
        <f>'Таблиця цін схема №2'!CK50</f>
        <v>4</v>
      </c>
      <c r="AO50" s="47">
        <f>'Таблиця цін схема №2'!CN50</f>
        <v>32</v>
      </c>
      <c r="AP50" s="380">
        <f>'Таблиця цін схема №2'!CO50</f>
        <v>6</v>
      </c>
      <c r="AQ50" s="47">
        <f>'Таблиця цін схема №2'!CR50</f>
        <v>20</v>
      </c>
      <c r="AR50" s="78">
        <f>'Таблиця цін схема №2'!CS50</f>
        <v>3</v>
      </c>
      <c r="AS50" s="47">
        <f>'Таблиця цін схема №2'!CV50</f>
        <v>32</v>
      </c>
      <c r="AT50" s="380">
        <f>'Таблиця цін схема №2'!CW50</f>
        <v>8</v>
      </c>
      <c r="AU50" s="47">
        <f>'Таблиця цін схема №2'!CZ50</f>
        <v>20</v>
      </c>
      <c r="AV50" s="380">
        <f>'Таблиця цін схема №2'!DA50</f>
        <v>2</v>
      </c>
      <c r="AW50" s="47">
        <f>'Таблиця цін схема №2'!DD50</f>
        <v>15</v>
      </c>
      <c r="AX50" s="380">
        <f>'Таблиця цін схема №2'!DE50</f>
        <v>8</v>
      </c>
      <c r="AY50" s="47">
        <f>'Таблиця цін схема №2'!DH50</f>
        <v>15</v>
      </c>
      <c r="AZ50" s="380">
        <f>'Таблиця цін схема №2'!DI50</f>
        <v>39</v>
      </c>
      <c r="BA50" s="47">
        <f>'Таблиця цін схема №2'!DL50</f>
        <v>65</v>
      </c>
      <c r="BB50" s="380">
        <f>'Таблиця цін схема №2'!DM50</f>
        <v>1</v>
      </c>
      <c r="BC50" s="47">
        <f>'Таблиця цін схема №2'!DP50</f>
        <v>32</v>
      </c>
      <c r="BD50" s="380">
        <f>'Таблиця цін схема №2'!DQ50</f>
        <v>1</v>
      </c>
    </row>
    <row r="51" spans="1:56">
      <c r="A51" s="73">
        <f>'Таблиця цін схема №2'!B51</f>
        <v>67</v>
      </c>
      <c r="B51" s="1140" t="str">
        <f>'Таблиця цін схема №2'!C51</f>
        <v xml:space="preserve">60 Okeanovskaya (Artema) Street </v>
      </c>
      <c r="C51" s="525">
        <f>'Таблиця цін схема №2'!X51</f>
        <v>65</v>
      </c>
      <c r="D51" s="380">
        <f>'Таблиця цін схема №2'!Y51</f>
        <v>2</v>
      </c>
      <c r="E51" s="47">
        <f>'Таблиця цін схема №2'!AB51</f>
        <v>65</v>
      </c>
      <c r="F51" s="380">
        <f>'Таблиця цін схема №2'!AC51</f>
        <v>2</v>
      </c>
      <c r="G51" s="47">
        <f>'Таблиця цін схема №2'!AF51</f>
        <v>65</v>
      </c>
      <c r="H51" s="380">
        <f>'Таблиця цін схема №2'!AG51</f>
        <v>1</v>
      </c>
      <c r="I51" s="47">
        <f>'Таблиця цін схема №2'!AJ51</f>
        <v>40</v>
      </c>
      <c r="J51" s="380">
        <f>'Таблиця цін схема №2'!AK51</f>
        <v>3</v>
      </c>
      <c r="K51" s="47">
        <f>'Таблиця цін схема №2'!AN51</f>
        <v>40</v>
      </c>
      <c r="L51" s="380">
        <f>'Таблиця цін схема №2'!AO51</f>
        <v>4</v>
      </c>
      <c r="M51" s="47" t="str">
        <f>'Таблиця цін схема №2'!AR51</f>
        <v>AMV20</v>
      </c>
      <c r="N51" s="380">
        <f>'Таблиця цін схема №2'!AS51</f>
        <v>1</v>
      </c>
      <c r="O51" s="47">
        <f>'Таблиця цін схема №2'!AV51</f>
        <v>10</v>
      </c>
      <c r="P51" s="379">
        <f>'Таблиця цін схема №2'!AW51</f>
        <v>25</v>
      </c>
      <c r="Q51" s="380">
        <f>'Таблиця цін схема №2'!AX51</f>
        <v>1</v>
      </c>
      <c r="R51" s="47">
        <f>'Таблиця цін схема №2'!BA51</f>
        <v>8</v>
      </c>
      <c r="S51" s="379">
        <f>'Таблиця цін схема №2'!BB51</f>
        <v>25</v>
      </c>
      <c r="T51" s="380">
        <f>'Таблиця цін схема №2'!BC51</f>
        <v>1</v>
      </c>
      <c r="U51" s="47" t="str">
        <f>'Таблиця цін схема №2'!BF51</f>
        <v>AMV33</v>
      </c>
      <c r="V51" s="380">
        <f>'Таблиця цін схема №2'!BG51</f>
        <v>1</v>
      </c>
      <c r="W51" s="47">
        <f>'Таблиця цін схема №2'!BJ51</f>
        <v>10</v>
      </c>
      <c r="X51" s="379">
        <f>'Таблиця цін схема №2'!BK51</f>
        <v>25</v>
      </c>
      <c r="Y51" s="380">
        <f>'Таблиця цін схема №2'!BL51</f>
        <v>1</v>
      </c>
      <c r="Z51" s="47">
        <f>'Таблиця цін схема №2'!BO51</f>
        <v>8</v>
      </c>
      <c r="AA51" s="379">
        <f>'Таблиця цін схема №2'!BP51</f>
        <v>25</v>
      </c>
      <c r="AB51" s="380">
        <f>'Таблиця цін схема №2'!BQ51</f>
        <v>1</v>
      </c>
      <c r="AC51" s="47">
        <f>'Таблиця цін схема №2'!BT51</f>
        <v>25</v>
      </c>
      <c r="AD51" s="379">
        <f>'Таблиця цін схема №2'!BU51</f>
        <v>6</v>
      </c>
      <c r="AE51" s="379" t="str">
        <f>'Таблиця цін схема №2'!BV51</f>
        <v>Pt500</v>
      </c>
      <c r="AF51" s="380">
        <f>'Таблиця цін схема №2'!BW51</f>
        <v>1</v>
      </c>
      <c r="AG51" s="47">
        <f>'Таблиця цін схема №2'!BZ51</f>
        <v>25</v>
      </c>
      <c r="AH51" s="379">
        <f>'Таблиця цін схема №2'!CA51</f>
        <v>6</v>
      </c>
      <c r="AI51" s="379" t="str">
        <f>'Таблиця цін схема №2'!CB51</f>
        <v>Pt500</v>
      </c>
      <c r="AJ51" s="380">
        <f>'Таблиця цін схема №2'!CC51</f>
        <v>1</v>
      </c>
      <c r="AK51" s="1168" t="str">
        <f>'Таблиця цін схема №2'!CF51</f>
        <v>EI-TO-16+011M30HS-156000</v>
      </c>
      <c r="AL51" s="380">
        <f>'Таблиця цін схема №2'!CG51</f>
        <v>1</v>
      </c>
      <c r="AM51" s="47">
        <f>'Таблиця цін схема №2'!CJ51</f>
        <v>65</v>
      </c>
      <c r="AN51" s="380">
        <f>'Таблиця цін схема №2'!CK51</f>
        <v>4</v>
      </c>
      <c r="AO51" s="47">
        <f>'Таблиця цін схема №2'!CN51</f>
        <v>40</v>
      </c>
      <c r="AP51" s="380">
        <f>'Таблиця цін схема №2'!CO51</f>
        <v>6</v>
      </c>
      <c r="AQ51" s="47">
        <f>'Таблиця цін схема №2'!CR51</f>
        <v>20</v>
      </c>
      <c r="AR51" s="78">
        <f>'Таблиця цін схема №2'!CS51</f>
        <v>3</v>
      </c>
      <c r="AS51" s="47">
        <f>'Таблиця цін схема №2'!CV51</f>
        <v>32</v>
      </c>
      <c r="AT51" s="380">
        <f>'Таблиця цін схема №2'!CW51</f>
        <v>8</v>
      </c>
      <c r="AU51" s="47">
        <f>'Таблиця цін схема №2'!CZ51</f>
        <v>20</v>
      </c>
      <c r="AV51" s="380">
        <f>'Таблиця цін схема №2'!DA51</f>
        <v>2</v>
      </c>
      <c r="AW51" s="47">
        <f>'Таблиця цін схема №2'!DD51</f>
        <v>15</v>
      </c>
      <c r="AX51" s="380">
        <f>'Таблиця цін схема №2'!DE51</f>
        <v>8</v>
      </c>
      <c r="AY51" s="47">
        <f>'Таблиця цін схема №2'!DH51</f>
        <v>15</v>
      </c>
      <c r="AZ51" s="380">
        <f>'Таблиця цін схема №2'!DI51</f>
        <v>39</v>
      </c>
      <c r="BA51" s="47">
        <f>'Таблиця цін схема №2'!DL51</f>
        <v>65</v>
      </c>
      <c r="BB51" s="380">
        <f>'Таблиця цін схема №2'!DM51</f>
        <v>1</v>
      </c>
      <c r="BC51" s="47">
        <f>'Таблиця цін схема №2'!DP51</f>
        <v>40</v>
      </c>
      <c r="BD51" s="380">
        <f>'Таблиця цін схема №2'!DQ51</f>
        <v>1</v>
      </c>
    </row>
    <row r="52" spans="1:56">
      <c r="A52" s="73">
        <f>'Таблиця цін схема №2'!B52</f>
        <v>68</v>
      </c>
      <c r="B52" s="1140" t="str">
        <f>'Таблиця цін схема №2'!C52</f>
        <v xml:space="preserve">60А Okeanovskaya (Artema) Street </v>
      </c>
      <c r="C52" s="525">
        <f>'Таблиця цін схема №2'!X52</f>
        <v>50</v>
      </c>
      <c r="D52" s="380">
        <f>'Таблиця цін схема №2'!Y52</f>
        <v>2</v>
      </c>
      <c r="E52" s="47">
        <f>'Таблиця цін схема №2'!AB52</f>
        <v>50</v>
      </c>
      <c r="F52" s="380">
        <f>'Таблиця цін схема №2'!AC52</f>
        <v>2</v>
      </c>
      <c r="G52" s="47">
        <f>'Таблиця цін схема №2'!AF52</f>
        <v>50</v>
      </c>
      <c r="H52" s="380">
        <f>'Таблиця цін схема №2'!AG52</f>
        <v>1</v>
      </c>
      <c r="I52" s="47">
        <f>'Таблиця цін схема №2'!AJ52</f>
        <v>40</v>
      </c>
      <c r="J52" s="380">
        <f>'Таблиця цін схема №2'!AK52</f>
        <v>3</v>
      </c>
      <c r="K52" s="47">
        <f>'Таблиця цін схема №2'!AN52</f>
        <v>32</v>
      </c>
      <c r="L52" s="380">
        <f>'Таблиця цін схема №2'!AO52</f>
        <v>4</v>
      </c>
      <c r="M52" s="47" t="str">
        <f>'Таблиця цін схема №2'!AR52</f>
        <v>AMV20</v>
      </c>
      <c r="N52" s="380">
        <f>'Таблиця цін схема №2'!AS52</f>
        <v>1</v>
      </c>
      <c r="O52" s="47">
        <f>'Таблиця цін схема №2'!AV52</f>
        <v>10</v>
      </c>
      <c r="P52" s="379">
        <f>'Таблиця цін схема №2'!AW52</f>
        <v>25</v>
      </c>
      <c r="Q52" s="380">
        <f>'Таблиця цін схема №2'!AX52</f>
        <v>1</v>
      </c>
      <c r="R52" s="47">
        <f>'Таблиця цін схема №2'!BA52</f>
        <v>8</v>
      </c>
      <c r="S52" s="379">
        <f>'Таблиця цін схема №2'!BB52</f>
        <v>25</v>
      </c>
      <c r="T52" s="380">
        <f>'Таблиця цін схема №2'!BC52</f>
        <v>1</v>
      </c>
      <c r="U52" s="47" t="str">
        <f>'Таблиця цін схема №2'!BF52</f>
        <v>AMV33</v>
      </c>
      <c r="V52" s="380">
        <f>'Таблиця цін схема №2'!BG52</f>
        <v>1</v>
      </c>
      <c r="W52" s="47">
        <f>'Таблиця цін схема №2'!BJ52</f>
        <v>6.3</v>
      </c>
      <c r="X52" s="379">
        <f>'Таблиця цін схема №2'!BK52</f>
        <v>20</v>
      </c>
      <c r="Y52" s="380">
        <f>'Таблиця цін схема №2'!BL52</f>
        <v>1</v>
      </c>
      <c r="Z52" s="47">
        <f>'Таблиця цін схема №2'!BO52</f>
        <v>6.3</v>
      </c>
      <c r="AA52" s="379">
        <f>'Таблиця цін схема №2'!BP52</f>
        <v>20</v>
      </c>
      <c r="AB52" s="380">
        <f>'Таблиця цін схема №2'!BQ52</f>
        <v>1</v>
      </c>
      <c r="AC52" s="47" t="str">
        <f>'Таблиця цін схема №2'!BT52</f>
        <v>-</v>
      </c>
      <c r="AD52" s="379" t="str">
        <f>'Таблиця цін схема №2'!BU52</f>
        <v>-</v>
      </c>
      <c r="AE52" s="379" t="str">
        <f>'Таблиця цін схема №2'!BV52</f>
        <v>existed</v>
      </c>
      <c r="AF52" s="380">
        <f>'Таблиця цін схема №2'!BW52</f>
        <v>0</v>
      </c>
      <c r="AG52" s="47">
        <f>'Таблиця цін схема №2'!BZ52</f>
        <v>25</v>
      </c>
      <c r="AH52" s="379">
        <f>'Таблиця цін схема №2'!CA52</f>
        <v>3.5</v>
      </c>
      <c r="AI52" s="379" t="str">
        <f>'Таблиця цін схема №2'!CB52</f>
        <v>Pt500</v>
      </c>
      <c r="AJ52" s="380">
        <f>'Таблиця цін схема №2'!CC52</f>
        <v>1</v>
      </c>
      <c r="AK52" s="1168" t="str">
        <f>'Таблиця цін схема №2'!CF52</f>
        <v>ЕІ-ТО-4+029A00HS-111000</v>
      </c>
      <c r="AL52" s="380">
        <f>'Таблиця цін схема №2'!CG52</f>
        <v>1</v>
      </c>
      <c r="AM52" s="47">
        <f>'Таблиця цін схема №2'!CJ52</f>
        <v>65</v>
      </c>
      <c r="AN52" s="380">
        <f>'Таблиця цін схема №2'!CK52</f>
        <v>4</v>
      </c>
      <c r="AO52" s="47">
        <f>'Таблиця цін схема №2'!CN52</f>
        <v>32</v>
      </c>
      <c r="AP52" s="380">
        <f>'Таблиця цін схема №2'!CO52</f>
        <v>6</v>
      </c>
      <c r="AQ52" s="47">
        <f>'Таблиця цін схема №2'!CR52</f>
        <v>20</v>
      </c>
      <c r="AR52" s="78">
        <f>'Таблиця цін схема №2'!CS52</f>
        <v>3</v>
      </c>
      <c r="AS52" s="47">
        <f>'Таблиця цін схема №2'!CV52</f>
        <v>32</v>
      </c>
      <c r="AT52" s="380">
        <f>'Таблиця цін схема №2'!CW52</f>
        <v>8</v>
      </c>
      <c r="AU52" s="47">
        <f>'Таблиця цін схема №2'!CZ52</f>
        <v>20</v>
      </c>
      <c r="AV52" s="380">
        <f>'Таблиця цін схема №2'!DA52</f>
        <v>2</v>
      </c>
      <c r="AW52" s="47">
        <f>'Таблиця цін схема №2'!DD52</f>
        <v>15</v>
      </c>
      <c r="AX52" s="380">
        <f>'Таблиця цін схема №2'!DE52</f>
        <v>8</v>
      </c>
      <c r="AY52" s="47">
        <f>'Таблиця цін схема №2'!DH52</f>
        <v>15</v>
      </c>
      <c r="AZ52" s="380">
        <f>'Таблиця цін схема №2'!DI52</f>
        <v>39</v>
      </c>
      <c r="BA52" s="47">
        <f>'Таблиця цін схема №2'!DL52</f>
        <v>65</v>
      </c>
      <c r="BB52" s="380">
        <f>'Таблиця цін схема №2'!DM52</f>
        <v>1</v>
      </c>
      <c r="BC52" s="47">
        <f>'Таблиця цін схема №2'!DP52</f>
        <v>32</v>
      </c>
      <c r="BD52" s="380">
        <f>'Таблиця цін схема №2'!DQ52</f>
        <v>1</v>
      </c>
    </row>
    <row r="53" spans="1:56">
      <c r="A53" s="73">
        <f>'Таблиця цін схема №2'!B53</f>
        <v>69</v>
      </c>
      <c r="B53" s="1140" t="str">
        <f>'Таблиця цін схема №2'!C53</f>
        <v xml:space="preserve">62 Okeanovskaya (Artema) Street </v>
      </c>
      <c r="C53" s="525">
        <f>'Таблиця цін схема №2'!X53</f>
        <v>80</v>
      </c>
      <c r="D53" s="380">
        <f>'Таблиця цін схема №2'!Y53</f>
        <v>2</v>
      </c>
      <c r="E53" s="47">
        <f>'Таблиця цін схема №2'!AB53</f>
        <v>80</v>
      </c>
      <c r="F53" s="380">
        <f>'Таблиця цін схема №2'!AC53</f>
        <v>2</v>
      </c>
      <c r="G53" s="47">
        <f>'Таблиця цін схема №2'!AF53</f>
        <v>80</v>
      </c>
      <c r="H53" s="380">
        <f>'Таблиця цін схема №2'!AG53</f>
        <v>1</v>
      </c>
      <c r="I53" s="47">
        <f>'Таблиця цін схема №2'!AJ53</f>
        <v>65</v>
      </c>
      <c r="J53" s="380">
        <f>'Таблиця цін схема №2'!AK53</f>
        <v>3</v>
      </c>
      <c r="K53" s="47">
        <f>'Таблиця цін схема №2'!AN53</f>
        <v>50</v>
      </c>
      <c r="L53" s="380">
        <f>'Таблиця цін схема №2'!AO53</f>
        <v>4</v>
      </c>
      <c r="M53" s="47" t="str">
        <f>'Таблиця цін схема №2'!AR53</f>
        <v>AMV20</v>
      </c>
      <c r="N53" s="380">
        <f>'Таблиця цін схема №2'!AS53</f>
        <v>1</v>
      </c>
      <c r="O53" s="47">
        <f>'Таблиця цін схема №2'!AV53</f>
        <v>16</v>
      </c>
      <c r="P53" s="379">
        <f>'Таблиця цін схема №2'!AW53</f>
        <v>32</v>
      </c>
      <c r="Q53" s="380">
        <f>'Таблиця цін схема №2'!AX53</f>
        <v>1</v>
      </c>
      <c r="R53" s="47">
        <f>'Таблиця цін схема №2'!BA53</f>
        <v>20</v>
      </c>
      <c r="S53" s="379">
        <f>'Таблиця цін схема №2'!BB53</f>
        <v>50</v>
      </c>
      <c r="T53" s="380">
        <f>'Таблиця цін схема №2'!BC53</f>
        <v>1</v>
      </c>
      <c r="U53" s="47" t="str">
        <f>'Таблиця цін схема №2'!BF53</f>
        <v>AMV33</v>
      </c>
      <c r="V53" s="380">
        <f>'Таблиця цін схема №2'!BG53</f>
        <v>1</v>
      </c>
      <c r="W53" s="47">
        <f>'Таблиця цін схема №2'!BJ53</f>
        <v>16</v>
      </c>
      <c r="X53" s="379">
        <f>'Таблиця цін схема №2'!BK53</f>
        <v>32</v>
      </c>
      <c r="Y53" s="380">
        <f>'Таблиця цін схема №2'!BL53</f>
        <v>1</v>
      </c>
      <c r="Z53" s="47">
        <f>'Таблиця цін схема №2'!BO53</f>
        <v>12.5</v>
      </c>
      <c r="AA53" s="379">
        <f>'Таблиця цін схема №2'!BP53</f>
        <v>32</v>
      </c>
      <c r="AB53" s="380">
        <f>'Таблиця цін схема №2'!BQ53</f>
        <v>1</v>
      </c>
      <c r="AC53" s="47" t="str">
        <f>'Таблиця цін схема №2'!BT53</f>
        <v>-</v>
      </c>
      <c r="AD53" s="379" t="str">
        <f>'Таблиця цін схема №2'!BU53</f>
        <v>-</v>
      </c>
      <c r="AE53" s="379" t="str">
        <f>'Таблиця цін схема №2'!BV53</f>
        <v>existed</v>
      </c>
      <c r="AF53" s="380">
        <f>'Таблиця цін схема №2'!BW53</f>
        <v>0</v>
      </c>
      <c r="AG53" s="47">
        <f>'Таблиця цін схема №2'!BZ53</f>
        <v>40</v>
      </c>
      <c r="AH53" s="379">
        <f>'Таблиця цін схема №2'!CA53</f>
        <v>10</v>
      </c>
      <c r="AI53" s="379" t="str">
        <f>'Таблиця цін схема №2'!CB53</f>
        <v>Pt500</v>
      </c>
      <c r="AJ53" s="380">
        <f>'Таблиця цін схема №2'!CC53</f>
        <v>1</v>
      </c>
      <c r="AK53" s="1168" t="str">
        <f>'Таблиця цін схема №2'!CF53</f>
        <v>EI-TO-16+017M30HS-262000</v>
      </c>
      <c r="AL53" s="380">
        <f>'Таблиця цін схема №2'!CG53</f>
        <v>1</v>
      </c>
      <c r="AM53" s="47">
        <f>'Таблиця цін схема №2'!CJ53</f>
        <v>100</v>
      </c>
      <c r="AN53" s="380">
        <f>'Таблиця цін схема №2'!CK53</f>
        <v>4</v>
      </c>
      <c r="AO53" s="47">
        <f>'Таблиця цін схема №2'!CN53</f>
        <v>50</v>
      </c>
      <c r="AP53" s="380">
        <f>'Таблиця цін схема №2'!CO53</f>
        <v>6</v>
      </c>
      <c r="AQ53" s="47">
        <f>'Таблиця цін схема №2'!CR53</f>
        <v>32</v>
      </c>
      <c r="AR53" s="78">
        <f>'Таблиця цін схема №2'!CS53</f>
        <v>3</v>
      </c>
      <c r="AS53" s="47">
        <f>'Таблиця цін схема №2'!CV53</f>
        <v>50</v>
      </c>
      <c r="AT53" s="380">
        <f>'Таблиця цін схема №2'!CW53</f>
        <v>8</v>
      </c>
      <c r="AU53" s="47">
        <f>'Таблиця цін схема №2'!CZ53</f>
        <v>20</v>
      </c>
      <c r="AV53" s="380">
        <f>'Таблиця цін схема №2'!DA53</f>
        <v>2</v>
      </c>
      <c r="AW53" s="47">
        <f>'Таблиця цін схема №2'!DD53</f>
        <v>15</v>
      </c>
      <c r="AX53" s="380">
        <f>'Таблиця цін схема №2'!DE53</f>
        <v>8</v>
      </c>
      <c r="AY53" s="47">
        <f>'Таблиця цін схема №2'!DH53</f>
        <v>15</v>
      </c>
      <c r="AZ53" s="380">
        <f>'Таблиця цін схема №2'!DI53</f>
        <v>39</v>
      </c>
      <c r="BA53" s="47">
        <f>'Таблиця цін схема №2'!DL53</f>
        <v>100</v>
      </c>
      <c r="BB53" s="380">
        <f>'Таблиця цін схема №2'!DM53</f>
        <v>1</v>
      </c>
      <c r="BC53" s="47">
        <f>'Таблиця цін схема №2'!DP53</f>
        <v>50</v>
      </c>
      <c r="BD53" s="380">
        <f>'Таблиця цін схема №2'!DQ53</f>
        <v>1</v>
      </c>
    </row>
    <row r="54" spans="1:56">
      <c r="A54" s="73">
        <f>'Таблиця цін схема №2'!B54</f>
        <v>70</v>
      </c>
      <c r="B54" s="1140" t="str">
        <f>'Таблиця цін схема №2'!C54</f>
        <v xml:space="preserve">62А Okeanovskaya (Artema) Street </v>
      </c>
      <c r="C54" s="525">
        <f>'Таблиця цін схема №2'!X54</f>
        <v>65</v>
      </c>
      <c r="D54" s="380">
        <f>'Таблиця цін схема №2'!Y54</f>
        <v>2</v>
      </c>
      <c r="E54" s="47">
        <f>'Таблиця цін схема №2'!AB54</f>
        <v>65</v>
      </c>
      <c r="F54" s="380">
        <f>'Таблиця цін схема №2'!AC54</f>
        <v>2</v>
      </c>
      <c r="G54" s="47">
        <f>'Таблиця цін схема №2'!AF54</f>
        <v>65</v>
      </c>
      <c r="H54" s="380">
        <f>'Таблиця цін схема №2'!AG54</f>
        <v>1</v>
      </c>
      <c r="I54" s="47">
        <f>'Таблиця цін схема №2'!AJ54</f>
        <v>40</v>
      </c>
      <c r="J54" s="380">
        <f>'Таблиця цін схема №2'!AK54</f>
        <v>3</v>
      </c>
      <c r="K54" s="47">
        <f>'Таблиця цін схема №2'!AN54</f>
        <v>40</v>
      </c>
      <c r="L54" s="380">
        <f>'Таблиця цін схема №2'!AO54</f>
        <v>4</v>
      </c>
      <c r="M54" s="47" t="str">
        <f>'Таблиця цін схема №2'!AR54</f>
        <v>AMV20</v>
      </c>
      <c r="N54" s="380">
        <f>'Таблиця цін схема №2'!AS54</f>
        <v>1</v>
      </c>
      <c r="O54" s="47">
        <f>'Таблиця цін схема №2'!AV54</f>
        <v>10</v>
      </c>
      <c r="P54" s="379">
        <f>'Таблиця цін схема №2'!AW54</f>
        <v>25</v>
      </c>
      <c r="Q54" s="380">
        <f>'Таблиця цін схема №2'!AX54</f>
        <v>1</v>
      </c>
      <c r="R54" s="47">
        <f>'Таблиця цін схема №2'!BA54</f>
        <v>12.5</v>
      </c>
      <c r="S54" s="379">
        <f>'Таблиця цін схема №2'!BB54</f>
        <v>32</v>
      </c>
      <c r="T54" s="380">
        <f>'Таблиця цін схема №2'!BC54</f>
        <v>1</v>
      </c>
      <c r="U54" s="47" t="str">
        <f>'Таблиця цін схема №2'!BF54</f>
        <v>AMV33</v>
      </c>
      <c r="V54" s="380">
        <f>'Таблиця цін схема №2'!BG54</f>
        <v>1</v>
      </c>
      <c r="W54" s="47">
        <f>'Таблиця цін схема №2'!BJ54</f>
        <v>6.3</v>
      </c>
      <c r="X54" s="379">
        <f>'Таблиця цін схема №2'!BK54</f>
        <v>20</v>
      </c>
      <c r="Y54" s="380">
        <f>'Таблиця цін схема №2'!BL54</f>
        <v>1</v>
      </c>
      <c r="Z54" s="47">
        <f>'Таблиця цін схема №2'!BO54</f>
        <v>6.3</v>
      </c>
      <c r="AA54" s="379">
        <f>'Таблиця цін схема №2'!BP54</f>
        <v>20</v>
      </c>
      <c r="AB54" s="380">
        <f>'Таблиця цін схема №2'!BQ54</f>
        <v>1</v>
      </c>
      <c r="AC54" s="47">
        <f>'Таблиця цін схема №2'!BT54</f>
        <v>25</v>
      </c>
      <c r="AD54" s="379">
        <f>'Таблиця цін схема №2'!BU54</f>
        <v>6</v>
      </c>
      <c r="AE54" s="379" t="str">
        <f>'Таблиця цін схема №2'!BV54</f>
        <v>Pt500</v>
      </c>
      <c r="AF54" s="380">
        <f>'Таблиця цін схема №2'!BW54</f>
        <v>1</v>
      </c>
      <c r="AG54" s="47">
        <f>'Таблиця цін схема №2'!BZ54</f>
        <v>25</v>
      </c>
      <c r="AH54" s="379">
        <f>'Таблиця цін схема №2'!CA54</f>
        <v>3.5</v>
      </c>
      <c r="AI54" s="379" t="str">
        <f>'Таблиця цін схема №2'!CB54</f>
        <v>Pt500</v>
      </c>
      <c r="AJ54" s="380">
        <f>'Таблиця цін схема №2'!CC54</f>
        <v>1</v>
      </c>
      <c r="AK54" s="1168" t="str">
        <f>'Таблиця цін схема №2'!CF54</f>
        <v>ЕІ-ТО-4+035A00HS--132000</v>
      </c>
      <c r="AL54" s="380">
        <f>'Таблиця цін схема №2'!CG54</f>
        <v>1</v>
      </c>
      <c r="AM54" s="47">
        <f>'Таблиця цін схема №2'!CJ54</f>
        <v>65</v>
      </c>
      <c r="AN54" s="380">
        <f>'Таблиця цін схема №2'!CK54</f>
        <v>4</v>
      </c>
      <c r="AO54" s="47">
        <f>'Таблиця цін схема №2'!CN54</f>
        <v>32</v>
      </c>
      <c r="AP54" s="380">
        <f>'Таблиця цін схема №2'!CO54</f>
        <v>6</v>
      </c>
      <c r="AQ54" s="47">
        <f>'Таблиця цін схема №2'!CR54</f>
        <v>20</v>
      </c>
      <c r="AR54" s="78">
        <f>'Таблиця цін схема №2'!CS54</f>
        <v>3</v>
      </c>
      <c r="AS54" s="47">
        <f>'Таблиця цін схема №2'!CV54</f>
        <v>32</v>
      </c>
      <c r="AT54" s="380">
        <f>'Таблиця цін схема №2'!CW54</f>
        <v>8</v>
      </c>
      <c r="AU54" s="47">
        <f>'Таблиця цін схема №2'!CZ54</f>
        <v>20</v>
      </c>
      <c r="AV54" s="380">
        <f>'Таблиця цін схема №2'!DA54</f>
        <v>2</v>
      </c>
      <c r="AW54" s="47">
        <f>'Таблиця цін схема №2'!DD54</f>
        <v>15</v>
      </c>
      <c r="AX54" s="380">
        <f>'Таблиця цін схема №2'!DE54</f>
        <v>8</v>
      </c>
      <c r="AY54" s="47">
        <f>'Таблиця цін схема №2'!DH54</f>
        <v>15</v>
      </c>
      <c r="AZ54" s="380">
        <f>'Таблиця цін схема №2'!DI54</f>
        <v>39</v>
      </c>
      <c r="BA54" s="47">
        <f>'Таблиця цін схема №2'!DL54</f>
        <v>65</v>
      </c>
      <c r="BB54" s="380">
        <f>'Таблиця цін схема №2'!DM54</f>
        <v>1</v>
      </c>
      <c r="BC54" s="47">
        <f>'Таблиця цін схема №2'!DP54</f>
        <v>32</v>
      </c>
      <c r="BD54" s="380">
        <f>'Таблиця цін схема №2'!DQ54</f>
        <v>1</v>
      </c>
    </row>
    <row r="55" spans="1:56">
      <c r="A55" s="73">
        <f>'Таблиця цін схема №2'!B55</f>
        <v>71</v>
      </c>
      <c r="B55" s="1140" t="str">
        <f>'Таблиця цін схема №2'!C55</f>
        <v xml:space="preserve">64 Okeanovskaya (Artema) Street </v>
      </c>
      <c r="C55" s="525">
        <f>'Таблиця цін схема №2'!X55</f>
        <v>65</v>
      </c>
      <c r="D55" s="380">
        <f>'Таблиця цін схема №2'!Y55</f>
        <v>2</v>
      </c>
      <c r="E55" s="47">
        <f>'Таблиця цін схема №2'!AB55</f>
        <v>65</v>
      </c>
      <c r="F55" s="380">
        <f>'Таблиця цін схема №2'!AC55</f>
        <v>2</v>
      </c>
      <c r="G55" s="47">
        <f>'Таблиця цін схема №2'!AF55</f>
        <v>65</v>
      </c>
      <c r="H55" s="380">
        <f>'Таблиця цін схема №2'!AG55</f>
        <v>1</v>
      </c>
      <c r="I55" s="47">
        <f>'Таблиця цін схема №2'!AJ55</f>
        <v>50</v>
      </c>
      <c r="J55" s="380">
        <f>'Таблиця цін схема №2'!AK55</f>
        <v>3</v>
      </c>
      <c r="K55" s="47">
        <f>'Таблиця цін схема №2'!AN55</f>
        <v>40</v>
      </c>
      <c r="L55" s="380">
        <f>'Таблиця цін схема №2'!AO55</f>
        <v>4</v>
      </c>
      <c r="M55" s="47" t="str">
        <f>'Таблиця цін схема №2'!AR55</f>
        <v>AMV20</v>
      </c>
      <c r="N55" s="380">
        <f>'Таблиця цін схема №2'!AS55</f>
        <v>1</v>
      </c>
      <c r="O55" s="47">
        <f>'Таблиця цін схема №2'!AV55</f>
        <v>16</v>
      </c>
      <c r="P55" s="379">
        <f>'Таблиця цін схема №2'!AW55</f>
        <v>32</v>
      </c>
      <c r="Q55" s="380">
        <f>'Таблиця цін схема №2'!AX55</f>
        <v>1</v>
      </c>
      <c r="R55" s="47">
        <f>'Таблиця цін схема №2'!BA55</f>
        <v>12.5</v>
      </c>
      <c r="S55" s="379">
        <f>'Таблиця цін схема №2'!BB55</f>
        <v>32</v>
      </c>
      <c r="T55" s="380">
        <f>'Таблиця цін схема №2'!BC55</f>
        <v>1</v>
      </c>
      <c r="U55" s="47" t="str">
        <f>'Таблиця цін схема №2'!BF55</f>
        <v>AMV33</v>
      </c>
      <c r="V55" s="380">
        <f>'Таблиця цін схема №2'!BG55</f>
        <v>1</v>
      </c>
      <c r="W55" s="47">
        <f>'Таблиця цін схема №2'!BJ55</f>
        <v>10</v>
      </c>
      <c r="X55" s="379">
        <f>'Таблиця цін схема №2'!BK55</f>
        <v>25</v>
      </c>
      <c r="Y55" s="380">
        <f>'Таблиця цін схема №2'!BL55</f>
        <v>1</v>
      </c>
      <c r="Z55" s="47">
        <f>'Таблиця цін схема №2'!BO55</f>
        <v>12.5</v>
      </c>
      <c r="AA55" s="379">
        <f>'Таблиця цін схема №2'!BP55</f>
        <v>32</v>
      </c>
      <c r="AB55" s="380">
        <f>'Таблиця цін схема №2'!BQ55</f>
        <v>1</v>
      </c>
      <c r="AC55" s="47" t="str">
        <f>'Таблиця цін схема №2'!BT55</f>
        <v>-</v>
      </c>
      <c r="AD55" s="379" t="str">
        <f>'Таблиця цін схема №2'!BU55</f>
        <v>-</v>
      </c>
      <c r="AE55" s="379" t="str">
        <f>'Таблиця цін схема №2'!BV55</f>
        <v>existed</v>
      </c>
      <c r="AF55" s="380">
        <f>'Таблиця цін схема №2'!BW55</f>
        <v>0</v>
      </c>
      <c r="AG55" s="47">
        <f>'Таблиця цін схема №2'!BZ55</f>
        <v>25</v>
      </c>
      <c r="AH55" s="379">
        <f>'Таблиця цін схема №2'!CA55</f>
        <v>6</v>
      </c>
      <c r="AI55" s="379" t="str">
        <f>'Таблиця цін схема №2'!CB55</f>
        <v>Pt500</v>
      </c>
      <c r="AJ55" s="380">
        <f>'Таблиця цін схема №2'!CC55</f>
        <v>1</v>
      </c>
      <c r="AK55" s="1168" t="str">
        <f>'Таблиця цін схема №2'!CF55</f>
        <v>EI-TO-16+013M30HS-186000</v>
      </c>
      <c r="AL55" s="380">
        <f>'Таблиця цін схема №2'!CG55</f>
        <v>1</v>
      </c>
      <c r="AM55" s="47">
        <f>'Таблиця цін схема №2'!CJ55</f>
        <v>80</v>
      </c>
      <c r="AN55" s="380">
        <f>'Таблиця цін схема №2'!CK55</f>
        <v>4</v>
      </c>
      <c r="AO55" s="47">
        <f>'Таблиця цін схема №2'!CN55</f>
        <v>40</v>
      </c>
      <c r="AP55" s="380">
        <f>'Таблиця цін схема №2'!CO55</f>
        <v>6</v>
      </c>
      <c r="AQ55" s="47">
        <f>'Таблиця цін схема №2'!CR55</f>
        <v>20</v>
      </c>
      <c r="AR55" s="78">
        <f>'Таблиця цін схема №2'!CS55</f>
        <v>3</v>
      </c>
      <c r="AS55" s="47">
        <f>'Таблиця цін схема №2'!CV55</f>
        <v>40</v>
      </c>
      <c r="AT55" s="380">
        <f>'Таблиця цін схема №2'!CW55</f>
        <v>8</v>
      </c>
      <c r="AU55" s="47">
        <f>'Таблиця цін схема №2'!CZ55</f>
        <v>20</v>
      </c>
      <c r="AV55" s="380">
        <f>'Таблиця цін схема №2'!DA55</f>
        <v>2</v>
      </c>
      <c r="AW55" s="47">
        <f>'Таблиця цін схема №2'!DD55</f>
        <v>15</v>
      </c>
      <c r="AX55" s="380">
        <f>'Таблиця цін схема №2'!DE55</f>
        <v>8</v>
      </c>
      <c r="AY55" s="47">
        <f>'Таблиця цін схема №2'!DH55</f>
        <v>15</v>
      </c>
      <c r="AZ55" s="380">
        <f>'Таблиця цін схема №2'!DI55</f>
        <v>39</v>
      </c>
      <c r="BA55" s="47">
        <f>'Таблиця цін схема №2'!DL55</f>
        <v>80</v>
      </c>
      <c r="BB55" s="380">
        <f>'Таблиця цін схема №2'!DM55</f>
        <v>1</v>
      </c>
      <c r="BC55" s="47">
        <f>'Таблиця цін схема №2'!DP55</f>
        <v>40</v>
      </c>
      <c r="BD55" s="380">
        <f>'Таблиця цін схема №2'!DQ55</f>
        <v>1</v>
      </c>
    </row>
    <row r="56" spans="1:56">
      <c r="A56" s="73">
        <f>'Таблиця цін схема №2'!B56</f>
        <v>72</v>
      </c>
      <c r="B56" s="1140" t="str">
        <f>'Таблиця цін схема №2'!C56</f>
        <v>20 Korotkaya Street</v>
      </c>
      <c r="C56" s="525">
        <f>'Таблиця цін схема №2'!X56</f>
        <v>40</v>
      </c>
      <c r="D56" s="380">
        <f>'Таблиця цін схема №2'!Y56</f>
        <v>2</v>
      </c>
      <c r="E56" s="47">
        <f>'Таблиця цін схема №2'!AB56</f>
        <v>40</v>
      </c>
      <c r="F56" s="380">
        <f>'Таблиця цін схема №2'!AC56</f>
        <v>2</v>
      </c>
      <c r="G56" s="47">
        <f>'Таблиця цін схема №2'!AF56</f>
        <v>40</v>
      </c>
      <c r="H56" s="517" t="s">
        <v>115</v>
      </c>
      <c r="I56" s="47">
        <f>'Таблиця цін схема №2'!AJ56</f>
        <v>25</v>
      </c>
      <c r="J56" s="380">
        <f>'Таблиця цін схема №2'!AK56</f>
        <v>1</v>
      </c>
      <c r="K56" s="47">
        <f>'Таблиця цін схема №2'!AN56</f>
        <v>32</v>
      </c>
      <c r="L56" s="380">
        <f>'Таблиця цін схема №2'!AO56</f>
        <v>4</v>
      </c>
      <c r="M56" s="47" t="str">
        <f>'Таблиця цін схема №2'!AR56</f>
        <v>AMV20</v>
      </c>
      <c r="N56" s="380">
        <f>'Таблиця цін схема №2'!AS56</f>
        <v>1</v>
      </c>
      <c r="O56" s="47">
        <f>'Таблиця цін схема №2'!AV56</f>
        <v>4</v>
      </c>
      <c r="P56" s="379">
        <f>'Таблиця цін схема №2'!AW56</f>
        <v>15</v>
      </c>
      <c r="Q56" s="380">
        <f>'Таблиця цін схема №2'!AX56</f>
        <v>1</v>
      </c>
      <c r="R56" s="47">
        <f>'Таблиця цін схема №2'!BA56</f>
        <v>4</v>
      </c>
      <c r="S56" s="379">
        <f>'Таблиця цін схема №2'!BB56</f>
        <v>15</v>
      </c>
      <c r="T56" s="380">
        <f>'Таблиця цін схема №2'!BC56</f>
        <v>1</v>
      </c>
      <c r="U56" s="47" t="str">
        <f>'Таблиця цін схема №2'!BF56</f>
        <v>AMV33</v>
      </c>
      <c r="V56" s="380">
        <f>'Таблиця цін схема №2'!BG56</f>
        <v>1</v>
      </c>
      <c r="W56" s="47">
        <f>'Таблиця цін схема №2'!BJ56</f>
        <v>4</v>
      </c>
      <c r="X56" s="379">
        <f>'Таблиця цін схема №2'!BK56</f>
        <v>15</v>
      </c>
      <c r="Y56" s="380">
        <f>'Таблиця цін схема №2'!BL56</f>
        <v>1</v>
      </c>
      <c r="Z56" s="47">
        <f>'Таблиця цін схема №2'!BO56</f>
        <v>4</v>
      </c>
      <c r="AA56" s="379">
        <f>'Таблиця цін схема №2'!BP56</f>
        <v>15</v>
      </c>
      <c r="AB56" s="380">
        <f>'Таблиця цін схема №2'!BQ56</f>
        <v>1</v>
      </c>
      <c r="AC56" s="47" t="str">
        <f>'Таблиця цін схема №2'!BT56</f>
        <v>-</v>
      </c>
      <c r="AD56" s="379" t="str">
        <f>'Таблиця цін схема №2'!BU56</f>
        <v>-</v>
      </c>
      <c r="AE56" s="379" t="str">
        <f>'Таблиця цін схема №2'!BV56</f>
        <v>existed</v>
      </c>
      <c r="AF56" s="380">
        <f>'Таблиця цін схема №2'!BW56</f>
        <v>0</v>
      </c>
      <c r="AG56" s="47">
        <f>'Таблиця цін схема №2'!BZ56</f>
        <v>20</v>
      </c>
      <c r="AH56" s="379">
        <f>'Таблиця цін схема №2'!CA56</f>
        <v>2.5</v>
      </c>
      <c r="AI56" s="379" t="str">
        <f>'Таблиця цін схема №2'!CB56</f>
        <v>Pt500</v>
      </c>
      <c r="AJ56" s="380">
        <f>'Таблиця цін схема №2'!CC56</f>
        <v>1</v>
      </c>
      <c r="AK56" s="1168" t="str">
        <f>'Таблиця цін схема №2'!CF56</f>
        <v>ЕІ-ТО-4+025A00HS-90000</v>
      </c>
      <c r="AL56" s="380">
        <f>'Таблиця цін схема №2'!CG56</f>
        <v>1</v>
      </c>
      <c r="AM56" s="47">
        <f>'Таблиця цін схема №2'!CJ56</f>
        <v>40</v>
      </c>
      <c r="AN56" s="380">
        <f>'Таблиця цін схема №2'!CK56</f>
        <v>4</v>
      </c>
      <c r="AO56" s="47">
        <f>'Таблиця цін схема №2'!CN56</f>
        <v>25</v>
      </c>
      <c r="AP56" s="380">
        <f>'Таблиця цін схема №2'!CO56</f>
        <v>6</v>
      </c>
      <c r="AQ56" s="47">
        <f>'Таблиця цін схема №2'!CR56</f>
        <v>20</v>
      </c>
      <c r="AR56" s="78">
        <f>'Таблиця цін схема №2'!CS56</f>
        <v>3</v>
      </c>
      <c r="AS56" s="47">
        <f>'Таблиця цін схема №2'!CV56</f>
        <v>32</v>
      </c>
      <c r="AT56" s="380">
        <f>'Таблиця цін схема №2'!CW56</f>
        <v>4</v>
      </c>
      <c r="AU56" s="47">
        <f>'Таблиця цін схема №2'!CZ56</f>
        <v>20</v>
      </c>
      <c r="AV56" s="380">
        <f>'Таблиця цін схема №2'!DA56</f>
        <v>2</v>
      </c>
      <c r="AW56" s="47">
        <f>'Таблиця цін схема №2'!DD56</f>
        <v>15</v>
      </c>
      <c r="AX56" s="380">
        <f>'Таблиця цін схема №2'!DE56</f>
        <v>8</v>
      </c>
      <c r="AY56" s="47">
        <f>'Таблиця цін схема №2'!DH56</f>
        <v>15</v>
      </c>
      <c r="AZ56" s="380">
        <f>'Таблиця цін схема №2'!DI56</f>
        <v>37</v>
      </c>
      <c r="BA56" s="47">
        <f>'Таблиця цін схема №2'!DL56</f>
        <v>40</v>
      </c>
      <c r="BB56" s="380">
        <f>'Таблиця цін схема №2'!DM56</f>
        <v>1</v>
      </c>
      <c r="BC56" s="47">
        <f>'Таблиця цін схема №2'!DP56</f>
        <v>25</v>
      </c>
      <c r="BD56" s="380">
        <f>'Таблиця цін схема №2'!DQ56</f>
        <v>1</v>
      </c>
    </row>
    <row r="57" spans="1:56">
      <c r="A57" s="73">
        <f>'Таблиця цін схема №2'!B57</f>
        <v>73</v>
      </c>
      <c r="B57" s="1140" t="str">
        <f>'Таблиця цін схема №2'!C57</f>
        <v>24а (input 1) Korotkaya Street</v>
      </c>
      <c r="C57" s="525">
        <f>'Таблиця цін схема №2'!X57</f>
        <v>40</v>
      </c>
      <c r="D57" s="380">
        <f>'Таблиця цін схема №2'!Y57</f>
        <v>2</v>
      </c>
      <c r="E57" s="47">
        <f>'Таблиця цін схема №2'!AB57</f>
        <v>40</v>
      </c>
      <c r="F57" s="380">
        <f>'Таблиця цін схема №2'!AC57</f>
        <v>2</v>
      </c>
      <c r="G57" s="47">
        <f>'Таблиця цін схема №2'!AF57</f>
        <v>40</v>
      </c>
      <c r="H57" s="517" t="s">
        <v>115</v>
      </c>
      <c r="I57" s="47">
        <f>'Таблиця цін схема №2'!AJ57</f>
        <v>25</v>
      </c>
      <c r="J57" s="380">
        <f>'Таблиця цін схема №2'!AK57</f>
        <v>1</v>
      </c>
      <c r="K57" s="47">
        <f>'Таблиця цін схема №2'!AN57</f>
        <v>25</v>
      </c>
      <c r="L57" s="380">
        <f>'Таблиця цін схема №2'!AO57</f>
        <v>4</v>
      </c>
      <c r="M57" s="47" t="str">
        <f>'Таблиця цін схема №2'!AR57</f>
        <v>AMV20</v>
      </c>
      <c r="N57" s="380">
        <f>'Таблиця цін схема №2'!AS57</f>
        <v>1</v>
      </c>
      <c r="O57" s="47">
        <f>'Таблиця цін схема №2'!AV57</f>
        <v>4</v>
      </c>
      <c r="P57" s="379">
        <f>'Таблиця цін схема №2'!AW57</f>
        <v>15</v>
      </c>
      <c r="Q57" s="380">
        <f>'Таблиця цін схема №2'!AX57</f>
        <v>1</v>
      </c>
      <c r="R57" s="47">
        <f>'Таблиця цін схема №2'!BA57</f>
        <v>4</v>
      </c>
      <c r="S57" s="379">
        <f>'Таблиця цін схема №2'!BB57</f>
        <v>15</v>
      </c>
      <c r="T57" s="380">
        <f>'Таблиця цін схема №2'!BC57</f>
        <v>1</v>
      </c>
      <c r="U57" s="47" t="str">
        <f>'Таблиця цін схема №2'!BF57</f>
        <v>AMV33</v>
      </c>
      <c r="V57" s="380">
        <f>'Таблиця цін схема №2'!BG57</f>
        <v>1</v>
      </c>
      <c r="W57" s="47">
        <f>'Таблиця цін схема №2'!BJ57</f>
        <v>2.5</v>
      </c>
      <c r="X57" s="379">
        <f>'Таблиця цін схема №2'!BK57</f>
        <v>15</v>
      </c>
      <c r="Y57" s="380">
        <f>'Таблиця цін схема №2'!BL57</f>
        <v>1</v>
      </c>
      <c r="Z57" s="47">
        <f>'Таблиця цін схема №2'!BO57</f>
        <v>4</v>
      </c>
      <c r="AA57" s="379">
        <f>'Таблиця цін схема №2'!BP57</f>
        <v>15</v>
      </c>
      <c r="AB57" s="380">
        <f>'Таблиця цін схема №2'!BQ57</f>
        <v>1</v>
      </c>
      <c r="AC57" s="47" t="str">
        <f>'Таблиця цін схема №2'!BT57</f>
        <v>-</v>
      </c>
      <c r="AD57" s="379" t="str">
        <f>'Таблиця цін схема №2'!BU57</f>
        <v>-</v>
      </c>
      <c r="AE57" s="379" t="str">
        <f>'Таблиця цін схема №2'!BV57</f>
        <v>existed</v>
      </c>
      <c r="AF57" s="380">
        <f>'Таблиця цін схема №2'!BW57</f>
        <v>0</v>
      </c>
      <c r="AG57" s="47">
        <f>'Таблиця цін схема №2'!BZ57</f>
        <v>15</v>
      </c>
      <c r="AH57" s="379">
        <f>'Таблиця цін схема №2'!CA57</f>
        <v>1.5</v>
      </c>
      <c r="AI57" s="379" t="str">
        <f>'Таблиця цін схема №2'!CB57</f>
        <v>Pt500</v>
      </c>
      <c r="AJ57" s="380">
        <f>'Таблиця цін схема №2'!CC57</f>
        <v>1</v>
      </c>
      <c r="AK57" s="1168" t="str">
        <f>'Таблиця цін схема №2'!CF57</f>
        <v>ЕІ-ТО-4+015A00HS-48000</v>
      </c>
      <c r="AL57" s="380">
        <f>'Таблиця цін схема №2'!CG57</f>
        <v>1</v>
      </c>
      <c r="AM57" s="47">
        <f>'Таблиця цін схема №2'!CJ57</f>
        <v>40</v>
      </c>
      <c r="AN57" s="380">
        <f>'Таблиця цін схема №2'!CK57</f>
        <v>4</v>
      </c>
      <c r="AO57" s="47">
        <f>'Таблиця цін схема №2'!CN57</f>
        <v>25</v>
      </c>
      <c r="AP57" s="380">
        <f>'Таблиця цін схема №2'!CO57</f>
        <v>6</v>
      </c>
      <c r="AQ57" s="47">
        <f>'Таблиця цін схема №2'!CR57</f>
        <v>20</v>
      </c>
      <c r="AR57" s="78">
        <f>'Таблиця цін схема №2'!CS57</f>
        <v>3</v>
      </c>
      <c r="AS57" s="47">
        <f>'Таблиця цін схема №2'!CV57</f>
        <v>32</v>
      </c>
      <c r="AT57" s="380">
        <f>'Таблиця цін схема №2'!CW57</f>
        <v>4</v>
      </c>
      <c r="AU57" s="47">
        <f>'Таблиця цін схема №2'!CZ57</f>
        <v>20</v>
      </c>
      <c r="AV57" s="380">
        <f>'Таблиця цін схема №2'!DA57</f>
        <v>2</v>
      </c>
      <c r="AW57" s="47">
        <f>'Таблиця цін схема №2'!DD57</f>
        <v>15</v>
      </c>
      <c r="AX57" s="380">
        <f>'Таблиця цін схема №2'!DE57</f>
        <v>8</v>
      </c>
      <c r="AY57" s="47">
        <f>'Таблиця цін схема №2'!DH57</f>
        <v>15</v>
      </c>
      <c r="AZ57" s="380">
        <f>'Таблиця цін схема №2'!DI57</f>
        <v>37</v>
      </c>
      <c r="BA57" s="47">
        <f>'Таблиця цін схема №2'!DL57</f>
        <v>40</v>
      </c>
      <c r="BB57" s="380">
        <f>'Таблиця цін схема №2'!DM57</f>
        <v>1</v>
      </c>
      <c r="BC57" s="47">
        <f>'Таблиця цін схема №2'!DP57</f>
        <v>25</v>
      </c>
      <c r="BD57" s="380">
        <f>'Таблиця цін схема №2'!DQ57</f>
        <v>1</v>
      </c>
    </row>
    <row r="58" spans="1:56">
      <c r="A58" s="73">
        <f>'Таблиця цін схема №2'!B58</f>
        <v>74</v>
      </c>
      <c r="B58" s="1140" t="str">
        <f>'Таблиця цін схема №2'!C58</f>
        <v>24а (input 2) Korotkaya Street</v>
      </c>
      <c r="C58" s="525">
        <f>'Таблиця цін схема №2'!X58</f>
        <v>40</v>
      </c>
      <c r="D58" s="380">
        <f>'Таблиця цін схема №2'!Y58</f>
        <v>2</v>
      </c>
      <c r="E58" s="47">
        <f>'Таблиця цін схема №2'!AB58</f>
        <v>40</v>
      </c>
      <c r="F58" s="380">
        <f>'Таблиця цін схема №2'!AC58</f>
        <v>2</v>
      </c>
      <c r="G58" s="47">
        <f>'Таблиця цін схема №2'!AF58</f>
        <v>40</v>
      </c>
      <c r="H58" s="517" t="s">
        <v>115</v>
      </c>
      <c r="I58" s="47">
        <f>'Таблиця цін схема №2'!AJ58</f>
        <v>25</v>
      </c>
      <c r="J58" s="380">
        <f>'Таблиця цін схема №2'!AK58</f>
        <v>1</v>
      </c>
      <c r="K58" s="47">
        <f>'Таблиця цін схема №2'!AN58</f>
        <v>25</v>
      </c>
      <c r="L58" s="380">
        <f>'Таблиця цін схема №2'!AO58</f>
        <v>4</v>
      </c>
      <c r="M58" s="47" t="str">
        <f>'Таблиця цін схема №2'!AR58</f>
        <v>AMV20</v>
      </c>
      <c r="N58" s="380">
        <f>'Таблиця цін схема №2'!AS58</f>
        <v>1</v>
      </c>
      <c r="O58" s="47">
        <f>'Таблиця цін схема №2'!AV58</f>
        <v>6.3</v>
      </c>
      <c r="P58" s="379">
        <f>'Таблиця цін схема №2'!AW58</f>
        <v>20</v>
      </c>
      <c r="Q58" s="380">
        <f>'Таблиця цін схема №2'!AX58</f>
        <v>1</v>
      </c>
      <c r="R58" s="47">
        <f>'Таблиця цін схема №2'!BA58</f>
        <v>6.3</v>
      </c>
      <c r="S58" s="379">
        <f>'Таблиця цін схема №2'!BB58</f>
        <v>20</v>
      </c>
      <c r="T58" s="380">
        <f>'Таблиця цін схема №2'!BC58</f>
        <v>1</v>
      </c>
      <c r="U58" s="47" t="str">
        <f>'Таблиця цін схема №2'!BF58</f>
        <v>AMV33</v>
      </c>
      <c r="V58" s="380">
        <f>'Таблиця цін схема №2'!BG58</f>
        <v>1</v>
      </c>
      <c r="W58" s="47">
        <f>'Таблиця цін схема №2'!BJ58</f>
        <v>4</v>
      </c>
      <c r="X58" s="379">
        <f>'Таблиця цін схема №2'!BK58</f>
        <v>15</v>
      </c>
      <c r="Y58" s="380">
        <f>'Таблиця цін схема №2'!BL58</f>
        <v>1</v>
      </c>
      <c r="Z58" s="47">
        <f>'Таблиця цін схема №2'!BO58</f>
        <v>4</v>
      </c>
      <c r="AA58" s="379">
        <f>'Таблиця цін схема №2'!BP58</f>
        <v>15</v>
      </c>
      <c r="AB58" s="380">
        <f>'Таблиця цін схема №2'!BQ58</f>
        <v>1</v>
      </c>
      <c r="AC58" s="47" t="str">
        <f>'Таблиця цін схема №2'!BT58</f>
        <v>-</v>
      </c>
      <c r="AD58" s="379" t="str">
        <f>'Таблиця цін схема №2'!BU58</f>
        <v>-</v>
      </c>
      <c r="AE58" s="379" t="str">
        <f>'Таблиця цін схема №2'!BV58</f>
        <v>existed</v>
      </c>
      <c r="AF58" s="380">
        <f>'Таблиця цін схема №2'!BW58</f>
        <v>0</v>
      </c>
      <c r="AG58" s="47">
        <f>'Таблиця цін схема №2'!BZ58</f>
        <v>15</v>
      </c>
      <c r="AH58" s="379">
        <f>'Таблиця цін схема №2'!CA58</f>
        <v>1.5</v>
      </c>
      <c r="AI58" s="379" t="str">
        <f>'Таблиця цін схема №2'!CB58</f>
        <v>Pt500</v>
      </c>
      <c r="AJ58" s="380">
        <f>'Таблиця цін схема №2'!CC58</f>
        <v>1</v>
      </c>
      <c r="AK58" s="1168" t="str">
        <f>'Таблиця цін схема №2'!CF58</f>
        <v>ЕІ-ТО-4+017A00HS-58000</v>
      </c>
      <c r="AL58" s="380">
        <f>'Таблиця цін схема №2'!CG58</f>
        <v>1</v>
      </c>
      <c r="AM58" s="47">
        <f>'Таблиця цін схема №2'!CJ58</f>
        <v>50</v>
      </c>
      <c r="AN58" s="380">
        <f>'Таблиця цін схема №2'!CK58</f>
        <v>4</v>
      </c>
      <c r="AO58" s="47">
        <f>'Таблиця цін схема №2'!CN58</f>
        <v>25</v>
      </c>
      <c r="AP58" s="380">
        <f>'Таблиця цін схема №2'!CO58</f>
        <v>6</v>
      </c>
      <c r="AQ58" s="47">
        <f>'Таблиця цін схема №2'!CR58</f>
        <v>20</v>
      </c>
      <c r="AR58" s="78">
        <f>'Таблиця цін схема №2'!CS58</f>
        <v>3</v>
      </c>
      <c r="AS58" s="47">
        <f>'Таблиця цін схема №2'!CV58</f>
        <v>32</v>
      </c>
      <c r="AT58" s="380">
        <f>'Таблиця цін схема №2'!CW58</f>
        <v>6</v>
      </c>
      <c r="AU58" s="47">
        <f>'Таблиця цін схема №2'!CZ58</f>
        <v>20</v>
      </c>
      <c r="AV58" s="380">
        <f>'Таблиця цін схема №2'!DA58</f>
        <v>2</v>
      </c>
      <c r="AW58" s="47">
        <f>'Таблиця цін схема №2'!DD58</f>
        <v>15</v>
      </c>
      <c r="AX58" s="380">
        <f>'Таблиця цін схема №2'!DE58</f>
        <v>8</v>
      </c>
      <c r="AY58" s="47">
        <f>'Таблиця цін схема №2'!DH58</f>
        <v>15</v>
      </c>
      <c r="AZ58" s="380">
        <f>'Таблиця цін схема №2'!DI58</f>
        <v>38</v>
      </c>
      <c r="BA58" s="47">
        <f>'Таблиця цін схема №2'!DL58</f>
        <v>50</v>
      </c>
      <c r="BB58" s="380">
        <f>'Таблиця цін схема №2'!DM58</f>
        <v>1</v>
      </c>
      <c r="BC58" s="47">
        <f>'Таблиця цін схема №2'!DP58</f>
        <v>25</v>
      </c>
      <c r="BD58" s="380">
        <f>'Таблиця цін схема №2'!DQ58</f>
        <v>1</v>
      </c>
    </row>
    <row r="59" spans="1:56">
      <c r="A59" s="73">
        <f>'Таблиця цін схема №2'!B59</f>
        <v>88</v>
      </c>
      <c r="B59" s="1140" t="str">
        <f>'Таблиця цін схема №2'!C59</f>
        <v>170 Popelya Street</v>
      </c>
      <c r="C59" s="525">
        <f>'Таблиця цін схема №2'!X59</f>
        <v>65</v>
      </c>
      <c r="D59" s="380">
        <f>'Таблиця цін схема №2'!Y59</f>
        <v>2</v>
      </c>
      <c r="E59" s="47">
        <f>'Таблиця цін схема №2'!AB59</f>
        <v>65</v>
      </c>
      <c r="F59" s="380">
        <f>'Таблиця цін схема №2'!AC59</f>
        <v>2</v>
      </c>
      <c r="G59" s="47">
        <f>'Таблиця цін схема №2'!AF59</f>
        <v>65</v>
      </c>
      <c r="H59" s="517" t="s">
        <v>115</v>
      </c>
      <c r="I59" s="47">
        <f>'Таблиця цін схема №2'!AJ59</f>
        <v>40</v>
      </c>
      <c r="J59" s="380">
        <f>'Таблиця цін схема №2'!AK59</f>
        <v>1</v>
      </c>
      <c r="K59" s="47">
        <f>'Таблиця цін схема №2'!AN59</f>
        <v>50</v>
      </c>
      <c r="L59" s="380">
        <f>'Таблиця цін схема №2'!AO59</f>
        <v>4</v>
      </c>
      <c r="M59" s="47" t="str">
        <f>'Таблиця цін схема №2'!AR59</f>
        <v>AMV20</v>
      </c>
      <c r="N59" s="380">
        <f>'Таблиця цін схема №2'!AS59</f>
        <v>1</v>
      </c>
      <c r="O59" s="47">
        <f>'Таблиця цін схема №2'!AV59</f>
        <v>10</v>
      </c>
      <c r="P59" s="379">
        <f>'Таблиця цін схема №2'!AW59</f>
        <v>25</v>
      </c>
      <c r="Q59" s="380">
        <f>'Таблиця цін схема №2'!AX59</f>
        <v>1</v>
      </c>
      <c r="R59" s="47">
        <f>'Таблиця цін схема №2'!BA59</f>
        <v>12.5</v>
      </c>
      <c r="S59" s="379">
        <f>'Таблиця цін схема №2'!BB59</f>
        <v>32</v>
      </c>
      <c r="T59" s="380">
        <f>'Таблиця цін схема №2'!BC59</f>
        <v>1</v>
      </c>
      <c r="U59" s="47" t="str">
        <f>'Таблиця цін схема №2'!BF59</f>
        <v>AMV33</v>
      </c>
      <c r="V59" s="380">
        <f>'Таблиця цін схема №2'!BG59</f>
        <v>1</v>
      </c>
      <c r="W59" s="47">
        <f>'Таблиця цін схема №2'!BJ59</f>
        <v>16</v>
      </c>
      <c r="X59" s="379">
        <f>'Таблиця цін схема №2'!BK59</f>
        <v>32</v>
      </c>
      <c r="Y59" s="380">
        <f>'Таблиця цін схема №2'!BL59</f>
        <v>1</v>
      </c>
      <c r="Z59" s="47">
        <f>'Таблиця цін схема №2'!BO59</f>
        <v>20</v>
      </c>
      <c r="AA59" s="379">
        <f>'Таблиця цін схема №2'!BP59</f>
        <v>40</v>
      </c>
      <c r="AB59" s="380">
        <f>'Таблиця цін схема №2'!BQ59</f>
        <v>1</v>
      </c>
      <c r="AC59" s="47" t="str">
        <f>'Таблиця цін схема №2'!BT59</f>
        <v>-</v>
      </c>
      <c r="AD59" s="379" t="str">
        <f>'Таблиця цін схема №2'!BU59</f>
        <v>-</v>
      </c>
      <c r="AE59" s="379" t="str">
        <f>'Таблиця цін схема №2'!BV59</f>
        <v>existed</v>
      </c>
      <c r="AF59" s="380">
        <f>'Таблиця цін схема №2'!BW59</f>
        <v>0</v>
      </c>
      <c r="AG59" s="47">
        <f>'Таблиця цін схема №2'!BZ59</f>
        <v>40</v>
      </c>
      <c r="AH59" s="379">
        <f>'Таблиця цін схема №2'!CA59</f>
        <v>10</v>
      </c>
      <c r="AI59" s="379" t="str">
        <f>'Таблиця цін схема №2'!CB59</f>
        <v>Pt500</v>
      </c>
      <c r="AJ59" s="380">
        <f>'Таблиця цін схема №2'!CC59</f>
        <v>1</v>
      </c>
      <c r="AK59" s="1168" t="str">
        <f>'Таблиця цін схема №2'!CF59</f>
        <v>ЕІ-ТО-16+021M30HS-323000</v>
      </c>
      <c r="AL59" s="380">
        <f>'Таблиця цін схема №2'!CG59</f>
        <v>1</v>
      </c>
      <c r="AM59" s="47">
        <f>'Таблиця цін схема №2'!CJ59</f>
        <v>65</v>
      </c>
      <c r="AN59" s="380">
        <f>'Таблиця цін схема №2'!CK59</f>
        <v>4</v>
      </c>
      <c r="AO59" s="47">
        <f>'Таблиця цін схема №2'!CN59</f>
        <v>50</v>
      </c>
      <c r="AP59" s="380">
        <f>'Таблиця цін схема №2'!CO59</f>
        <v>6</v>
      </c>
      <c r="AQ59" s="47">
        <f>'Таблиця цін схема №2'!CR59</f>
        <v>32</v>
      </c>
      <c r="AR59" s="78">
        <f>'Таблиця цін схема №2'!CS59</f>
        <v>3</v>
      </c>
      <c r="AS59" s="47">
        <f>'Таблиця цін схема №2'!CV59</f>
        <v>50</v>
      </c>
      <c r="AT59" s="380">
        <f>'Таблиця цін схема №2'!CW59</f>
        <v>4</v>
      </c>
      <c r="AU59" s="47">
        <f>'Таблиця цін схема №2'!CZ59</f>
        <v>20</v>
      </c>
      <c r="AV59" s="380">
        <f>'Таблиця цін схема №2'!DA59</f>
        <v>2</v>
      </c>
      <c r="AW59" s="47">
        <f>'Таблиця цін схема №2'!DD59</f>
        <v>15</v>
      </c>
      <c r="AX59" s="380">
        <f>'Таблиця цін схема №2'!DE59</f>
        <v>8</v>
      </c>
      <c r="AY59" s="47">
        <f>'Таблиця цін схема №2'!DH59</f>
        <v>15</v>
      </c>
      <c r="AZ59" s="380">
        <f>'Таблиця цін схема №2'!DI59</f>
        <v>37</v>
      </c>
      <c r="BA59" s="47">
        <f>'Таблиця цін схема №2'!DL59</f>
        <v>65</v>
      </c>
      <c r="BB59" s="380">
        <f>'Таблиця цін схема №2'!DM59</f>
        <v>1</v>
      </c>
      <c r="BC59" s="47">
        <f>'Таблиця цін схема №2'!DP59</f>
        <v>50</v>
      </c>
      <c r="BD59" s="380">
        <f>'Таблиця цін схема №2'!DQ59</f>
        <v>1</v>
      </c>
    </row>
    <row r="60" spans="1:56">
      <c r="A60" s="73">
        <f>'Таблиця цін схема №2'!B60</f>
        <v>89</v>
      </c>
      <c r="B60" s="1140" t="str">
        <f>'Таблиця цін схема №2'!C60</f>
        <v>162 Popelya Street</v>
      </c>
      <c r="C60" s="525">
        <f>'Таблиця цін схема №2'!X60</f>
        <v>50</v>
      </c>
      <c r="D60" s="380">
        <f>'Таблиця цін схема №2'!Y60</f>
        <v>2</v>
      </c>
      <c r="E60" s="47">
        <f>'Таблиця цін схема №2'!AB60</f>
        <v>50</v>
      </c>
      <c r="F60" s="380">
        <f>'Таблиця цін схема №2'!AC60</f>
        <v>2</v>
      </c>
      <c r="G60" s="47">
        <f>'Таблиця цін схема №2'!AF60</f>
        <v>50</v>
      </c>
      <c r="H60" s="380">
        <f>'Таблиця цін схема №2'!AG60</f>
        <v>1</v>
      </c>
      <c r="I60" s="47">
        <f>'Таблиця цін схема №2'!AJ60</f>
        <v>40</v>
      </c>
      <c r="J60" s="380">
        <f>'Таблиця цін схема №2'!AK60</f>
        <v>3</v>
      </c>
      <c r="K60" s="47">
        <f>'Таблиця цін схема №2'!AN60</f>
        <v>32</v>
      </c>
      <c r="L60" s="380">
        <f>'Таблиця цін схема №2'!AO60</f>
        <v>4</v>
      </c>
      <c r="M60" s="47" t="str">
        <f>'Таблиця цін схема №2'!AR60</f>
        <v>AMV20</v>
      </c>
      <c r="N60" s="380">
        <f>'Таблиця цін схема №2'!AS60</f>
        <v>1</v>
      </c>
      <c r="O60" s="47">
        <f>'Таблиця цін схема №2'!AV60</f>
        <v>10</v>
      </c>
      <c r="P60" s="379">
        <f>'Таблиця цін схема №2'!AW60</f>
        <v>25</v>
      </c>
      <c r="Q60" s="380">
        <f>'Таблиця цін схема №2'!AX60</f>
        <v>1</v>
      </c>
      <c r="R60" s="47">
        <f>'Таблиця цін схема №2'!BA60</f>
        <v>8</v>
      </c>
      <c r="S60" s="379">
        <f>'Таблиця цін схема №2'!BB60</f>
        <v>25</v>
      </c>
      <c r="T60" s="380">
        <f>'Таблиця цін схема №2'!BC60</f>
        <v>1</v>
      </c>
      <c r="U60" s="47" t="str">
        <f>'Таблиця цін схема №2'!BF60</f>
        <v>AMV33</v>
      </c>
      <c r="V60" s="380">
        <f>'Таблиця цін схема №2'!BG60</f>
        <v>1</v>
      </c>
      <c r="W60" s="47">
        <f>'Таблиця цін схема №2'!BJ60</f>
        <v>6.3</v>
      </c>
      <c r="X60" s="379">
        <f>'Таблиця цін схема №2'!BK60</f>
        <v>20</v>
      </c>
      <c r="Y60" s="380">
        <f>'Таблиця цін схема №2'!BL60</f>
        <v>1</v>
      </c>
      <c r="Z60" s="47">
        <f>'Таблиця цін схема №2'!BO60</f>
        <v>6.3</v>
      </c>
      <c r="AA60" s="379">
        <f>'Таблиця цін схема №2'!BP60</f>
        <v>20</v>
      </c>
      <c r="AB60" s="380">
        <f>'Таблиця цін схема №2'!BQ60</f>
        <v>1</v>
      </c>
      <c r="AC60" s="47">
        <f>'Таблиця цін схема №2'!BT60</f>
        <v>25</v>
      </c>
      <c r="AD60" s="379">
        <f>'Таблиця цін схема №2'!BU60</f>
        <v>6</v>
      </c>
      <c r="AE60" s="379" t="str">
        <f>'Таблиця цін схема №2'!BV60</f>
        <v>Pt500</v>
      </c>
      <c r="AF60" s="380">
        <f>'Таблиця цін схема №2'!BW60</f>
        <v>1</v>
      </c>
      <c r="AG60" s="47">
        <f>'Таблиця цін схема №2'!BZ60</f>
        <v>25</v>
      </c>
      <c r="AH60" s="379">
        <f>'Таблиця цін схема №2'!CA60</f>
        <v>3.5</v>
      </c>
      <c r="AI60" s="379" t="str">
        <f>'Таблиця цін схема №2'!CB60</f>
        <v>Pt500</v>
      </c>
      <c r="AJ60" s="380">
        <f>'Таблиця цін схема №2'!CC60</f>
        <v>1</v>
      </c>
      <c r="AK60" s="1168" t="str">
        <f>'Таблиця цін схема №2'!CF60</f>
        <v>ЕІ-ТО-4+033A00HS-125000</v>
      </c>
      <c r="AL60" s="380">
        <f>'Таблиця цін схема №2'!CG60</f>
        <v>1</v>
      </c>
      <c r="AM60" s="47">
        <f>'Таблиця цін схема №2'!CJ60</f>
        <v>65</v>
      </c>
      <c r="AN60" s="380">
        <f>'Таблиця цін схема №2'!CK60</f>
        <v>4</v>
      </c>
      <c r="AO60" s="47">
        <f>'Таблиця цін схема №2'!CN60</f>
        <v>32</v>
      </c>
      <c r="AP60" s="380">
        <f>'Таблиця цін схема №2'!CO60</f>
        <v>6</v>
      </c>
      <c r="AQ60" s="47">
        <f>'Таблиця цін схема №2'!CR60</f>
        <v>20</v>
      </c>
      <c r="AR60" s="78">
        <f>'Таблиця цін схема №2'!CS60</f>
        <v>3</v>
      </c>
      <c r="AS60" s="47">
        <f>'Таблиця цін схема №2'!CV60</f>
        <v>32</v>
      </c>
      <c r="AT60" s="380">
        <f>'Таблиця цін схема №2'!CW60</f>
        <v>8</v>
      </c>
      <c r="AU60" s="47">
        <f>'Таблиця цін схема №2'!CZ60</f>
        <v>20</v>
      </c>
      <c r="AV60" s="380">
        <f>'Таблиця цін схема №2'!DA60</f>
        <v>2</v>
      </c>
      <c r="AW60" s="47">
        <f>'Таблиця цін схема №2'!DD60</f>
        <v>15</v>
      </c>
      <c r="AX60" s="380">
        <f>'Таблиця цін схема №2'!DE60</f>
        <v>8</v>
      </c>
      <c r="AY60" s="47">
        <f>'Таблиця цін схема №2'!DH60</f>
        <v>15</v>
      </c>
      <c r="AZ60" s="380">
        <f>'Таблиця цін схема №2'!DI60</f>
        <v>39</v>
      </c>
      <c r="BA60" s="47">
        <f>'Таблиця цін схема №2'!DL60</f>
        <v>65</v>
      </c>
      <c r="BB60" s="380">
        <f>'Таблиця цін схема №2'!DM60</f>
        <v>1</v>
      </c>
      <c r="BC60" s="47">
        <f>'Таблиця цін схема №2'!DP60</f>
        <v>32</v>
      </c>
      <c r="BD60" s="380">
        <f>'Таблиця цін схема №2'!DQ60</f>
        <v>1</v>
      </c>
    </row>
    <row r="61" spans="1:56">
      <c r="A61" s="73">
        <f>'Таблиця цін схема №2'!B61</f>
        <v>90</v>
      </c>
      <c r="B61" s="1140" t="str">
        <f>'Таблиця цін схема №2'!C61</f>
        <v>30 Samoylovicha Street</v>
      </c>
      <c r="C61" s="525">
        <f>'Таблиця цін схема №2'!X61</f>
        <v>50</v>
      </c>
      <c r="D61" s="380">
        <f>'Таблиця цін схема №2'!Y61</f>
        <v>2</v>
      </c>
      <c r="E61" s="47">
        <f>'Таблиця цін схема №2'!AB61</f>
        <v>50</v>
      </c>
      <c r="F61" s="380">
        <f>'Таблиця цін схема №2'!AC61</f>
        <v>2</v>
      </c>
      <c r="G61" s="47">
        <f>'Таблиця цін схема №2'!AF61</f>
        <v>50</v>
      </c>
      <c r="H61" s="380">
        <f>'Таблиця цін схема №2'!AG61</f>
        <v>1</v>
      </c>
      <c r="I61" s="47">
        <f>'Таблиця цін схема №2'!AJ61</f>
        <v>40</v>
      </c>
      <c r="J61" s="380">
        <f>'Таблиця цін схема №2'!AK61</f>
        <v>3</v>
      </c>
      <c r="K61" s="47">
        <f>'Таблиця цін схема №2'!AN61</f>
        <v>32</v>
      </c>
      <c r="L61" s="380">
        <f>'Таблиця цін схема №2'!AO61</f>
        <v>4</v>
      </c>
      <c r="M61" s="47" t="str">
        <f>'Таблиця цін схема №2'!AR61</f>
        <v>AMV20</v>
      </c>
      <c r="N61" s="380">
        <f>'Таблиця цін схема №2'!AS61</f>
        <v>1</v>
      </c>
      <c r="O61" s="47">
        <f>'Таблиця цін схема №2'!AV61</f>
        <v>10</v>
      </c>
      <c r="P61" s="379">
        <f>'Таблиця цін схема №2'!AW61</f>
        <v>25</v>
      </c>
      <c r="Q61" s="380">
        <f>'Таблиця цін схема №2'!AX61</f>
        <v>1</v>
      </c>
      <c r="R61" s="47">
        <f>'Таблиця цін схема №2'!BA61</f>
        <v>8</v>
      </c>
      <c r="S61" s="379">
        <f>'Таблиця цін схема №2'!BB61</f>
        <v>25</v>
      </c>
      <c r="T61" s="380">
        <f>'Таблиця цін схема №2'!BC61</f>
        <v>1</v>
      </c>
      <c r="U61" s="47" t="str">
        <f>'Таблиця цін схема №2'!BF61</f>
        <v>AMV33</v>
      </c>
      <c r="V61" s="380">
        <f>'Таблиця цін схема №2'!BG61</f>
        <v>1</v>
      </c>
      <c r="W61" s="47">
        <f>'Таблиця цін схема №2'!BJ61</f>
        <v>6.3</v>
      </c>
      <c r="X61" s="379">
        <f>'Таблиця цін схема №2'!BK61</f>
        <v>20</v>
      </c>
      <c r="Y61" s="380">
        <f>'Таблиця цін схема №2'!BL61</f>
        <v>1</v>
      </c>
      <c r="Z61" s="47">
        <f>'Таблиця цін схема №2'!BO61</f>
        <v>6.3</v>
      </c>
      <c r="AA61" s="379">
        <f>'Таблиця цін схема №2'!BP61</f>
        <v>20</v>
      </c>
      <c r="AB61" s="380">
        <f>'Таблиця цін схема №2'!BQ61</f>
        <v>1</v>
      </c>
      <c r="AC61" s="47">
        <f>'Таблиця цін схема №2'!BT61</f>
        <v>25</v>
      </c>
      <c r="AD61" s="379">
        <f>'Таблиця цін схема №2'!BU61</f>
        <v>6</v>
      </c>
      <c r="AE61" s="379" t="str">
        <f>'Таблиця цін схема №2'!BV61</f>
        <v>Pt500</v>
      </c>
      <c r="AF61" s="380">
        <f>'Таблиця цін схема №2'!BW61</f>
        <v>1</v>
      </c>
      <c r="AG61" s="47">
        <f>'Таблиця цін схема №2'!BZ61</f>
        <v>25</v>
      </c>
      <c r="AH61" s="379">
        <f>'Таблиця цін схема №2'!CA61</f>
        <v>3.5</v>
      </c>
      <c r="AI61" s="379" t="str">
        <f>'Таблиця цін схема №2'!CB61</f>
        <v>Pt500</v>
      </c>
      <c r="AJ61" s="380">
        <f>'Таблиця цін схема №2'!CC61</f>
        <v>1</v>
      </c>
      <c r="AK61" s="1168" t="str">
        <f>'Таблиця цін схема №2'!CF61</f>
        <v xml:space="preserve">ЕІ-ТО-4+031A00HS-118000 </v>
      </c>
      <c r="AL61" s="380">
        <f>'Таблиця цін схема №2'!CG61</f>
        <v>1</v>
      </c>
      <c r="AM61" s="47">
        <f>'Таблиця цін схема №2'!CJ61</f>
        <v>65</v>
      </c>
      <c r="AN61" s="380">
        <f>'Таблиця цін схема №2'!CK61</f>
        <v>4</v>
      </c>
      <c r="AO61" s="47">
        <f>'Таблиця цін схема №2'!CN61</f>
        <v>32</v>
      </c>
      <c r="AP61" s="380">
        <f>'Таблиця цін схема №2'!CO61</f>
        <v>6</v>
      </c>
      <c r="AQ61" s="47">
        <f>'Таблиця цін схема №2'!CR61</f>
        <v>20</v>
      </c>
      <c r="AR61" s="78">
        <f>'Таблиця цін схема №2'!CS61</f>
        <v>3</v>
      </c>
      <c r="AS61" s="47">
        <f>'Таблиця цін схема №2'!CV61</f>
        <v>40</v>
      </c>
      <c r="AT61" s="380">
        <f>'Таблиця цін схема №2'!CW61</f>
        <v>6</v>
      </c>
      <c r="AU61" s="47">
        <f>'Таблиця цін схема №2'!CZ61</f>
        <v>20</v>
      </c>
      <c r="AV61" s="380">
        <f>'Таблиця цін схема №2'!DA61</f>
        <v>2</v>
      </c>
      <c r="AW61" s="47">
        <f>'Таблиця цін схема №2'!DD61</f>
        <v>15</v>
      </c>
      <c r="AX61" s="380">
        <f>'Таблиця цін схема №2'!DE61</f>
        <v>8</v>
      </c>
      <c r="AY61" s="47">
        <f>'Таблиця цін схема №2'!DH61</f>
        <v>15</v>
      </c>
      <c r="AZ61" s="380">
        <f>'Таблиця цін схема №2'!DI61</f>
        <v>38</v>
      </c>
      <c r="BA61" s="47">
        <f>'Таблиця цін схема №2'!DL61</f>
        <v>65</v>
      </c>
      <c r="BB61" s="380">
        <f>'Таблиця цін схема №2'!DM61</f>
        <v>1</v>
      </c>
      <c r="BC61" s="47">
        <f>'Таблиця цін схема №2'!DP61</f>
        <v>32</v>
      </c>
      <c r="BD61" s="380">
        <f>'Таблиця цін схема №2'!DQ61</f>
        <v>1</v>
      </c>
    </row>
    <row r="62" spans="1:56">
      <c r="A62" s="73">
        <f>'Таблиця цін схема №2'!B62</f>
        <v>91</v>
      </c>
      <c r="B62" s="1140" t="str">
        <f>'Таблиця цін схема №2'!C62</f>
        <v>30A (А) Samoylovicha Street</v>
      </c>
      <c r="C62" s="525">
        <f>'Таблиця цін схема №2'!X62</f>
        <v>65</v>
      </c>
      <c r="D62" s="380">
        <f>'Таблиця цін схема №2'!Y62</f>
        <v>2</v>
      </c>
      <c r="E62" s="47">
        <f>'Таблиця цін схема №2'!AB62</f>
        <v>65</v>
      </c>
      <c r="F62" s="380">
        <f>'Таблиця цін схема №2'!AC62</f>
        <v>2</v>
      </c>
      <c r="G62" s="47">
        <f>'Таблиця цін схема №2'!AF62</f>
        <v>65</v>
      </c>
      <c r="H62" s="380">
        <f>'Таблиця цін схема №2'!AG62</f>
        <v>1</v>
      </c>
      <c r="I62" s="47">
        <f>'Таблиця цін схема №2'!AJ62</f>
        <v>50</v>
      </c>
      <c r="J62" s="380">
        <f>'Таблиця цін схема №2'!AK62</f>
        <v>3</v>
      </c>
      <c r="K62" s="47">
        <f>'Таблиця цін схема №2'!AN62</f>
        <v>40</v>
      </c>
      <c r="L62" s="380">
        <f>'Таблиця цін схема №2'!AO62</f>
        <v>4</v>
      </c>
      <c r="M62" s="47" t="str">
        <f>'Таблиця цін схема №2'!AR62</f>
        <v>AMV20</v>
      </c>
      <c r="N62" s="380">
        <f>'Таблиця цін схема №2'!AS62</f>
        <v>1</v>
      </c>
      <c r="O62" s="47">
        <f>'Таблиця цін схема №2'!AV62</f>
        <v>16</v>
      </c>
      <c r="P62" s="379">
        <f>'Таблиця цін схема №2'!AW62</f>
        <v>32</v>
      </c>
      <c r="Q62" s="380">
        <f>'Таблиця цін схема №2'!AX62</f>
        <v>1</v>
      </c>
      <c r="R62" s="47">
        <f>'Таблиця цін схема №2'!BA62</f>
        <v>12.5</v>
      </c>
      <c r="S62" s="379">
        <f>'Таблиця цін схема №2'!BB62</f>
        <v>32</v>
      </c>
      <c r="T62" s="380">
        <f>'Таблиця цін схема №2'!BC62</f>
        <v>1</v>
      </c>
      <c r="U62" s="47" t="str">
        <f>'Таблиця цін схема №2'!BF62</f>
        <v>AMV33</v>
      </c>
      <c r="V62" s="380">
        <f>'Таблиця цін схема №2'!BG62</f>
        <v>1</v>
      </c>
      <c r="W62" s="47">
        <f>'Таблиця цін схема №2'!BJ62</f>
        <v>10</v>
      </c>
      <c r="X62" s="379">
        <f>'Таблиця цін схема №2'!BK62</f>
        <v>25</v>
      </c>
      <c r="Y62" s="380">
        <f>'Таблиця цін схема №2'!BL62</f>
        <v>1</v>
      </c>
      <c r="Z62" s="47">
        <f>'Таблиця цін схема №2'!BO62</f>
        <v>8</v>
      </c>
      <c r="AA62" s="379">
        <f>'Таблиця цін схема №2'!BP62</f>
        <v>25</v>
      </c>
      <c r="AB62" s="380">
        <f>'Таблиця цін схема №2'!BQ62</f>
        <v>1</v>
      </c>
      <c r="AC62" s="47" t="str">
        <f>'Таблиця цін схема №2'!BT62</f>
        <v>-</v>
      </c>
      <c r="AD62" s="379" t="str">
        <f>'Таблиця цін схема №2'!BU62</f>
        <v>-</v>
      </c>
      <c r="AE62" s="379" t="str">
        <f>'Таблиця цін схема №2'!BV62</f>
        <v>existed</v>
      </c>
      <c r="AF62" s="380">
        <f>'Таблиця цін схема №2'!BW62</f>
        <v>0</v>
      </c>
      <c r="AG62" s="47">
        <f>'Таблиця цін схема №2'!BZ62</f>
        <v>25</v>
      </c>
      <c r="AH62" s="379">
        <f>'Таблиця цін схема №2'!CA62</f>
        <v>6</v>
      </c>
      <c r="AI62" s="379" t="str">
        <f>'Таблиця цін схема №2'!CB62</f>
        <v>Pt500</v>
      </c>
      <c r="AJ62" s="380">
        <f>'Таблиця цін схема №2'!CC62</f>
        <v>1</v>
      </c>
      <c r="AK62" s="1168" t="str">
        <f>'Таблиця цін схема №2'!CF62</f>
        <v>ЕІ-ТО-16+011M30HS-153000</v>
      </c>
      <c r="AL62" s="380">
        <f>'Таблиця цін схема №2'!CG62</f>
        <v>1</v>
      </c>
      <c r="AM62" s="47">
        <f>'Таблиця цін схема №2'!CJ62</f>
        <v>80</v>
      </c>
      <c r="AN62" s="380">
        <f>'Таблиця цін схема №2'!CK62</f>
        <v>4</v>
      </c>
      <c r="AO62" s="47">
        <f>'Таблиця цін схема №2'!CN62</f>
        <v>40</v>
      </c>
      <c r="AP62" s="380">
        <f>'Таблиця цін схема №2'!CO62</f>
        <v>6</v>
      </c>
      <c r="AQ62" s="47">
        <f>'Таблиця цін схема №2'!CR62</f>
        <v>25</v>
      </c>
      <c r="AR62" s="78">
        <f>'Таблиця цін схема №2'!CS62</f>
        <v>3</v>
      </c>
      <c r="AS62" s="47">
        <f>'Таблиця цін схема №2'!CV62</f>
        <v>50</v>
      </c>
      <c r="AT62" s="380">
        <f>'Таблиця цін схема №2'!CW62</f>
        <v>4</v>
      </c>
      <c r="AU62" s="47">
        <f>'Таблиця цін схема №2'!CZ62</f>
        <v>20</v>
      </c>
      <c r="AV62" s="380">
        <f>'Таблиця цін схема №2'!DA62</f>
        <v>2</v>
      </c>
      <c r="AW62" s="47">
        <f>'Таблиця цін схема №2'!DD62</f>
        <v>15</v>
      </c>
      <c r="AX62" s="380">
        <f>'Таблиця цін схема №2'!DE62</f>
        <v>8</v>
      </c>
      <c r="AY62" s="47">
        <f>'Таблиця цін схема №2'!DH62</f>
        <v>15</v>
      </c>
      <c r="AZ62" s="380">
        <f>'Таблиця цін схема №2'!DI62</f>
        <v>37</v>
      </c>
      <c r="BA62" s="47">
        <f>'Таблиця цін схема №2'!DL62</f>
        <v>80</v>
      </c>
      <c r="BB62" s="380">
        <f>'Таблиця цін схема №2'!DM62</f>
        <v>1</v>
      </c>
      <c r="BC62" s="47">
        <f>'Таблиця цін схема №2'!DP62</f>
        <v>40</v>
      </c>
      <c r="BD62" s="380">
        <f>'Таблиця цін схема №2'!DQ62</f>
        <v>1</v>
      </c>
    </row>
    <row r="63" spans="1:56">
      <c r="A63" s="73">
        <f>'Таблиця цін схема №2'!B63</f>
        <v>92</v>
      </c>
      <c r="B63" s="1140" t="str">
        <f>'Таблиця цін схема №2'!C63</f>
        <v>30B (Б) Samoylovicha Street</v>
      </c>
      <c r="C63" s="525">
        <f>'Таблиця цін схема №2'!X63</f>
        <v>65</v>
      </c>
      <c r="D63" s="380">
        <f>'Таблиця цін схема №2'!Y63</f>
        <v>2</v>
      </c>
      <c r="E63" s="47">
        <f>'Таблиця цін схема №2'!AB63</f>
        <v>65</v>
      </c>
      <c r="F63" s="380">
        <f>'Таблиця цін схема №2'!AC63</f>
        <v>2</v>
      </c>
      <c r="G63" s="47">
        <f>'Таблиця цін схема №2'!AF63</f>
        <v>65</v>
      </c>
      <c r="H63" s="380">
        <f>'Таблиця цін схема №2'!AG63</f>
        <v>1</v>
      </c>
      <c r="I63" s="47">
        <f>'Таблиця цін схема №2'!AJ63</f>
        <v>50</v>
      </c>
      <c r="J63" s="380">
        <f>'Таблиця цін схема №2'!AK63</f>
        <v>3</v>
      </c>
      <c r="K63" s="47">
        <f>'Таблиця цін схема №2'!AN63</f>
        <v>40</v>
      </c>
      <c r="L63" s="380">
        <f>'Таблиця цін схема №2'!AO63</f>
        <v>4</v>
      </c>
      <c r="M63" s="47" t="str">
        <f>'Таблиця цін схема №2'!AR63</f>
        <v>AMV20</v>
      </c>
      <c r="N63" s="380">
        <f>'Таблиця цін схема №2'!AS63</f>
        <v>1</v>
      </c>
      <c r="O63" s="47">
        <f>'Таблиця цін схема №2'!AV63</f>
        <v>16</v>
      </c>
      <c r="P63" s="379">
        <f>'Таблиця цін схема №2'!AW63</f>
        <v>32</v>
      </c>
      <c r="Q63" s="380">
        <f>'Таблиця цін схема №2'!AX63</f>
        <v>1</v>
      </c>
      <c r="R63" s="47">
        <f>'Таблиця цін схема №2'!BA63</f>
        <v>20</v>
      </c>
      <c r="S63" s="379">
        <f>'Таблиця цін схема №2'!BB63</f>
        <v>50</v>
      </c>
      <c r="T63" s="380">
        <f>'Таблиця цін схема №2'!BC63</f>
        <v>1</v>
      </c>
      <c r="U63" s="47" t="str">
        <f>'Таблиця цін схема №2'!BF63</f>
        <v>AMV33</v>
      </c>
      <c r="V63" s="380">
        <f>'Таблиця цін схема №2'!BG63</f>
        <v>1</v>
      </c>
      <c r="W63" s="47">
        <f>'Таблиця цін схема №2'!BJ63</f>
        <v>10</v>
      </c>
      <c r="X63" s="379">
        <f>'Таблиця цін схема №2'!BK63</f>
        <v>25</v>
      </c>
      <c r="Y63" s="380">
        <f>'Таблиця цін схема №2'!BL63</f>
        <v>1</v>
      </c>
      <c r="Z63" s="47">
        <f>'Таблиця цін схема №2'!BO63</f>
        <v>12.5</v>
      </c>
      <c r="AA63" s="379">
        <f>'Таблиця цін схема №2'!BP63</f>
        <v>32</v>
      </c>
      <c r="AB63" s="380">
        <f>'Таблиця цін схема №2'!BQ63</f>
        <v>1</v>
      </c>
      <c r="AC63" s="47">
        <f>'Таблиця цін схема №2'!BT63</f>
        <v>40</v>
      </c>
      <c r="AD63" s="379">
        <f>'Таблиця цін схема №2'!BU63</f>
        <v>10</v>
      </c>
      <c r="AE63" s="379" t="str">
        <f>'Таблиця цін схема №2'!BV63</f>
        <v>Pt500</v>
      </c>
      <c r="AF63" s="380">
        <f>'Таблиця цін схема №2'!BW63</f>
        <v>1</v>
      </c>
      <c r="AG63" s="47">
        <f>'Таблиця цін схема №2'!BZ63</f>
        <v>25</v>
      </c>
      <c r="AH63" s="379">
        <f>'Таблиця цін схема №2'!CA63</f>
        <v>6</v>
      </c>
      <c r="AI63" s="379" t="str">
        <f>'Таблиця цін схема №2'!CB63</f>
        <v>Pt500</v>
      </c>
      <c r="AJ63" s="380">
        <f>'Таблиця цін схема №2'!CC63</f>
        <v>1</v>
      </c>
      <c r="AK63" s="1168" t="str">
        <f>'Таблиця цін схема №2'!CF63</f>
        <v>ЕІ-ТО-16+015M30HS-197000</v>
      </c>
      <c r="AL63" s="380">
        <f>'Таблиця цін схема №2'!CG63</f>
        <v>1</v>
      </c>
      <c r="AM63" s="47">
        <f>'Таблиця цін схема №2'!CJ63</f>
        <v>80</v>
      </c>
      <c r="AN63" s="380">
        <f>'Таблиця цін схема №2'!CK63</f>
        <v>4</v>
      </c>
      <c r="AO63" s="47">
        <f>'Таблиця цін схема №2'!CN63</f>
        <v>40</v>
      </c>
      <c r="AP63" s="380">
        <f>'Таблиця цін схема №2'!CO63</f>
        <v>6</v>
      </c>
      <c r="AQ63" s="47">
        <f>'Таблиця цін схема №2'!CR63</f>
        <v>25</v>
      </c>
      <c r="AR63" s="78">
        <f>'Таблиця цін схема №2'!CS63</f>
        <v>3</v>
      </c>
      <c r="AS63" s="47">
        <f>'Таблиця цін схема №2'!CV63</f>
        <v>65</v>
      </c>
      <c r="AT63" s="380">
        <f>'Таблиця цін схема №2'!CW63</f>
        <v>4</v>
      </c>
      <c r="AU63" s="47">
        <f>'Таблиця цін схема №2'!CZ63</f>
        <v>20</v>
      </c>
      <c r="AV63" s="380">
        <f>'Таблиця цін схема №2'!DA63</f>
        <v>2</v>
      </c>
      <c r="AW63" s="47">
        <f>'Таблиця цін схема №2'!DD63</f>
        <v>15</v>
      </c>
      <c r="AX63" s="380">
        <f>'Таблиця цін схема №2'!DE63</f>
        <v>8</v>
      </c>
      <c r="AY63" s="47">
        <f>'Таблиця цін схема №2'!DH63</f>
        <v>15</v>
      </c>
      <c r="AZ63" s="380">
        <f>'Таблиця цін схема №2'!DI63</f>
        <v>37</v>
      </c>
      <c r="BA63" s="47">
        <f>'Таблиця цін схема №2'!DL63</f>
        <v>80</v>
      </c>
      <c r="BB63" s="380">
        <f>'Таблиця цін схема №2'!DM63</f>
        <v>1</v>
      </c>
      <c r="BC63" s="47">
        <f>'Таблиця цін схема №2'!DP63</f>
        <v>40</v>
      </c>
      <c r="BD63" s="380">
        <f>'Таблиця цін схема №2'!DQ63</f>
        <v>1</v>
      </c>
    </row>
    <row r="64" spans="1:56">
      <c r="A64" s="73">
        <f>'Таблиця цін схема №2'!B64</f>
        <v>93</v>
      </c>
      <c r="B64" s="1140" t="str">
        <f>'Таблиця цін схема №2'!C64</f>
        <v xml:space="preserve">80 Stanislavskogo Street </v>
      </c>
      <c r="C64" s="525">
        <f>'Таблиця цін схема №2'!X64</f>
        <v>40</v>
      </c>
      <c r="D64" s="380">
        <f>'Таблиця цін схема №2'!Y64</f>
        <v>2</v>
      </c>
      <c r="E64" s="47">
        <f>'Таблиця цін схема №2'!AB64</f>
        <v>40</v>
      </c>
      <c r="F64" s="380">
        <f>'Таблиця цін схема №2'!AC64</f>
        <v>2</v>
      </c>
      <c r="G64" s="47">
        <f>'Таблиця цін схема №2'!AF64</f>
        <v>40</v>
      </c>
      <c r="H64" s="517" t="s">
        <v>115</v>
      </c>
      <c r="I64" s="47">
        <f>'Таблиця цін схема №2'!AJ64</f>
        <v>20</v>
      </c>
      <c r="J64" s="380">
        <f>'Таблиця цін схема №2'!AK64</f>
        <v>1</v>
      </c>
      <c r="K64" s="47">
        <f>'Таблиця цін схема №2'!AN64</f>
        <v>20</v>
      </c>
      <c r="L64" s="380">
        <f>'Таблиця цін схема №2'!AO64</f>
        <v>4</v>
      </c>
      <c r="M64" s="47" t="str">
        <f>'Таблиця цін схема №2'!AR64</f>
        <v>AMV20</v>
      </c>
      <c r="N64" s="380">
        <f>'Таблиця цін схема №2'!AS64</f>
        <v>1</v>
      </c>
      <c r="O64" s="47">
        <f>'Таблиця цін схема №2'!AV64</f>
        <v>1</v>
      </c>
      <c r="P64" s="379">
        <f>'Таблиця цін схема №2'!AW64</f>
        <v>15</v>
      </c>
      <c r="Q64" s="380">
        <f>'Таблиця цін схема №2'!AX64</f>
        <v>1</v>
      </c>
      <c r="R64" s="47">
        <f>'Таблиця цін схема №2'!BA64</f>
        <v>4</v>
      </c>
      <c r="S64" s="379">
        <f>'Таблиця цін схема №2'!BB64</f>
        <v>15</v>
      </c>
      <c r="T64" s="380">
        <f>'Таблиця цін схема №2'!BC64</f>
        <v>1</v>
      </c>
      <c r="U64" s="47" t="str">
        <f>'Таблиця цін схема №2'!BF64</f>
        <v>AMV33</v>
      </c>
      <c r="V64" s="380">
        <f>'Таблиця цін схема №2'!BG64</f>
        <v>1</v>
      </c>
      <c r="W64" s="47">
        <f>'Таблиця цін схема №2'!BJ64</f>
        <v>0.63</v>
      </c>
      <c r="X64" s="379">
        <f>'Таблиця цін схема №2'!BK64</f>
        <v>15</v>
      </c>
      <c r="Y64" s="380">
        <f>'Таблиця цін схема №2'!BL64</f>
        <v>1</v>
      </c>
      <c r="Z64" s="47">
        <f>'Таблиця цін схема №2'!BO64</f>
        <v>4</v>
      </c>
      <c r="AA64" s="379">
        <f>'Таблиця цін схема №2'!BP64</f>
        <v>15</v>
      </c>
      <c r="AB64" s="380">
        <f>'Таблиця цін схема №2'!BQ64</f>
        <v>1</v>
      </c>
      <c r="AC64" s="47" t="str">
        <f>'Таблиця цін схема №2'!BT64</f>
        <v>-</v>
      </c>
      <c r="AD64" s="379" t="str">
        <f>'Таблиця цін схема №2'!BU64</f>
        <v>-</v>
      </c>
      <c r="AE64" s="379" t="str">
        <f>'Таблиця цін схема №2'!BV64</f>
        <v>existed</v>
      </c>
      <c r="AF64" s="380">
        <f>'Таблиця цін схема №2'!BW64</f>
        <v>0</v>
      </c>
      <c r="AG64" s="47">
        <f>'Таблиця цін схема №2'!BZ64</f>
        <v>15</v>
      </c>
      <c r="AH64" s="379">
        <f>'Таблиця цін схема №2'!CA64</f>
        <v>1.5</v>
      </c>
      <c r="AI64" s="379" t="str">
        <f>'Таблиця цін схема №2'!CB64</f>
        <v>Pt500</v>
      </c>
      <c r="AJ64" s="380">
        <f>'Таблиця цін схема №2'!CC64</f>
        <v>1</v>
      </c>
      <c r="AK64" s="1168" t="str">
        <f>'Таблиця цін схема №2'!CF64</f>
        <v>ЕІ-ТО-4+005A00HS-3000</v>
      </c>
      <c r="AL64" s="380">
        <f>'Таблиця цін схема №2'!CG64</f>
        <v>1</v>
      </c>
      <c r="AM64" s="47">
        <f>'Таблиця цін схема №2'!CJ64</f>
        <v>25</v>
      </c>
      <c r="AN64" s="380">
        <f>'Таблиця цін схема №2'!CK64</f>
        <v>4</v>
      </c>
      <c r="AO64" s="47">
        <f>'Таблиця цін схема №2'!CN64</f>
        <v>20</v>
      </c>
      <c r="AP64" s="380">
        <f>'Таблиця цін схема №2'!CO64</f>
        <v>6</v>
      </c>
      <c r="AQ64" s="47">
        <f>'Таблиця цін схема №2'!CR64</f>
        <v>20</v>
      </c>
      <c r="AR64" s="78">
        <f>'Таблиця цін схема №2'!CS64</f>
        <v>3</v>
      </c>
      <c r="AS64" s="47">
        <f>'Таблиця цін схема №2'!CV64</f>
        <v>20</v>
      </c>
      <c r="AT64" s="380">
        <f>'Таблиця цін схема №2'!CW64</f>
        <v>4</v>
      </c>
      <c r="AU64" s="47">
        <f>'Таблиця цін схема №2'!CZ64</f>
        <v>20</v>
      </c>
      <c r="AV64" s="380">
        <f>'Таблиця цін схема №2'!DA64</f>
        <v>2</v>
      </c>
      <c r="AW64" s="47">
        <f>'Таблиця цін схема №2'!DD64</f>
        <v>15</v>
      </c>
      <c r="AX64" s="380">
        <f>'Таблиця цін схема №2'!DE64</f>
        <v>8</v>
      </c>
      <c r="AY64" s="47">
        <f>'Таблиця цін схема №2'!DH64</f>
        <v>15</v>
      </c>
      <c r="AZ64" s="380">
        <f>'Таблиця цін схема №2'!DI64</f>
        <v>37</v>
      </c>
      <c r="BA64" s="47">
        <f>'Таблиця цін схема №2'!DL64</f>
        <v>25</v>
      </c>
      <c r="BB64" s="380">
        <f>'Таблиця цін схема №2'!DM64</f>
        <v>1</v>
      </c>
      <c r="BC64" s="47">
        <f>'Таблиця цін схема №2'!DP64</f>
        <v>20</v>
      </c>
      <c r="BD64" s="380">
        <f>'Таблиця цін схема №2'!DQ64</f>
        <v>1</v>
      </c>
    </row>
    <row r="65" spans="1:57">
      <c r="A65" s="73">
        <f>'Таблиця цін схема №2'!B65</f>
        <v>95</v>
      </c>
      <c r="B65" s="1140" t="str">
        <f>'Таблиця цін схема №2'!C65</f>
        <v>203 Torgovaya Street</v>
      </c>
      <c r="C65" s="525">
        <f>'Таблиця цін схема №2'!X65</f>
        <v>40</v>
      </c>
      <c r="D65" s="380">
        <f>'Таблиця цін схема №2'!Y65</f>
        <v>2</v>
      </c>
      <c r="E65" s="47">
        <f>'Таблиця цін схема №2'!AB65</f>
        <v>40</v>
      </c>
      <c r="F65" s="380">
        <f>'Таблиця цін схема №2'!AC65</f>
        <v>2</v>
      </c>
      <c r="G65" s="47">
        <f>'Таблиця цін схема №2'!AF65</f>
        <v>40</v>
      </c>
      <c r="H65" s="517" t="s">
        <v>115</v>
      </c>
      <c r="I65" s="47">
        <f>'Таблиця цін схема №2'!AJ65</f>
        <v>25</v>
      </c>
      <c r="J65" s="380">
        <f>'Таблиця цін схема №2'!AK65</f>
        <v>1</v>
      </c>
      <c r="K65" s="47">
        <f>'Таблиця цін схема №2'!AN65</f>
        <v>20</v>
      </c>
      <c r="L65" s="380">
        <f>'Таблиця цін схема №2'!AO65</f>
        <v>4</v>
      </c>
      <c r="M65" s="47" t="str">
        <f>'Таблиця цін схема №2'!AR65</f>
        <v>AMV20</v>
      </c>
      <c r="N65" s="380">
        <f>'Таблиця цін схема №2'!AS65</f>
        <v>1</v>
      </c>
      <c r="O65" s="47">
        <f>'Таблиця цін схема №2'!AV65</f>
        <v>2.5</v>
      </c>
      <c r="P65" s="379">
        <f>'Таблиця цін схема №2'!AW65</f>
        <v>15</v>
      </c>
      <c r="Q65" s="380">
        <f>'Таблиця цін схема №2'!AX65</f>
        <v>1</v>
      </c>
      <c r="R65" s="47">
        <f>'Таблиця цін схема №2'!BA65</f>
        <v>4</v>
      </c>
      <c r="S65" s="379">
        <f>'Таблиця цін схема №2'!BB65</f>
        <v>15</v>
      </c>
      <c r="T65" s="380">
        <f>'Таблиця цін схема №2'!BC65</f>
        <v>1</v>
      </c>
      <c r="U65" s="47" t="str">
        <f>'Таблиця цін схема №2'!BF65</f>
        <v>AMV33</v>
      </c>
      <c r="V65" s="380">
        <f>'Таблиця цін схема №2'!BG65</f>
        <v>1</v>
      </c>
      <c r="W65" s="47">
        <f>'Таблиця цін схема №2'!BJ65</f>
        <v>1.6</v>
      </c>
      <c r="X65" s="379">
        <f>'Таблиця цін схема №2'!BK65</f>
        <v>15</v>
      </c>
      <c r="Y65" s="380">
        <f>'Таблиця цін схема №2'!BL65</f>
        <v>1</v>
      </c>
      <c r="Z65" s="47">
        <f>'Таблиця цін схема №2'!BO65</f>
        <v>4</v>
      </c>
      <c r="AA65" s="379">
        <f>'Таблиця цін схема №2'!BP65</f>
        <v>15</v>
      </c>
      <c r="AB65" s="380">
        <f>'Таблиця цін схема №2'!BQ65</f>
        <v>1</v>
      </c>
      <c r="AC65" s="47" t="str">
        <f>'Таблиця цін схема №2'!BT65</f>
        <v>-</v>
      </c>
      <c r="AD65" s="379" t="str">
        <f>'Таблиця цін схема №2'!BU65</f>
        <v>-</v>
      </c>
      <c r="AE65" s="379" t="str">
        <f>'Таблиця цін схема №2'!BV65</f>
        <v>existed</v>
      </c>
      <c r="AF65" s="380">
        <f>'Таблиця цін схема №2'!BW65</f>
        <v>0</v>
      </c>
      <c r="AG65" s="47">
        <f>'Таблиця цін схема №2'!BZ65</f>
        <v>15</v>
      </c>
      <c r="AH65" s="379">
        <f>'Таблиця цін схема №2'!CA65</f>
        <v>1.5</v>
      </c>
      <c r="AI65" s="379" t="str">
        <f>'Таблиця цін схема №2'!CB65</f>
        <v>Pt500</v>
      </c>
      <c r="AJ65" s="380">
        <f>'Таблиця цін схема №2'!CC65</f>
        <v>1</v>
      </c>
      <c r="AK65" s="1168" t="str">
        <f>'Таблиця цін схема №2'!CF65</f>
        <v>EI-TO-4+011A00HS-30000</v>
      </c>
      <c r="AL65" s="380">
        <f>'Таблиця цін схема №2'!CG65</f>
        <v>1</v>
      </c>
      <c r="AM65" s="47">
        <f>'Таблиця цін схема №2'!CJ65</f>
        <v>32</v>
      </c>
      <c r="AN65" s="380">
        <f>'Таблиця цін схема №2'!CK65</f>
        <v>4</v>
      </c>
      <c r="AO65" s="47">
        <f>'Таблиця цін схема №2'!CN65</f>
        <v>20</v>
      </c>
      <c r="AP65" s="380">
        <f>'Таблиця цін схема №2'!CO65</f>
        <v>6</v>
      </c>
      <c r="AQ65" s="47">
        <f>'Таблиця цін схема №2'!CR65</f>
        <v>20</v>
      </c>
      <c r="AR65" s="78">
        <f>'Таблиця цін схема №2'!CS65</f>
        <v>3</v>
      </c>
      <c r="AS65" s="47">
        <f>'Таблиця цін схема №2'!CV65</f>
        <v>32</v>
      </c>
      <c r="AT65" s="380">
        <f>'Таблиця цін схема №2'!CW65</f>
        <v>2</v>
      </c>
      <c r="AU65" s="47">
        <f>'Таблиця цін схема №2'!CZ65</f>
        <v>20</v>
      </c>
      <c r="AV65" s="380">
        <f>'Таблиця цін схема №2'!DA65</f>
        <v>2</v>
      </c>
      <c r="AW65" s="47">
        <f>'Таблиця цін схема №2'!DD65</f>
        <v>15</v>
      </c>
      <c r="AX65" s="380">
        <f>'Таблиця цін схема №2'!DE65</f>
        <v>8</v>
      </c>
      <c r="AY65" s="47">
        <f>'Таблиця цін схема №2'!DH65</f>
        <v>15</v>
      </c>
      <c r="AZ65" s="380">
        <f>'Таблиця цін схема №2'!DI65</f>
        <v>35</v>
      </c>
      <c r="BA65" s="47">
        <f>'Таблиця цін схема №2'!DL65</f>
        <v>32</v>
      </c>
      <c r="BB65" s="380">
        <f>'Таблиця цін схема №2'!DM65</f>
        <v>1</v>
      </c>
      <c r="BC65" s="47">
        <f>'Таблиця цін схема №2'!DP65</f>
        <v>20</v>
      </c>
      <c r="BD65" s="380">
        <f>'Таблиця цін схема №2'!DQ65</f>
        <v>1</v>
      </c>
    </row>
    <row r="66" spans="1:57">
      <c r="A66" s="73">
        <f>'Таблиця цін схема №2'!B66</f>
        <v>96</v>
      </c>
      <c r="B66" s="1140" t="str">
        <f>'Таблиця цін схема №2'!C66</f>
        <v>203а (input 1) Torgovaya Street</v>
      </c>
      <c r="C66" s="525">
        <f>'Таблиця цін схема №2'!X66</f>
        <v>50</v>
      </c>
      <c r="D66" s="380">
        <f>'Таблиця цін схема №2'!Y66</f>
        <v>2</v>
      </c>
      <c r="E66" s="47">
        <f>'Таблиця цін схема №2'!AB66</f>
        <v>50</v>
      </c>
      <c r="F66" s="380">
        <f>'Таблиця цін схема №2'!AC66</f>
        <v>2</v>
      </c>
      <c r="G66" s="47">
        <f>'Таблиця цін схема №2'!AF66</f>
        <v>50</v>
      </c>
      <c r="H66" s="517" t="s">
        <v>115</v>
      </c>
      <c r="I66" s="47">
        <f>'Таблиця цін схема №2'!AJ66</f>
        <v>32</v>
      </c>
      <c r="J66" s="380">
        <f>'Таблиця цін схема №2'!AK66</f>
        <v>1</v>
      </c>
      <c r="K66" s="47">
        <f>'Таблиця цін схема №2'!AN66</f>
        <v>32</v>
      </c>
      <c r="L66" s="380">
        <f>'Таблиця цін схема №2'!AO66</f>
        <v>4</v>
      </c>
      <c r="M66" s="47" t="str">
        <f>'Таблиця цін схема №2'!AR66</f>
        <v>AMV20</v>
      </c>
      <c r="N66" s="380">
        <f>'Таблиця цін схема №2'!AS66</f>
        <v>1</v>
      </c>
      <c r="O66" s="47">
        <f>'Таблиця цін схема №2'!AV66</f>
        <v>6.3</v>
      </c>
      <c r="P66" s="379">
        <f>'Таблиця цін схема №2'!AW66</f>
        <v>20</v>
      </c>
      <c r="Q66" s="380">
        <f>'Таблиця цін схема №2'!AX66</f>
        <v>1</v>
      </c>
      <c r="R66" s="47">
        <f>'Таблиця цін схема №2'!BA66</f>
        <v>6.3</v>
      </c>
      <c r="S66" s="379">
        <f>'Таблиця цін схема №2'!BB66</f>
        <v>20</v>
      </c>
      <c r="T66" s="380">
        <f>'Таблиця цін схема №2'!BC66</f>
        <v>1</v>
      </c>
      <c r="U66" s="47" t="str">
        <f>'Таблиця цін схема №2'!BF66</f>
        <v>AMV33</v>
      </c>
      <c r="V66" s="380">
        <f>'Таблиця цін схема №2'!BG66</f>
        <v>1</v>
      </c>
      <c r="W66" s="47">
        <f>'Таблиця цін схема №2'!BJ66</f>
        <v>6.3</v>
      </c>
      <c r="X66" s="379">
        <f>'Таблиця цін схема №2'!BK66</f>
        <v>20</v>
      </c>
      <c r="Y66" s="380">
        <f>'Таблиця цін схема №2'!BL66</f>
        <v>1</v>
      </c>
      <c r="Z66" s="47">
        <f>'Таблиця цін схема №2'!BO66</f>
        <v>6.3</v>
      </c>
      <c r="AA66" s="379">
        <f>'Таблиця цін схема №2'!BP66</f>
        <v>20</v>
      </c>
      <c r="AB66" s="380">
        <f>'Таблиця цін схема №2'!BQ66</f>
        <v>1</v>
      </c>
      <c r="AC66" s="47" t="str">
        <f>'Таблиця цін схема №2'!BT66</f>
        <v>-</v>
      </c>
      <c r="AD66" s="379" t="str">
        <f>'Таблиця цін схема №2'!BU66</f>
        <v>-</v>
      </c>
      <c r="AE66" s="379" t="str">
        <f>'Таблиця цін схема №2'!BV66</f>
        <v>existed</v>
      </c>
      <c r="AF66" s="380">
        <f>'Таблиця цін схема №2'!BW66</f>
        <v>0</v>
      </c>
      <c r="AG66" s="47">
        <f>'Таблиця цін схема №2'!BZ66</f>
        <v>25</v>
      </c>
      <c r="AH66" s="379">
        <f>'Таблиця цін схема №2'!CA66</f>
        <v>3.5</v>
      </c>
      <c r="AI66" s="379" t="str">
        <f>'Таблиця цін схема №2'!CB66</f>
        <v>Pt500</v>
      </c>
      <c r="AJ66" s="380">
        <f>'Таблиця цін схема №2'!CC66</f>
        <v>1</v>
      </c>
      <c r="AK66" s="1168" t="str">
        <f>'Таблиця цін схема №2'!CF66</f>
        <v>ЕІ-ТО-4+027A00HS-98000</v>
      </c>
      <c r="AL66" s="380">
        <f>'Таблиця цін схема №2'!CG66</f>
        <v>1</v>
      </c>
      <c r="AM66" s="47">
        <f>'Таблиця цін схема №2'!CJ66</f>
        <v>50</v>
      </c>
      <c r="AN66" s="380">
        <f>'Таблиця цін схема №2'!CK66</f>
        <v>4</v>
      </c>
      <c r="AO66" s="47">
        <f>'Таблиця цін схема №2'!CN66</f>
        <v>32</v>
      </c>
      <c r="AP66" s="380">
        <f>'Таблиця цін схема №2'!CO66</f>
        <v>6</v>
      </c>
      <c r="AQ66" s="47">
        <f>'Таблиця цін схема №2'!CR66</f>
        <v>20</v>
      </c>
      <c r="AR66" s="78">
        <f>'Таблиця цін схема №2'!CS66</f>
        <v>3</v>
      </c>
      <c r="AS66" s="47">
        <f>'Таблиця цін схема №2'!CV66</f>
        <v>50</v>
      </c>
      <c r="AT66" s="380">
        <f>'Таблиця цін схема №2'!CW66</f>
        <v>2</v>
      </c>
      <c r="AU66" s="47">
        <f>'Таблиця цін схема №2'!CZ66</f>
        <v>20</v>
      </c>
      <c r="AV66" s="380">
        <f>'Таблиця цін схема №2'!DA66</f>
        <v>2</v>
      </c>
      <c r="AW66" s="47">
        <f>'Таблиця цін схема №2'!DD66</f>
        <v>15</v>
      </c>
      <c r="AX66" s="380">
        <f>'Таблиця цін схема №2'!DE66</f>
        <v>8</v>
      </c>
      <c r="AY66" s="47">
        <f>'Таблиця цін схема №2'!DH66</f>
        <v>15</v>
      </c>
      <c r="AZ66" s="380">
        <f>'Таблиця цін схема №2'!DI66</f>
        <v>35</v>
      </c>
      <c r="BA66" s="47">
        <f>'Таблиця цін схема №2'!DL66</f>
        <v>50</v>
      </c>
      <c r="BB66" s="380">
        <f>'Таблиця цін схема №2'!DM66</f>
        <v>1</v>
      </c>
      <c r="BC66" s="47">
        <f>'Таблиця цін схема №2'!DP66</f>
        <v>32</v>
      </c>
      <c r="BD66" s="380">
        <f>'Таблиця цін схема №2'!DQ66</f>
        <v>1</v>
      </c>
    </row>
    <row r="67" spans="1:57">
      <c r="A67" s="73">
        <f>'Таблиця цін схема №2'!B67</f>
        <v>97</v>
      </c>
      <c r="B67" s="1140" t="str">
        <f>'Таблиця цін схема №2'!C67</f>
        <v>203а (input2) Torgovaya Street</v>
      </c>
      <c r="C67" s="525">
        <f>'Таблиця цін схема №2'!X67</f>
        <v>40</v>
      </c>
      <c r="D67" s="380">
        <f>'Таблиця цін схема №2'!Y67</f>
        <v>2</v>
      </c>
      <c r="E67" s="47">
        <f>'Таблиця цін схема №2'!AB67</f>
        <v>40</v>
      </c>
      <c r="F67" s="380">
        <f>'Таблиця цін схема №2'!AC67</f>
        <v>2</v>
      </c>
      <c r="G67" s="47">
        <f>'Таблиця цін схема №2'!AF67</f>
        <v>40</v>
      </c>
      <c r="H67" s="517" t="s">
        <v>115</v>
      </c>
      <c r="I67" s="47">
        <f>'Таблиця цін схема №2'!AJ67</f>
        <v>25</v>
      </c>
      <c r="J67" s="380">
        <f>'Таблиця цін схема №2'!AK67</f>
        <v>1</v>
      </c>
      <c r="K67" s="47">
        <f>'Таблиця цін схема №2'!AN67</f>
        <v>25</v>
      </c>
      <c r="L67" s="380">
        <f>'Таблиця цін схема №2'!AO67</f>
        <v>4</v>
      </c>
      <c r="M67" s="47" t="str">
        <f>'Таблиця цін схема №2'!AR67</f>
        <v>AMV20</v>
      </c>
      <c r="N67" s="380">
        <f>'Таблиця цін схема №2'!AS67</f>
        <v>1</v>
      </c>
      <c r="O67" s="47">
        <f>'Таблиця цін схема №2'!AV67</f>
        <v>4</v>
      </c>
      <c r="P67" s="379">
        <f>'Таблиця цін схема №2'!AW67</f>
        <v>15</v>
      </c>
      <c r="Q67" s="380">
        <f>'Таблиця цін схема №2'!AX67</f>
        <v>1</v>
      </c>
      <c r="R67" s="47">
        <f>'Таблиця цін схема №2'!BA67</f>
        <v>4</v>
      </c>
      <c r="S67" s="379">
        <f>'Таблиця цін схема №2'!BB67</f>
        <v>15</v>
      </c>
      <c r="T67" s="380">
        <f>'Таблиця цін схема №2'!BC67</f>
        <v>1</v>
      </c>
      <c r="U67" s="47" t="str">
        <f>'Таблиця цін схема №2'!BF67</f>
        <v>AMV33</v>
      </c>
      <c r="V67" s="380">
        <f>'Таблиця цін схема №2'!BG67</f>
        <v>1</v>
      </c>
      <c r="W67" s="47">
        <f>'Таблиця цін схема №2'!BJ67</f>
        <v>2.5</v>
      </c>
      <c r="X67" s="379">
        <f>'Таблиця цін схема №2'!BK67</f>
        <v>15</v>
      </c>
      <c r="Y67" s="380">
        <f>'Таблиця цін схема №2'!BL67</f>
        <v>1</v>
      </c>
      <c r="Z67" s="47">
        <f>'Таблиця цін схема №2'!BO67</f>
        <v>4</v>
      </c>
      <c r="AA67" s="379">
        <f>'Таблиця цін схема №2'!BP67</f>
        <v>15</v>
      </c>
      <c r="AB67" s="380">
        <f>'Таблиця цін схема №2'!BQ67</f>
        <v>1</v>
      </c>
      <c r="AC67" s="47" t="str">
        <f>'Таблиця цін схема №2'!BT67</f>
        <v>-</v>
      </c>
      <c r="AD67" s="379" t="str">
        <f>'Таблиця цін схема №2'!BU67</f>
        <v>-</v>
      </c>
      <c r="AE67" s="379" t="str">
        <f>'Таблиця цін схема №2'!BV67</f>
        <v>existed</v>
      </c>
      <c r="AF67" s="380">
        <f>'Таблиця цін схема №2'!BW67</f>
        <v>0</v>
      </c>
      <c r="AG67" s="47">
        <f>'Таблиця цін схема №2'!BZ67</f>
        <v>15</v>
      </c>
      <c r="AH67" s="379">
        <f>'Таблиця цін схема №2'!CA67</f>
        <v>1.5</v>
      </c>
      <c r="AI67" s="379" t="str">
        <f>'Таблиця цін схема №2'!CB67</f>
        <v>Pt500</v>
      </c>
      <c r="AJ67" s="380">
        <f>'Таблиця цін схема №2'!CC67</f>
        <v>1</v>
      </c>
      <c r="AK67" s="1168" t="str">
        <f>'Таблиця цін схема №2'!CF67</f>
        <v>ЕІ-ТО-4+015A00HS-49000</v>
      </c>
      <c r="AL67" s="380">
        <f>'Таблиця цін схема №2'!CG67</f>
        <v>1</v>
      </c>
      <c r="AM67" s="47">
        <f>'Таблиця цін схема №2'!CJ67</f>
        <v>40</v>
      </c>
      <c r="AN67" s="380">
        <f>'Таблиця цін схема №2'!CK67</f>
        <v>4</v>
      </c>
      <c r="AO67" s="47">
        <f>'Таблиця цін схема №2'!CN67</f>
        <v>25</v>
      </c>
      <c r="AP67" s="380">
        <f>'Таблиця цін схема №2'!CO67</f>
        <v>6</v>
      </c>
      <c r="AQ67" s="47">
        <f>'Таблиця цін схема №2'!CR67</f>
        <v>20</v>
      </c>
      <c r="AR67" s="78">
        <f>'Таблиця цін схема №2'!CS67</f>
        <v>3</v>
      </c>
      <c r="AS67" s="47">
        <f>'Таблиця цін схема №2'!CV67</f>
        <v>32</v>
      </c>
      <c r="AT67" s="380">
        <f>'Таблиця цін схема №2'!CW67</f>
        <v>4</v>
      </c>
      <c r="AU67" s="47">
        <f>'Таблиця цін схема №2'!CZ67</f>
        <v>20</v>
      </c>
      <c r="AV67" s="380">
        <f>'Таблиця цін схема №2'!DA67</f>
        <v>2</v>
      </c>
      <c r="AW67" s="47">
        <f>'Таблиця цін схема №2'!DD67</f>
        <v>15</v>
      </c>
      <c r="AX67" s="380">
        <f>'Таблиця цін схема №2'!DE67</f>
        <v>8</v>
      </c>
      <c r="AY67" s="47">
        <f>'Таблиця цін схема №2'!DH67</f>
        <v>15</v>
      </c>
      <c r="AZ67" s="380">
        <f>'Таблиця цін схема №2'!DI67</f>
        <v>37</v>
      </c>
      <c r="BA67" s="47">
        <f>'Таблиця цін схема №2'!DL67</f>
        <v>40</v>
      </c>
      <c r="BB67" s="380">
        <f>'Таблиця цін схема №2'!DM67</f>
        <v>1</v>
      </c>
      <c r="BC67" s="47">
        <f>'Таблиця цін схема №2'!DP67</f>
        <v>25</v>
      </c>
      <c r="BD67" s="380">
        <f>'Таблиця цін схема №2'!DQ67</f>
        <v>1</v>
      </c>
    </row>
    <row r="68" spans="1:57">
      <c r="A68" s="73">
        <f>'Таблиця цін схема №2'!B68</f>
        <v>98</v>
      </c>
      <c r="B68" s="1140" t="str">
        <f>'Таблиця цін схема №2'!C68</f>
        <v>205 Torgovaya Street</v>
      </c>
      <c r="C68" s="525">
        <f>'Таблиця цін схема №2'!X68</f>
        <v>40</v>
      </c>
      <c r="D68" s="380">
        <f>'Таблиця цін схема №2'!Y68</f>
        <v>2</v>
      </c>
      <c r="E68" s="47">
        <f>'Таблиця цін схема №2'!AB68</f>
        <v>40</v>
      </c>
      <c r="F68" s="380">
        <f>'Таблиця цін схема №2'!AC68</f>
        <v>2</v>
      </c>
      <c r="G68" s="47">
        <f>'Таблиця цін схема №2'!AF68</f>
        <v>40</v>
      </c>
      <c r="H68" s="517" t="s">
        <v>115</v>
      </c>
      <c r="I68" s="47">
        <f>'Таблиця цін схема №2'!AJ68</f>
        <v>20</v>
      </c>
      <c r="J68" s="380">
        <f>'Таблиця цін схема №2'!AK68</f>
        <v>1</v>
      </c>
      <c r="K68" s="47">
        <f>'Таблиця цін схема №2'!AN68</f>
        <v>20</v>
      </c>
      <c r="L68" s="380">
        <f>'Таблиця цін схема №2'!AO68</f>
        <v>4</v>
      </c>
      <c r="M68" s="47" t="str">
        <f>'Таблиця цін схема №2'!AR68</f>
        <v>AMV20</v>
      </c>
      <c r="N68" s="380">
        <f>'Таблиця цін схема №2'!AS68</f>
        <v>1</v>
      </c>
      <c r="O68" s="47">
        <f>'Таблиця цін схема №2'!AV68</f>
        <v>1.6</v>
      </c>
      <c r="P68" s="379">
        <f>'Таблиця цін схема №2'!AW68</f>
        <v>15</v>
      </c>
      <c r="Q68" s="380">
        <f>'Таблиця цін схема №2'!AX68</f>
        <v>1</v>
      </c>
      <c r="R68" s="47">
        <f>'Таблиця цін схема №2'!BA68</f>
        <v>4</v>
      </c>
      <c r="S68" s="379">
        <f>'Таблиця цін схема №2'!BB68</f>
        <v>15</v>
      </c>
      <c r="T68" s="380">
        <f>'Таблиця цін схема №2'!BC68</f>
        <v>1</v>
      </c>
      <c r="U68" s="47" t="str">
        <f>'Таблиця цін схема №2'!BF68</f>
        <v>AMV33</v>
      </c>
      <c r="V68" s="380">
        <f>'Таблиця цін схема №2'!BG68</f>
        <v>1</v>
      </c>
      <c r="W68" s="47">
        <f>'Таблиця цін схема №2'!BJ68</f>
        <v>1.6</v>
      </c>
      <c r="X68" s="379">
        <f>'Таблиця цін схема №2'!BK68</f>
        <v>15</v>
      </c>
      <c r="Y68" s="380">
        <f>'Таблиця цін схема №2'!BL68</f>
        <v>1</v>
      </c>
      <c r="Z68" s="47">
        <f>'Таблиця цін схема №2'!BO68</f>
        <v>4</v>
      </c>
      <c r="AA68" s="379">
        <f>'Таблиця цін схема №2'!BP68</f>
        <v>15</v>
      </c>
      <c r="AB68" s="380">
        <f>'Таблиця цін схема №2'!BQ68</f>
        <v>1</v>
      </c>
      <c r="AC68" s="47" t="str">
        <f>'Таблиця цін схема №2'!BT68</f>
        <v>-</v>
      </c>
      <c r="AD68" s="379" t="str">
        <f>'Таблиця цін схема №2'!BU68</f>
        <v>-</v>
      </c>
      <c r="AE68" s="379" t="str">
        <f>'Таблиця цін схема №2'!BV68</f>
        <v>existed</v>
      </c>
      <c r="AF68" s="380">
        <f>'Таблиця цін схема №2'!BW68</f>
        <v>0</v>
      </c>
      <c r="AG68" s="47">
        <f>'Таблиця цін схема №2'!BZ68</f>
        <v>15</v>
      </c>
      <c r="AH68" s="379">
        <f>'Таблиця цін схема №2'!CA68</f>
        <v>1.5</v>
      </c>
      <c r="AI68" s="379" t="str">
        <f>'Таблиця цін схема №2'!CB68</f>
        <v>Pt500</v>
      </c>
      <c r="AJ68" s="380">
        <f>'Таблиця цін схема №2'!CC68</f>
        <v>1</v>
      </c>
      <c r="AK68" s="1168" t="str">
        <f>'Таблиця цін схема №2'!CF68</f>
        <v xml:space="preserve">EI-TO-4+013A00HS-35000 </v>
      </c>
      <c r="AL68" s="380">
        <f>'Таблиця цін схема №2'!CG68</f>
        <v>1</v>
      </c>
      <c r="AM68" s="47">
        <f>'Таблиця цін схема №2'!CJ68</f>
        <v>32</v>
      </c>
      <c r="AN68" s="380">
        <f>'Таблиця цін схема №2'!CK68</f>
        <v>4</v>
      </c>
      <c r="AO68" s="47">
        <f>'Таблиця цін схема №2'!CN68</f>
        <v>20</v>
      </c>
      <c r="AP68" s="380">
        <f>'Таблиця цін схема №2'!CO68</f>
        <v>6</v>
      </c>
      <c r="AQ68" s="47">
        <f>'Таблиця цін схема №2'!CR68</f>
        <v>20</v>
      </c>
      <c r="AR68" s="78">
        <f>'Таблиця цін схема №2'!CS68</f>
        <v>3</v>
      </c>
      <c r="AS68" s="47">
        <f>'Таблиця цін схема №2'!CV68</f>
        <v>20</v>
      </c>
      <c r="AT68" s="380">
        <f>'Таблиця цін схема №2'!CW68</f>
        <v>4</v>
      </c>
      <c r="AU68" s="47">
        <f>'Таблиця цін схема №2'!CZ68</f>
        <v>20</v>
      </c>
      <c r="AV68" s="380">
        <f>'Таблиця цін схема №2'!DA68</f>
        <v>2</v>
      </c>
      <c r="AW68" s="47">
        <f>'Таблиця цін схема №2'!DD68</f>
        <v>15</v>
      </c>
      <c r="AX68" s="380">
        <f>'Таблиця цін схема №2'!DE68</f>
        <v>8</v>
      </c>
      <c r="AY68" s="47">
        <f>'Таблиця цін схема №2'!DH68</f>
        <v>15</v>
      </c>
      <c r="AZ68" s="380">
        <f>'Таблиця цін схема №2'!DI68</f>
        <v>37</v>
      </c>
      <c r="BA68" s="47">
        <f>'Таблиця цін схема №2'!DL68</f>
        <v>32</v>
      </c>
      <c r="BB68" s="380">
        <f>'Таблиця цін схема №2'!DM68</f>
        <v>1</v>
      </c>
      <c r="BC68" s="47">
        <f>'Таблиця цін схема №2'!DP68</f>
        <v>20</v>
      </c>
      <c r="BD68" s="380">
        <f>'Таблиця цін схема №2'!DQ68</f>
        <v>1</v>
      </c>
    </row>
    <row r="69" spans="1:57">
      <c r="A69" s="73">
        <f>'Таблиця цін схема №2'!B69</f>
        <v>99</v>
      </c>
      <c r="B69" s="1140" t="str">
        <f>'Таблиця цін схема №2'!C69</f>
        <v>254 Torgovaya Street</v>
      </c>
      <c r="C69" s="525">
        <f>'Таблиця цін схема №2'!X69</f>
        <v>40</v>
      </c>
      <c r="D69" s="380">
        <f>'Таблиця цін схема №2'!Y69</f>
        <v>2</v>
      </c>
      <c r="E69" s="47">
        <f>'Таблиця цін схема №2'!AB69</f>
        <v>40</v>
      </c>
      <c r="F69" s="380">
        <f>'Таблиця цін схема №2'!AC69</f>
        <v>2</v>
      </c>
      <c r="G69" s="47">
        <f>'Таблиця цін схема №2'!AF69</f>
        <v>40</v>
      </c>
      <c r="H69" s="380">
        <f>'Таблиця цін схема №2'!AG69</f>
        <v>1</v>
      </c>
      <c r="I69" s="47">
        <f>'Таблиця цін схема №2'!AJ69</f>
        <v>20</v>
      </c>
      <c r="J69" s="380">
        <f>'Таблиця цін схема №2'!AK69</f>
        <v>3</v>
      </c>
      <c r="K69" s="47">
        <f>'Таблиця цін схема №2'!AN69</f>
        <v>20</v>
      </c>
      <c r="L69" s="380">
        <f>'Таблиця цін схема №2'!AO69</f>
        <v>4</v>
      </c>
      <c r="M69" s="47" t="str">
        <f>'Таблиця цін схема №2'!AR69</f>
        <v>AMV20</v>
      </c>
      <c r="N69" s="380">
        <f>'Таблиця цін схема №2'!AS69</f>
        <v>1</v>
      </c>
      <c r="O69" s="47">
        <f>'Таблиця цін схема №2'!AV69</f>
        <v>2.5</v>
      </c>
      <c r="P69" s="379">
        <f>'Таблиця цін схема №2'!AW69</f>
        <v>15</v>
      </c>
      <c r="Q69" s="380">
        <f>'Таблиця цін схема №2'!AX69</f>
        <v>1</v>
      </c>
      <c r="R69" s="47">
        <f>'Таблиця цін схема №2'!BA69</f>
        <v>4</v>
      </c>
      <c r="S69" s="379">
        <f>'Таблиця цін схема №2'!BB69</f>
        <v>15</v>
      </c>
      <c r="T69" s="380">
        <f>'Таблиця цін схема №2'!BC69</f>
        <v>1</v>
      </c>
      <c r="U69" s="47" t="str">
        <f>'Таблиця цін схема №2'!BF69</f>
        <v>AMV33</v>
      </c>
      <c r="V69" s="380">
        <f>'Таблиця цін схема №2'!BG69</f>
        <v>1</v>
      </c>
      <c r="W69" s="47">
        <f>'Таблиця цін схема №2'!BJ69</f>
        <v>1</v>
      </c>
      <c r="X69" s="379">
        <f>'Таблиця цін схема №2'!BK69</f>
        <v>15</v>
      </c>
      <c r="Y69" s="380">
        <f>'Таблиця цін схема №2'!BL69</f>
        <v>1</v>
      </c>
      <c r="Z69" s="47">
        <f>'Таблиця цін схема №2'!BO69</f>
        <v>4</v>
      </c>
      <c r="AA69" s="379">
        <f>'Таблиця цін схема №2'!BP69</f>
        <v>15</v>
      </c>
      <c r="AB69" s="380">
        <f>'Таблиця цін схема №2'!BQ69</f>
        <v>1</v>
      </c>
      <c r="AC69" s="47">
        <f>'Таблиця цін схема №2'!BT69</f>
        <v>15</v>
      </c>
      <c r="AD69" s="379">
        <f>'Таблиця цін схема №2'!BU69</f>
        <v>1.5</v>
      </c>
      <c r="AE69" s="379" t="str">
        <f>'Таблиця цін схема №2'!BV69</f>
        <v>Pt500</v>
      </c>
      <c r="AF69" s="380">
        <f>'Таблиця цін схема №2'!BW69</f>
        <v>1</v>
      </c>
      <c r="AG69" s="47">
        <f>'Таблиця цін схема №2'!BZ69</f>
        <v>15</v>
      </c>
      <c r="AH69" s="379">
        <f>'Таблиця цін схема №2'!CA69</f>
        <v>1.5</v>
      </c>
      <c r="AI69" s="379" t="str">
        <f>'Таблиця цін схема №2'!CB69</f>
        <v>Pt500</v>
      </c>
      <c r="AJ69" s="380">
        <f>'Таблиця цін схема №2'!CC69</f>
        <v>1</v>
      </c>
      <c r="AK69" s="1168" t="str">
        <f>'Таблиця цін схема №2'!CF69</f>
        <v>EI-TO-4+009A00HS-18000</v>
      </c>
      <c r="AL69" s="380">
        <f>'Таблиця цін схема №2'!CG69</f>
        <v>1</v>
      </c>
      <c r="AM69" s="47">
        <f>'Таблиця цін схема №2'!CJ69</f>
        <v>32</v>
      </c>
      <c r="AN69" s="380">
        <f>'Таблиця цін схема №2'!CK69</f>
        <v>4</v>
      </c>
      <c r="AO69" s="47">
        <f>'Таблиця цін схема №2'!CN69</f>
        <v>20</v>
      </c>
      <c r="AP69" s="380">
        <f>'Таблиця цін схема №2'!CO69</f>
        <v>6</v>
      </c>
      <c r="AQ69" s="47">
        <f>'Таблиця цін схема №2'!CR69</f>
        <v>20</v>
      </c>
      <c r="AR69" s="78">
        <f>'Таблиця цін схема №2'!CS69</f>
        <v>3</v>
      </c>
      <c r="AS69" s="47">
        <f>'Таблиця цін схема №2'!CV69</f>
        <v>20</v>
      </c>
      <c r="AT69" s="380">
        <f>'Таблиця цін схема №2'!CW69</f>
        <v>4</v>
      </c>
      <c r="AU69" s="47">
        <f>'Таблиця цін схема №2'!CZ69</f>
        <v>20</v>
      </c>
      <c r="AV69" s="380">
        <f>'Таблиця цін схема №2'!DA69</f>
        <v>2</v>
      </c>
      <c r="AW69" s="47">
        <f>'Таблиця цін схема №2'!DD69</f>
        <v>15</v>
      </c>
      <c r="AX69" s="380">
        <f>'Таблиця цін схема №2'!DE69</f>
        <v>8</v>
      </c>
      <c r="AY69" s="47">
        <f>'Таблиця цін схема №2'!DH69</f>
        <v>15</v>
      </c>
      <c r="AZ69" s="380">
        <f>'Таблиця цін схема №2'!DI69</f>
        <v>37</v>
      </c>
      <c r="BA69" s="47">
        <f>'Таблиця цін схема №2'!DL69</f>
        <v>32</v>
      </c>
      <c r="BB69" s="380">
        <f>'Таблиця цін схема №2'!DM69</f>
        <v>1</v>
      </c>
      <c r="BC69" s="47">
        <f>'Таблиця цін схема №2'!DP69</f>
        <v>20</v>
      </c>
      <c r="BD69" s="380">
        <f>'Таблиця цін схема №2'!DQ69</f>
        <v>1</v>
      </c>
    </row>
    <row r="70" spans="1:57">
      <c r="A70" s="73">
        <f>'Таблиця цін схема №2'!B70</f>
        <v>100</v>
      </c>
      <c r="B70" s="1140" t="str">
        <f>'Таблиця цін схема №2'!C70</f>
        <v>12 Khodareva Street</v>
      </c>
      <c r="C70" s="525">
        <f>'Таблиця цін схема №2'!X70</f>
        <v>40</v>
      </c>
      <c r="D70" s="380">
        <f>'Таблиця цін схема №2'!Y70</f>
        <v>2</v>
      </c>
      <c r="E70" s="47">
        <f>'Таблиця цін схема №2'!AB70</f>
        <v>40</v>
      </c>
      <c r="F70" s="380">
        <f>'Таблиця цін схема №2'!AC70</f>
        <v>2</v>
      </c>
      <c r="G70" s="47">
        <f>'Таблиця цін схема №2'!AF70</f>
        <v>40</v>
      </c>
      <c r="H70" s="517" t="s">
        <v>115</v>
      </c>
      <c r="I70" s="47">
        <f>'Таблиця цін схема №2'!AJ70</f>
        <v>20</v>
      </c>
      <c r="J70" s="380">
        <f>'Таблиця цін схема №2'!AK70</f>
        <v>1</v>
      </c>
      <c r="K70" s="47">
        <f>'Таблиця цін схема №2'!AN70</f>
        <v>20</v>
      </c>
      <c r="L70" s="380">
        <f>'Таблиця цін схема №2'!AO70</f>
        <v>4</v>
      </c>
      <c r="M70" s="47" t="str">
        <f>'Таблиця цін схема №2'!AR70</f>
        <v>AMV20</v>
      </c>
      <c r="N70" s="380">
        <f>'Таблиця цін схема №2'!AS70</f>
        <v>1</v>
      </c>
      <c r="O70" s="47">
        <f>'Таблиця цін схема №2'!AV70</f>
        <v>1.6</v>
      </c>
      <c r="P70" s="379">
        <f>'Таблиця цін схема №2'!AW70</f>
        <v>15</v>
      </c>
      <c r="Q70" s="380">
        <f>'Таблиця цін схема №2'!AX70</f>
        <v>1</v>
      </c>
      <c r="R70" s="47">
        <f>'Таблиця цін схема №2'!BA70</f>
        <v>4</v>
      </c>
      <c r="S70" s="379">
        <f>'Таблиця цін схема №2'!BB70</f>
        <v>15</v>
      </c>
      <c r="T70" s="380">
        <f>'Таблиця цін схема №2'!BC70</f>
        <v>1</v>
      </c>
      <c r="U70" s="47" t="str">
        <f>'Таблиця цін схема №2'!BF70</f>
        <v>AMV33</v>
      </c>
      <c r="V70" s="380">
        <f>'Таблиця цін схема №2'!BG70</f>
        <v>1</v>
      </c>
      <c r="W70" s="47">
        <f>'Таблиця цін схема №2'!BJ70</f>
        <v>1.6</v>
      </c>
      <c r="X70" s="379">
        <f>'Таблиця цін схема №2'!BK70</f>
        <v>15</v>
      </c>
      <c r="Y70" s="380">
        <f>'Таблиця цін схема №2'!BL70</f>
        <v>1</v>
      </c>
      <c r="Z70" s="47">
        <f>'Таблиця цін схема №2'!BO70</f>
        <v>4</v>
      </c>
      <c r="AA70" s="379">
        <f>'Таблиця цін схема №2'!BP70</f>
        <v>15</v>
      </c>
      <c r="AB70" s="380">
        <f>'Таблиця цін схема №2'!BQ70</f>
        <v>1</v>
      </c>
      <c r="AC70" s="47" t="str">
        <f>'Таблиця цін схема №2'!BT70</f>
        <v>-</v>
      </c>
      <c r="AD70" s="379" t="str">
        <f>'Таблиця цін схема №2'!BU70</f>
        <v>-</v>
      </c>
      <c r="AE70" s="379" t="str">
        <f>'Таблиця цін схема №2'!BV70</f>
        <v>existed</v>
      </c>
      <c r="AF70" s="380">
        <f>'Таблиця цін схема №2'!BW70</f>
        <v>0</v>
      </c>
      <c r="AG70" s="47">
        <f>'Таблиця цін схема №2'!BZ70</f>
        <v>15</v>
      </c>
      <c r="AH70" s="379">
        <f>'Таблиця цін схема №2'!CA70</f>
        <v>1.5</v>
      </c>
      <c r="AI70" s="379" t="str">
        <f>'Таблиця цін схема №2'!CB70</f>
        <v>Pt500</v>
      </c>
      <c r="AJ70" s="380">
        <f>'Таблиця цін схема №2'!CC70</f>
        <v>1</v>
      </c>
      <c r="AK70" s="1168" t="str">
        <f>'Таблиця цін схема №2'!CF70</f>
        <v xml:space="preserve">EI-TO-4+011A00HS-30000 </v>
      </c>
      <c r="AL70" s="380">
        <f>'Таблиця цін схема №2'!CG70</f>
        <v>1</v>
      </c>
      <c r="AM70" s="47">
        <f>'Таблиця цін схема №2'!CJ70</f>
        <v>32</v>
      </c>
      <c r="AN70" s="380">
        <f>'Таблиця цін схема №2'!CK70</f>
        <v>4</v>
      </c>
      <c r="AO70" s="47">
        <f>'Таблиця цін схема №2'!CN70</f>
        <v>20</v>
      </c>
      <c r="AP70" s="380">
        <f>'Таблиця цін схема №2'!CO70</f>
        <v>6</v>
      </c>
      <c r="AQ70" s="47">
        <f>'Таблиця цін схема №2'!CR70</f>
        <v>20</v>
      </c>
      <c r="AR70" s="78">
        <f>'Таблиця цін схема №2'!CS70</f>
        <v>3</v>
      </c>
      <c r="AS70" s="47">
        <f>'Таблиця цін схема №2'!CV70</f>
        <v>32</v>
      </c>
      <c r="AT70" s="380">
        <f>'Таблиця цін схема №2'!CW70</f>
        <v>2</v>
      </c>
      <c r="AU70" s="47">
        <f>'Таблиця цін схема №2'!CZ70</f>
        <v>20</v>
      </c>
      <c r="AV70" s="380">
        <f>'Таблиця цін схема №2'!DA70</f>
        <v>2</v>
      </c>
      <c r="AW70" s="47">
        <f>'Таблиця цін схема №2'!DD70</f>
        <v>15</v>
      </c>
      <c r="AX70" s="380">
        <f>'Таблиця цін схема №2'!DE70</f>
        <v>8</v>
      </c>
      <c r="AY70" s="47">
        <f>'Таблиця цін схема №2'!DH70</f>
        <v>15</v>
      </c>
      <c r="AZ70" s="380">
        <f>'Таблиця цін схема №2'!DI70</f>
        <v>35</v>
      </c>
      <c r="BA70" s="47">
        <f>'Таблиця цін схема №2'!DL70</f>
        <v>32</v>
      </c>
      <c r="BB70" s="380">
        <f>'Таблиця цін схема №2'!DM70</f>
        <v>1</v>
      </c>
      <c r="BC70" s="47">
        <f>'Таблиця цін схема №2'!DP70</f>
        <v>20</v>
      </c>
      <c r="BD70" s="380">
        <f>'Таблиця цін схема №2'!DQ70</f>
        <v>1</v>
      </c>
    </row>
    <row r="71" spans="1:57">
      <c r="A71" s="73">
        <f>'Таблиця цін схема №2'!B71</f>
        <v>101</v>
      </c>
      <c r="B71" s="1140" t="str">
        <f>'Таблиця цін схема №2'!C71</f>
        <v>14 Khodareva Street</v>
      </c>
      <c r="C71" s="525">
        <f>'Таблиця цін схема №2'!X71</f>
        <v>40</v>
      </c>
      <c r="D71" s="380">
        <f>'Таблиця цін схема №2'!Y71</f>
        <v>2</v>
      </c>
      <c r="E71" s="47">
        <f>'Таблиця цін схема №2'!AB71</f>
        <v>40</v>
      </c>
      <c r="F71" s="380">
        <f>'Таблиця цін схема №2'!AC71</f>
        <v>2</v>
      </c>
      <c r="G71" s="47">
        <f>'Таблиця цін схема №2'!AF71</f>
        <v>40</v>
      </c>
      <c r="H71" s="517" t="s">
        <v>115</v>
      </c>
      <c r="I71" s="47">
        <f>'Таблиця цін схема №2'!AJ71</f>
        <v>20</v>
      </c>
      <c r="J71" s="380">
        <f>'Таблиця цін схема №2'!AK71</f>
        <v>1</v>
      </c>
      <c r="K71" s="47">
        <f>'Таблиця цін схема №2'!AN71</f>
        <v>20</v>
      </c>
      <c r="L71" s="380">
        <f>'Таблиця цін схема №2'!AO71</f>
        <v>4</v>
      </c>
      <c r="M71" s="47" t="str">
        <f>'Таблиця цін схема №2'!AR71</f>
        <v>AMV20</v>
      </c>
      <c r="N71" s="380">
        <f>'Таблиця цін схема №2'!AS71</f>
        <v>1</v>
      </c>
      <c r="O71" s="47">
        <f>'Таблиця цін схема №2'!AV71</f>
        <v>1.6</v>
      </c>
      <c r="P71" s="379">
        <f>'Таблиця цін схема №2'!AW71</f>
        <v>15</v>
      </c>
      <c r="Q71" s="380">
        <f>'Таблиця цін схема №2'!AX71</f>
        <v>1</v>
      </c>
      <c r="R71" s="47">
        <f>'Таблиця цін схема №2'!BA71</f>
        <v>4</v>
      </c>
      <c r="S71" s="379">
        <f>'Таблиця цін схема №2'!BB71</f>
        <v>15</v>
      </c>
      <c r="T71" s="380">
        <f>'Таблиця цін схема №2'!BC71</f>
        <v>1</v>
      </c>
      <c r="U71" s="47" t="str">
        <f>'Таблиця цін схема №2'!BF71</f>
        <v>AMV33</v>
      </c>
      <c r="V71" s="380">
        <f>'Таблиця цін схема №2'!BG71</f>
        <v>1</v>
      </c>
      <c r="W71" s="47">
        <f>'Таблиця цін схема №2'!BJ71</f>
        <v>1.6</v>
      </c>
      <c r="X71" s="379">
        <f>'Таблиця цін схема №2'!BK71</f>
        <v>15</v>
      </c>
      <c r="Y71" s="380">
        <f>'Таблиця цін схема №2'!BL71</f>
        <v>1</v>
      </c>
      <c r="Z71" s="47">
        <f>'Таблиця цін схема №2'!BO71</f>
        <v>4</v>
      </c>
      <c r="AA71" s="379">
        <f>'Таблиця цін схема №2'!BP71</f>
        <v>15</v>
      </c>
      <c r="AB71" s="380">
        <f>'Таблиця цін схема №2'!BQ71</f>
        <v>1</v>
      </c>
      <c r="AC71" s="47" t="str">
        <f>'Таблиця цін схема №2'!BT71</f>
        <v>-</v>
      </c>
      <c r="AD71" s="379" t="str">
        <f>'Таблиця цін схема №2'!BU71</f>
        <v>-</v>
      </c>
      <c r="AE71" s="379" t="str">
        <f>'Таблиця цін схема №2'!BV71</f>
        <v>existed</v>
      </c>
      <c r="AF71" s="380">
        <f>'Таблиця цін схема №2'!BW71</f>
        <v>0</v>
      </c>
      <c r="AG71" s="47">
        <f>'Таблиця цін схема №2'!BZ71</f>
        <v>15</v>
      </c>
      <c r="AH71" s="379">
        <f>'Таблиця цін схема №2'!CA71</f>
        <v>1.5</v>
      </c>
      <c r="AI71" s="379" t="str">
        <f>'Таблиця цін схема №2'!CB71</f>
        <v>Pt500</v>
      </c>
      <c r="AJ71" s="380">
        <f>'Таблиця цін схема №2'!CC71</f>
        <v>1</v>
      </c>
      <c r="AK71" s="1168" t="str">
        <f>'Таблиця цін схема №2'!CF71</f>
        <v xml:space="preserve">EI-TO-4+011A00HS-30000 </v>
      </c>
      <c r="AL71" s="380">
        <f>'Таблиця цін схема №2'!CG71</f>
        <v>1</v>
      </c>
      <c r="AM71" s="47">
        <f>'Таблиця цін схема №2'!CJ71</f>
        <v>32</v>
      </c>
      <c r="AN71" s="380">
        <f>'Таблиця цін схема №2'!CK71</f>
        <v>4</v>
      </c>
      <c r="AO71" s="47">
        <f>'Таблиця цін схема №2'!CN71</f>
        <v>20</v>
      </c>
      <c r="AP71" s="380">
        <f>'Таблиця цін схема №2'!CO71</f>
        <v>6</v>
      </c>
      <c r="AQ71" s="47">
        <f>'Таблиця цін схема №2'!CR71</f>
        <v>20</v>
      </c>
      <c r="AR71" s="78">
        <f>'Таблиця цін схема №2'!CS71</f>
        <v>3</v>
      </c>
      <c r="AS71" s="47">
        <f>'Таблиця цін схема №2'!CV71</f>
        <v>32</v>
      </c>
      <c r="AT71" s="380">
        <f>'Таблиця цін схема №2'!CW71</f>
        <v>2</v>
      </c>
      <c r="AU71" s="47">
        <f>'Таблиця цін схема №2'!CZ71</f>
        <v>20</v>
      </c>
      <c r="AV71" s="380">
        <f>'Таблиця цін схема №2'!DA71</f>
        <v>2</v>
      </c>
      <c r="AW71" s="47">
        <f>'Таблиця цін схема №2'!DD71</f>
        <v>15</v>
      </c>
      <c r="AX71" s="380">
        <f>'Таблиця цін схема №2'!DE71</f>
        <v>8</v>
      </c>
      <c r="AY71" s="47">
        <f>'Таблиця цін схема №2'!DH71</f>
        <v>15</v>
      </c>
      <c r="AZ71" s="380">
        <f>'Таблиця цін схема №2'!DI71</f>
        <v>35</v>
      </c>
      <c r="BA71" s="47">
        <f>'Таблиця цін схема №2'!DL71</f>
        <v>32</v>
      </c>
      <c r="BB71" s="380">
        <f>'Таблиця цін схема №2'!DM71</f>
        <v>1</v>
      </c>
      <c r="BC71" s="47">
        <f>'Таблиця цін схема №2'!DP71</f>
        <v>20</v>
      </c>
      <c r="BD71" s="380">
        <f>'Таблиця цін схема №2'!DQ71</f>
        <v>1</v>
      </c>
    </row>
    <row r="72" spans="1:57">
      <c r="A72" s="73">
        <f>'Таблиця цін схема №2'!B72</f>
        <v>102</v>
      </c>
      <c r="B72" s="1140" t="str">
        <f>'Таблиця цін схема №2'!C72</f>
        <v>318а Yantarnaya Street</v>
      </c>
      <c r="C72" s="525">
        <f>'Таблиця цін схема №2'!X72</f>
        <v>40</v>
      </c>
      <c r="D72" s="380">
        <f>'Таблиця цін схема №2'!Y72</f>
        <v>2</v>
      </c>
      <c r="E72" s="47">
        <f>'Таблиця цін схема №2'!AB72</f>
        <v>40</v>
      </c>
      <c r="F72" s="380">
        <f>'Таблиця цін схема №2'!AC72</f>
        <v>2</v>
      </c>
      <c r="G72" s="47">
        <f>'Таблиця цін схема №2'!AF72</f>
        <v>40</v>
      </c>
      <c r="H72" s="517" t="s">
        <v>115</v>
      </c>
      <c r="I72" s="47">
        <f>'Таблиця цін схема №2'!AJ72</f>
        <v>32</v>
      </c>
      <c r="J72" s="380">
        <f>'Таблиця цін схема №2'!AK72</f>
        <v>1</v>
      </c>
      <c r="K72" s="47">
        <f>'Таблиця цін схема №2'!AN72</f>
        <v>25</v>
      </c>
      <c r="L72" s="380">
        <f>'Таблиця цін схема №2'!AO72</f>
        <v>4</v>
      </c>
      <c r="M72" s="47" t="str">
        <f>'Таблиця цін схема №2'!AR72</f>
        <v>AMV20</v>
      </c>
      <c r="N72" s="380">
        <f>'Таблиця цін схема №2'!AS72</f>
        <v>1</v>
      </c>
      <c r="O72" s="47">
        <f>'Таблиця цін схема №2'!AV72</f>
        <v>4</v>
      </c>
      <c r="P72" s="379">
        <f>'Таблиця цін схема №2'!AW72</f>
        <v>15</v>
      </c>
      <c r="Q72" s="380">
        <f>'Таблиця цін схема №2'!AX72</f>
        <v>1</v>
      </c>
      <c r="R72" s="47">
        <f>'Таблиця цін схема №2'!BA72</f>
        <v>4</v>
      </c>
      <c r="S72" s="379">
        <f>'Таблиця цін схема №2'!BB72</f>
        <v>15</v>
      </c>
      <c r="T72" s="380">
        <f>'Таблиця цін схема №2'!BC72</f>
        <v>1</v>
      </c>
      <c r="U72" s="47" t="str">
        <f>'Таблиця цін схема №2'!BF72</f>
        <v>AMV33</v>
      </c>
      <c r="V72" s="380">
        <f>'Таблиця цін схема №2'!BG72</f>
        <v>1</v>
      </c>
      <c r="W72" s="47">
        <f>'Таблиця цін схема №2'!BJ72</f>
        <v>4</v>
      </c>
      <c r="X72" s="379">
        <f>'Таблиця цін схема №2'!BK72</f>
        <v>15</v>
      </c>
      <c r="Y72" s="380">
        <f>'Таблиця цін схема №2'!BL72</f>
        <v>1</v>
      </c>
      <c r="Z72" s="47">
        <f>'Таблиця цін схема №2'!BO72</f>
        <v>4</v>
      </c>
      <c r="AA72" s="379">
        <f>'Таблиця цін схема №2'!BP72</f>
        <v>15</v>
      </c>
      <c r="AB72" s="380">
        <f>'Таблиця цін схема №2'!BQ72</f>
        <v>1</v>
      </c>
      <c r="AC72" s="47" t="str">
        <f>'Таблиця цін схема №2'!BT72</f>
        <v>-</v>
      </c>
      <c r="AD72" s="379" t="str">
        <f>'Таблиця цін схема №2'!BU72</f>
        <v>-</v>
      </c>
      <c r="AE72" s="379" t="str">
        <f>'Таблиця цін схема №2'!BV72</f>
        <v>existed</v>
      </c>
      <c r="AF72" s="380">
        <f>'Таблиця цін схема №2'!BW72</f>
        <v>0</v>
      </c>
      <c r="AG72" s="47">
        <f>'Таблиця цін схема №2'!BZ72</f>
        <v>20</v>
      </c>
      <c r="AH72" s="379">
        <f>'Таблиця цін схема №2'!CA72</f>
        <v>2.5</v>
      </c>
      <c r="AI72" s="379" t="str">
        <f>'Таблиця цін схема №2'!CB72</f>
        <v>Pt500</v>
      </c>
      <c r="AJ72" s="380">
        <f>'Таблиця цін схема №2'!CC72</f>
        <v>1</v>
      </c>
      <c r="AK72" s="1168" t="str">
        <f>'Таблиця цін схема №2'!CF72</f>
        <v>ЕІ-ТО-4+021A00HS-72000</v>
      </c>
      <c r="AL72" s="380">
        <f>'Таблиця цін схема №2'!CG72</f>
        <v>1</v>
      </c>
      <c r="AM72" s="47">
        <f>'Таблиця цін схема №2'!CJ72</f>
        <v>50</v>
      </c>
      <c r="AN72" s="380">
        <f>'Таблиця цін схема №2'!CK72</f>
        <v>4</v>
      </c>
      <c r="AO72" s="47">
        <f>'Таблиця цін схема №2'!CN72</f>
        <v>25</v>
      </c>
      <c r="AP72" s="380">
        <f>'Таблиця цін схема №2'!CO72</f>
        <v>6</v>
      </c>
      <c r="AQ72" s="47">
        <f>'Таблиця цін схема №2'!CR72</f>
        <v>20</v>
      </c>
      <c r="AR72" s="78">
        <f>'Таблиця цін схема №2'!CS72</f>
        <v>3</v>
      </c>
      <c r="AS72" s="47">
        <f>'Таблиця цін схема №2'!CV72</f>
        <v>32</v>
      </c>
      <c r="AT72" s="380">
        <f>'Таблиця цін схема №2'!CW72</f>
        <v>4</v>
      </c>
      <c r="AU72" s="47">
        <f>'Таблиця цін схема №2'!CZ72</f>
        <v>20</v>
      </c>
      <c r="AV72" s="380">
        <f>'Таблиця цін схема №2'!DA72</f>
        <v>2</v>
      </c>
      <c r="AW72" s="47">
        <f>'Таблиця цін схема №2'!DD72</f>
        <v>15</v>
      </c>
      <c r="AX72" s="380">
        <f>'Таблиця цін схема №2'!DE72</f>
        <v>8</v>
      </c>
      <c r="AY72" s="47">
        <f>'Таблиця цін схема №2'!DH72</f>
        <v>15</v>
      </c>
      <c r="AZ72" s="380">
        <f>'Таблиця цін схема №2'!DI72</f>
        <v>37</v>
      </c>
      <c r="BA72" s="47">
        <f>'Таблиця цін схема №2'!DL72</f>
        <v>50</v>
      </c>
      <c r="BB72" s="380">
        <f>'Таблиця цін схема №2'!DM72</f>
        <v>1</v>
      </c>
      <c r="BC72" s="47">
        <f>'Таблиця цін схема №2'!DP72</f>
        <v>25</v>
      </c>
      <c r="BD72" s="380">
        <f>'Таблиця цін схема №2'!DQ72</f>
        <v>1</v>
      </c>
    </row>
    <row r="73" spans="1:57" ht="13.5" thickBot="1">
      <c r="A73" s="1138">
        <f>'Таблиця цін схема №2'!B73</f>
        <v>103</v>
      </c>
      <c r="B73" s="1141" t="str">
        <f>'Таблиця цін схема №2'!C73</f>
        <v>16 Khodareva Street</v>
      </c>
      <c r="C73" s="145">
        <f>'Таблиця цін схема №2'!X73</f>
        <v>40</v>
      </c>
      <c r="D73" s="7">
        <f>'Таблиця цін схема №2'!Y73</f>
        <v>2</v>
      </c>
      <c r="E73" s="49">
        <f>'Таблиця цін схема №2'!AB73</f>
        <v>40</v>
      </c>
      <c r="F73" s="7">
        <f>'Таблиця цін схема №2'!AC73</f>
        <v>2</v>
      </c>
      <c r="G73" s="49">
        <f>'Таблиця цін схема №2'!AF73</f>
        <v>40</v>
      </c>
      <c r="H73" s="7">
        <f>'Таблиця цін схема №2'!AG73</f>
        <v>1</v>
      </c>
      <c r="I73" s="49">
        <f>'Таблиця цін схема №2'!AJ73</f>
        <v>20</v>
      </c>
      <c r="J73" s="7">
        <f>'Таблиця цін схема №2'!AK73</f>
        <v>3</v>
      </c>
      <c r="K73" s="49">
        <f>'Таблиця цін схема №2'!AN73</f>
        <v>20</v>
      </c>
      <c r="L73" s="7">
        <f>'Таблиця цін схема №2'!AO73</f>
        <v>4</v>
      </c>
      <c r="M73" s="49" t="str">
        <f>'Таблиця цін схема №2'!AR73</f>
        <v>AMV20</v>
      </c>
      <c r="N73" s="7">
        <f>'Таблиця цін схема №2'!AS73</f>
        <v>1</v>
      </c>
      <c r="O73" s="49">
        <f>'Таблиця цін схема №2'!AV73</f>
        <v>1.6</v>
      </c>
      <c r="P73" s="43">
        <f>'Таблиця цін схема №2'!AW73</f>
        <v>15</v>
      </c>
      <c r="Q73" s="7">
        <f>'Таблиця цін схема №2'!AX73</f>
        <v>1</v>
      </c>
      <c r="R73" s="49">
        <f>'Таблиця цін схема №2'!BA73</f>
        <v>4</v>
      </c>
      <c r="S73" s="43">
        <f>'Таблиця цін схема №2'!BB73</f>
        <v>15</v>
      </c>
      <c r="T73" s="7">
        <f>'Таблиця цін схема №2'!BC73</f>
        <v>1</v>
      </c>
      <c r="U73" s="49" t="str">
        <f>'Таблиця цін схема №2'!BF73</f>
        <v>AMV33</v>
      </c>
      <c r="V73" s="7">
        <f>'Таблиця цін схема №2'!BG73</f>
        <v>1</v>
      </c>
      <c r="W73" s="49">
        <f>'Таблиця цін схема №2'!BJ73</f>
        <v>0.63</v>
      </c>
      <c r="X73" s="43">
        <f>'Таблиця цін схема №2'!BK73</f>
        <v>15</v>
      </c>
      <c r="Y73" s="7">
        <f>'Таблиця цін схема №2'!BL73</f>
        <v>1</v>
      </c>
      <c r="Z73" s="49">
        <f>'Таблиця цін схема №2'!BO73</f>
        <v>4</v>
      </c>
      <c r="AA73" s="43">
        <f>'Таблиця цін схема №2'!BP73</f>
        <v>15</v>
      </c>
      <c r="AB73" s="7">
        <f>'Таблиця цін схема №2'!BQ73</f>
        <v>1</v>
      </c>
      <c r="AC73" s="49">
        <f>'Таблиця цін схема №2'!BT73</f>
        <v>15</v>
      </c>
      <c r="AD73" s="43">
        <f>'Таблиця цін схема №2'!BU73</f>
        <v>1.5</v>
      </c>
      <c r="AE73" s="43" t="str">
        <f>'Таблиця цін схема №2'!BV73</f>
        <v>Pt500</v>
      </c>
      <c r="AF73" s="7">
        <f>'Таблиця цін схема №2'!BW73</f>
        <v>1</v>
      </c>
      <c r="AG73" s="49">
        <f>'Таблиця цін схема №2'!BZ73</f>
        <v>15</v>
      </c>
      <c r="AH73" s="43">
        <f>'Таблиця цін схема №2'!CA73</f>
        <v>1.5</v>
      </c>
      <c r="AI73" s="43" t="str">
        <f>'Таблиця цін схема №2'!CB73</f>
        <v>Pt500</v>
      </c>
      <c r="AJ73" s="7">
        <f>'Таблиця цін схема №2'!CC73</f>
        <v>1</v>
      </c>
      <c r="AK73" s="1169" t="str">
        <f>'Таблиця цін схема №2'!CF73</f>
        <v>ЕІ-ТО-4+005A00HS-2000</v>
      </c>
      <c r="AL73" s="7">
        <f>'Таблиця цін схема №2'!CG73</f>
        <v>1</v>
      </c>
      <c r="AM73" s="49">
        <f>'Таблиця цін схема №2'!CJ73</f>
        <v>32</v>
      </c>
      <c r="AN73" s="7">
        <f>'Таблиця цін схема №2'!CK73</f>
        <v>4</v>
      </c>
      <c r="AO73" s="49">
        <f>'Таблиця цін схема №2'!CN73</f>
        <v>20</v>
      </c>
      <c r="AP73" s="7">
        <f>'Таблиця цін схема №2'!CO73</f>
        <v>6</v>
      </c>
      <c r="AQ73" s="49">
        <f>'Таблиця цін схема №2'!CR73</f>
        <v>20</v>
      </c>
      <c r="AR73" s="1118">
        <f>'Таблиця цін схема №2'!CS73</f>
        <v>3</v>
      </c>
      <c r="AS73" s="49">
        <f>'Таблиця цін схема №2'!CV73</f>
        <v>32</v>
      </c>
      <c r="AT73" s="7">
        <f>'Таблиця цін схема №2'!CW73</f>
        <v>2</v>
      </c>
      <c r="AU73" s="49">
        <f>'Таблиця цін схема №2'!CZ73</f>
        <v>20</v>
      </c>
      <c r="AV73" s="7">
        <f>'Таблиця цін схема №2'!DA73</f>
        <v>2</v>
      </c>
      <c r="AW73" s="49">
        <f>'Таблиця цін схема №2'!DD73</f>
        <v>15</v>
      </c>
      <c r="AX73" s="7">
        <f>'Таблиця цін схема №2'!DE73</f>
        <v>8</v>
      </c>
      <c r="AY73" s="49">
        <f>'Таблиця цін схема №2'!DH73</f>
        <v>15</v>
      </c>
      <c r="AZ73" s="7">
        <f>'Таблиця цін схема №2'!DI73</f>
        <v>35</v>
      </c>
      <c r="BA73" s="49">
        <f>'Таблиця цін схема №2'!DL73</f>
        <v>32</v>
      </c>
      <c r="BB73" s="7">
        <f>'Таблиця цін схема №2'!DM73</f>
        <v>1</v>
      </c>
      <c r="BC73" s="49">
        <f>'Таблиця цін схема №2'!DP73</f>
        <v>20</v>
      </c>
      <c r="BD73" s="7">
        <f>'Таблиця цін схема №2'!DQ73</f>
        <v>1</v>
      </c>
    </row>
    <row r="74" spans="1:57">
      <c r="B74" s="1142"/>
    </row>
    <row r="75" spans="1:57">
      <c r="B75" s="1142"/>
    </row>
    <row r="76" spans="1:57">
      <c r="B76" s="1142"/>
    </row>
    <row r="77" spans="1:57" ht="18.75">
      <c r="B77" s="1157" t="s">
        <v>1392</v>
      </c>
    </row>
    <row r="78" spans="1:57" ht="13.5" thickBot="1">
      <c r="B78" s="1142"/>
    </row>
    <row r="79" spans="1:57" s="1161" customFormat="1" ht="108" customHeight="1" thickBot="1">
      <c r="A79" s="1162" t="s">
        <v>15</v>
      </c>
      <c r="B79" s="1158" t="s">
        <v>1003</v>
      </c>
      <c r="C79" s="1485" t="str">
        <f>'Таблиця цін схема №2'!DT3</f>
        <v xml:space="preserve">Threaded screen filter IVR 924 (DN15-32) or flanged screen filter Zetkama 821A (DN40 and above) </v>
      </c>
      <c r="D79" s="1487"/>
      <c r="E79" s="1485" t="str">
        <f>'Таблиця цін схема №2'!DX3</f>
        <v>Threaded check valve type 999/H (DN15-32)or interflanged check valve type 656 (DN40 and above)</v>
      </c>
      <c r="F79" s="1487"/>
      <c r="G79" s="1485" t="str">
        <f>'Таблиця цін схема №2'!EB3</f>
        <v>Threaded check valve type 999/H (DN15-32)or interflanged check valve type 656 (DN40 and above)</v>
      </c>
      <c r="H79" s="1487"/>
      <c r="I79" s="1485" t="str">
        <f>'Таблиця цін схема №2'!EF3</f>
        <v>Threaded check valve type 999/H (DN15-32)or interflanged check valve type 656 (DN40 and above)</v>
      </c>
      <c r="J79" s="1487"/>
      <c r="K79" s="1485" t="str">
        <f>'Таблиця цін схема №2'!EJ3</f>
        <v>Threaded check valve type 999/H (DN15-32)or interflanged check valve type 656 (DN40 and above)</v>
      </c>
      <c r="L79" s="1487"/>
      <c r="M79" s="1485" t="str">
        <f>'Таблиця цін схема №2'!EN3</f>
        <v>Threaded vibration damper type AB-G (DN15 - 32) or flanged vibration damper type АВ-Е (DN40 and above)</v>
      </c>
      <c r="N79" s="1487"/>
      <c r="O79" s="1485" t="str">
        <f>'Таблиця цін схема №2'!ER3</f>
        <v>Threaded vibration damper type AB-G (DN15 - 32) or flanged vibration damper type АВ-Е (DN40 and above)</v>
      </c>
      <c r="P79" s="1487"/>
      <c r="Q79" s="1485" t="str">
        <f>'Таблиця цін схема №2'!EV3</f>
        <v>Threaded vibration damper type AB-G (DN15 - 32) or flanged vibration damper type АВ-Е (DN40 and above)</v>
      </c>
      <c r="R79" s="1487"/>
      <c r="S79" s="1485" t="str">
        <f>'Таблиця цін схема №2'!EZ3</f>
        <v>Threaded safety valve IVR 369, 1-12 bar</v>
      </c>
      <c r="T79" s="1486"/>
      <c r="U79" s="1487"/>
      <c r="V79" s="1485" t="str">
        <f>'Таблиця цін схема №2'!FE3</f>
        <v>Circulation pump of the heating system</v>
      </c>
      <c r="W79" s="1486"/>
      <c r="X79" s="1486"/>
      <c r="Y79" s="1486"/>
      <c r="Z79" s="1487"/>
      <c r="AA79" s="1485" t="str">
        <f>'Таблиця цін схема №2'!FL3</f>
        <v>Circulation pump of the HWS system</v>
      </c>
      <c r="AB79" s="1486"/>
      <c r="AC79" s="1486"/>
      <c r="AD79" s="1486"/>
      <c r="AE79" s="1487"/>
      <c r="AF79" s="1485" t="str">
        <f>'Таблиця цін схема №2'!FS3</f>
        <v>Threaded balancing valve Zetkama 221Н (DN15-32) or flanged balancing valve Zetkama 447 (DN40 and above)</v>
      </c>
      <c r="AG79" s="1486"/>
      <c r="AH79" s="1487"/>
      <c r="AI79" s="1485" t="str">
        <f>'Таблиця цін схема №2'!FX3</f>
        <v>Automatic air vent, DN15</v>
      </c>
      <c r="AJ79" s="1487"/>
      <c r="AK79" s="1485" t="str">
        <f>'Таблиця цін схема №2'!GB3</f>
        <v xml:space="preserve">Threaded cold water flow meter with pulsed output type JS NK (DN15 - 32) or flanged type MWN NK (DN40 and above)  </v>
      </c>
      <c r="AL79" s="1486"/>
      <c r="AM79" s="1487"/>
      <c r="AN79" s="1485" t="str">
        <f>'Таблиця цін схема №2'!GG3</f>
        <v>Electromagnetic water treatment device, EZV</v>
      </c>
      <c r="AO79" s="1487"/>
      <c r="AP79" s="1485" t="str">
        <f>'Таблиця цін схема №2'!GK3</f>
        <v>Bimetallic thermometer, type ТБ 80 (0-150°С)</v>
      </c>
      <c r="AQ79" s="1487"/>
      <c r="AR79" s="1485" t="str">
        <f>'Таблиця цін схема №2'!GO3</f>
        <v>Bimetallic thermometer, type ТБ 80 (0-120°С)</v>
      </c>
      <c r="AS79" s="1487"/>
      <c r="AT79" s="1485" t="str">
        <f>'Таблиця цін схема №2'!GS3</f>
        <v>Indicating pressure gauge (0-1,6 МPa)</v>
      </c>
      <c r="AU79" s="1487"/>
      <c r="AV79" s="1485" t="str">
        <f>'Таблиця цін схема №2'!GW3</f>
        <v>Indicating pressure gauge (0-1,0 MPa)</v>
      </c>
      <c r="AW79" s="1487"/>
      <c r="AX79" s="1485" t="str">
        <f>'Таблиця цін схема №2'!HA3</f>
        <v>Pressure relay PSM01</v>
      </c>
      <c r="AY79" s="1487"/>
      <c r="AZ79" s="1485" t="str">
        <f>'Таблиця цін схема №2'!HE3</f>
        <v>Pressure sensor A-10 with the radiator</v>
      </c>
      <c r="BA79" s="1487"/>
      <c r="BB79" s="1485" t="str">
        <f>'Таблиця цін схема №2'!HI3</f>
        <v>Water temperature sensor, embedded</v>
      </c>
      <c r="BC79" s="1487"/>
      <c r="BD79" s="1485" t="str">
        <f>'Таблиця цін схема №2'!HM3</f>
        <v>Ambient air temperature sensor</v>
      </c>
      <c r="BE79" s="1487"/>
    </row>
    <row r="80" spans="1:57">
      <c r="A80" s="1134"/>
      <c r="B80" s="1143"/>
      <c r="C80" s="1135">
        <f>'Таблиця цін схема №2'!DT4</f>
        <v>25</v>
      </c>
      <c r="D80" s="523"/>
      <c r="E80" s="1135">
        <f>'Таблиця цін схема №2'!DX4</f>
        <v>8</v>
      </c>
      <c r="F80" s="523"/>
      <c r="G80" s="1135">
        <f>'Таблиця цін схема №2'!EB4</f>
        <v>12</v>
      </c>
      <c r="H80" s="523"/>
      <c r="I80" s="1135">
        <f>'Таблиця цін схема №2'!EF4</f>
        <v>26</v>
      </c>
      <c r="J80" s="523"/>
      <c r="K80" s="1135">
        <f>'Таблиця цін схема №2'!EJ4</f>
        <v>27</v>
      </c>
      <c r="L80" s="523"/>
      <c r="M80" s="1135">
        <f>'Таблиця цін схема №2'!EN4</f>
        <v>17</v>
      </c>
      <c r="N80" s="523"/>
      <c r="O80" s="1135">
        <f>'Таблиця цін схема №2'!ER4</f>
        <v>28</v>
      </c>
      <c r="P80" s="523"/>
      <c r="Q80" s="1135">
        <f>'Таблиця цін схема №2'!EV4</f>
        <v>29</v>
      </c>
      <c r="R80" s="523"/>
      <c r="S80" s="1135" t="str">
        <f>'Таблиця цін схема №2'!EZ4</f>
        <v>13</v>
      </c>
      <c r="T80" s="522"/>
      <c r="U80" s="523"/>
      <c r="V80" s="1135">
        <f>'Таблиця цін схема №2'!FE4</f>
        <v>14</v>
      </c>
      <c r="W80" s="522"/>
      <c r="X80" s="522"/>
      <c r="Y80" s="522"/>
      <c r="Z80" s="523"/>
      <c r="AA80" s="1135">
        <f>'Таблиця цін схема №2'!FL4</f>
        <v>31</v>
      </c>
      <c r="AB80" s="522"/>
      <c r="AC80" s="522"/>
      <c r="AD80" s="522"/>
      <c r="AE80" s="523"/>
      <c r="AF80" s="1135">
        <f>'Таблиця цін схема №2'!FS4</f>
        <v>16</v>
      </c>
      <c r="AG80" s="522"/>
      <c r="AH80" s="523"/>
      <c r="AI80" s="1135">
        <f>'Таблиця цін схема №2'!FX4</f>
        <v>15.33</v>
      </c>
      <c r="AJ80" s="523"/>
      <c r="AK80" s="1135" t="str">
        <f>'Таблиця цін схема №2'!GB4</f>
        <v>30</v>
      </c>
      <c r="AL80" s="522"/>
      <c r="AM80" s="523"/>
      <c r="AN80" s="1135">
        <f>'Таблиця цін схема №2'!GG4</f>
        <v>34</v>
      </c>
      <c r="AO80" s="523"/>
      <c r="AP80" s="1135">
        <f>'Таблиця цін схема №2'!GK4</f>
        <v>35</v>
      </c>
      <c r="AQ80" s="523"/>
      <c r="AR80" s="1135">
        <f>'Таблиця цін схема №2'!GO4</f>
        <v>36</v>
      </c>
      <c r="AS80" s="523"/>
      <c r="AT80" s="1135">
        <f>'Таблиця цін схема №2'!GS4</f>
        <v>37</v>
      </c>
      <c r="AU80" s="523"/>
      <c r="AV80" s="1135">
        <f>'Таблиця цін схема №2'!GW4</f>
        <v>38</v>
      </c>
      <c r="AW80" s="523"/>
      <c r="AX80" s="1135">
        <f>'Таблиця цін схема №2'!HA4</f>
        <v>43</v>
      </c>
      <c r="AY80" s="523"/>
      <c r="AZ80" s="1135">
        <f>'Таблиця цін схема №2'!HE4</f>
        <v>42</v>
      </c>
      <c r="BA80" s="523"/>
      <c r="BB80" s="1135">
        <f>'Таблиця цін схема №2'!HI4</f>
        <v>44</v>
      </c>
      <c r="BC80" s="523"/>
      <c r="BD80" s="1135">
        <f>'Таблиця цін схема №2'!HM4</f>
        <v>45</v>
      </c>
      <c r="BE80" s="523"/>
    </row>
    <row r="81" spans="1:57">
      <c r="A81" s="1134"/>
      <c r="B81" s="1143"/>
      <c r="C81" s="47" t="str">
        <f>'Таблиця цін схема №2'!DT5</f>
        <v>DN, mm</v>
      </c>
      <c r="D81" s="380" t="str">
        <f>'Таблиця цін схема №2'!DU5</f>
        <v>number</v>
      </c>
      <c r="E81" s="47" t="str">
        <f>'Таблиця цін схема №2'!DX5</f>
        <v>DN, mm</v>
      </c>
      <c r="F81" s="380" t="str">
        <f>'Таблиця цін схема №2'!DY5</f>
        <v>number</v>
      </c>
      <c r="G81" s="47" t="str">
        <f>'Таблиця цін схема №2'!EB5</f>
        <v>DN, mm</v>
      </c>
      <c r="H81" s="380" t="str">
        <f>'Таблиця цін схема №2'!EC5</f>
        <v>number</v>
      </c>
      <c r="I81" s="47" t="str">
        <f>'Таблиця цін схема №2'!EF5</f>
        <v>DN, mm</v>
      </c>
      <c r="J81" s="380" t="str">
        <f>'Таблиця цін схема №2'!EG5</f>
        <v>number</v>
      </c>
      <c r="K81" s="47" t="str">
        <f>'Таблиця цін схема №2'!EJ5</f>
        <v>DN, mm</v>
      </c>
      <c r="L81" s="380" t="str">
        <f>'Таблиця цін схема №2'!EK5</f>
        <v>number</v>
      </c>
      <c r="M81" s="47" t="str">
        <f>'Таблиця цін схема №2'!EN5</f>
        <v>DN, mm</v>
      </c>
      <c r="N81" s="380" t="str">
        <f>'Таблиця цін схема №2'!EO5</f>
        <v>number</v>
      </c>
      <c r="O81" s="47" t="str">
        <f>'Таблиця цін схема №2'!ER5</f>
        <v>DN, mm</v>
      </c>
      <c r="P81" s="380" t="str">
        <f>'Таблиця цін схема №2'!ES5</f>
        <v>number</v>
      </c>
      <c r="Q81" s="47" t="str">
        <f>'Таблиця цін схема №2'!EV5</f>
        <v>DN, mm</v>
      </c>
      <c r="R81" s="380" t="str">
        <f>'Таблиця цін схема №2'!EW5</f>
        <v>number</v>
      </c>
      <c r="S81" s="47" t="str">
        <f>'Таблиця цін схема №2'!EZ5</f>
        <v>DN calc., mm</v>
      </c>
      <c r="T81" s="379" t="str">
        <f>'Таблиця цін схема №2'!FA5</f>
        <v>DN, mm</v>
      </c>
      <c r="U81" s="380" t="str">
        <f>'Таблиця цін схема №2'!FB5</f>
        <v>number</v>
      </c>
      <c r="V81" s="47" t="str">
        <f>'Таблиця цін схема №2'!FE5</f>
        <v>G, m3/h</v>
      </c>
      <c r="W81" s="379" t="str">
        <f>'Таблиця цін схема №2'!FF5</f>
        <v>Number of floors</v>
      </c>
      <c r="X81" s="379" t="str">
        <f>'Таблиця цін схема №2'!FG5</f>
        <v>H, m.w.c.</v>
      </c>
      <c r="Y81" s="379" t="str">
        <f>'Таблиця цін схема №2'!FH5</f>
        <v>pump model</v>
      </c>
      <c r="Z81" s="380" t="str">
        <f>'Таблиця цін схема №2'!FI5</f>
        <v>number</v>
      </c>
      <c r="AA81" s="47" t="str">
        <f>'Таблиця цін схема №2'!FL5</f>
        <v>G, m3/h</v>
      </c>
      <c r="AB81" s="379" t="str">
        <f>'Таблиця цін схема №2'!FM5</f>
        <v>Number of floors</v>
      </c>
      <c r="AC81" s="379" t="str">
        <f>'Таблиця цін схема №2'!FN5</f>
        <v>H, m.w.c.</v>
      </c>
      <c r="AD81" s="379" t="str">
        <f>'Таблиця цін схема №2'!FO5</f>
        <v>pump model</v>
      </c>
      <c r="AE81" s="380" t="str">
        <f>'Таблиця цін схема №2'!FP5</f>
        <v>number</v>
      </c>
      <c r="AF81" s="47" t="str">
        <f>'Таблиця цін схема №2'!FS5</f>
        <v>Kvs, m3/h</v>
      </c>
      <c r="AG81" s="379" t="str">
        <f>'Таблиця цін схема №2'!FT5</f>
        <v>DN, mm</v>
      </c>
      <c r="AH81" s="380" t="str">
        <f>'Таблиця цін схема №2'!FU5</f>
        <v>number</v>
      </c>
      <c r="AI81" s="47" t="str">
        <f>'Таблиця цін схема №2'!FX5</f>
        <v>DN, mm</v>
      </c>
      <c r="AJ81" s="380" t="str">
        <f>'Таблиця цін схема №2'!FY5</f>
        <v>number</v>
      </c>
      <c r="AK81" s="47" t="str">
        <f>'Таблиця цін схема №2'!GB5</f>
        <v>DN, mm</v>
      </c>
      <c r="AL81" s="379" t="str">
        <f>'Таблиця цін схема №2'!GC5</f>
        <v>Qн, m3/h</v>
      </c>
      <c r="AM81" s="380" t="str">
        <f>'Таблиця цін схема №2'!GD5</f>
        <v>number</v>
      </c>
      <c r="AN81" s="47" t="str">
        <f>'Таблиця цін схема №2'!GG5</f>
        <v>DN, mm</v>
      </c>
      <c r="AO81" s="380" t="str">
        <f>'Таблиця цін схема №2'!GH5</f>
        <v>number</v>
      </c>
      <c r="AP81" s="47" t="str">
        <f>'Таблиця цін схема №2'!GK5</f>
        <v>measurement</v>
      </c>
      <c r="AQ81" s="380" t="str">
        <f>'Таблиця цін схема №2'!GL5</f>
        <v>number</v>
      </c>
      <c r="AR81" s="47" t="str">
        <f>'Таблиця цін схема №2'!GO5</f>
        <v>measurement</v>
      </c>
      <c r="AS81" s="380" t="str">
        <f>'Таблиця цін схема №2'!GP5</f>
        <v>number</v>
      </c>
      <c r="AT81" s="47" t="str">
        <f>'Таблиця цін схема №2'!GS5</f>
        <v>measurement</v>
      </c>
      <c r="AU81" s="380" t="str">
        <f>'Таблиця цін схема №2'!GT5</f>
        <v>number</v>
      </c>
      <c r="AV81" s="47" t="str">
        <f>'Таблиця цін схема №2'!GW5</f>
        <v>measurement</v>
      </c>
      <c r="AW81" s="380" t="str">
        <f>'Таблиця цін схема №2'!GX5</f>
        <v>number</v>
      </c>
      <c r="AX81" s="47"/>
      <c r="AY81" s="380" t="str">
        <f>'Таблиця цін схема №2'!HB5</f>
        <v>number</v>
      </c>
      <c r="AZ81" s="47" t="str">
        <f>'Таблиця цін схема №2'!HE5</f>
        <v>Р</v>
      </c>
      <c r="BA81" s="380" t="str">
        <f>'Таблиця цін схема №2'!HF5</f>
        <v>number</v>
      </c>
      <c r="BB81" s="47" t="str">
        <f>'Таблиця цін схема №2'!HI5</f>
        <v>T</v>
      </c>
      <c r="BC81" s="380" t="str">
        <f>'Таблиця цін схема №2'!HJ5</f>
        <v>number</v>
      </c>
      <c r="BD81" s="47" t="str">
        <f>'Таблиця цін схема №2'!HM5</f>
        <v>Т1</v>
      </c>
      <c r="BE81" s="380" t="str">
        <f>'Таблиця цін схема №2'!HN5</f>
        <v>number</v>
      </c>
    </row>
    <row r="82" spans="1:57" ht="13.5" thickBot="1">
      <c r="A82" s="1134"/>
      <c r="B82" s="1143"/>
      <c r="C82" s="49"/>
      <c r="D82" s="7" t="str">
        <f>'Таблиця цін схема №2'!DU6</f>
        <v>pcs.</v>
      </c>
      <c r="E82" s="49"/>
      <c r="F82" s="7" t="str">
        <f>'Таблиця цін схема №2'!DY6</f>
        <v>pcs.</v>
      </c>
      <c r="G82" s="49"/>
      <c r="H82" s="7" t="str">
        <f>'Таблиця цін схема №2'!EC6</f>
        <v>pcs.</v>
      </c>
      <c r="I82" s="49"/>
      <c r="J82" s="7" t="str">
        <f>'Таблиця цін схема №2'!EG6</f>
        <v>pcs.</v>
      </c>
      <c r="K82" s="49"/>
      <c r="L82" s="7" t="str">
        <f>'Таблиця цін схема №2'!EK6</f>
        <v>pcs.</v>
      </c>
      <c r="M82" s="49"/>
      <c r="N82" s="7" t="str">
        <f>'Таблиця цін схема №2'!EO6</f>
        <v>pcs.</v>
      </c>
      <c r="O82" s="49"/>
      <c r="P82" s="7" t="str">
        <f>'Таблиця цін схема №2'!ES6</f>
        <v>pcs.</v>
      </c>
      <c r="Q82" s="49"/>
      <c r="R82" s="7" t="str">
        <f>'Таблиця цін схема №2'!EW6</f>
        <v>pcs.</v>
      </c>
      <c r="S82" s="49"/>
      <c r="T82" s="43"/>
      <c r="U82" s="7" t="str">
        <f>'Таблиця цін схема №2'!FB6</f>
        <v>pcs.</v>
      </c>
      <c r="V82" s="49"/>
      <c r="W82" s="43"/>
      <c r="X82" s="43"/>
      <c r="Y82" s="43">
        <f>'Таблиця цін схема №2'!FH6</f>
        <v>0</v>
      </c>
      <c r="Z82" s="7" t="str">
        <f>'Таблиця цін схема №2'!FI6</f>
        <v>pcs.</v>
      </c>
      <c r="AA82" s="49"/>
      <c r="AB82" s="43"/>
      <c r="AC82" s="43"/>
      <c r="AD82" s="43"/>
      <c r="AE82" s="7" t="str">
        <f>'Таблиця цін схема №2'!FP6</f>
        <v>pcs.</v>
      </c>
      <c r="AF82" s="49"/>
      <c r="AG82" s="43"/>
      <c r="AH82" s="7" t="str">
        <f>'Таблиця цін схема №2'!FU6</f>
        <v>pcs.</v>
      </c>
      <c r="AI82" s="49"/>
      <c r="AJ82" s="7" t="str">
        <f>'Таблиця цін схема №2'!FY6</f>
        <v>pcs.</v>
      </c>
      <c r="AK82" s="49"/>
      <c r="AL82" s="43"/>
      <c r="AM82" s="7" t="str">
        <f>'Таблиця цін схема №2'!GD6</f>
        <v>pcs.</v>
      </c>
      <c r="AN82" s="49"/>
      <c r="AO82" s="7" t="str">
        <f>'Таблиця цін схема №2'!GH6</f>
        <v>pcs.</v>
      </c>
      <c r="AP82" s="49" t="str">
        <f>'Таблиця цін схема №2'!GK6</f>
        <v>range,°С</v>
      </c>
      <c r="AQ82" s="7" t="str">
        <f>'Таблиця цін схема №2'!GL6</f>
        <v>pcs.</v>
      </c>
      <c r="AR82" s="49" t="str">
        <f>'Таблиця цін схема №2'!GO6</f>
        <v>range,°С</v>
      </c>
      <c r="AS82" s="7" t="str">
        <f>'Таблиця цін схема №2'!GP6</f>
        <v>pcs.</v>
      </c>
      <c r="AT82" s="49" t="str">
        <f>'Таблиця цін схема №2'!GS6</f>
        <v>range, MPa</v>
      </c>
      <c r="AU82" s="7" t="str">
        <f>'Таблиця цін схема №2'!GT6</f>
        <v>pcs.</v>
      </c>
      <c r="AV82" s="49" t="str">
        <f>'Таблиця цін схема №2'!GW6</f>
        <v>range, MPa</v>
      </c>
      <c r="AW82" s="7" t="str">
        <f>'Таблиця цін схема №2'!GX6</f>
        <v>pcs.</v>
      </c>
      <c r="AX82" s="49"/>
      <c r="AY82" s="7" t="str">
        <f>'Таблиця цін схема №2'!HB6</f>
        <v>pcs.</v>
      </c>
      <c r="AZ82" s="49"/>
      <c r="BA82" s="7" t="str">
        <f>'Таблиця цін схема №2'!HF6</f>
        <v>pcs.</v>
      </c>
      <c r="BB82" s="49"/>
      <c r="BC82" s="7" t="str">
        <f>'Таблиця цін схема №2'!HJ6</f>
        <v>pcs.</v>
      </c>
      <c r="BD82" s="49"/>
      <c r="BE82" s="7" t="str">
        <f>'Таблиця цін схема №2'!HN6</f>
        <v>pcs.</v>
      </c>
    </row>
    <row r="83" spans="1:57">
      <c r="A83" s="84">
        <v>5</v>
      </c>
      <c r="B83" s="1170" t="s">
        <v>880</v>
      </c>
      <c r="C83" s="1137">
        <f>'Таблиця цін схема №2'!DT8</f>
        <v>32</v>
      </c>
      <c r="D83" s="1120">
        <f>'Таблиця цін схема №2'!DU8</f>
        <v>1</v>
      </c>
      <c r="E83" s="1119">
        <f>'Таблиця цін схема №2'!DX8</f>
        <v>80</v>
      </c>
      <c r="F83" s="1120">
        <f>'Таблиця цін схема №2'!DY8</f>
        <v>1</v>
      </c>
      <c r="G83" s="1119">
        <f>'Таблиця цін схема №2'!EB8</f>
        <v>80</v>
      </c>
      <c r="H83" s="1120">
        <f>'Таблиця цін схема №2'!EC8</f>
        <v>2</v>
      </c>
      <c r="I83" s="1119">
        <f>'Таблиця цін схема №2'!EF8</f>
        <v>50</v>
      </c>
      <c r="J83" s="1120">
        <f>'Таблиця цін схема №2'!EG8</f>
        <v>1</v>
      </c>
      <c r="K83" s="1119">
        <f>'Таблиця цін схема №2'!EJ8</f>
        <v>32</v>
      </c>
      <c r="L83" s="1120">
        <f>'Таблиця цін схема №2'!EK8</f>
        <v>1</v>
      </c>
      <c r="M83" s="1119">
        <f>'Таблиця цін схема №2'!EN8</f>
        <v>65</v>
      </c>
      <c r="N83" s="1120">
        <f>'Таблиця цін схема №2'!EO8</f>
        <v>4</v>
      </c>
      <c r="O83" s="1119">
        <f>'Таблиця цін схема №2'!ER8</f>
        <v>50</v>
      </c>
      <c r="P83" s="1120">
        <f>'Таблиця цін схема №2'!ES8</f>
        <v>1</v>
      </c>
      <c r="Q83" s="1119">
        <f>'Таблиця цін схема №2'!EV8</f>
        <v>32</v>
      </c>
      <c r="R83" s="1120">
        <f>'Таблиця цін схема №2'!EW8</f>
        <v>1</v>
      </c>
      <c r="S83" s="1132">
        <f>'Таблиця цін схема №2'!EZ8</f>
        <v>32.036694586052413</v>
      </c>
      <c r="T83" s="1">
        <f>'Таблиця цін схема №2'!FA8</f>
        <v>32</v>
      </c>
      <c r="U83" s="1120">
        <f>'Таблиця цін схема №2'!FB8</f>
        <v>2</v>
      </c>
      <c r="V83" s="1133">
        <f>'Таблиця цін схема №2'!FE8</f>
        <v>16.540956340956342</v>
      </c>
      <c r="W83" s="1">
        <f>'Таблиця цін схема №2'!FF8</f>
        <v>9</v>
      </c>
      <c r="X83" s="1">
        <f>'Таблиця цін схема №2'!FG8</f>
        <v>8</v>
      </c>
      <c r="Y83" s="1150" t="str">
        <f>'Таблиця цін схема №2'!FH8</f>
        <v>Yonos MAXO 40/0,5-16 PN 6/10</v>
      </c>
      <c r="Z83" s="1120">
        <f>'Таблиця цін схема №2'!FI8</f>
        <v>2</v>
      </c>
      <c r="AA83" s="1133">
        <f>'Таблиця цін схема №2'!FL8</f>
        <v>2.2137931034482761</v>
      </c>
      <c r="AB83" s="1">
        <f>'Таблиця цін схема №2'!FM8</f>
        <v>9</v>
      </c>
      <c r="AC83" s="1">
        <f>'Таблиця цін схема №2'!FN8</f>
        <v>9</v>
      </c>
      <c r="AD83" s="1150" t="str">
        <f>'Таблиця цін схема №2'!FO8</f>
        <v>TOP-Z 25/10 3- PN 10</v>
      </c>
      <c r="AE83" s="1120">
        <f>'Таблиця цін схема №2'!FP8</f>
        <v>1</v>
      </c>
      <c r="AF83" s="1119">
        <f>'Таблиця цін схема №2'!FS8</f>
        <v>22.36</v>
      </c>
      <c r="AG83" s="1">
        <f>'Таблиця цін схема №2'!FT8</f>
        <v>40</v>
      </c>
      <c r="AH83" s="1120">
        <f>'Таблиця цін схема №2'!FU8</f>
        <v>2</v>
      </c>
      <c r="AI83" s="1119">
        <f>'Таблиця цін схема №2'!FX8</f>
        <v>15</v>
      </c>
      <c r="AJ83" s="1120">
        <f>'Таблиця цін схема №2'!FY8</f>
        <v>2</v>
      </c>
      <c r="AK83" s="1119">
        <f>'Таблиця цін схема №2'!GB8</f>
        <v>40</v>
      </c>
      <c r="AL83" s="1">
        <f>'Таблиця цін схема №2'!GC8</f>
        <v>15</v>
      </c>
      <c r="AM83" s="1120">
        <f>'Таблиця цін схема №2'!GD8</f>
        <v>1</v>
      </c>
      <c r="AN83" s="1119">
        <f>'Таблиця цін схема №2'!GG8</f>
        <v>50</v>
      </c>
      <c r="AO83" s="1120">
        <f>'Таблиця цін схема №2'!GH8</f>
        <v>1</v>
      </c>
      <c r="AP83" s="1119" t="str">
        <f>'Таблиця цін схема №2'!GK8</f>
        <v>0-150</v>
      </c>
      <c r="AQ83" s="1120">
        <f>'Таблиця цін схема №2'!GL8</f>
        <v>1</v>
      </c>
      <c r="AR83" s="1119" t="str">
        <f>'Таблиця цін схема №2'!GO8</f>
        <v>0-120</v>
      </c>
      <c r="AS83" s="1120">
        <f>'Таблиця цін схема №2'!GP8</f>
        <v>5</v>
      </c>
      <c r="AT83" s="1119" t="str">
        <f>'Таблиця цін схема №2'!GS8</f>
        <v>0-1,6</v>
      </c>
      <c r="AU83" s="1120">
        <f>'Таблиця цін схема №2'!GT8</f>
        <v>5</v>
      </c>
      <c r="AV83" s="1119" t="str">
        <f>'Таблиця цін схема №2'!GW8</f>
        <v>0-1,0</v>
      </c>
      <c r="AW83" s="1120">
        <f>'Таблиця цін схема №2'!GX8</f>
        <v>13</v>
      </c>
      <c r="AX83" s="1119" t="str">
        <f>'Таблиця цін схема №2'!HA8</f>
        <v>PSM01</v>
      </c>
      <c r="AY83" s="1120">
        <f>'Таблиця цін схема №2'!HB8</f>
        <v>4</v>
      </c>
      <c r="AZ83" s="1119" t="str">
        <f>'Таблиця цін схема №2'!HE8</f>
        <v>A-10</v>
      </c>
      <c r="BA83" s="1120">
        <f>'Таблиця цін схема №2'!HF8</f>
        <v>6</v>
      </c>
      <c r="BB83" s="1119" t="str">
        <f>'Таблиця цін схема №2'!HI8</f>
        <v>ТСП 1-5</v>
      </c>
      <c r="BC83" s="1120">
        <f>'Таблиця цін схема №2'!HJ8</f>
        <v>7</v>
      </c>
      <c r="BD83" s="1119" t="str">
        <f>'Таблиця цін схема №2'!HM8</f>
        <v>ТСП 2-10Г</v>
      </c>
      <c r="BE83" s="1120">
        <f>'Таблиця цін схема №2'!HN8</f>
        <v>1</v>
      </c>
    </row>
    <row r="84" spans="1:57">
      <c r="A84" s="73">
        <v>13</v>
      </c>
      <c r="B84" s="1171" t="s">
        <v>886</v>
      </c>
      <c r="C84" s="525">
        <f>'Таблиця цін схема №2'!DT9</f>
        <v>20</v>
      </c>
      <c r="D84" s="380">
        <f>'Таблиця цін схема №2'!DU9</f>
        <v>1</v>
      </c>
      <c r="E84" s="47">
        <f>'Таблиця цін схема №2'!DX9</f>
        <v>50</v>
      </c>
      <c r="F84" s="380">
        <f>'Таблиця цін схема №2'!DY9</f>
        <v>1</v>
      </c>
      <c r="G84" s="47">
        <f>'Таблиця цін схема №2'!EB9</f>
        <v>50</v>
      </c>
      <c r="H84" s="380">
        <f>'Таблиця цін схема №2'!EC9</f>
        <v>2</v>
      </c>
      <c r="I84" s="47">
        <f>'Таблиця цін схема №2'!EF9</f>
        <v>32</v>
      </c>
      <c r="J84" s="380">
        <f>'Таблиця цін схема №2'!EG9</f>
        <v>1</v>
      </c>
      <c r="K84" s="47">
        <f>'Таблиця цін схема №2'!EJ9</f>
        <v>20</v>
      </c>
      <c r="L84" s="380">
        <f>'Таблиця цін схема №2'!EK9</f>
        <v>1</v>
      </c>
      <c r="M84" s="47">
        <f>'Таблиця цін схема №2'!EN9</f>
        <v>32</v>
      </c>
      <c r="N84" s="380">
        <f>'Таблиця цін схема №2'!EO9</f>
        <v>4</v>
      </c>
      <c r="O84" s="47">
        <f>'Таблиця цін схема №2'!ER9</f>
        <v>32</v>
      </c>
      <c r="P84" s="380">
        <f>'Таблиця цін схема №2'!ES9</f>
        <v>1</v>
      </c>
      <c r="Q84" s="47">
        <f>'Таблиця цін схема №2'!EV9</f>
        <v>20</v>
      </c>
      <c r="R84" s="380">
        <f>'Таблиця цін схема №2'!EW9</f>
        <v>1</v>
      </c>
      <c r="S84" s="1127">
        <f>'Таблиця цін схема №2'!EZ9</f>
        <v>19.770432468714485</v>
      </c>
      <c r="T84" s="379">
        <f>'Таблиця цін схема №2'!FA9</f>
        <v>20</v>
      </c>
      <c r="U84" s="380">
        <f>'Таблиця цін схема №2'!FB9</f>
        <v>2</v>
      </c>
      <c r="V84" s="1129">
        <f>'Таблиця цін схема №2'!FE9</f>
        <v>6.2993762993762994</v>
      </c>
      <c r="W84" s="379">
        <f>'Таблиця цін схема №2'!FF9</f>
        <v>9</v>
      </c>
      <c r="X84" s="379">
        <f>'Таблиця цін схема №2'!FG9</f>
        <v>8</v>
      </c>
      <c r="Y84" s="1144" t="str">
        <f>'Таблиця цін схема №2'!FH9</f>
        <v>Yonos MAXO 25/0,5-12 PN 10</v>
      </c>
      <c r="Z84" s="380">
        <f>'Таблиця цін схема №2'!FI9</f>
        <v>2</v>
      </c>
      <c r="AA84" s="1129">
        <f>'Таблиця цін схема №2'!FL9</f>
        <v>0.79716024340770797</v>
      </c>
      <c r="AB84" s="379">
        <f>'Таблиця цін схема №2'!FM9</f>
        <v>9</v>
      </c>
      <c r="AC84" s="379">
        <f>'Таблиця цін схема №2'!FN9</f>
        <v>9</v>
      </c>
      <c r="AD84" s="1144" t="str">
        <f>'Таблиця цін схема №2'!FO9</f>
        <v>TOP-Z 25/10 3- PN 10</v>
      </c>
      <c r="AE84" s="380">
        <f>'Таблиця цін схема №2'!FP9</f>
        <v>1</v>
      </c>
      <c r="AF84" s="47">
        <f>'Таблиця цін схема №2'!FS9</f>
        <v>5.83</v>
      </c>
      <c r="AG84" s="379">
        <f>'Таблиця цін схема №2'!FT9</f>
        <v>25</v>
      </c>
      <c r="AH84" s="380">
        <f>'Таблиця цін схема №2'!FU9</f>
        <v>2</v>
      </c>
      <c r="AI84" s="47">
        <f>'Таблиця цін схема №2'!FX9</f>
        <v>15</v>
      </c>
      <c r="AJ84" s="380">
        <f>'Таблиця цін схема №2'!FY9</f>
        <v>2</v>
      </c>
      <c r="AK84" s="47">
        <f>'Таблиця цін схема №2'!GB9</f>
        <v>25</v>
      </c>
      <c r="AL84" s="379">
        <f>'Таблиця цін схема №2'!GC9</f>
        <v>3.5</v>
      </c>
      <c r="AM84" s="380">
        <f>'Таблиця цін схема №2'!GD9</f>
        <v>1</v>
      </c>
      <c r="AN84" s="47">
        <f>'Таблиця цін схема №2'!GG9</f>
        <v>32</v>
      </c>
      <c r="AO84" s="380">
        <f>'Таблиця цін схема №2'!GH9</f>
        <v>1</v>
      </c>
      <c r="AP84" s="47" t="str">
        <f>'Таблиця цін схема №2'!GK9</f>
        <v>0-150</v>
      </c>
      <c r="AQ84" s="380">
        <f>'Таблиця цін схема №2'!GL9</f>
        <v>1</v>
      </c>
      <c r="AR84" s="47" t="str">
        <f>'Таблиця цін схема №2'!GO9</f>
        <v>0-120</v>
      </c>
      <c r="AS84" s="380">
        <f>'Таблиця цін схема №2'!GP9</f>
        <v>1</v>
      </c>
      <c r="AT84" s="47" t="str">
        <f>'Таблиця цін схема №2'!GS9</f>
        <v>0-1,6</v>
      </c>
      <c r="AU84" s="380">
        <f>'Таблиця цін схема №2'!GT9</f>
        <v>3</v>
      </c>
      <c r="AV84" s="47" t="str">
        <f>'Таблиця цін схема №2'!GW9</f>
        <v>0-1,0</v>
      </c>
      <c r="AW84" s="380">
        <f>'Таблиця цін схема №2'!GX9</f>
        <v>13</v>
      </c>
      <c r="AX84" s="47" t="str">
        <f>'Таблиця цін схема №2'!HA9</f>
        <v>PSM01</v>
      </c>
      <c r="AY84" s="380">
        <f>'Таблиця цін схема №2'!HB9</f>
        <v>4</v>
      </c>
      <c r="AZ84" s="47" t="str">
        <f>'Таблиця цін схема №2'!HE9</f>
        <v>A-10</v>
      </c>
      <c r="BA84" s="380">
        <f>'Таблиця цін схема №2'!HF9</f>
        <v>6</v>
      </c>
      <c r="BB84" s="47" t="str">
        <f>'Таблиця цін схема №2'!HI9</f>
        <v>ТСП 1-5</v>
      </c>
      <c r="BC84" s="380">
        <f>'Таблиця цін схема №2'!HJ9</f>
        <v>7</v>
      </c>
      <c r="BD84" s="47" t="str">
        <f>'Таблиця цін схема №2'!HM9</f>
        <v>ТСП 2-10Г</v>
      </c>
      <c r="BE84" s="380">
        <f>'Таблиця цін схема №2'!HN9</f>
        <v>1</v>
      </c>
    </row>
    <row r="85" spans="1:57">
      <c r="A85" s="73">
        <v>14</v>
      </c>
      <c r="B85" s="1171" t="s">
        <v>887</v>
      </c>
      <c r="C85" s="525">
        <f>'Таблиця цін схема №2'!DT10</f>
        <v>20</v>
      </c>
      <c r="D85" s="380">
        <f>'Таблиця цін схема №2'!DU10</f>
        <v>1</v>
      </c>
      <c r="E85" s="47">
        <f>'Таблиця цін схема №2'!DX10</f>
        <v>50</v>
      </c>
      <c r="F85" s="380">
        <f>'Таблиця цін схема №2'!DY10</f>
        <v>1</v>
      </c>
      <c r="G85" s="47">
        <f>'Таблиця цін схема №2'!EB10</f>
        <v>50</v>
      </c>
      <c r="H85" s="380">
        <f>'Таблиця цін схема №2'!EC10</f>
        <v>2</v>
      </c>
      <c r="I85" s="47">
        <f>'Таблиця цін схема №2'!EF10</f>
        <v>32</v>
      </c>
      <c r="J85" s="380">
        <f>'Таблиця цін схема №2'!EG10</f>
        <v>1</v>
      </c>
      <c r="K85" s="47">
        <f>'Таблиця цін схема №2'!EJ10</f>
        <v>20</v>
      </c>
      <c r="L85" s="380">
        <f>'Таблиця цін схема №2'!EK10</f>
        <v>1</v>
      </c>
      <c r="M85" s="47">
        <f>'Таблиця цін схема №2'!EN10</f>
        <v>50</v>
      </c>
      <c r="N85" s="380">
        <f>'Таблиця цін схема №2'!EO10</f>
        <v>2</v>
      </c>
      <c r="O85" s="47">
        <f>'Таблиця цін схема №2'!ER10</f>
        <v>32</v>
      </c>
      <c r="P85" s="380">
        <f>'Таблиця цін схема №2'!ES10</f>
        <v>1</v>
      </c>
      <c r="Q85" s="47">
        <f>'Таблиця цін схема №2'!EV10</f>
        <v>20</v>
      </c>
      <c r="R85" s="380">
        <f>'Таблиця цін схема №2'!EW10</f>
        <v>1</v>
      </c>
      <c r="S85" s="1127">
        <f>'Таблиця цін схема №2'!EZ10</f>
        <v>20.569880894161734</v>
      </c>
      <c r="T85" s="379">
        <f>'Таблиця цін схема №2'!FA10</f>
        <v>20</v>
      </c>
      <c r="U85" s="380">
        <f>'Таблиця цін схема №2'!FB10</f>
        <v>2</v>
      </c>
      <c r="V85" s="1129">
        <f>'Таблиця цін схема №2'!FE10</f>
        <v>6.8191268191268186</v>
      </c>
      <c r="W85" s="379">
        <f>'Таблиця цін схема №2'!FF10</f>
        <v>9</v>
      </c>
      <c r="X85" s="379">
        <f>'Таблиця цін схема №2'!FG10</f>
        <v>8</v>
      </c>
      <c r="Y85" s="1144" t="str">
        <f>'Таблиця цін схема №2'!FH10</f>
        <v>Yonos MAXO 25/0,5-12 PN 10</v>
      </c>
      <c r="Z85" s="380">
        <f>'Таблиця цін схема №2'!FI10</f>
        <v>2</v>
      </c>
      <c r="AA85" s="1129">
        <f>'Таблиця цін схема №2'!FL10</f>
        <v>0.79716024340770797</v>
      </c>
      <c r="AB85" s="379">
        <f>'Таблиця цін схема №2'!FM10</f>
        <v>9</v>
      </c>
      <c r="AC85" s="379">
        <f>'Таблиця цін схема №2'!FN10</f>
        <v>9</v>
      </c>
      <c r="AD85" s="1144" t="str">
        <f>'Таблиця цін схема №2'!FO10</f>
        <v>TOP-Z 25/10 3- PN 10</v>
      </c>
      <c r="AE85" s="380">
        <f>'Таблиця цін схема №2'!FP10</f>
        <v>1</v>
      </c>
      <c r="AF85" s="47">
        <f>'Таблиця цін схема №2'!FS10</f>
        <v>22.36</v>
      </c>
      <c r="AG85" s="379">
        <f>'Таблиця цін схема №2'!FT10</f>
        <v>40</v>
      </c>
      <c r="AH85" s="517" t="s">
        <v>115</v>
      </c>
      <c r="AI85" s="47">
        <f>'Таблиця цін схема №2'!FX10</f>
        <v>15</v>
      </c>
      <c r="AJ85" s="380">
        <f>'Таблиця цін схема №2'!FY10</f>
        <v>2</v>
      </c>
      <c r="AK85" s="47">
        <f>'Таблиця цін схема №2'!GB10</f>
        <v>25</v>
      </c>
      <c r="AL85" s="379">
        <f>'Таблиця цін схема №2'!GC10</f>
        <v>3.5</v>
      </c>
      <c r="AM85" s="380">
        <f>'Таблиця цін схема №2'!GD10</f>
        <v>1</v>
      </c>
      <c r="AN85" s="47">
        <f>'Таблиця цін схема №2'!GG10</f>
        <v>32</v>
      </c>
      <c r="AO85" s="380">
        <f>'Таблиця цін схема №2'!GH10</f>
        <v>1</v>
      </c>
      <c r="AP85" s="47" t="str">
        <f>'Таблиця цін схема №2'!GK10</f>
        <v>0-150</v>
      </c>
      <c r="AQ85" s="380">
        <f>'Таблиця цін схема №2'!GL10</f>
        <v>1</v>
      </c>
      <c r="AR85" s="47" t="str">
        <f>'Таблиця цін схема №2'!GO10</f>
        <v>0-120</v>
      </c>
      <c r="AS85" s="380">
        <f>'Таблиця цін схема №2'!GP10</f>
        <v>1</v>
      </c>
      <c r="AT85" s="47" t="str">
        <f>'Таблиця цін схема №2'!GS10</f>
        <v>0-1,6</v>
      </c>
      <c r="AU85" s="380">
        <f>'Таблиця цін схема №2'!GT10</f>
        <v>3</v>
      </c>
      <c r="AV85" s="47" t="str">
        <f>'Таблиця цін схема №2'!GW10</f>
        <v>0-1,0</v>
      </c>
      <c r="AW85" s="380">
        <f>'Таблиця цін схема №2'!GX10</f>
        <v>11</v>
      </c>
      <c r="AX85" s="47" t="str">
        <f>'Таблиця цін схема №2'!HA10</f>
        <v>PSM01</v>
      </c>
      <c r="AY85" s="380">
        <f>'Таблиця цін схема №2'!HB10</f>
        <v>4</v>
      </c>
      <c r="AZ85" s="47" t="str">
        <f>'Таблиця цін схема №2'!HE10</f>
        <v>A-10</v>
      </c>
      <c r="BA85" s="380">
        <f>'Таблиця цін схема №2'!HF10</f>
        <v>6</v>
      </c>
      <c r="BB85" s="47" t="str">
        <f>'Таблиця цін схема №2'!HI10</f>
        <v>ТСП 1-5</v>
      </c>
      <c r="BC85" s="380">
        <f>'Таблиця цін схема №2'!HJ10</f>
        <v>7</v>
      </c>
      <c r="BD85" s="47" t="str">
        <f>'Таблиця цін схема №2'!HM10</f>
        <v>ТСП 2-10Г</v>
      </c>
      <c r="BE85" s="380">
        <f>'Таблиця цін схема №2'!HN10</f>
        <v>1</v>
      </c>
    </row>
    <row r="86" spans="1:57">
      <c r="A86" s="73">
        <v>15</v>
      </c>
      <c r="B86" s="1171" t="s">
        <v>888</v>
      </c>
      <c r="C86" s="525">
        <f>'Таблиця цін схема №2'!DT11</f>
        <v>20</v>
      </c>
      <c r="D86" s="380">
        <f>'Таблиця цін схема №2'!DU11</f>
        <v>1</v>
      </c>
      <c r="E86" s="47">
        <f>'Таблиця цін схема №2'!DX11</f>
        <v>50</v>
      </c>
      <c r="F86" s="380">
        <f>'Таблиця цін схема №2'!DY11</f>
        <v>1</v>
      </c>
      <c r="G86" s="47">
        <f>'Таблиця цін схема №2'!EB11</f>
        <v>50</v>
      </c>
      <c r="H86" s="380">
        <f>'Таблиця цін схема №2'!EC11</f>
        <v>2</v>
      </c>
      <c r="I86" s="47">
        <f>'Таблиця цін схема №2'!EF11</f>
        <v>32</v>
      </c>
      <c r="J86" s="380">
        <f>'Таблиця цін схема №2'!EG11</f>
        <v>1</v>
      </c>
      <c r="K86" s="47">
        <f>'Таблиця цін схема №2'!EJ11</f>
        <v>20</v>
      </c>
      <c r="L86" s="380">
        <f>'Таблиця цін схема №2'!EK11</f>
        <v>1</v>
      </c>
      <c r="M86" s="47">
        <f>'Таблиця цін схема №2'!EN11</f>
        <v>32</v>
      </c>
      <c r="N86" s="380">
        <f>'Таблиця цін схема №2'!EO11</f>
        <v>4</v>
      </c>
      <c r="O86" s="47">
        <f>'Таблиця цін схема №2'!ER11</f>
        <v>32</v>
      </c>
      <c r="P86" s="380">
        <f>'Таблиця цін схема №2'!ES11</f>
        <v>1</v>
      </c>
      <c r="Q86" s="47">
        <f>'Таблиця цін схема №2'!EV11</f>
        <v>20</v>
      </c>
      <c r="R86" s="380">
        <f>'Таблиця цін схема №2'!EW11</f>
        <v>1</v>
      </c>
      <c r="S86" s="1127">
        <f>'Таблиця цін схема №2'!EZ11</f>
        <v>19.770432468714485</v>
      </c>
      <c r="T86" s="379">
        <f>'Таблиця цін схема №2'!FA11</f>
        <v>20</v>
      </c>
      <c r="U86" s="380">
        <f>'Таблиця цін схема №2'!FB11</f>
        <v>2</v>
      </c>
      <c r="V86" s="1129">
        <f>'Таблиця цін схема №2'!FE11</f>
        <v>6.2993762993762994</v>
      </c>
      <c r="W86" s="379">
        <f>'Таблиця цін схема №2'!FF11</f>
        <v>9</v>
      </c>
      <c r="X86" s="379">
        <f>'Таблиця цін схема №2'!FG11</f>
        <v>8</v>
      </c>
      <c r="Y86" s="1144" t="str">
        <f>'Таблиця цін схема №2'!FH11</f>
        <v>Yonos MAXO 25/0,5-12 PN 10</v>
      </c>
      <c r="Z86" s="380">
        <f>'Таблиця цін схема №2'!FI11</f>
        <v>2</v>
      </c>
      <c r="AA86" s="1129">
        <f>'Таблиця цін схема №2'!FL11</f>
        <v>0.79716024340770797</v>
      </c>
      <c r="AB86" s="379">
        <f>'Таблиця цін схема №2'!FM11</f>
        <v>9</v>
      </c>
      <c r="AC86" s="379">
        <f>'Таблиця цін схема №2'!FN11</f>
        <v>9</v>
      </c>
      <c r="AD86" s="1144" t="str">
        <f>'Таблиця цін схема №2'!FO11</f>
        <v>TOP-Z 25/10 3- PN 10</v>
      </c>
      <c r="AE86" s="380">
        <f>'Таблиця цін схема №2'!FP11</f>
        <v>1</v>
      </c>
      <c r="AF86" s="47">
        <f>'Таблиця цін схема №2'!FS11</f>
        <v>5.83</v>
      </c>
      <c r="AG86" s="379">
        <f>'Таблиця цін схема №2'!FT11</f>
        <v>25</v>
      </c>
      <c r="AH86" s="380">
        <f>'Таблиця цін схема №2'!FU11</f>
        <v>2</v>
      </c>
      <c r="AI86" s="47">
        <f>'Таблиця цін схема №2'!FX11</f>
        <v>15</v>
      </c>
      <c r="AJ86" s="380">
        <f>'Таблиця цін схема №2'!FY11</f>
        <v>2</v>
      </c>
      <c r="AK86" s="47">
        <f>'Таблиця цін схема №2'!GB11</f>
        <v>25</v>
      </c>
      <c r="AL86" s="379">
        <f>'Таблиця цін схема №2'!GC11</f>
        <v>3.5</v>
      </c>
      <c r="AM86" s="380">
        <f>'Таблиця цін схема №2'!GD11</f>
        <v>1</v>
      </c>
      <c r="AN86" s="47">
        <f>'Таблиця цін схема №2'!GG11</f>
        <v>32</v>
      </c>
      <c r="AO86" s="380">
        <f>'Таблиця цін схема №2'!GH11</f>
        <v>1</v>
      </c>
      <c r="AP86" s="47" t="str">
        <f>'Таблиця цін схема №2'!GK11</f>
        <v>0-150</v>
      </c>
      <c r="AQ86" s="380">
        <f>'Таблиця цін схема №2'!GL11</f>
        <v>1</v>
      </c>
      <c r="AR86" s="47" t="str">
        <f>'Таблиця цін схема №2'!GO11</f>
        <v>0-120</v>
      </c>
      <c r="AS86" s="380">
        <f>'Таблиця цін схема №2'!GP11</f>
        <v>5</v>
      </c>
      <c r="AT86" s="47" t="str">
        <f>'Таблиця цін схема №2'!GS11</f>
        <v>0-1,6</v>
      </c>
      <c r="AU86" s="380">
        <f>'Таблиця цін схема №2'!GT11</f>
        <v>5</v>
      </c>
      <c r="AV86" s="47" t="str">
        <f>'Таблиця цін схема №2'!GW11</f>
        <v>0-1,0</v>
      </c>
      <c r="AW86" s="380">
        <f>'Таблиця цін схема №2'!GX11</f>
        <v>13</v>
      </c>
      <c r="AX86" s="47" t="str">
        <f>'Таблиця цін схема №2'!HA11</f>
        <v>PSM01</v>
      </c>
      <c r="AY86" s="380">
        <f>'Таблиця цін схема №2'!HB11</f>
        <v>4</v>
      </c>
      <c r="AZ86" s="47" t="str">
        <f>'Таблиця цін схема №2'!HE11</f>
        <v>A-10</v>
      </c>
      <c r="BA86" s="380">
        <f>'Таблиця цін схема №2'!HF11</f>
        <v>6</v>
      </c>
      <c r="BB86" s="47" t="str">
        <f>'Таблиця цін схема №2'!HI11</f>
        <v>ТСП 1-5</v>
      </c>
      <c r="BC86" s="380">
        <f>'Таблиця цін схема №2'!HJ11</f>
        <v>7</v>
      </c>
      <c r="BD86" s="47" t="str">
        <f>'Таблиця цін схема №2'!HM11</f>
        <v>ТСП 2-10Г</v>
      </c>
      <c r="BE86" s="380">
        <f>'Таблиця цін схема №2'!HN11</f>
        <v>1</v>
      </c>
    </row>
    <row r="87" spans="1:57">
      <c r="A87" s="73">
        <v>16</v>
      </c>
      <c r="B87" s="1171" t="s">
        <v>889</v>
      </c>
      <c r="C87" s="525">
        <f>'Таблиця цін схема №2'!DT12</f>
        <v>32</v>
      </c>
      <c r="D87" s="380">
        <f>'Таблиця цін схема №2'!DU12</f>
        <v>1</v>
      </c>
      <c r="E87" s="47">
        <f>'Таблиця цін схема №2'!DX12</f>
        <v>80</v>
      </c>
      <c r="F87" s="380">
        <f>'Таблиця цін схема №2'!DY12</f>
        <v>1</v>
      </c>
      <c r="G87" s="47">
        <f>'Таблиця цін схема №2'!EB12</f>
        <v>80</v>
      </c>
      <c r="H87" s="380">
        <f>'Таблиця цін схема №2'!EC12</f>
        <v>2</v>
      </c>
      <c r="I87" s="47">
        <f>'Таблиця цін схема №2'!EF12</f>
        <v>50</v>
      </c>
      <c r="J87" s="380">
        <f>'Таблиця цін схема №2'!EG12</f>
        <v>1</v>
      </c>
      <c r="K87" s="47">
        <f>'Таблиця цін схема №2'!EJ12</f>
        <v>32</v>
      </c>
      <c r="L87" s="380">
        <f>'Таблиця цін схема №2'!EK12</f>
        <v>1</v>
      </c>
      <c r="M87" s="47">
        <f>'Таблиця цін схема №2'!EN12</f>
        <v>80</v>
      </c>
      <c r="N87" s="380">
        <f>'Таблиця цін схема №2'!EO12</f>
        <v>2</v>
      </c>
      <c r="O87" s="47">
        <f>'Таблиця цін схема №2'!ER12</f>
        <v>50</v>
      </c>
      <c r="P87" s="380">
        <f>'Таблиця цін схема №2'!ES12</f>
        <v>1</v>
      </c>
      <c r="Q87" s="47">
        <f>'Таблиця цін схема №2'!EV12</f>
        <v>32</v>
      </c>
      <c r="R87" s="380">
        <f>'Таблиця цін схема №2'!EW12</f>
        <v>1</v>
      </c>
      <c r="S87" s="1127">
        <f>'Таблиця цін схема №2'!EZ12</f>
        <v>30.370215672596068</v>
      </c>
      <c r="T87" s="379">
        <f>'Таблиця цін схема №2'!FA12</f>
        <v>32</v>
      </c>
      <c r="U87" s="380">
        <f>'Таблиця цін схема №2'!FB12</f>
        <v>2</v>
      </c>
      <c r="V87" s="1129">
        <f>'Таблиця цін схема №2'!FE12</f>
        <v>14.864864864864865</v>
      </c>
      <c r="W87" s="379">
        <f>'Таблиця цін схема №2'!FF12</f>
        <v>5</v>
      </c>
      <c r="X87" s="379">
        <f>'Таблиця цін схема №2'!FG12</f>
        <v>5</v>
      </c>
      <c r="Y87" s="1144" t="str">
        <f>'Таблиця цін схема №2'!FH12</f>
        <v>Yonos MAXO 40/0,5-12 PN 6/10</v>
      </c>
      <c r="Z87" s="380">
        <f>'Таблиця цін схема №2'!FI12</f>
        <v>2</v>
      </c>
      <c r="AA87" s="1129">
        <f>'Таблиця цін схема №2'!FL12</f>
        <v>1.8864097363083163</v>
      </c>
      <c r="AB87" s="379">
        <f>'Таблиця цін схема №2'!FM12</f>
        <v>5</v>
      </c>
      <c r="AC87" s="379">
        <f>'Таблиця цін схема №2'!FN12</f>
        <v>6</v>
      </c>
      <c r="AD87" s="1144" t="str">
        <f>'Таблиця цін схема №2'!FO12</f>
        <v>TOP-Z 25/10 3- PN 10</v>
      </c>
      <c r="AE87" s="380">
        <f>'Таблиця цін схема №2'!FP12</f>
        <v>1</v>
      </c>
      <c r="AF87" s="47">
        <f>'Таблиця цін схема №2'!FS12</f>
        <v>32.15</v>
      </c>
      <c r="AG87" s="379">
        <f>'Таблиця цін схема №2'!FT12</f>
        <v>50</v>
      </c>
      <c r="AH87" s="517" t="s">
        <v>115</v>
      </c>
      <c r="AI87" s="47">
        <f>'Таблиця цін схема №2'!FX12</f>
        <v>15</v>
      </c>
      <c r="AJ87" s="380">
        <f>'Таблиця цін схема №2'!FY12</f>
        <v>2</v>
      </c>
      <c r="AK87" s="47">
        <f>'Таблиця цін схема №2'!GB12</f>
        <v>40</v>
      </c>
      <c r="AL87" s="379">
        <f>'Таблиця цін схема №2'!GC12</f>
        <v>15</v>
      </c>
      <c r="AM87" s="380">
        <f>'Таблиця цін схема №2'!GD12</f>
        <v>1</v>
      </c>
      <c r="AN87" s="47">
        <f>'Таблиця цін схема №2'!GG12</f>
        <v>50</v>
      </c>
      <c r="AO87" s="380">
        <f>'Таблиця цін схема №2'!GH12</f>
        <v>1</v>
      </c>
      <c r="AP87" s="47" t="str">
        <f>'Таблиця цін схема №2'!GK12</f>
        <v>0-150</v>
      </c>
      <c r="AQ87" s="380">
        <f>'Таблиця цін схема №2'!GL12</f>
        <v>1</v>
      </c>
      <c r="AR87" s="47" t="str">
        <f>'Таблиця цін схема №2'!GO12</f>
        <v>0-120</v>
      </c>
      <c r="AS87" s="380">
        <f>'Таблиця цін схема №2'!GP12</f>
        <v>1</v>
      </c>
      <c r="AT87" s="47" t="str">
        <f>'Таблиця цін схема №2'!GS12</f>
        <v>0-1,6</v>
      </c>
      <c r="AU87" s="380">
        <f>'Таблиця цін схема №2'!GT12</f>
        <v>3</v>
      </c>
      <c r="AV87" s="47" t="str">
        <f>'Таблиця цін схема №2'!GW12</f>
        <v>0-1,0</v>
      </c>
      <c r="AW87" s="380">
        <f>'Таблиця цін схема №2'!GX12</f>
        <v>11</v>
      </c>
      <c r="AX87" s="47" t="str">
        <f>'Таблиця цін схема №2'!HA12</f>
        <v>PSM01</v>
      </c>
      <c r="AY87" s="380">
        <f>'Таблиця цін схема №2'!HB12</f>
        <v>4</v>
      </c>
      <c r="AZ87" s="47" t="str">
        <f>'Таблиця цін схема №2'!HE12</f>
        <v>A-10</v>
      </c>
      <c r="BA87" s="380">
        <f>'Таблиця цін схема №2'!HF12</f>
        <v>6</v>
      </c>
      <c r="BB87" s="47" t="str">
        <f>'Таблиця цін схема №2'!HI12</f>
        <v>ТСП 1-5</v>
      </c>
      <c r="BC87" s="380">
        <f>'Таблиця цін схема №2'!HJ12</f>
        <v>7</v>
      </c>
      <c r="BD87" s="47" t="str">
        <f>'Таблиця цін схема №2'!HM12</f>
        <v>ТСП 2-10Г</v>
      </c>
      <c r="BE87" s="380">
        <f>'Таблиця цін схема №2'!HN12</f>
        <v>1</v>
      </c>
    </row>
    <row r="88" spans="1:57">
      <c r="A88" s="73">
        <v>17</v>
      </c>
      <c r="B88" s="1171" t="s">
        <v>890</v>
      </c>
      <c r="C88" s="525">
        <f>'Таблиця цін схема №2'!DT13</f>
        <v>25</v>
      </c>
      <c r="D88" s="380">
        <f>'Таблиця цін схема №2'!DU13</f>
        <v>1</v>
      </c>
      <c r="E88" s="47">
        <f>'Таблиця цін схема №2'!DX13</f>
        <v>65</v>
      </c>
      <c r="F88" s="380">
        <f>'Таблиця цін схема №2'!DY13</f>
        <v>1</v>
      </c>
      <c r="G88" s="47">
        <f>'Таблиця цін схема №2'!EB13</f>
        <v>65</v>
      </c>
      <c r="H88" s="380">
        <f>'Таблиця цін схема №2'!EC13</f>
        <v>2</v>
      </c>
      <c r="I88" s="47">
        <f>'Таблиця цін схема №2'!EF13</f>
        <v>40</v>
      </c>
      <c r="J88" s="380">
        <f>'Таблиця цін схема №2'!EG13</f>
        <v>1</v>
      </c>
      <c r="K88" s="47">
        <f>'Таблиця цін схема №2'!EJ13</f>
        <v>25</v>
      </c>
      <c r="L88" s="380">
        <f>'Таблиця цін схема №2'!EK13</f>
        <v>1</v>
      </c>
      <c r="M88" s="47">
        <f>'Таблиця цін схема №2'!EN13</f>
        <v>65</v>
      </c>
      <c r="N88" s="380">
        <f>'Таблиця цін схема №2'!EO13</f>
        <v>2</v>
      </c>
      <c r="O88" s="47">
        <f>'Таблиця цін схема №2'!ER13</f>
        <v>40</v>
      </c>
      <c r="P88" s="380">
        <f>'Таблиця цін схема №2'!ES13</f>
        <v>1</v>
      </c>
      <c r="Q88" s="47">
        <f>'Таблиця цін схема №2'!EV13</f>
        <v>25</v>
      </c>
      <c r="R88" s="380">
        <f>'Таблиця цін схема №2'!EW13</f>
        <v>1</v>
      </c>
      <c r="S88" s="1127">
        <f>'Таблиця цін схема №2'!EZ13</f>
        <v>26.393180937507324</v>
      </c>
      <c r="T88" s="379">
        <f>'Таблиця цін схема №2'!FA13</f>
        <v>32</v>
      </c>
      <c r="U88" s="380">
        <f>'Таблиця цін схема №2'!FB13</f>
        <v>2</v>
      </c>
      <c r="V88" s="1129">
        <f>'Таблиця цін схема №2'!FE13</f>
        <v>11.226611226611226</v>
      </c>
      <c r="W88" s="379">
        <f>'Таблиця цін схема №2'!FF13</f>
        <v>5</v>
      </c>
      <c r="X88" s="379">
        <f>'Таблиця цін схема №2'!FG13</f>
        <v>5</v>
      </c>
      <c r="Y88" s="1144" t="str">
        <f>'Таблиця цін схема №2'!FH13</f>
        <v>Yonos MAXO 40/0,5-8 PN 6/10</v>
      </c>
      <c r="Z88" s="380">
        <f>'Таблиця цін схема №2'!FI13</f>
        <v>2</v>
      </c>
      <c r="AA88" s="1129">
        <f>'Таблиця цін схема №2'!FL13</f>
        <v>1.460446247464503</v>
      </c>
      <c r="AB88" s="379">
        <f>'Таблиця цін схема №2'!FM13</f>
        <v>5</v>
      </c>
      <c r="AC88" s="379">
        <f>'Таблиця цін схема №2'!FN13</f>
        <v>6</v>
      </c>
      <c r="AD88" s="1144" t="str">
        <f>'Таблиця цін схема №2'!FO13</f>
        <v>TOP-Z 25/10 3- PN 10</v>
      </c>
      <c r="AE88" s="380">
        <f>'Таблиця цін схема №2'!FP13</f>
        <v>1</v>
      </c>
      <c r="AF88" s="47">
        <f>'Таблиця цін схема №2'!FS13</f>
        <v>22.36</v>
      </c>
      <c r="AG88" s="379">
        <f>'Таблиця цін схема №2'!FT13</f>
        <v>40</v>
      </c>
      <c r="AH88" s="517" t="s">
        <v>115</v>
      </c>
      <c r="AI88" s="47">
        <f>'Таблиця цін схема №2'!FX13</f>
        <v>15</v>
      </c>
      <c r="AJ88" s="380">
        <f>'Таблиця цін схема №2'!FY13</f>
        <v>2</v>
      </c>
      <c r="AK88" s="47">
        <f>'Таблиця цін схема №2'!GB13</f>
        <v>32</v>
      </c>
      <c r="AL88" s="379">
        <f>'Таблиця цін схема №2'!GC13</f>
        <v>6</v>
      </c>
      <c r="AM88" s="380">
        <f>'Таблиця цін схема №2'!GD13</f>
        <v>1</v>
      </c>
      <c r="AN88" s="47">
        <f>'Таблиця цін схема №2'!GG13</f>
        <v>40</v>
      </c>
      <c r="AO88" s="380">
        <f>'Таблиця цін схема №2'!GH13</f>
        <v>1</v>
      </c>
      <c r="AP88" s="47" t="str">
        <f>'Таблиця цін схема №2'!GK13</f>
        <v>0-150</v>
      </c>
      <c r="AQ88" s="380">
        <f>'Таблиця цін схема №2'!GL13</f>
        <v>1</v>
      </c>
      <c r="AR88" s="47" t="str">
        <f>'Таблиця цін схема №2'!GO13</f>
        <v>0-120</v>
      </c>
      <c r="AS88" s="380">
        <f>'Таблиця цін схема №2'!GP13</f>
        <v>1</v>
      </c>
      <c r="AT88" s="47" t="str">
        <f>'Таблиця цін схема №2'!GS13</f>
        <v>0-1,6</v>
      </c>
      <c r="AU88" s="380">
        <f>'Таблиця цін схема №2'!GT13</f>
        <v>3</v>
      </c>
      <c r="AV88" s="47" t="str">
        <f>'Таблиця цін схема №2'!GW13</f>
        <v>0-1,0</v>
      </c>
      <c r="AW88" s="380">
        <f>'Таблиця цін схема №2'!GX13</f>
        <v>11</v>
      </c>
      <c r="AX88" s="47" t="str">
        <f>'Таблиця цін схема №2'!HA13</f>
        <v>PSM01</v>
      </c>
      <c r="AY88" s="380">
        <f>'Таблиця цін схема №2'!HB13</f>
        <v>4</v>
      </c>
      <c r="AZ88" s="47" t="str">
        <f>'Таблиця цін схема №2'!HE13</f>
        <v>A-10</v>
      </c>
      <c r="BA88" s="380">
        <f>'Таблиця цін схема №2'!HF13</f>
        <v>6</v>
      </c>
      <c r="BB88" s="47" t="str">
        <f>'Таблиця цін схема №2'!HI13</f>
        <v>ТСП 1-5</v>
      </c>
      <c r="BC88" s="380">
        <f>'Таблиця цін схема №2'!HJ13</f>
        <v>7</v>
      </c>
      <c r="BD88" s="47" t="str">
        <f>'Таблиця цін схема №2'!HM13</f>
        <v>ТСП 2-10Г</v>
      </c>
      <c r="BE88" s="380">
        <f>'Таблиця цін схема №2'!HN13</f>
        <v>1</v>
      </c>
    </row>
    <row r="89" spans="1:57">
      <c r="A89" s="73">
        <v>18</v>
      </c>
      <c r="B89" s="1171" t="s">
        <v>891</v>
      </c>
      <c r="C89" s="525">
        <f>'Таблиця цін схема №2'!DT14</f>
        <v>32</v>
      </c>
      <c r="D89" s="380">
        <f>'Таблиця цін схема №2'!DU14</f>
        <v>1</v>
      </c>
      <c r="E89" s="47">
        <f>'Таблиця цін схема №2'!DX14</f>
        <v>80</v>
      </c>
      <c r="F89" s="380">
        <f>'Таблиця цін схема №2'!DY14</f>
        <v>1</v>
      </c>
      <c r="G89" s="47">
        <f>'Таблиця цін схема №2'!EB14</f>
        <v>80</v>
      </c>
      <c r="H89" s="380">
        <f>'Таблиця цін схема №2'!EC14</f>
        <v>2</v>
      </c>
      <c r="I89" s="47">
        <f>'Таблиця цін схема №2'!EF14</f>
        <v>50</v>
      </c>
      <c r="J89" s="380">
        <f>'Таблиця цін схема №2'!EG14</f>
        <v>1</v>
      </c>
      <c r="K89" s="47">
        <f>'Таблиця цін схема №2'!EJ14</f>
        <v>32</v>
      </c>
      <c r="L89" s="380">
        <f>'Таблиця цін схема №2'!EK14</f>
        <v>1</v>
      </c>
      <c r="M89" s="47">
        <f>'Таблиця цін схема №2'!EN14</f>
        <v>65</v>
      </c>
      <c r="N89" s="380">
        <f>'Таблиця цін схема №2'!EO14</f>
        <v>4</v>
      </c>
      <c r="O89" s="47">
        <f>'Таблиця цін схема №2'!ER14</f>
        <v>50</v>
      </c>
      <c r="P89" s="380">
        <f>'Таблиця цін схема №2'!ES14</f>
        <v>1</v>
      </c>
      <c r="Q89" s="47">
        <f>'Таблиця цін схема №2'!EV14</f>
        <v>32</v>
      </c>
      <c r="R89" s="380">
        <f>'Таблиця цін схема №2'!EW14</f>
        <v>1</v>
      </c>
      <c r="S89" s="1127">
        <f>'Таблиця цін схема №2'!EZ14</f>
        <v>32.372766332212016</v>
      </c>
      <c r="T89" s="379">
        <f>'Таблиця цін схема №2'!FA14</f>
        <v>32</v>
      </c>
      <c r="U89" s="380">
        <f>'Таблиця цін схема №2'!FB14</f>
        <v>2</v>
      </c>
      <c r="V89" s="1129">
        <f>'Таблиця цін схема №2'!FE14</f>
        <v>16.889812889812887</v>
      </c>
      <c r="W89" s="379">
        <f>'Таблиця цін схема №2'!FF14</f>
        <v>9</v>
      </c>
      <c r="X89" s="379">
        <f>'Таблиця цін схема №2'!FG14</f>
        <v>8</v>
      </c>
      <c r="Y89" s="1144" t="str">
        <f>'Таблиця цін схема №2'!FH14</f>
        <v>Yonos MAXO 40/0,5-16 PN 6/10</v>
      </c>
      <c r="Z89" s="380">
        <f>'Таблиця цін схема №2'!FI14</f>
        <v>2</v>
      </c>
      <c r="AA89" s="1129">
        <f>'Таблиця цін схема №2'!FL14</f>
        <v>2.2515212981744424</v>
      </c>
      <c r="AB89" s="379">
        <f>'Таблиця цін схема №2'!FM14</f>
        <v>9</v>
      </c>
      <c r="AC89" s="379">
        <f>'Таблиця цін схема №2'!FN14</f>
        <v>9</v>
      </c>
      <c r="AD89" s="1144" t="str">
        <f>'Таблиця цін схема №2'!FO14</f>
        <v>TOP-Z 25/10 3- PN 10</v>
      </c>
      <c r="AE89" s="380">
        <f>'Таблиця цін схема №2'!FP14</f>
        <v>1</v>
      </c>
      <c r="AF89" s="47">
        <f>'Таблиця цін схема №2'!FS14</f>
        <v>22.36</v>
      </c>
      <c r="AG89" s="379">
        <f>'Таблиця цін схема №2'!FT14</f>
        <v>40</v>
      </c>
      <c r="AH89" s="380">
        <f>'Таблиця цін схема №2'!FU14</f>
        <v>2</v>
      </c>
      <c r="AI89" s="47">
        <f>'Таблиця цін схема №2'!FX14</f>
        <v>15</v>
      </c>
      <c r="AJ89" s="380">
        <f>'Таблиця цін схема №2'!FY14</f>
        <v>2</v>
      </c>
      <c r="AK89" s="47">
        <f>'Таблиця цін схема №2'!GB14</f>
        <v>40</v>
      </c>
      <c r="AL89" s="379">
        <f>'Таблиця цін схема №2'!GC14</f>
        <v>15</v>
      </c>
      <c r="AM89" s="380">
        <f>'Таблиця цін схема №2'!GD14</f>
        <v>1</v>
      </c>
      <c r="AN89" s="47">
        <f>'Таблиця цін схема №2'!GG14</f>
        <v>50</v>
      </c>
      <c r="AO89" s="380">
        <f>'Таблиця цін схема №2'!GH14</f>
        <v>1</v>
      </c>
      <c r="AP89" s="47" t="str">
        <f>'Таблиця цін схема №2'!GK14</f>
        <v>0-150</v>
      </c>
      <c r="AQ89" s="380">
        <f>'Таблиця цін схема №2'!GL14</f>
        <v>1</v>
      </c>
      <c r="AR89" s="47" t="str">
        <f>'Таблиця цін схема №2'!GO14</f>
        <v>0-120</v>
      </c>
      <c r="AS89" s="380">
        <f>'Таблиця цін схема №2'!GP14</f>
        <v>1</v>
      </c>
      <c r="AT89" s="47" t="str">
        <f>'Таблиця цін схема №2'!GS14</f>
        <v>0-1,6</v>
      </c>
      <c r="AU89" s="380">
        <f>'Таблиця цін схема №2'!GT14</f>
        <v>3</v>
      </c>
      <c r="AV89" s="47" t="str">
        <f>'Таблиця цін схема №2'!GW14</f>
        <v>0-1,0</v>
      </c>
      <c r="AW89" s="380">
        <f>'Таблиця цін схема №2'!GX14</f>
        <v>13</v>
      </c>
      <c r="AX89" s="47" t="str">
        <f>'Таблиця цін схема №2'!HA14</f>
        <v>PSM01</v>
      </c>
      <c r="AY89" s="380">
        <f>'Таблиця цін схема №2'!HB14</f>
        <v>4</v>
      </c>
      <c r="AZ89" s="47" t="str">
        <f>'Таблиця цін схема №2'!HE14</f>
        <v>A-10</v>
      </c>
      <c r="BA89" s="380">
        <f>'Таблиця цін схема №2'!HF14</f>
        <v>6</v>
      </c>
      <c r="BB89" s="47" t="str">
        <f>'Таблиця цін схема №2'!HI14</f>
        <v>ТСП 1-5</v>
      </c>
      <c r="BC89" s="380">
        <f>'Таблиця цін схема №2'!HJ14</f>
        <v>7</v>
      </c>
      <c r="BD89" s="47" t="str">
        <f>'Таблиця цін схема №2'!HM14</f>
        <v>ТСП 2-10Г</v>
      </c>
      <c r="BE89" s="380">
        <f>'Таблиця цін схема №2'!HN14</f>
        <v>1</v>
      </c>
    </row>
    <row r="90" spans="1:57">
      <c r="A90" s="73">
        <v>19</v>
      </c>
      <c r="B90" s="1171" t="s">
        <v>892</v>
      </c>
      <c r="C90" s="525">
        <f>'Таблиця цін схема №2'!DT15</f>
        <v>50</v>
      </c>
      <c r="D90" s="380">
        <f>'Таблиця цін схема №2'!DU15</f>
        <v>1</v>
      </c>
      <c r="E90" s="47">
        <f>'Таблиця цін схема №2'!DX15</f>
        <v>100</v>
      </c>
      <c r="F90" s="380">
        <f>'Таблиця цін схема №2'!DY15</f>
        <v>1</v>
      </c>
      <c r="G90" s="47">
        <f>'Таблиця цін схема №2'!EB15</f>
        <v>100</v>
      </c>
      <c r="H90" s="380">
        <f>'Таблиця цін схема №2'!EC15</f>
        <v>2</v>
      </c>
      <c r="I90" s="47">
        <f>'Таблиця цін схема №2'!EF15</f>
        <v>80</v>
      </c>
      <c r="J90" s="380">
        <f>'Таблиця цін схема №2'!EG15</f>
        <v>1</v>
      </c>
      <c r="K90" s="47">
        <f>'Таблиця цін схема №2'!EJ15</f>
        <v>50</v>
      </c>
      <c r="L90" s="380">
        <f>'Таблиця цін схема №2'!EK15</f>
        <v>1</v>
      </c>
      <c r="M90" s="47">
        <f>'Таблиця цін схема №2'!EN15</f>
        <v>40</v>
      </c>
      <c r="N90" s="380">
        <f>'Таблиця цін схема №2'!EO15</f>
        <v>16</v>
      </c>
      <c r="O90" s="47">
        <f>'Таблиця цін схема №2'!ER15</f>
        <v>80</v>
      </c>
      <c r="P90" s="380">
        <f>'Таблиця цін схема №2'!ES15</f>
        <v>1</v>
      </c>
      <c r="Q90" s="47">
        <f>'Таблиця цін схема №2'!EV15</f>
        <v>50</v>
      </c>
      <c r="R90" s="380">
        <f>'Таблиця цін схема №2'!EW15</f>
        <v>1</v>
      </c>
      <c r="S90" s="1127">
        <f>'Таблиця цін схема №2'!EZ15</f>
        <v>45.057762927158286</v>
      </c>
      <c r="T90" s="379">
        <f>'Таблиця цін схема №2'!FA15</f>
        <v>50</v>
      </c>
      <c r="U90" s="380">
        <f>'Таблиця цін схема №2'!FB15</f>
        <v>2</v>
      </c>
      <c r="V90" s="1129">
        <f>'Таблиця цін схема №2'!FE15</f>
        <v>32.719334719334725</v>
      </c>
      <c r="W90" s="379">
        <f>'Таблиця цін схема №2'!FF15</f>
        <v>9</v>
      </c>
      <c r="X90" s="379">
        <f>'Таблиця цін схема №2'!FG15</f>
        <v>8</v>
      </c>
      <c r="Y90" s="1144" t="str">
        <f>'Таблиця цін схема №2'!FH15</f>
        <v>Yonos MAXO 50/0,5-16 PN 6/10</v>
      </c>
      <c r="Z90" s="380">
        <f>'Таблиця цін схема №2'!FI15</f>
        <v>2</v>
      </c>
      <c r="AA90" s="1129">
        <f>'Таблиця цін схема №2'!FL15</f>
        <v>4.1196754563894524</v>
      </c>
      <c r="AB90" s="379">
        <f>'Таблиця цін схема №2'!FM15</f>
        <v>9</v>
      </c>
      <c r="AC90" s="379">
        <f>'Таблиця цін схема №2'!FN15</f>
        <v>9</v>
      </c>
      <c r="AD90" s="1144" t="str">
        <f>'Таблиця цін схема №2'!FO15</f>
        <v>TOP-Z 25/10 3- PN 10</v>
      </c>
      <c r="AE90" s="380">
        <f>'Таблиця цін схема №2'!FP15</f>
        <v>1</v>
      </c>
      <c r="AF90" s="47">
        <f>'Таблиця цін схема №2'!FS15</f>
        <v>11.13</v>
      </c>
      <c r="AG90" s="379">
        <f>'Таблиця цін схема №2'!FT15</f>
        <v>32</v>
      </c>
      <c r="AH90" s="380">
        <f>'Таблиця цін схема №2'!FU15</f>
        <v>8</v>
      </c>
      <c r="AI90" s="47">
        <f>'Таблиця цін схема №2'!FX15</f>
        <v>15</v>
      </c>
      <c r="AJ90" s="380">
        <f>'Таблиця цін схема №2'!FY15</f>
        <v>2</v>
      </c>
      <c r="AK90" s="47">
        <f>'Таблиця цін схема №2'!GB15</f>
        <v>40</v>
      </c>
      <c r="AL90" s="379">
        <f>'Таблиця цін схема №2'!GC15</f>
        <v>15</v>
      </c>
      <c r="AM90" s="380">
        <f>'Таблиця цін схема №2'!GD15</f>
        <v>1</v>
      </c>
      <c r="AN90" s="47">
        <f>'Таблиця цін схема №2'!GG15</f>
        <v>80</v>
      </c>
      <c r="AO90" s="380">
        <f>'Таблиця цін схема №2'!GH15</f>
        <v>1</v>
      </c>
      <c r="AP90" s="47" t="str">
        <f>'Таблиця цін схема №2'!GK15</f>
        <v>0-150</v>
      </c>
      <c r="AQ90" s="380">
        <f>'Таблиця цін схема №2'!GL15</f>
        <v>1</v>
      </c>
      <c r="AR90" s="47" t="str">
        <f>'Таблиця цін схема №2'!GO15</f>
        <v>0-120</v>
      </c>
      <c r="AS90" s="380">
        <f>'Таблиця цін схема №2'!GP15</f>
        <v>5</v>
      </c>
      <c r="AT90" s="47" t="str">
        <f>'Таблиця цін схема №2'!GS15</f>
        <v>0-1,6</v>
      </c>
      <c r="AU90" s="380">
        <f>'Таблиця цін схема №2'!GT15</f>
        <v>5</v>
      </c>
      <c r="AV90" s="47" t="str">
        <f>'Таблиця цін схема №2'!GW15</f>
        <v>0-1,0</v>
      </c>
      <c r="AW90" s="380">
        <f>'Таблиця цін схема №2'!GX15</f>
        <v>19</v>
      </c>
      <c r="AX90" s="47" t="str">
        <f>'Таблиця цін схема №2'!HA15</f>
        <v>PSM01</v>
      </c>
      <c r="AY90" s="380">
        <f>'Таблиця цін схема №2'!HB15</f>
        <v>4</v>
      </c>
      <c r="AZ90" s="47" t="str">
        <f>'Таблиця цін схема №2'!HE15</f>
        <v>A-10</v>
      </c>
      <c r="BA90" s="380">
        <f>'Таблиця цін схема №2'!HF15</f>
        <v>6</v>
      </c>
      <c r="BB90" s="47" t="str">
        <f>'Таблиця цін схема №2'!HI15</f>
        <v>ТСП 1-5</v>
      </c>
      <c r="BC90" s="380">
        <f>'Таблиця цін схема №2'!HJ15</f>
        <v>7</v>
      </c>
      <c r="BD90" s="47" t="str">
        <f>'Таблиця цін схема №2'!HM15</f>
        <v>ТСП 2-10Г</v>
      </c>
      <c r="BE90" s="380">
        <f>'Таблиця цін схема №2'!HN15</f>
        <v>1</v>
      </c>
    </row>
    <row r="91" spans="1:57">
      <c r="A91" s="73">
        <v>32</v>
      </c>
      <c r="B91" s="1171" t="s">
        <v>893</v>
      </c>
      <c r="C91" s="525">
        <f>'Таблиця цін схема №2'!DT16</f>
        <v>50</v>
      </c>
      <c r="D91" s="380">
        <f>'Таблиця цін схема №2'!DU16</f>
        <v>1</v>
      </c>
      <c r="E91" s="47">
        <f>'Таблиця цін схема №2'!DX16</f>
        <v>100</v>
      </c>
      <c r="F91" s="380">
        <f>'Таблиця цін схема №2'!DY16</f>
        <v>1</v>
      </c>
      <c r="G91" s="47">
        <f>'Таблиця цін схема №2'!EB16</f>
        <v>100</v>
      </c>
      <c r="H91" s="380">
        <f>'Таблиця цін схема №2'!EC16</f>
        <v>2</v>
      </c>
      <c r="I91" s="47">
        <f>'Таблиця цін схема №2'!EF16</f>
        <v>80</v>
      </c>
      <c r="J91" s="380">
        <f>'Таблиця цін схема №2'!EG16</f>
        <v>1</v>
      </c>
      <c r="K91" s="47">
        <f>'Таблиця цін схема №2'!EJ16</f>
        <v>50</v>
      </c>
      <c r="L91" s="380">
        <f>'Таблиця цін схема №2'!EK16</f>
        <v>1</v>
      </c>
      <c r="M91" s="47">
        <f>'Таблиця цін схема №2'!EN16</f>
        <v>32</v>
      </c>
      <c r="N91" s="380">
        <f>'Таблиця цін схема №2'!EO16</f>
        <v>20</v>
      </c>
      <c r="O91" s="47">
        <f>'Таблиця цін схема №2'!ER16</f>
        <v>80</v>
      </c>
      <c r="P91" s="380">
        <f>'Таблиця цін схема №2'!ES16</f>
        <v>1</v>
      </c>
      <c r="Q91" s="47">
        <f>'Таблиця цін схема №2'!EV16</f>
        <v>50</v>
      </c>
      <c r="R91" s="380">
        <f>'Таблиця цін схема №2'!EW16</f>
        <v>1</v>
      </c>
      <c r="S91" s="1127">
        <f>'Таблиця цін схема №2'!EZ16</f>
        <v>41.202427112974789</v>
      </c>
      <c r="T91" s="379">
        <f>'Таблиця цін схема №2'!FA16</f>
        <v>50</v>
      </c>
      <c r="U91" s="380">
        <f>'Таблиця цін схема №2'!FB16</f>
        <v>2</v>
      </c>
      <c r="V91" s="1129">
        <f>'Таблиця цін схема №2'!FE16</f>
        <v>27.359667359667359</v>
      </c>
      <c r="W91" s="379">
        <f>'Таблиця цін схема №2'!FF16</f>
        <v>5</v>
      </c>
      <c r="X91" s="379">
        <f>'Таблиця цін схема №2'!FG16</f>
        <v>5</v>
      </c>
      <c r="Y91" s="1144" t="str">
        <f>'Таблиця цін схема №2'!FH16</f>
        <v>Yonos MAXO 65/0,5-12 PN 6/10</v>
      </c>
      <c r="Z91" s="380">
        <f>'Таблиця цін схема №2'!FI16</f>
        <v>2</v>
      </c>
      <c r="AA91" s="1129">
        <f>'Таблиця цін схема №2'!FL16</f>
        <v>4.0162271805273839</v>
      </c>
      <c r="AB91" s="379">
        <f>'Таблиця цін схема №2'!FM16</f>
        <v>5</v>
      </c>
      <c r="AC91" s="379">
        <f>'Таблиця цін схема №2'!FN16</f>
        <v>6</v>
      </c>
      <c r="AD91" s="1144" t="str">
        <f>'Таблиця цін схема №2'!FO16</f>
        <v>TOP-Z 25/10 3- PN 10</v>
      </c>
      <c r="AE91" s="380">
        <f>'Таблиця цін схема №2'!FP16</f>
        <v>1</v>
      </c>
      <c r="AF91" s="47">
        <f>'Таблиця цін схема №2'!FS16</f>
        <v>5.83</v>
      </c>
      <c r="AG91" s="379">
        <f>'Таблиця цін схема №2'!FT16</f>
        <v>25</v>
      </c>
      <c r="AH91" s="380">
        <f>'Таблиця цін схема №2'!FU16</f>
        <v>10</v>
      </c>
      <c r="AI91" s="47">
        <f>'Таблиця цін схема №2'!FX16</f>
        <v>15</v>
      </c>
      <c r="AJ91" s="380">
        <f>'Таблиця цін схема №2'!FY16</f>
        <v>2</v>
      </c>
      <c r="AK91" s="47">
        <f>'Таблиця цін схема №2'!GB16</f>
        <v>40</v>
      </c>
      <c r="AL91" s="379">
        <f>'Таблиця цін схема №2'!GC16</f>
        <v>15</v>
      </c>
      <c r="AM91" s="380">
        <f>'Таблиця цін схема №2'!GD16</f>
        <v>1</v>
      </c>
      <c r="AN91" s="47">
        <f>'Таблиця цін схема №2'!GG16</f>
        <v>80</v>
      </c>
      <c r="AO91" s="380">
        <f>'Таблиця цін схема №2'!GH16</f>
        <v>1</v>
      </c>
      <c r="AP91" s="47" t="str">
        <f>'Таблиця цін схема №2'!GK16</f>
        <v>0-150</v>
      </c>
      <c r="AQ91" s="380">
        <f>'Таблиця цін схема №2'!GL16</f>
        <v>1</v>
      </c>
      <c r="AR91" s="47" t="str">
        <f>'Таблиця цін схема №2'!GO16</f>
        <v>0-120</v>
      </c>
      <c r="AS91" s="380">
        <f>'Таблиця цін схема №2'!GP16</f>
        <v>1</v>
      </c>
      <c r="AT91" s="47" t="str">
        <f>'Таблиця цін схема №2'!GS16</f>
        <v>0-1,6</v>
      </c>
      <c r="AU91" s="380">
        <f>'Таблиця цін схема №2'!GT16</f>
        <v>3</v>
      </c>
      <c r="AV91" s="47" t="str">
        <f>'Таблиця цін схема №2'!GW16</f>
        <v>0-1,0</v>
      </c>
      <c r="AW91" s="380">
        <f>'Таблиця цін схема №2'!GX16</f>
        <v>21</v>
      </c>
      <c r="AX91" s="47" t="str">
        <f>'Таблиця цін схема №2'!HA16</f>
        <v>PSM01</v>
      </c>
      <c r="AY91" s="380">
        <f>'Таблиця цін схема №2'!HB16</f>
        <v>4</v>
      </c>
      <c r="AZ91" s="47" t="str">
        <f>'Таблиця цін схема №2'!HE16</f>
        <v>A-10</v>
      </c>
      <c r="BA91" s="380">
        <f>'Таблиця цін схема №2'!HF16</f>
        <v>6</v>
      </c>
      <c r="BB91" s="47" t="str">
        <f>'Таблиця цін схема №2'!HI16</f>
        <v>ТСП 1-5</v>
      </c>
      <c r="BC91" s="380">
        <f>'Таблиця цін схема №2'!HJ16</f>
        <v>7</v>
      </c>
      <c r="BD91" s="47" t="str">
        <f>'Таблиця цін схема №2'!HM16</f>
        <v>ТСП 2-10Г</v>
      </c>
      <c r="BE91" s="380">
        <f>'Таблиця цін схема №2'!HN16</f>
        <v>1</v>
      </c>
    </row>
    <row r="92" spans="1:57">
      <c r="A92" s="73">
        <v>33</v>
      </c>
      <c r="B92" s="1171" t="s">
        <v>894</v>
      </c>
      <c r="C92" s="525">
        <f>'Таблиця цін схема №2'!DT17</f>
        <v>32</v>
      </c>
      <c r="D92" s="380">
        <f>'Таблиця цін схема №2'!DU17</f>
        <v>1</v>
      </c>
      <c r="E92" s="47">
        <f>'Таблиця цін схема №2'!DX17</f>
        <v>65</v>
      </c>
      <c r="F92" s="380">
        <f>'Таблиця цін схема №2'!DY17</f>
        <v>1</v>
      </c>
      <c r="G92" s="47">
        <f>'Таблиця цін схема №2'!EB17</f>
        <v>65</v>
      </c>
      <c r="H92" s="380">
        <f>'Таблиця цін схема №2'!EC17</f>
        <v>2</v>
      </c>
      <c r="I92" s="47">
        <f>'Таблиця цін схема №2'!EF17</f>
        <v>50</v>
      </c>
      <c r="J92" s="380">
        <f>'Таблиця цін схема №2'!EG17</f>
        <v>1</v>
      </c>
      <c r="K92" s="47">
        <f>'Таблиця цін схема №2'!EJ17</f>
        <v>32</v>
      </c>
      <c r="L92" s="380">
        <f>'Таблиця цін схема №2'!EK17</f>
        <v>1</v>
      </c>
      <c r="M92" s="47">
        <f>'Таблиця цін схема №2'!EN17</f>
        <v>50</v>
      </c>
      <c r="N92" s="380">
        <f>'Таблиця цін схема №2'!EO17</f>
        <v>4</v>
      </c>
      <c r="O92" s="47">
        <f>'Таблиця цін схема №2'!ER17</f>
        <v>50</v>
      </c>
      <c r="P92" s="380">
        <f>'Таблиця цін схема №2'!ES17</f>
        <v>1</v>
      </c>
      <c r="Q92" s="47">
        <f>'Таблиця цін схема №2'!EV17</f>
        <v>32</v>
      </c>
      <c r="R92" s="380">
        <f>'Таблиця цін схема №2'!EW17</f>
        <v>1</v>
      </c>
      <c r="S92" s="1127">
        <f>'Таблиця цін схема №2'!EZ17</f>
        <v>28.843040755093767</v>
      </c>
      <c r="T92" s="379">
        <f>'Таблиця цін схема №2'!FA17</f>
        <v>32</v>
      </c>
      <c r="U92" s="380">
        <f>'Таблиця цін схема №2'!FB17</f>
        <v>2</v>
      </c>
      <c r="V92" s="1129">
        <f>'Таблиця цін схема №2'!FE17</f>
        <v>13.407484407484407</v>
      </c>
      <c r="W92" s="379">
        <f>'Таблиця цін схема №2'!FF17</f>
        <v>9</v>
      </c>
      <c r="X92" s="379">
        <f>'Таблиця цін схема №2'!FG17</f>
        <v>8</v>
      </c>
      <c r="Y92" s="1144" t="str">
        <f>'Таблиця цін схема №2'!FH17</f>
        <v>Yonos MAXO 40/0,5-12 PN 6/10</v>
      </c>
      <c r="Z92" s="380">
        <f>'Таблиця цін схема №2'!FI17</f>
        <v>2</v>
      </c>
      <c r="AA92" s="1129">
        <f>'Таблиця цін схема №2'!FL17</f>
        <v>1.6430020283975661</v>
      </c>
      <c r="AB92" s="379">
        <f>'Таблиця цін схема №2'!FM17</f>
        <v>9</v>
      </c>
      <c r="AC92" s="379">
        <f>'Таблиця цін схема №2'!FN17</f>
        <v>9</v>
      </c>
      <c r="AD92" s="1144" t="str">
        <f>'Таблиця цін схема №2'!FO17</f>
        <v>TOP-Z 25/10 3- PN 10</v>
      </c>
      <c r="AE92" s="380">
        <f>'Таблиця цін схема №2'!FP17</f>
        <v>1</v>
      </c>
      <c r="AF92" s="47">
        <f>'Таблиця цін схема №2'!FS17</f>
        <v>22.36</v>
      </c>
      <c r="AG92" s="379">
        <f>'Таблиця цін схема №2'!FT17</f>
        <v>40</v>
      </c>
      <c r="AH92" s="380">
        <f>'Таблиця цін схема №2'!FU17</f>
        <v>2</v>
      </c>
      <c r="AI92" s="47">
        <f>'Таблиця цін схема №2'!FX17</f>
        <v>15</v>
      </c>
      <c r="AJ92" s="380">
        <f>'Таблиця цін схема №2'!FY17</f>
        <v>2</v>
      </c>
      <c r="AK92" s="47">
        <f>'Таблиця цін схема №2'!GB17</f>
        <v>32</v>
      </c>
      <c r="AL92" s="379">
        <f>'Таблиця цін схема №2'!GC17</f>
        <v>6</v>
      </c>
      <c r="AM92" s="380">
        <f>'Таблиця цін схема №2'!GD17</f>
        <v>1</v>
      </c>
      <c r="AN92" s="47">
        <f>'Таблиця цін схема №2'!GG17</f>
        <v>50</v>
      </c>
      <c r="AO92" s="380">
        <f>'Таблиця цін схема №2'!GH17</f>
        <v>1</v>
      </c>
      <c r="AP92" s="47" t="str">
        <f>'Таблиця цін схема №2'!GK17</f>
        <v>0-150</v>
      </c>
      <c r="AQ92" s="380">
        <f>'Таблиця цін схема №2'!GL17</f>
        <v>1</v>
      </c>
      <c r="AR92" s="47" t="str">
        <f>'Таблиця цін схема №2'!GO17</f>
        <v>0-120</v>
      </c>
      <c r="AS92" s="380">
        <f>'Таблиця цін схема №2'!GP17</f>
        <v>5</v>
      </c>
      <c r="AT92" s="47" t="str">
        <f>'Таблиця цін схема №2'!GS17</f>
        <v>0-1,6</v>
      </c>
      <c r="AU92" s="380">
        <f>'Таблиця цін схема №2'!GT17</f>
        <v>5</v>
      </c>
      <c r="AV92" s="47" t="str">
        <f>'Таблиця цін схема №2'!GW17</f>
        <v>0-1,0</v>
      </c>
      <c r="AW92" s="380">
        <f>'Таблиця цін схема №2'!GX17</f>
        <v>13</v>
      </c>
      <c r="AX92" s="47" t="str">
        <f>'Таблиця цін схема №2'!HA17</f>
        <v>PSM01</v>
      </c>
      <c r="AY92" s="380">
        <f>'Таблиця цін схема №2'!HB17</f>
        <v>4</v>
      </c>
      <c r="AZ92" s="47" t="str">
        <f>'Таблиця цін схема №2'!HE17</f>
        <v>A-10</v>
      </c>
      <c r="BA92" s="380">
        <f>'Таблиця цін схема №2'!HF17</f>
        <v>6</v>
      </c>
      <c r="BB92" s="47" t="str">
        <f>'Таблиця цін схема №2'!HI17</f>
        <v>ТСП 1-5</v>
      </c>
      <c r="BC92" s="380">
        <f>'Таблиця цін схема №2'!HJ17</f>
        <v>7</v>
      </c>
      <c r="BD92" s="47" t="str">
        <f>'Таблиця цін схема №2'!HM17</f>
        <v>ТСП 2-10Г</v>
      </c>
      <c r="BE92" s="380">
        <f>'Таблиця цін схема №2'!HN17</f>
        <v>1</v>
      </c>
    </row>
    <row r="93" spans="1:57">
      <c r="A93" s="73">
        <v>34</v>
      </c>
      <c r="B93" s="1171" t="s">
        <v>895</v>
      </c>
      <c r="C93" s="525">
        <f>'Таблиця цін схема №2'!DT18</f>
        <v>20</v>
      </c>
      <c r="D93" s="380">
        <f>'Таблиця цін схема №2'!DU18</f>
        <v>1</v>
      </c>
      <c r="E93" s="47">
        <f>'Таблиця цін схема №2'!DX18</f>
        <v>50</v>
      </c>
      <c r="F93" s="380">
        <f>'Таблиця цін схема №2'!DY18</f>
        <v>1</v>
      </c>
      <c r="G93" s="47">
        <f>'Таблиця цін схема №2'!EB18</f>
        <v>50</v>
      </c>
      <c r="H93" s="380">
        <f>'Таблиця цін схема №2'!EC18</f>
        <v>2</v>
      </c>
      <c r="I93" s="47">
        <f>'Таблиця цін схема №2'!EF18</f>
        <v>32</v>
      </c>
      <c r="J93" s="380">
        <f>'Таблиця цін схема №2'!EG18</f>
        <v>1</v>
      </c>
      <c r="K93" s="47">
        <f>'Таблиця цін схема №2'!EJ18</f>
        <v>20</v>
      </c>
      <c r="L93" s="380">
        <f>'Таблиця цін схема №2'!EK18</f>
        <v>1</v>
      </c>
      <c r="M93" s="47">
        <f>'Таблиця цін схема №2'!EN18</f>
        <v>50</v>
      </c>
      <c r="N93" s="380">
        <f>'Таблиця цін схема №2'!EO18</f>
        <v>2</v>
      </c>
      <c r="O93" s="47">
        <f>'Таблиця цін схема №2'!ER18</f>
        <v>32</v>
      </c>
      <c r="P93" s="380">
        <f>'Таблиця цін схема №2'!ES18</f>
        <v>1</v>
      </c>
      <c r="Q93" s="47">
        <f>'Таблиця цін схема №2'!EV18</f>
        <v>20</v>
      </c>
      <c r="R93" s="380">
        <f>'Таблиця цін схема №2'!EW18</f>
        <v>1</v>
      </c>
      <c r="S93" s="1127">
        <f>'Таблиця цін схема №2'!EZ18</f>
        <v>21.265521390269271</v>
      </c>
      <c r="T93" s="379">
        <f>'Таблиця цін схема №2'!FA18</f>
        <v>25</v>
      </c>
      <c r="U93" s="380">
        <f>'Таблиця цін схема №2'!FB18</f>
        <v>2</v>
      </c>
      <c r="V93" s="1129">
        <f>'Таблиця цін схема №2'!FE18</f>
        <v>7.2881496881496881</v>
      </c>
      <c r="W93" s="379">
        <f>'Таблиця цін схема №2'!FF18</f>
        <v>9</v>
      </c>
      <c r="X93" s="379">
        <f>'Таблиця цін схема №2'!FG18</f>
        <v>8</v>
      </c>
      <c r="Y93" s="1144" t="str">
        <f>'Таблиця цін схема №2'!FH18</f>
        <v>Yonos MAXO 25/0,5-12 PN 10</v>
      </c>
      <c r="Z93" s="380">
        <f>'Таблиця цін схема №2'!FI18</f>
        <v>2</v>
      </c>
      <c r="AA93" s="1129">
        <f>'Таблиця цін схема №2'!FL18</f>
        <v>0.85192697768762682</v>
      </c>
      <c r="AB93" s="379">
        <f>'Таблиця цін схема №2'!FM18</f>
        <v>9</v>
      </c>
      <c r="AC93" s="379">
        <f>'Таблиця цін схема №2'!FN18</f>
        <v>9</v>
      </c>
      <c r="AD93" s="1144" t="str">
        <f>'Таблиця цін схема №2'!FO18</f>
        <v>TOP-Z 25/10 3- PN 10</v>
      </c>
      <c r="AE93" s="380">
        <f>'Таблиця цін схема №2'!FP18</f>
        <v>1</v>
      </c>
      <c r="AF93" s="47">
        <f>'Таблиця цін схема №2'!FS18</f>
        <v>22.36</v>
      </c>
      <c r="AG93" s="379">
        <f>'Таблиця цін схема №2'!FT18</f>
        <v>40</v>
      </c>
      <c r="AH93" s="517" t="s">
        <v>115</v>
      </c>
      <c r="AI93" s="47">
        <f>'Таблиця цін схема №2'!FX18</f>
        <v>15</v>
      </c>
      <c r="AJ93" s="380">
        <f>'Таблиця цін схема №2'!FY18</f>
        <v>2</v>
      </c>
      <c r="AK93" s="47">
        <f>'Таблиця цін схема №2'!GB18</f>
        <v>25</v>
      </c>
      <c r="AL93" s="379">
        <f>'Таблиця цін схема №2'!GC18</f>
        <v>3.5</v>
      </c>
      <c r="AM93" s="380">
        <f>'Таблиця цін схема №2'!GD18</f>
        <v>1</v>
      </c>
      <c r="AN93" s="47">
        <f>'Таблиця цін схема №2'!GG18</f>
        <v>32</v>
      </c>
      <c r="AO93" s="380">
        <f>'Таблиця цін схема №2'!GH18</f>
        <v>1</v>
      </c>
      <c r="AP93" s="47" t="str">
        <f>'Таблиця цін схема №2'!GK18</f>
        <v>0-150</v>
      </c>
      <c r="AQ93" s="380">
        <f>'Таблиця цін схема №2'!GL18</f>
        <v>1</v>
      </c>
      <c r="AR93" s="47" t="str">
        <f>'Таблиця цін схема №2'!GO18</f>
        <v>0-120</v>
      </c>
      <c r="AS93" s="380">
        <f>'Таблиця цін схема №2'!GP18</f>
        <v>5</v>
      </c>
      <c r="AT93" s="47" t="str">
        <f>'Таблиця цін схема №2'!GS18</f>
        <v>0-1,6</v>
      </c>
      <c r="AU93" s="380">
        <f>'Таблиця цін схема №2'!GT18</f>
        <v>5</v>
      </c>
      <c r="AV93" s="47" t="str">
        <f>'Таблиця цін схема №2'!GW18</f>
        <v>0-1,0</v>
      </c>
      <c r="AW93" s="380">
        <f>'Таблиця цін схема №2'!GX18</f>
        <v>11</v>
      </c>
      <c r="AX93" s="47" t="str">
        <f>'Таблиця цін схема №2'!HA18</f>
        <v>PSM01</v>
      </c>
      <c r="AY93" s="380">
        <f>'Таблиця цін схема №2'!HB18</f>
        <v>4</v>
      </c>
      <c r="AZ93" s="47" t="str">
        <f>'Таблиця цін схема №2'!HE18</f>
        <v>A-10</v>
      </c>
      <c r="BA93" s="380">
        <f>'Таблиця цін схема №2'!HF18</f>
        <v>6</v>
      </c>
      <c r="BB93" s="47" t="str">
        <f>'Таблиця цін схема №2'!HI18</f>
        <v>ТСП 1-5</v>
      </c>
      <c r="BC93" s="380">
        <f>'Таблиця цін схема №2'!HJ18</f>
        <v>7</v>
      </c>
      <c r="BD93" s="47" t="str">
        <f>'Таблиця цін схема №2'!HM18</f>
        <v>ТСП 2-10Г</v>
      </c>
      <c r="BE93" s="380">
        <f>'Таблиця цін схема №2'!HN18</f>
        <v>1</v>
      </c>
    </row>
    <row r="94" spans="1:57">
      <c r="A94" s="73">
        <v>35</v>
      </c>
      <c r="B94" s="1171" t="s">
        <v>896</v>
      </c>
      <c r="C94" s="525">
        <f>'Таблиця цін схема №2'!DT19</f>
        <v>40</v>
      </c>
      <c r="D94" s="380">
        <f>'Таблиця цін схема №2'!DU19</f>
        <v>1</v>
      </c>
      <c r="E94" s="47">
        <f>'Таблиця цін схема №2'!DX19</f>
        <v>100</v>
      </c>
      <c r="F94" s="380">
        <f>'Таблиця цін схема №2'!DY19</f>
        <v>1</v>
      </c>
      <c r="G94" s="47">
        <f>'Таблиця цін схема №2'!EB19</f>
        <v>100</v>
      </c>
      <c r="H94" s="380">
        <f>'Таблиця цін схема №2'!EC19</f>
        <v>2</v>
      </c>
      <c r="I94" s="47">
        <f>'Таблиця цін схема №2'!EF19</f>
        <v>65</v>
      </c>
      <c r="J94" s="380">
        <f>'Таблиця цін схема №2'!EG19</f>
        <v>1</v>
      </c>
      <c r="K94" s="47">
        <f>'Таблиця цін схема №2'!EJ19</f>
        <v>40</v>
      </c>
      <c r="L94" s="380">
        <f>'Таблиця цін схема №2'!EK19</f>
        <v>1</v>
      </c>
      <c r="M94" s="47">
        <f>'Таблиця цін схема №2'!EN19</f>
        <v>32</v>
      </c>
      <c r="N94" s="380">
        <f>'Таблиця цін схема №2'!EO19</f>
        <v>18</v>
      </c>
      <c r="O94" s="47">
        <f>'Таблиця цін схема №2'!ER19</f>
        <v>65</v>
      </c>
      <c r="P94" s="380">
        <f>'Таблиця цін схема №2'!ES19</f>
        <v>1</v>
      </c>
      <c r="Q94" s="47">
        <f>'Таблиця цін схема №2'!EV19</f>
        <v>40</v>
      </c>
      <c r="R94" s="380">
        <f>'Таблиця цін схема №2'!EW19</f>
        <v>1</v>
      </c>
      <c r="S94" s="1127">
        <f>'Таблиця цін схема №2'!EZ19</f>
        <v>37.360139186036236</v>
      </c>
      <c r="T94" s="379">
        <f>'Таблиця цін схема №2'!FA19</f>
        <v>40</v>
      </c>
      <c r="U94" s="380">
        <f>'Таблиця цін схема №2'!FB19</f>
        <v>2</v>
      </c>
      <c r="V94" s="1129">
        <f>'Таблиця цін схема №2'!FE19</f>
        <v>22.494802494802496</v>
      </c>
      <c r="W94" s="379">
        <f>'Таблиця цін схема №2'!FF19</f>
        <v>5</v>
      </c>
      <c r="X94" s="379">
        <f>'Таблиця цін схема №2'!FG19</f>
        <v>5</v>
      </c>
      <c r="Y94" s="1144" t="str">
        <f>'Таблиця цін схема №2'!FH19</f>
        <v>Yonos MAXO 40/0,5-16 PN 6/10</v>
      </c>
      <c r="Z94" s="380">
        <f>'Таблиця цін схема №2'!FI19</f>
        <v>2</v>
      </c>
      <c r="AA94" s="1129">
        <f>'Таблиця цін схема №2'!FL19</f>
        <v>3.1703853955375254</v>
      </c>
      <c r="AB94" s="379">
        <f>'Таблиця цін схема №2'!FM19</f>
        <v>5</v>
      </c>
      <c r="AC94" s="379">
        <f>'Таблиця цін схема №2'!FN19</f>
        <v>6</v>
      </c>
      <c r="AD94" s="1144" t="str">
        <f>'Таблиця цін схема №2'!FO19</f>
        <v>TOP-Z 25/10 3- PN 10</v>
      </c>
      <c r="AE94" s="380">
        <f>'Таблиця цін схема №2'!FP19</f>
        <v>1</v>
      </c>
      <c r="AF94" s="47">
        <f>'Таблиця цін схема №2'!FS19</f>
        <v>5.83</v>
      </c>
      <c r="AG94" s="379">
        <f>'Таблиця цін схема №2'!FT19</f>
        <v>25</v>
      </c>
      <c r="AH94" s="380">
        <f>'Таблиця цін схема №2'!FU19</f>
        <v>9</v>
      </c>
      <c r="AI94" s="47">
        <f>'Таблиця цін схема №2'!FX19</f>
        <v>15</v>
      </c>
      <c r="AJ94" s="380">
        <f>'Таблиця цін схема №2'!FY19</f>
        <v>2</v>
      </c>
      <c r="AK94" s="47">
        <f>'Таблиця цін схема №2'!GB19</f>
        <v>40</v>
      </c>
      <c r="AL94" s="379">
        <f>'Таблиця цін схема №2'!GC19</f>
        <v>15</v>
      </c>
      <c r="AM94" s="380">
        <f>'Таблиця цін схема №2'!GD19</f>
        <v>1</v>
      </c>
      <c r="AN94" s="47">
        <f>'Таблиця цін схема №2'!GG19</f>
        <v>65</v>
      </c>
      <c r="AO94" s="380">
        <f>'Таблиця цін схема №2'!GH19</f>
        <v>1</v>
      </c>
      <c r="AP94" s="47" t="str">
        <f>'Таблиця цін схема №2'!GK19</f>
        <v>0-150</v>
      </c>
      <c r="AQ94" s="380">
        <f>'Таблиця цін схема №2'!GL19</f>
        <v>1</v>
      </c>
      <c r="AR94" s="47" t="str">
        <f>'Таблиця цін схема №2'!GO19</f>
        <v>0-120</v>
      </c>
      <c r="AS94" s="380">
        <f>'Таблиця цін схема №2'!GP19</f>
        <v>5</v>
      </c>
      <c r="AT94" s="47" t="str">
        <f>'Таблиця цін схема №2'!GS19</f>
        <v>0-1,6</v>
      </c>
      <c r="AU94" s="380">
        <f>'Таблиця цін схема №2'!GT19</f>
        <v>5</v>
      </c>
      <c r="AV94" s="47" t="str">
        <f>'Таблиця цін схема №2'!GW19</f>
        <v>0-1,0</v>
      </c>
      <c r="AW94" s="380">
        <f>'Таблиця цін схема №2'!GX19</f>
        <v>20</v>
      </c>
      <c r="AX94" s="47" t="str">
        <f>'Таблиця цін схема №2'!HA19</f>
        <v>PSM01</v>
      </c>
      <c r="AY94" s="380">
        <f>'Таблиця цін схема №2'!HB19</f>
        <v>4</v>
      </c>
      <c r="AZ94" s="47" t="str">
        <f>'Таблиця цін схема №2'!HE19</f>
        <v>A-10</v>
      </c>
      <c r="BA94" s="380">
        <f>'Таблиця цін схема №2'!HF19</f>
        <v>6</v>
      </c>
      <c r="BB94" s="47" t="str">
        <f>'Таблиця цін схема №2'!HI19</f>
        <v>ТСП 1-5</v>
      </c>
      <c r="BC94" s="380">
        <f>'Таблиця цін схема №2'!HJ19</f>
        <v>7</v>
      </c>
      <c r="BD94" s="47" t="str">
        <f>'Таблиця цін схема №2'!HM19</f>
        <v>ТСП 2-10Г</v>
      </c>
      <c r="BE94" s="380">
        <f>'Таблиця цін схема №2'!HN19</f>
        <v>1</v>
      </c>
    </row>
    <row r="95" spans="1:57">
      <c r="A95" s="73">
        <v>36</v>
      </c>
      <c r="B95" s="1171" t="s">
        <v>897</v>
      </c>
      <c r="C95" s="525">
        <f>'Таблиця цін схема №2'!DT20</f>
        <v>40</v>
      </c>
      <c r="D95" s="380">
        <f>'Таблиця цін схема №2'!DU20</f>
        <v>1</v>
      </c>
      <c r="E95" s="47">
        <f>'Таблиця цін схема №2'!DX20</f>
        <v>100</v>
      </c>
      <c r="F95" s="380">
        <f>'Таблиця цін схема №2'!DY20</f>
        <v>1</v>
      </c>
      <c r="G95" s="47">
        <f>'Таблиця цін схема №2'!EB20</f>
        <v>100</v>
      </c>
      <c r="H95" s="380">
        <f>'Таблиця цін схема №2'!EC20</f>
        <v>2</v>
      </c>
      <c r="I95" s="47">
        <f>'Таблиця цін схема №2'!EF20</f>
        <v>65</v>
      </c>
      <c r="J95" s="380">
        <f>'Таблиця цін схема №2'!EG20</f>
        <v>1</v>
      </c>
      <c r="K95" s="47">
        <f>'Таблиця цін схема №2'!EJ20</f>
        <v>40</v>
      </c>
      <c r="L95" s="380">
        <f>'Таблиця цін схема №2'!EK20</f>
        <v>1</v>
      </c>
      <c r="M95" s="47">
        <f>'Таблиця цін схема №2'!EN20</f>
        <v>40</v>
      </c>
      <c r="N95" s="380">
        <f>'Таблиця цін схема №2'!EO20</f>
        <v>12</v>
      </c>
      <c r="O95" s="47">
        <f>'Таблиця цін схема №2'!ER20</f>
        <v>65</v>
      </c>
      <c r="P95" s="380">
        <f>'Таблиця цін схема №2'!ES20</f>
        <v>1</v>
      </c>
      <c r="Q95" s="47">
        <f>'Таблиця цін схема №2'!EV20</f>
        <v>40</v>
      </c>
      <c r="R95" s="380">
        <f>'Таблиця цін схема №2'!EW20</f>
        <v>1</v>
      </c>
      <c r="S95" s="1127">
        <f>'Таблиця цін схема №2'!EZ20</f>
        <v>41.503768503594941</v>
      </c>
      <c r="T95" s="379">
        <f>'Таблиця цін схема №2'!FA20</f>
        <v>50</v>
      </c>
      <c r="U95" s="380">
        <f>'Таблиця цін схема №2'!FB20</f>
        <v>2</v>
      </c>
      <c r="V95" s="1129">
        <f>'Таблиця цін схема №2'!FE20</f>
        <v>27.761330561330563</v>
      </c>
      <c r="W95" s="379">
        <f>'Таблиця цін схема №2'!FF20</f>
        <v>9</v>
      </c>
      <c r="X95" s="379">
        <f>'Таблиця цін схема №2'!FG20</f>
        <v>8</v>
      </c>
      <c r="Y95" s="1144" t="str">
        <f>'Таблиця цін схема №2'!FH20</f>
        <v>Yonos MAXO 50/0,5-16 PN 6/10</v>
      </c>
      <c r="Z95" s="380">
        <f>'Таблиця цін схема №2'!FI20</f>
        <v>2</v>
      </c>
      <c r="AA95" s="1129">
        <f>'Таблиця цін схема №2'!FL20</f>
        <v>3.3103448275862069</v>
      </c>
      <c r="AB95" s="379">
        <f>'Таблиця цін схема №2'!FM20</f>
        <v>9</v>
      </c>
      <c r="AC95" s="379">
        <f>'Таблиця цін схема №2'!FN20</f>
        <v>9</v>
      </c>
      <c r="AD95" s="1144" t="str">
        <f>'Таблиця цін схема №2'!FO20</f>
        <v>TOP-Z 25/10 3- PN 10</v>
      </c>
      <c r="AE95" s="380">
        <f>'Таблиця цін схема №2'!FP20</f>
        <v>1</v>
      </c>
      <c r="AF95" s="47">
        <f>'Таблиця цін схема №2'!FS20</f>
        <v>11.13</v>
      </c>
      <c r="AG95" s="379">
        <f>'Таблиця цін схема №2'!FT20</f>
        <v>32</v>
      </c>
      <c r="AH95" s="380">
        <f>'Таблиця цін схема №2'!FU20</f>
        <v>6</v>
      </c>
      <c r="AI95" s="47">
        <f>'Таблиця цін схема №2'!FX20</f>
        <v>15</v>
      </c>
      <c r="AJ95" s="380">
        <f>'Таблиця цін схема №2'!FY20</f>
        <v>2</v>
      </c>
      <c r="AK95" s="47">
        <f>'Таблиця цін схема №2'!GB20</f>
        <v>40</v>
      </c>
      <c r="AL95" s="379">
        <f>'Таблиця цін схема №2'!GC20</f>
        <v>15</v>
      </c>
      <c r="AM95" s="380">
        <f>'Таблиця цін схема №2'!GD20</f>
        <v>1</v>
      </c>
      <c r="AN95" s="47">
        <f>'Таблиця цін схема №2'!GG20</f>
        <v>65</v>
      </c>
      <c r="AO95" s="380">
        <f>'Таблиця цін схема №2'!GH20</f>
        <v>1</v>
      </c>
      <c r="AP95" s="47" t="str">
        <f>'Таблиця цін схема №2'!GK20</f>
        <v>0-150</v>
      </c>
      <c r="AQ95" s="380">
        <f>'Таблиця цін схема №2'!GL20</f>
        <v>1</v>
      </c>
      <c r="AR95" s="47" t="str">
        <f>'Таблиця цін схема №2'!GO20</f>
        <v>0-120</v>
      </c>
      <c r="AS95" s="380">
        <f>'Таблиця цін схема №2'!GP20</f>
        <v>5</v>
      </c>
      <c r="AT95" s="47" t="str">
        <f>'Таблиця цін схема №2'!GS20</f>
        <v>0-1,6</v>
      </c>
      <c r="AU95" s="380">
        <f>'Таблиця цін схема №2'!GT20</f>
        <v>5</v>
      </c>
      <c r="AV95" s="47" t="str">
        <f>'Таблиця цін схема №2'!GW20</f>
        <v>0-1,0</v>
      </c>
      <c r="AW95" s="380">
        <f>'Таблиця цін схема №2'!GX20</f>
        <v>17</v>
      </c>
      <c r="AX95" s="47" t="str">
        <f>'Таблиця цін схема №2'!HA20</f>
        <v>PSM01</v>
      </c>
      <c r="AY95" s="380">
        <f>'Таблиця цін схема №2'!HB20</f>
        <v>4</v>
      </c>
      <c r="AZ95" s="47" t="str">
        <f>'Таблиця цін схема №2'!HE20</f>
        <v>A-10</v>
      </c>
      <c r="BA95" s="380">
        <f>'Таблиця цін схема №2'!HF20</f>
        <v>6</v>
      </c>
      <c r="BB95" s="47" t="str">
        <f>'Таблиця цін схема №2'!HI20</f>
        <v>ТСП 1-5</v>
      </c>
      <c r="BC95" s="380">
        <f>'Таблиця цін схема №2'!HJ20</f>
        <v>7</v>
      </c>
      <c r="BD95" s="47" t="str">
        <f>'Таблиця цін схема №2'!HM20</f>
        <v>ТСП 2-10Г</v>
      </c>
      <c r="BE95" s="380">
        <f>'Таблиця цін схема №2'!HN20</f>
        <v>1</v>
      </c>
    </row>
    <row r="96" spans="1:57">
      <c r="A96" s="73">
        <v>37</v>
      </c>
      <c r="B96" s="1171" t="s">
        <v>898</v>
      </c>
      <c r="C96" s="525">
        <f>'Таблиця цін схема №2'!DT21</f>
        <v>40</v>
      </c>
      <c r="D96" s="380">
        <f>'Таблиця цін схема №2'!DU21</f>
        <v>1</v>
      </c>
      <c r="E96" s="47">
        <f>'Таблиця цін схема №2'!DX21</f>
        <v>80</v>
      </c>
      <c r="F96" s="380">
        <f>'Таблиця цін схема №2'!DY21</f>
        <v>1</v>
      </c>
      <c r="G96" s="47">
        <f>'Таблиця цін схема №2'!EB21</f>
        <v>80</v>
      </c>
      <c r="H96" s="380">
        <f>'Таблиця цін схема №2'!EC21</f>
        <v>2</v>
      </c>
      <c r="I96" s="47">
        <f>'Таблиця цін схема №2'!EF21</f>
        <v>65</v>
      </c>
      <c r="J96" s="380">
        <f>'Таблиця цін схема №2'!EG21</f>
        <v>1</v>
      </c>
      <c r="K96" s="47">
        <f>'Таблиця цін схема №2'!EJ21</f>
        <v>40</v>
      </c>
      <c r="L96" s="380">
        <f>'Таблиця цін схема №2'!EK21</f>
        <v>1</v>
      </c>
      <c r="M96" s="47">
        <f>'Таблиця цін схема №2'!EN21</f>
        <v>40</v>
      </c>
      <c r="N96" s="380">
        <f>'Таблиця цін схема №2'!EO21</f>
        <v>8</v>
      </c>
      <c r="O96" s="47">
        <f>'Таблиця цін схема №2'!ER21</f>
        <v>65</v>
      </c>
      <c r="P96" s="380">
        <f>'Таблиця цін схема №2'!ES21</f>
        <v>1</v>
      </c>
      <c r="Q96" s="47">
        <f>'Таблиця цін схема №2'!EV21</f>
        <v>40</v>
      </c>
      <c r="R96" s="380">
        <f>'Таблиця цін схема №2'!EW21</f>
        <v>1</v>
      </c>
      <c r="S96" s="1127">
        <f>'Таблиця цін схема №2'!EZ21</f>
        <v>34.440226480091567</v>
      </c>
      <c r="T96" s="379">
        <f>'Таблиця цін схема №2'!FA21</f>
        <v>40</v>
      </c>
      <c r="U96" s="380">
        <f>'Таблиця цін схема №2'!FB21</f>
        <v>2</v>
      </c>
      <c r="V96" s="1129">
        <f>'Таблиця цін схема №2'!FE21</f>
        <v>19.116008316008315</v>
      </c>
      <c r="W96" s="379">
        <f>'Таблиця цін схема №2'!FF21</f>
        <v>9</v>
      </c>
      <c r="X96" s="379">
        <f>'Таблиця цін схема №2'!FG21</f>
        <v>8</v>
      </c>
      <c r="Y96" s="1144" t="str">
        <f>'Таблиця цін схема №2'!FH21</f>
        <v>Yonos MAXO 40/0,5-16 PN 6/10</v>
      </c>
      <c r="Z96" s="380">
        <f>'Таблиця цін схема №2'!FI21</f>
        <v>2</v>
      </c>
      <c r="AA96" s="1129">
        <f>'Таблиця цін схема №2'!FL21</f>
        <v>2.5588235294117645</v>
      </c>
      <c r="AB96" s="379">
        <f>'Таблиця цін схема №2'!FM21</f>
        <v>9</v>
      </c>
      <c r="AC96" s="379">
        <f>'Таблиця цін схема №2'!FN21</f>
        <v>9</v>
      </c>
      <c r="AD96" s="1144" t="str">
        <f>'Таблиця цін схема №2'!FO21</f>
        <v>TOP-Z 25/10 3- PN 10</v>
      </c>
      <c r="AE96" s="380">
        <f>'Таблиця цін схема №2'!FP21</f>
        <v>1</v>
      </c>
      <c r="AF96" s="47">
        <f>'Таблиця цін схема №2'!FS21</f>
        <v>11.13</v>
      </c>
      <c r="AG96" s="379">
        <f>'Таблиця цін схема №2'!FT21</f>
        <v>32</v>
      </c>
      <c r="AH96" s="380">
        <f>'Таблиця цін схема №2'!FU21</f>
        <v>4</v>
      </c>
      <c r="AI96" s="47">
        <f>'Таблиця цін схема №2'!FX21</f>
        <v>15</v>
      </c>
      <c r="AJ96" s="380">
        <f>'Таблиця цін схема №2'!FY21</f>
        <v>2</v>
      </c>
      <c r="AK96" s="47">
        <f>'Таблиця цін схема №2'!GB21</f>
        <v>40</v>
      </c>
      <c r="AL96" s="379">
        <f>'Таблиця цін схема №2'!GC21</f>
        <v>15</v>
      </c>
      <c r="AM96" s="380">
        <f>'Таблиця цін схема №2'!GD21</f>
        <v>1</v>
      </c>
      <c r="AN96" s="47">
        <f>'Таблиця цін схема №2'!GG21</f>
        <v>65</v>
      </c>
      <c r="AO96" s="380">
        <f>'Таблиця цін схема №2'!GH21</f>
        <v>1</v>
      </c>
      <c r="AP96" s="47" t="str">
        <f>'Таблиця цін схема №2'!GK21</f>
        <v>0-150</v>
      </c>
      <c r="AQ96" s="380">
        <f>'Таблиця цін схема №2'!GL21</f>
        <v>1</v>
      </c>
      <c r="AR96" s="47" t="str">
        <f>'Таблиця цін схема №2'!GO21</f>
        <v>0-120</v>
      </c>
      <c r="AS96" s="380">
        <f>'Таблиця цін схема №2'!GP21</f>
        <v>5</v>
      </c>
      <c r="AT96" s="47" t="str">
        <f>'Таблиця цін схема №2'!GS21</f>
        <v>0-1,6</v>
      </c>
      <c r="AU96" s="380">
        <f>'Таблиця цін схема №2'!GT21</f>
        <v>5</v>
      </c>
      <c r="AV96" s="47" t="str">
        <f>'Таблиця цін схема №2'!GW21</f>
        <v>0-1,0</v>
      </c>
      <c r="AW96" s="380">
        <f>'Таблиця цін схема №2'!GX21</f>
        <v>15</v>
      </c>
      <c r="AX96" s="47" t="str">
        <f>'Таблиця цін схема №2'!HA21</f>
        <v>PSM01</v>
      </c>
      <c r="AY96" s="380">
        <f>'Таблиця цін схема №2'!HB21</f>
        <v>4</v>
      </c>
      <c r="AZ96" s="47" t="str">
        <f>'Таблиця цін схема №2'!HE21</f>
        <v>A-10</v>
      </c>
      <c r="BA96" s="380">
        <f>'Таблиця цін схема №2'!HF21</f>
        <v>6</v>
      </c>
      <c r="BB96" s="47" t="str">
        <f>'Таблиця цін схема №2'!HI21</f>
        <v>ТСП 1-5</v>
      </c>
      <c r="BC96" s="380">
        <f>'Таблиця цін схема №2'!HJ21</f>
        <v>7</v>
      </c>
      <c r="BD96" s="47" t="str">
        <f>'Таблиця цін схема №2'!HM21</f>
        <v>ТСП 2-10Г</v>
      </c>
      <c r="BE96" s="380">
        <f>'Таблиця цін схема №2'!HN21</f>
        <v>1</v>
      </c>
    </row>
    <row r="97" spans="1:57">
      <c r="A97" s="73">
        <v>38</v>
      </c>
      <c r="B97" s="1171" t="s">
        <v>899</v>
      </c>
      <c r="C97" s="525">
        <f>'Таблиця цін схема №2'!DT22</f>
        <v>32</v>
      </c>
      <c r="D97" s="380">
        <f>'Таблиця цін схема №2'!DU22</f>
        <v>1</v>
      </c>
      <c r="E97" s="47">
        <f>'Таблиця цін схема №2'!DX22</f>
        <v>80</v>
      </c>
      <c r="F97" s="380">
        <f>'Таблиця цін схема №2'!DY22</f>
        <v>1</v>
      </c>
      <c r="G97" s="47">
        <f>'Таблиця цін схема №2'!EB22</f>
        <v>80</v>
      </c>
      <c r="H97" s="380">
        <f>'Таблиця цін схема №2'!EC22</f>
        <v>2</v>
      </c>
      <c r="I97" s="47">
        <f>'Таблиця цін схема №2'!EF22</f>
        <v>50</v>
      </c>
      <c r="J97" s="380">
        <f>'Таблиця цін схема №2'!EG22</f>
        <v>1</v>
      </c>
      <c r="K97" s="47">
        <f>'Таблиця цін схема №2'!EJ22</f>
        <v>32</v>
      </c>
      <c r="L97" s="380">
        <f>'Таблиця цін схема №2'!EK22</f>
        <v>1</v>
      </c>
      <c r="M97" s="47">
        <f>'Таблиця цін схема №2'!EN22</f>
        <v>50</v>
      </c>
      <c r="N97" s="380">
        <f>'Таблиця цін схема №2'!EO22</f>
        <v>6</v>
      </c>
      <c r="O97" s="47">
        <f>'Таблиця цін схема №2'!ER22</f>
        <v>50</v>
      </c>
      <c r="P97" s="380">
        <f>'Таблиця цін схема №2'!ES22</f>
        <v>1</v>
      </c>
      <c r="Q97" s="47">
        <f>'Таблиця цін схема №2'!EV22</f>
        <v>32</v>
      </c>
      <c r="R97" s="380">
        <f>'Таблиця цін схема №2'!EW22</f>
        <v>1</v>
      </c>
      <c r="S97" s="1127">
        <f>'Таблиця цін схема №2'!EZ22</f>
        <v>33.454892018955903</v>
      </c>
      <c r="T97" s="379">
        <f>'Таблиця цін схема №2'!FA22</f>
        <v>40</v>
      </c>
      <c r="U97" s="380">
        <f>'Таблиця цін схема №2'!FB22</f>
        <v>2</v>
      </c>
      <c r="V97" s="1129">
        <f>'Таблиця цін схема №2'!FE22</f>
        <v>18.037837837837834</v>
      </c>
      <c r="W97" s="379">
        <f>'Таблиця цін схема №2'!FF22</f>
        <v>9</v>
      </c>
      <c r="X97" s="379">
        <f>'Таблиця цін схема №2'!FG22</f>
        <v>8</v>
      </c>
      <c r="Y97" s="1144" t="str">
        <f>'Таблиця цін схема №2'!FH22</f>
        <v>Yonos MAXO 40/0,5-16 PN 6/10</v>
      </c>
      <c r="Z97" s="380">
        <f>'Таблиця цін схема №2'!FI22</f>
        <v>2</v>
      </c>
      <c r="AA97" s="1129">
        <f>'Таблиця цін схема №2'!FL22</f>
        <v>1.9168356997971601</v>
      </c>
      <c r="AB97" s="379">
        <f>'Таблиця цін схема №2'!FM22</f>
        <v>9</v>
      </c>
      <c r="AC97" s="379">
        <f>'Таблиця цін схема №2'!FN22</f>
        <v>9</v>
      </c>
      <c r="AD97" s="1144" t="str">
        <f>'Таблиця цін схема №2'!FO22</f>
        <v>TOP-Z 25/10 3- PN 10</v>
      </c>
      <c r="AE97" s="380">
        <f>'Таблиця цін схема №2'!FP22</f>
        <v>1</v>
      </c>
      <c r="AF97" s="47">
        <f>'Таблиця цін схема №2'!FS22</f>
        <v>11.13</v>
      </c>
      <c r="AG97" s="379">
        <f>'Таблиця цін схема №2'!FT22</f>
        <v>32</v>
      </c>
      <c r="AH97" s="380">
        <f>'Таблиця цін схема №2'!FU22</f>
        <v>3</v>
      </c>
      <c r="AI97" s="47">
        <f>'Таблиця цін схема №2'!FX22</f>
        <v>15</v>
      </c>
      <c r="AJ97" s="380">
        <f>'Таблиця цін схема №2'!FY22</f>
        <v>2</v>
      </c>
      <c r="AK97" s="47">
        <f>'Таблиця цін схема №2'!GB22</f>
        <v>40</v>
      </c>
      <c r="AL97" s="379">
        <f>'Таблиця цін схема №2'!GC22</f>
        <v>15</v>
      </c>
      <c r="AM97" s="380">
        <f>'Таблиця цін схема №2'!GD22</f>
        <v>1</v>
      </c>
      <c r="AN97" s="47">
        <f>'Таблиця цін схема №2'!GG22</f>
        <v>50</v>
      </c>
      <c r="AO97" s="380">
        <f>'Таблиця цін схема №2'!GH22</f>
        <v>1</v>
      </c>
      <c r="AP97" s="47" t="str">
        <f>'Таблиця цін схема №2'!GK22</f>
        <v>0-150</v>
      </c>
      <c r="AQ97" s="380">
        <f>'Таблиця цін схема №2'!GL22</f>
        <v>1</v>
      </c>
      <c r="AR97" s="47" t="str">
        <f>'Таблиця цін схема №2'!GO22</f>
        <v>0-120</v>
      </c>
      <c r="AS97" s="380">
        <f>'Таблиця цін схема №2'!GP22</f>
        <v>1</v>
      </c>
      <c r="AT97" s="47" t="str">
        <f>'Таблиця цін схема №2'!GS22</f>
        <v>0-1,6</v>
      </c>
      <c r="AU97" s="380">
        <f>'Таблиця цін схема №2'!GT22</f>
        <v>3</v>
      </c>
      <c r="AV97" s="47" t="str">
        <f>'Таблиця цін схема №2'!GW22</f>
        <v>0-1,0</v>
      </c>
      <c r="AW97" s="380">
        <f>'Таблиця цін схема №2'!GX22</f>
        <v>14</v>
      </c>
      <c r="AX97" s="47" t="str">
        <f>'Таблиця цін схема №2'!HA22</f>
        <v>PSM01</v>
      </c>
      <c r="AY97" s="380">
        <f>'Таблиця цін схема №2'!HB22</f>
        <v>4</v>
      </c>
      <c r="AZ97" s="47" t="str">
        <f>'Таблиця цін схема №2'!HE22</f>
        <v>A-10</v>
      </c>
      <c r="BA97" s="380">
        <f>'Таблиця цін схема №2'!HF22</f>
        <v>6</v>
      </c>
      <c r="BB97" s="47" t="str">
        <f>'Таблиця цін схема №2'!HI22</f>
        <v>ТСП 1-5</v>
      </c>
      <c r="BC97" s="380">
        <f>'Таблиця цін схема №2'!HJ22</f>
        <v>7</v>
      </c>
      <c r="BD97" s="47" t="str">
        <f>'Таблиця цін схема №2'!HM22</f>
        <v>ТСП 2-10Г</v>
      </c>
      <c r="BE97" s="380">
        <f>'Таблиця цін схема №2'!HN22</f>
        <v>1</v>
      </c>
    </row>
    <row r="98" spans="1:57">
      <c r="A98" s="73">
        <v>39</v>
      </c>
      <c r="B98" s="1171" t="s">
        <v>900</v>
      </c>
      <c r="C98" s="525">
        <f>'Таблиця цін схема №2'!DT23</f>
        <v>20</v>
      </c>
      <c r="D98" s="380">
        <f>'Таблиця цін схема №2'!DU23</f>
        <v>1</v>
      </c>
      <c r="E98" s="47">
        <f>'Таблиця цін схема №2'!DX23</f>
        <v>50</v>
      </c>
      <c r="F98" s="380">
        <f>'Таблиця цін схема №2'!DY23</f>
        <v>1</v>
      </c>
      <c r="G98" s="47">
        <f>'Таблиця цін схема №2'!EB23</f>
        <v>50</v>
      </c>
      <c r="H98" s="380">
        <f>'Таблиця цін схема №2'!EC23</f>
        <v>2</v>
      </c>
      <c r="I98" s="47">
        <f>'Таблиця цін схема №2'!EF23</f>
        <v>32</v>
      </c>
      <c r="J98" s="380">
        <f>'Таблиця цін схема №2'!EG23</f>
        <v>1</v>
      </c>
      <c r="K98" s="47">
        <f>'Таблиця цін схема №2'!EJ23</f>
        <v>20</v>
      </c>
      <c r="L98" s="380">
        <f>'Таблиця цін схема №2'!EK23</f>
        <v>1</v>
      </c>
      <c r="M98" s="47">
        <f>'Таблиця цін схема №2'!EN23</f>
        <v>50</v>
      </c>
      <c r="N98" s="380">
        <f>'Таблиця цін схема №2'!EO23</f>
        <v>2</v>
      </c>
      <c r="O98" s="47">
        <f>'Таблиця цін схема №2'!ER23</f>
        <v>32</v>
      </c>
      <c r="P98" s="380">
        <f>'Таблиця цін схема №2'!ES23</f>
        <v>1</v>
      </c>
      <c r="Q98" s="47">
        <f>'Таблиця цін схема №2'!EV23</f>
        <v>20</v>
      </c>
      <c r="R98" s="380">
        <f>'Таблиця цін схема №2'!EW23</f>
        <v>1</v>
      </c>
      <c r="S98" s="1127">
        <f>'Таблиця цін схема №2'!EZ23</f>
        <v>18.830013276681459</v>
      </c>
      <c r="T98" s="379">
        <f>'Таблиця цін схема №2'!FA23</f>
        <v>20</v>
      </c>
      <c r="U98" s="380">
        <f>'Таблиця цін схема №2'!FB23</f>
        <v>2</v>
      </c>
      <c r="V98" s="1129">
        <f>'Таблиця цін схема №2'!FE23</f>
        <v>5.7143451143451145</v>
      </c>
      <c r="W98" s="379">
        <f>'Таблиця цін схема №2'!FF23</f>
        <v>9</v>
      </c>
      <c r="X98" s="379">
        <f>'Таблиця цін схема №2'!FG23</f>
        <v>8</v>
      </c>
      <c r="Y98" s="1144" t="str">
        <f>'Таблиця цін схема №2'!FH23</f>
        <v>Yonos MAXO 25/0,5-12 PN 10</v>
      </c>
      <c r="Z98" s="380">
        <f>'Таблиця цін схема №2'!FI23</f>
        <v>2</v>
      </c>
      <c r="AA98" s="1129">
        <f>'Таблиця цін схема №2'!FL23</f>
        <v>0.76064908722109537</v>
      </c>
      <c r="AB98" s="379">
        <f>'Таблиця цін схема №2'!FM23</f>
        <v>9</v>
      </c>
      <c r="AC98" s="379">
        <f>'Таблиця цін схема №2'!FN23</f>
        <v>9</v>
      </c>
      <c r="AD98" s="1144" t="str">
        <f>'Таблиця цін схема №2'!FO23</f>
        <v>TOP-Z 25/10 3- PN 10</v>
      </c>
      <c r="AE98" s="380">
        <f>'Таблиця цін схема №2'!FP23</f>
        <v>1</v>
      </c>
      <c r="AF98" s="47">
        <f>'Таблиця цін схема №2'!FS23</f>
        <v>11.13</v>
      </c>
      <c r="AG98" s="379">
        <f>'Таблиця цін схема №2'!FT23</f>
        <v>32</v>
      </c>
      <c r="AH98" s="517" t="s">
        <v>115</v>
      </c>
      <c r="AI98" s="47">
        <f>'Таблиця цін схема №2'!FX23</f>
        <v>15</v>
      </c>
      <c r="AJ98" s="380">
        <f>'Таблиця цін схема №2'!FY23</f>
        <v>2</v>
      </c>
      <c r="AK98" s="47">
        <f>'Таблиця цін схема №2'!GB23</f>
        <v>25</v>
      </c>
      <c r="AL98" s="379">
        <f>'Таблиця цін схема №2'!GC23</f>
        <v>3.5</v>
      </c>
      <c r="AM98" s="380">
        <f>'Таблиця цін схема №2'!GD23</f>
        <v>1</v>
      </c>
      <c r="AN98" s="47">
        <f>'Таблиця цін схема №2'!GG23</f>
        <v>32</v>
      </c>
      <c r="AO98" s="380">
        <f>'Таблиця цін схема №2'!GH23</f>
        <v>1</v>
      </c>
      <c r="AP98" s="47" t="str">
        <f>'Таблиця цін схема №2'!GK23</f>
        <v>0-150</v>
      </c>
      <c r="AQ98" s="380">
        <f>'Таблиця цін схема №2'!GL23</f>
        <v>1</v>
      </c>
      <c r="AR98" s="47" t="str">
        <f>'Таблиця цін схема №2'!GO23</f>
        <v>0-120</v>
      </c>
      <c r="AS98" s="380">
        <f>'Таблиця цін схема №2'!GP23</f>
        <v>1</v>
      </c>
      <c r="AT98" s="47" t="str">
        <f>'Таблиця цін схема №2'!GS23</f>
        <v>0-1,6</v>
      </c>
      <c r="AU98" s="380">
        <f>'Таблиця цін схема №2'!GT23</f>
        <v>3</v>
      </c>
      <c r="AV98" s="47" t="str">
        <f>'Таблиця цін схема №2'!GW23</f>
        <v>0-1,0</v>
      </c>
      <c r="AW98" s="380">
        <f>'Таблиця цін схема №2'!GX23</f>
        <v>11</v>
      </c>
      <c r="AX98" s="47" t="str">
        <f>'Таблиця цін схема №2'!HA23</f>
        <v>PSM01</v>
      </c>
      <c r="AY98" s="380">
        <f>'Таблиця цін схема №2'!HB23</f>
        <v>4</v>
      </c>
      <c r="AZ98" s="47" t="str">
        <f>'Таблиця цін схема №2'!HE23</f>
        <v>A-10</v>
      </c>
      <c r="BA98" s="380">
        <f>'Таблиця цін схема №2'!HF23</f>
        <v>6</v>
      </c>
      <c r="BB98" s="47" t="str">
        <f>'Таблиця цін схема №2'!HI23</f>
        <v>ТСП 1-5</v>
      </c>
      <c r="BC98" s="380">
        <f>'Таблиця цін схема №2'!HJ23</f>
        <v>7</v>
      </c>
      <c r="BD98" s="47" t="str">
        <f>'Таблиця цін схема №2'!HM23</f>
        <v>ТСП 2-10Г</v>
      </c>
      <c r="BE98" s="380">
        <f>'Таблиця цін схема №2'!HN23</f>
        <v>1</v>
      </c>
    </row>
    <row r="99" spans="1:57">
      <c r="A99" s="73">
        <v>40</v>
      </c>
      <c r="B99" s="1171" t="s">
        <v>901</v>
      </c>
      <c r="C99" s="525">
        <f>'Таблиця цін схема №2'!DT24</f>
        <v>40</v>
      </c>
      <c r="D99" s="380">
        <f>'Таблиця цін схема №2'!DU24</f>
        <v>1</v>
      </c>
      <c r="E99" s="47">
        <f>'Таблиця цін схема №2'!DX24</f>
        <v>80</v>
      </c>
      <c r="F99" s="380">
        <f>'Таблиця цін схема №2'!DY24</f>
        <v>1</v>
      </c>
      <c r="G99" s="47">
        <f>'Таблиця цін схема №2'!EB24</f>
        <v>80</v>
      </c>
      <c r="H99" s="380">
        <f>'Таблиця цін схема №2'!EC24</f>
        <v>2</v>
      </c>
      <c r="I99" s="47">
        <f>'Таблиця цін схема №2'!EF24</f>
        <v>65</v>
      </c>
      <c r="J99" s="380">
        <f>'Таблиця цін схема №2'!EG24</f>
        <v>1</v>
      </c>
      <c r="K99" s="47">
        <f>'Таблиця цін схема №2'!EJ24</f>
        <v>40</v>
      </c>
      <c r="L99" s="380">
        <f>'Таблиця цін схема №2'!EK24</f>
        <v>1</v>
      </c>
      <c r="M99" s="47">
        <f>'Таблиця цін схема №2'!EN24</f>
        <v>40</v>
      </c>
      <c r="N99" s="380">
        <f>'Таблиця цін схема №2'!EO24</f>
        <v>8</v>
      </c>
      <c r="O99" s="47">
        <f>'Таблиця цін схема №2'!ER24</f>
        <v>65</v>
      </c>
      <c r="P99" s="380">
        <f>'Таблиця цін схема №2'!ES24</f>
        <v>1</v>
      </c>
      <c r="Q99" s="47">
        <f>'Таблиця цін схема №2'!EV24</f>
        <v>40</v>
      </c>
      <c r="R99" s="380">
        <f>'Таблиця цін схема №2'!EW24</f>
        <v>1</v>
      </c>
      <c r="S99" s="1127">
        <f>'Таблиця цін схема №2'!EZ24</f>
        <v>33.543076781953083</v>
      </c>
      <c r="T99" s="379">
        <f>'Таблиця цін схема №2'!FA24</f>
        <v>40</v>
      </c>
      <c r="U99" s="380">
        <f>'Таблиця цін схема №2'!FB24</f>
        <v>2</v>
      </c>
      <c r="V99" s="1129">
        <f>'Таблиця цін схема №2'!FE24</f>
        <v>18.13305613305613</v>
      </c>
      <c r="W99" s="379">
        <f>'Таблиця цін схема №2'!FF24</f>
        <v>9</v>
      </c>
      <c r="X99" s="379">
        <f>'Таблиця цін схема №2'!FG24</f>
        <v>8</v>
      </c>
      <c r="Y99" s="1144" t="str">
        <f>'Таблиця цін схема №2'!FH24</f>
        <v>Yonos MAXO 40/0,5-16 PN 6/10</v>
      </c>
      <c r="Z99" s="380">
        <f>'Таблиця цін схема №2'!FI24</f>
        <v>2</v>
      </c>
      <c r="AA99" s="1129">
        <f>'Таблиця цін схема №2'!FL24</f>
        <v>2.5588235294117645</v>
      </c>
      <c r="AB99" s="379">
        <f>'Таблиця цін схема №2'!FM24</f>
        <v>9</v>
      </c>
      <c r="AC99" s="379">
        <f>'Таблиця цін схема №2'!FN24</f>
        <v>9</v>
      </c>
      <c r="AD99" s="1144" t="str">
        <f>'Таблиця цін схема №2'!FO24</f>
        <v>TOP-Z 25/10 3- PN 10</v>
      </c>
      <c r="AE99" s="380">
        <f>'Таблиця цін схема №2'!FP24</f>
        <v>1</v>
      </c>
      <c r="AF99" s="47">
        <f>'Таблиця цін схема №2'!FS24</f>
        <v>11.13</v>
      </c>
      <c r="AG99" s="379">
        <f>'Таблиця цін схема №2'!FT24</f>
        <v>32</v>
      </c>
      <c r="AH99" s="380">
        <f>'Таблиця цін схема №2'!FU24</f>
        <v>4</v>
      </c>
      <c r="AI99" s="47">
        <f>'Таблиця цін схема №2'!FX24</f>
        <v>15</v>
      </c>
      <c r="AJ99" s="380">
        <f>'Таблиця цін схема №2'!FY24</f>
        <v>2</v>
      </c>
      <c r="AK99" s="47">
        <f>'Таблиця цін схема №2'!GB24</f>
        <v>40</v>
      </c>
      <c r="AL99" s="379">
        <f>'Таблиця цін схема №2'!GC24</f>
        <v>15</v>
      </c>
      <c r="AM99" s="380">
        <f>'Таблиця цін схема №2'!GD24</f>
        <v>1</v>
      </c>
      <c r="AN99" s="47">
        <f>'Таблиця цін схема №2'!GG24</f>
        <v>65</v>
      </c>
      <c r="AO99" s="380">
        <f>'Таблиця цін схема №2'!GH24</f>
        <v>1</v>
      </c>
      <c r="AP99" s="47" t="str">
        <f>'Таблиця цін схема №2'!GK24</f>
        <v>0-150</v>
      </c>
      <c r="AQ99" s="380">
        <f>'Таблиця цін схема №2'!GL24</f>
        <v>1</v>
      </c>
      <c r="AR99" s="47" t="str">
        <f>'Таблиця цін схема №2'!GO24</f>
        <v>0-120</v>
      </c>
      <c r="AS99" s="380">
        <f>'Таблиця цін схема №2'!GP24</f>
        <v>5</v>
      </c>
      <c r="AT99" s="47" t="str">
        <f>'Таблиця цін схема №2'!GS24</f>
        <v>0-1,6</v>
      </c>
      <c r="AU99" s="380">
        <f>'Таблиця цін схема №2'!GT24</f>
        <v>5</v>
      </c>
      <c r="AV99" s="47" t="str">
        <f>'Таблиця цін схема №2'!GW24</f>
        <v>0-1,0</v>
      </c>
      <c r="AW99" s="380">
        <f>'Таблиця цін схема №2'!GX24</f>
        <v>15</v>
      </c>
      <c r="AX99" s="47" t="str">
        <f>'Таблиця цін схема №2'!HA24</f>
        <v>PSM01</v>
      </c>
      <c r="AY99" s="380">
        <f>'Таблиця цін схема №2'!HB24</f>
        <v>4</v>
      </c>
      <c r="AZ99" s="47" t="str">
        <f>'Таблиця цін схема №2'!HE24</f>
        <v>A-10</v>
      </c>
      <c r="BA99" s="380">
        <f>'Таблиця цін схема №2'!HF24</f>
        <v>6</v>
      </c>
      <c r="BB99" s="47" t="str">
        <f>'Таблиця цін схема №2'!HI24</f>
        <v>ТСП 1-5</v>
      </c>
      <c r="BC99" s="380">
        <f>'Таблиця цін схема №2'!HJ24</f>
        <v>7</v>
      </c>
      <c r="BD99" s="47" t="str">
        <f>'Таблиця цін схема №2'!HM24</f>
        <v>ТСП 2-10Г</v>
      </c>
      <c r="BE99" s="380">
        <f>'Таблиця цін схема №2'!HN24</f>
        <v>1</v>
      </c>
    </row>
    <row r="100" spans="1:57">
      <c r="A100" s="73">
        <v>41</v>
      </c>
      <c r="B100" s="1171" t="s">
        <v>902</v>
      </c>
      <c r="C100" s="525">
        <f>'Таблиця цін схема №2'!DT25</f>
        <v>40</v>
      </c>
      <c r="D100" s="380">
        <f>'Таблиця цін схема №2'!DU25</f>
        <v>1</v>
      </c>
      <c r="E100" s="47">
        <f>'Таблиця цін схема №2'!DX25</f>
        <v>80</v>
      </c>
      <c r="F100" s="380">
        <f>'Таблиця цін схема №2'!DY25</f>
        <v>1</v>
      </c>
      <c r="G100" s="47">
        <f>'Таблиця цін схема №2'!EB25</f>
        <v>80</v>
      </c>
      <c r="H100" s="380">
        <f>'Таблиця цін схема №2'!EC25</f>
        <v>2</v>
      </c>
      <c r="I100" s="47">
        <f>'Таблиця цін схема №2'!EF25</f>
        <v>65</v>
      </c>
      <c r="J100" s="380">
        <f>'Таблиця цін схема №2'!EG25</f>
        <v>1</v>
      </c>
      <c r="K100" s="47">
        <f>'Таблиця цін схема №2'!EJ25</f>
        <v>40</v>
      </c>
      <c r="L100" s="380">
        <f>'Таблиця цін схема №2'!EK25</f>
        <v>1</v>
      </c>
      <c r="M100" s="47">
        <f>'Таблиця цін схема №2'!EN25</f>
        <v>40</v>
      </c>
      <c r="N100" s="380">
        <f>'Таблиця цін схема №2'!EO25</f>
        <v>8</v>
      </c>
      <c r="O100" s="47">
        <f>'Таблиця цін схема №2'!ER25</f>
        <v>65</v>
      </c>
      <c r="P100" s="380">
        <f>'Таблиця цін схема №2'!ES25</f>
        <v>1</v>
      </c>
      <c r="Q100" s="47">
        <f>'Таблиця цін схема №2'!EV25</f>
        <v>40</v>
      </c>
      <c r="R100" s="380">
        <f>'Таблиця цін схема №2'!EW25</f>
        <v>1</v>
      </c>
      <c r="S100" s="1127">
        <f>'Таблиця цін схема №2'!EZ25</f>
        <v>33.543076781953083</v>
      </c>
      <c r="T100" s="379">
        <f>'Таблиця цін схема №2'!FA25</f>
        <v>40</v>
      </c>
      <c r="U100" s="380">
        <f>'Таблиця цін схема №2'!FB25</f>
        <v>2</v>
      </c>
      <c r="V100" s="1129">
        <f>'Таблиця цін схема №2'!FE25</f>
        <v>18.13305613305613</v>
      </c>
      <c r="W100" s="379">
        <f>'Таблиця цін схема №2'!FF25</f>
        <v>9</v>
      </c>
      <c r="X100" s="379">
        <f>'Таблиця цін схема №2'!FG25</f>
        <v>8</v>
      </c>
      <c r="Y100" s="1144" t="str">
        <f>'Таблиця цін схема №2'!FH25</f>
        <v>Yonos MAXO 40/0,5-16 PN 6/10</v>
      </c>
      <c r="Z100" s="380">
        <f>'Таблиця цін схема №2'!FI25</f>
        <v>2</v>
      </c>
      <c r="AA100" s="1129">
        <f>'Таблиця цін схема №2'!FL25</f>
        <v>2.5588235294117645</v>
      </c>
      <c r="AB100" s="379">
        <f>'Таблиця цін схема №2'!FM25</f>
        <v>9</v>
      </c>
      <c r="AC100" s="379">
        <f>'Таблиця цін схема №2'!FN25</f>
        <v>9</v>
      </c>
      <c r="AD100" s="1144" t="str">
        <f>'Таблиця цін схема №2'!FO25</f>
        <v>TOP-Z 25/10 3- PN 10</v>
      </c>
      <c r="AE100" s="380">
        <f>'Таблиця цін схема №2'!FP25</f>
        <v>1</v>
      </c>
      <c r="AF100" s="47">
        <f>'Таблиця цін схема №2'!FS25</f>
        <v>11.13</v>
      </c>
      <c r="AG100" s="379">
        <f>'Таблиця цін схема №2'!FT25</f>
        <v>32</v>
      </c>
      <c r="AH100" s="380">
        <f>'Таблиця цін схема №2'!FU25</f>
        <v>4</v>
      </c>
      <c r="AI100" s="47">
        <f>'Таблиця цін схема №2'!FX25</f>
        <v>15</v>
      </c>
      <c r="AJ100" s="380">
        <f>'Таблиця цін схема №2'!FY25</f>
        <v>2</v>
      </c>
      <c r="AK100" s="47">
        <f>'Таблиця цін схема №2'!GB25</f>
        <v>40</v>
      </c>
      <c r="AL100" s="379">
        <f>'Таблиця цін схема №2'!GC25</f>
        <v>15</v>
      </c>
      <c r="AM100" s="380">
        <f>'Таблиця цін схема №2'!GD25</f>
        <v>1</v>
      </c>
      <c r="AN100" s="47">
        <f>'Таблиця цін схема №2'!GG25</f>
        <v>65</v>
      </c>
      <c r="AO100" s="380">
        <f>'Таблиця цін схема №2'!GH25</f>
        <v>1</v>
      </c>
      <c r="AP100" s="47" t="str">
        <f>'Таблиця цін схема №2'!GK25</f>
        <v>0-150</v>
      </c>
      <c r="AQ100" s="380">
        <f>'Таблиця цін схема №2'!GL25</f>
        <v>1</v>
      </c>
      <c r="AR100" s="47" t="str">
        <f>'Таблиця цін схема №2'!GO25</f>
        <v>0-120</v>
      </c>
      <c r="AS100" s="380">
        <f>'Таблиця цін схема №2'!GP25</f>
        <v>1</v>
      </c>
      <c r="AT100" s="47" t="str">
        <f>'Таблиця цін схема №2'!GS25</f>
        <v>0-1,6</v>
      </c>
      <c r="AU100" s="380">
        <f>'Таблиця цін схема №2'!GT25</f>
        <v>3</v>
      </c>
      <c r="AV100" s="47" t="str">
        <f>'Таблиця цін схема №2'!GW25</f>
        <v>0-1,0</v>
      </c>
      <c r="AW100" s="380">
        <f>'Таблиця цін схема №2'!GX25</f>
        <v>15</v>
      </c>
      <c r="AX100" s="47" t="str">
        <f>'Таблиця цін схема №2'!HA25</f>
        <v>PSM01</v>
      </c>
      <c r="AY100" s="380">
        <f>'Таблиця цін схема №2'!HB25</f>
        <v>4</v>
      </c>
      <c r="AZ100" s="47" t="str">
        <f>'Таблиця цін схема №2'!HE25</f>
        <v>A-10</v>
      </c>
      <c r="BA100" s="380">
        <f>'Таблиця цін схема №2'!HF25</f>
        <v>6</v>
      </c>
      <c r="BB100" s="47" t="str">
        <f>'Таблиця цін схема №2'!HI25</f>
        <v>ТСП 1-5</v>
      </c>
      <c r="BC100" s="380">
        <f>'Таблиця цін схема №2'!HJ25</f>
        <v>7</v>
      </c>
      <c r="BD100" s="47" t="str">
        <f>'Таблиця цін схема №2'!HM25</f>
        <v>ТСП 2-10Г</v>
      </c>
      <c r="BE100" s="380">
        <f>'Таблиця цін схема №2'!HN25</f>
        <v>1</v>
      </c>
    </row>
    <row r="101" spans="1:57">
      <c r="A101" s="73">
        <v>42</v>
      </c>
      <c r="B101" s="1171" t="s">
        <v>903</v>
      </c>
      <c r="C101" s="525">
        <f>'Таблиця цін схема №2'!DT26</f>
        <v>20</v>
      </c>
      <c r="D101" s="380">
        <f>'Таблиця цін схема №2'!DU26</f>
        <v>1</v>
      </c>
      <c r="E101" s="47">
        <f>'Таблиця цін схема №2'!DX26</f>
        <v>50</v>
      </c>
      <c r="F101" s="380">
        <f>'Таблиця цін схема №2'!DY26</f>
        <v>1</v>
      </c>
      <c r="G101" s="47">
        <f>'Таблиця цін схема №2'!EB26</f>
        <v>50</v>
      </c>
      <c r="H101" s="380">
        <f>'Таблиця цін схема №2'!EC26</f>
        <v>2</v>
      </c>
      <c r="I101" s="47">
        <f>'Таблиця цін схема №2'!EF26</f>
        <v>32</v>
      </c>
      <c r="J101" s="380">
        <f>'Таблиця цін схема №2'!EG26</f>
        <v>1</v>
      </c>
      <c r="K101" s="47">
        <f>'Таблиця цін схема №2'!EJ26</f>
        <v>20</v>
      </c>
      <c r="L101" s="380">
        <f>'Таблиця цін схема №2'!EK26</f>
        <v>1</v>
      </c>
      <c r="M101" s="47">
        <f>'Таблиця цін схема №2'!EN26</f>
        <v>50</v>
      </c>
      <c r="N101" s="380">
        <f>'Таблиця цін схема №2'!EO26</f>
        <v>2</v>
      </c>
      <c r="O101" s="47">
        <f>'Таблиця цін схема №2'!ER26</f>
        <v>32</v>
      </c>
      <c r="P101" s="380">
        <f>'Таблиця цін схема №2'!ES26</f>
        <v>1</v>
      </c>
      <c r="Q101" s="47">
        <f>'Таблиця цін схема №2'!EV26</f>
        <v>20</v>
      </c>
      <c r="R101" s="380">
        <f>'Таблиця цін схема №2'!EW26</f>
        <v>1</v>
      </c>
      <c r="S101" s="1127">
        <f>'Таблиця цін схема №2'!EZ26</f>
        <v>17.95828499606797</v>
      </c>
      <c r="T101" s="379">
        <f>'Таблиця цін схема №2'!FA26</f>
        <v>20</v>
      </c>
      <c r="U101" s="380">
        <f>'Таблиця цін схема №2'!FB26</f>
        <v>2</v>
      </c>
      <c r="V101" s="1129">
        <f>'Таблиця цін схема №2'!FE26</f>
        <v>5.1975051975051976</v>
      </c>
      <c r="W101" s="379">
        <f>'Таблиця цін схема №2'!FF26</f>
        <v>9</v>
      </c>
      <c r="X101" s="379">
        <f>'Таблиця цін схема №2'!FG26</f>
        <v>8</v>
      </c>
      <c r="Y101" s="1144" t="str">
        <f>'Таблиця цін схема №2'!FH26</f>
        <v>Yonos MAXO 25/0,5-12 PN 10</v>
      </c>
      <c r="Z101" s="380">
        <f>'Таблиця цін схема №2'!FI26</f>
        <v>2</v>
      </c>
      <c r="AA101" s="1129">
        <f>'Таблиця цін схема №2'!FL26</f>
        <v>0.80324543610547672</v>
      </c>
      <c r="AB101" s="379">
        <f>'Таблиця цін схема №2'!FM26</f>
        <v>9</v>
      </c>
      <c r="AC101" s="379">
        <f>'Таблиця цін схема №2'!FN26</f>
        <v>9</v>
      </c>
      <c r="AD101" s="1144" t="str">
        <f>'Таблиця цін схема №2'!FO26</f>
        <v>TOP-Z 25/10 3- PN 10</v>
      </c>
      <c r="AE101" s="380">
        <f>'Таблиця цін схема №2'!FP26</f>
        <v>1</v>
      </c>
      <c r="AF101" s="47">
        <f>'Таблиця цін схема №2'!FS26</f>
        <v>11.13</v>
      </c>
      <c r="AG101" s="379">
        <f>'Таблиця цін схема №2'!FT26</f>
        <v>32</v>
      </c>
      <c r="AH101" s="517" t="s">
        <v>115</v>
      </c>
      <c r="AI101" s="47">
        <f>'Таблиця цін схема №2'!FX26</f>
        <v>15</v>
      </c>
      <c r="AJ101" s="380">
        <f>'Таблиця цін схема №2'!FY26</f>
        <v>2</v>
      </c>
      <c r="AK101" s="47">
        <f>'Таблиця цін схема №2'!GB26</f>
        <v>25</v>
      </c>
      <c r="AL101" s="379">
        <f>'Таблиця цін схема №2'!GC26</f>
        <v>3.5</v>
      </c>
      <c r="AM101" s="380">
        <f>'Таблиця цін схема №2'!GD26</f>
        <v>1</v>
      </c>
      <c r="AN101" s="47">
        <f>'Таблиця цін схема №2'!GG26</f>
        <v>32</v>
      </c>
      <c r="AO101" s="380">
        <f>'Таблиця цін схема №2'!GH26</f>
        <v>1</v>
      </c>
      <c r="AP101" s="47" t="str">
        <f>'Таблиця цін схема №2'!GK26</f>
        <v>0-150</v>
      </c>
      <c r="AQ101" s="380">
        <f>'Таблиця цін схема №2'!GL26</f>
        <v>1</v>
      </c>
      <c r="AR101" s="47" t="str">
        <f>'Таблиця цін схема №2'!GO26</f>
        <v>0-120</v>
      </c>
      <c r="AS101" s="380">
        <f>'Таблиця цін схема №2'!GP26</f>
        <v>1</v>
      </c>
      <c r="AT101" s="47" t="str">
        <f>'Таблиця цін схема №2'!GS26</f>
        <v>0-1,6</v>
      </c>
      <c r="AU101" s="380">
        <f>'Таблиця цін схема №2'!GT26</f>
        <v>3</v>
      </c>
      <c r="AV101" s="47" t="str">
        <f>'Таблиця цін схема №2'!GW26</f>
        <v>0-1,0</v>
      </c>
      <c r="AW101" s="380">
        <f>'Таблиця цін схема №2'!GX26</f>
        <v>11</v>
      </c>
      <c r="AX101" s="47" t="str">
        <f>'Таблиця цін схема №2'!HA26</f>
        <v>PSM01</v>
      </c>
      <c r="AY101" s="380">
        <f>'Таблиця цін схема №2'!HB26</f>
        <v>4</v>
      </c>
      <c r="AZ101" s="47" t="str">
        <f>'Таблиця цін схема №2'!HE26</f>
        <v>A-10</v>
      </c>
      <c r="BA101" s="380">
        <f>'Таблиця цін схема №2'!HF26</f>
        <v>6</v>
      </c>
      <c r="BB101" s="47" t="str">
        <f>'Таблиця цін схема №2'!HI26</f>
        <v>ТСП 1-5</v>
      </c>
      <c r="BC101" s="380">
        <f>'Таблиця цін схема №2'!HJ26</f>
        <v>7</v>
      </c>
      <c r="BD101" s="47" t="str">
        <f>'Таблиця цін схема №2'!HM26</f>
        <v>ТСП 2-10Г</v>
      </c>
      <c r="BE101" s="380">
        <f>'Таблиця цін схема №2'!HN26</f>
        <v>1</v>
      </c>
    </row>
    <row r="102" spans="1:57">
      <c r="A102" s="73">
        <v>43</v>
      </c>
      <c r="B102" s="1171" t="s">
        <v>904</v>
      </c>
      <c r="C102" s="525">
        <f>'Таблиця цін схема №2'!DT27</f>
        <v>25</v>
      </c>
      <c r="D102" s="380">
        <f>'Таблиця цін схема №2'!DU27</f>
        <v>1</v>
      </c>
      <c r="E102" s="47">
        <f>'Таблиця цін схема №2'!DX27</f>
        <v>65</v>
      </c>
      <c r="F102" s="380">
        <f>'Таблиця цін схема №2'!DY27</f>
        <v>1</v>
      </c>
      <c r="G102" s="47">
        <f>'Таблиця цін схема №2'!EB27</f>
        <v>65</v>
      </c>
      <c r="H102" s="380">
        <f>'Таблиця цін схема №2'!EC27</f>
        <v>2</v>
      </c>
      <c r="I102" s="47">
        <f>'Таблиця цін схема №2'!EF27</f>
        <v>40</v>
      </c>
      <c r="J102" s="380">
        <f>'Таблиця цін схема №2'!EG27</f>
        <v>1</v>
      </c>
      <c r="K102" s="47">
        <f>'Таблиця цін схема №2'!EJ27</f>
        <v>25</v>
      </c>
      <c r="L102" s="380">
        <f>'Таблиця цін схема №2'!EK27</f>
        <v>1</v>
      </c>
      <c r="M102" s="47">
        <f>'Таблиця цін схема №2'!EN27</f>
        <v>50</v>
      </c>
      <c r="N102" s="380">
        <f>'Таблиця цін схема №2'!EO27</f>
        <v>4</v>
      </c>
      <c r="O102" s="47">
        <f>'Таблиця цін схема №2'!ER27</f>
        <v>40</v>
      </c>
      <c r="P102" s="380">
        <f>'Таблиця цін схема №2'!ES27</f>
        <v>1</v>
      </c>
      <c r="Q102" s="47">
        <f>'Таблиця цін схема №2'!EV27</f>
        <v>25</v>
      </c>
      <c r="R102" s="380">
        <f>'Таблиця цін схема №2'!EW27</f>
        <v>1</v>
      </c>
      <c r="S102" s="1127">
        <f>'Таблиця цін схема №2'!EZ27</f>
        <v>25.911757948854031</v>
      </c>
      <c r="T102" s="379">
        <f>'Таблиця цін схема №2'!FA27</f>
        <v>25</v>
      </c>
      <c r="U102" s="380">
        <f>'Таблиця цін схема №2'!FB27</f>
        <v>2</v>
      </c>
      <c r="V102" s="1129">
        <f>'Таблиця цін схема №2'!FE27</f>
        <v>10.820790020790021</v>
      </c>
      <c r="W102" s="379">
        <f>'Таблиця цін схема №2'!FF27</f>
        <v>9</v>
      </c>
      <c r="X102" s="379">
        <f>'Таблиця цін схема №2'!FG27</f>
        <v>8</v>
      </c>
      <c r="Y102" s="1144" t="str">
        <f>'Таблиця цін схема №2'!FH27</f>
        <v>Yonos MAXO 40/0,5-12 PN 6/10</v>
      </c>
      <c r="Z102" s="380">
        <f>'Таблиця цін схема №2'!FI27</f>
        <v>2</v>
      </c>
      <c r="AA102" s="1129">
        <f>'Таблиця цін схема №2'!FL27</f>
        <v>1.3582150101419879</v>
      </c>
      <c r="AB102" s="379">
        <f>'Таблиця цін схема №2'!FM27</f>
        <v>9</v>
      </c>
      <c r="AC102" s="379">
        <f>'Таблиця цін схема №2'!FN27</f>
        <v>9</v>
      </c>
      <c r="AD102" s="1144" t="str">
        <f>'Таблиця цін схема №2'!FO27</f>
        <v>TOP-Z 25/10 3- PN 10</v>
      </c>
      <c r="AE102" s="380">
        <f>'Таблиця цін схема №2'!FP27</f>
        <v>1</v>
      </c>
      <c r="AF102" s="47">
        <f>'Таблиця цін схема №2'!FS27</f>
        <v>11.13</v>
      </c>
      <c r="AG102" s="379">
        <f>'Таблиця цін схема №2'!FT27</f>
        <v>32</v>
      </c>
      <c r="AH102" s="380">
        <f>'Таблиця цін схема №2'!FU27</f>
        <v>2</v>
      </c>
      <c r="AI102" s="47">
        <f>'Таблиця цін схема №2'!FX27</f>
        <v>15</v>
      </c>
      <c r="AJ102" s="380">
        <f>'Таблиця цін схема №2'!FY27</f>
        <v>2</v>
      </c>
      <c r="AK102" s="47">
        <f>'Таблиця цін схема №2'!GB27</f>
        <v>32</v>
      </c>
      <c r="AL102" s="379">
        <f>'Таблиця цін схема №2'!GC27</f>
        <v>6</v>
      </c>
      <c r="AM102" s="380">
        <f>'Таблиця цін схема №2'!GD27</f>
        <v>1</v>
      </c>
      <c r="AN102" s="47">
        <f>'Таблиця цін схема №2'!GG27</f>
        <v>40</v>
      </c>
      <c r="AO102" s="380">
        <f>'Таблиця цін схема №2'!GH27</f>
        <v>1</v>
      </c>
      <c r="AP102" s="47" t="str">
        <f>'Таблиця цін схема №2'!GK27</f>
        <v>0-150</v>
      </c>
      <c r="AQ102" s="380">
        <f>'Таблиця цін схема №2'!GL27</f>
        <v>1</v>
      </c>
      <c r="AR102" s="47" t="str">
        <f>'Таблиця цін схема №2'!GO27</f>
        <v>0-120</v>
      </c>
      <c r="AS102" s="380">
        <f>'Таблиця цін схема №2'!GP27</f>
        <v>5</v>
      </c>
      <c r="AT102" s="47" t="str">
        <f>'Таблиця цін схема №2'!GS27</f>
        <v>0-1,6</v>
      </c>
      <c r="AU102" s="380">
        <f>'Таблиця цін схема №2'!GT27</f>
        <v>5</v>
      </c>
      <c r="AV102" s="47" t="str">
        <f>'Таблиця цін схема №2'!GW27</f>
        <v>0-1,0</v>
      </c>
      <c r="AW102" s="380">
        <f>'Таблиця цін схема №2'!GX27</f>
        <v>13</v>
      </c>
      <c r="AX102" s="47" t="str">
        <f>'Таблиця цін схема №2'!HA27</f>
        <v>PSM01</v>
      </c>
      <c r="AY102" s="380">
        <f>'Таблиця цін схема №2'!HB27</f>
        <v>4</v>
      </c>
      <c r="AZ102" s="47" t="str">
        <f>'Таблиця цін схема №2'!HE27</f>
        <v>A-10</v>
      </c>
      <c r="BA102" s="380">
        <f>'Таблиця цін схема №2'!HF27</f>
        <v>6</v>
      </c>
      <c r="BB102" s="47" t="str">
        <f>'Таблиця цін схема №2'!HI27</f>
        <v>ТСП 1-5</v>
      </c>
      <c r="BC102" s="380">
        <f>'Таблиця цін схема №2'!HJ27</f>
        <v>7</v>
      </c>
      <c r="BD102" s="47" t="str">
        <f>'Таблиця цін схема №2'!HM27</f>
        <v>ТСП 2-10Г</v>
      </c>
      <c r="BE102" s="380">
        <f>'Таблиця цін схема №2'!HN27</f>
        <v>1</v>
      </c>
    </row>
    <row r="103" spans="1:57">
      <c r="A103" s="73">
        <v>44</v>
      </c>
      <c r="B103" s="1171" t="s">
        <v>905</v>
      </c>
      <c r="C103" s="525">
        <f>'Таблиця цін схема №2'!DT28</f>
        <v>32</v>
      </c>
      <c r="D103" s="380">
        <f>'Таблиця цін схема №2'!DU28</f>
        <v>1</v>
      </c>
      <c r="E103" s="47">
        <f>'Таблиця цін схема №2'!DX28</f>
        <v>65</v>
      </c>
      <c r="F103" s="380">
        <f>'Таблиця цін схема №2'!DY28</f>
        <v>1</v>
      </c>
      <c r="G103" s="47">
        <f>'Таблиця цін схема №2'!EB28</f>
        <v>65</v>
      </c>
      <c r="H103" s="380">
        <f>'Таблиця цін схема №2'!EC28</f>
        <v>2</v>
      </c>
      <c r="I103" s="47">
        <f>'Таблиця цін схема №2'!EF28</f>
        <v>50</v>
      </c>
      <c r="J103" s="380">
        <f>'Таблиця цін схема №2'!EG28</f>
        <v>1</v>
      </c>
      <c r="K103" s="47">
        <f>'Таблиця цін схема №2'!EJ28</f>
        <v>32</v>
      </c>
      <c r="L103" s="380">
        <f>'Таблиця цін схема №2'!EK28</f>
        <v>1</v>
      </c>
      <c r="M103" s="47">
        <f>'Таблиця цін схема №2'!EN28</f>
        <v>50</v>
      </c>
      <c r="N103" s="380">
        <f>'Таблиця цін схема №2'!EO28</f>
        <v>4</v>
      </c>
      <c r="O103" s="47">
        <f>'Таблиця цін схема №2'!ER28</f>
        <v>50</v>
      </c>
      <c r="P103" s="380">
        <f>'Таблиця цін схема №2'!ES28</f>
        <v>1</v>
      </c>
      <c r="Q103" s="47">
        <f>'Таблиця цін схема №2'!EV28</f>
        <v>32</v>
      </c>
      <c r="R103" s="380">
        <f>'Таблиця цін схема №2'!EW28</f>
        <v>1</v>
      </c>
      <c r="S103" s="1127">
        <f>'Таблиця цін схема №2'!EZ28</f>
        <v>26.741327566147497</v>
      </c>
      <c r="T103" s="379">
        <f>'Таблиця цін схема №2'!FA28</f>
        <v>32</v>
      </c>
      <c r="U103" s="380">
        <f>'Таблиця цін схема №2'!FB28</f>
        <v>2</v>
      </c>
      <c r="V103" s="1129">
        <f>'Таблиця цін схема №2'!FE28</f>
        <v>11.524740124740125</v>
      </c>
      <c r="W103" s="379">
        <f>'Таблиця цін схема №2'!FF28</f>
        <v>9</v>
      </c>
      <c r="X103" s="379">
        <f>'Таблиця цін схема №2'!FG28</f>
        <v>8</v>
      </c>
      <c r="Y103" s="1144" t="str">
        <f>'Таблиця цін схема №2'!FH28</f>
        <v>Yonos MAXO 40/0,5-12 PN 6/10</v>
      </c>
      <c r="Z103" s="380">
        <f>'Таблиця цін схема №2'!FI28</f>
        <v>2</v>
      </c>
      <c r="AA103" s="1129">
        <f>'Таблиця цін схема №2'!FL28</f>
        <v>1.6369168356997972</v>
      </c>
      <c r="AB103" s="379">
        <f>'Таблиця цін схема №2'!FM28</f>
        <v>9</v>
      </c>
      <c r="AC103" s="379">
        <f>'Таблиця цін схема №2'!FN28</f>
        <v>9</v>
      </c>
      <c r="AD103" s="1144" t="str">
        <f>'Таблиця цін схема №2'!FO28</f>
        <v>TOP-Z 25/10 3- PN 10</v>
      </c>
      <c r="AE103" s="380">
        <f>'Таблиця цін схема №2'!FP28</f>
        <v>1</v>
      </c>
      <c r="AF103" s="47">
        <f>'Таблиця цін схема №2'!FS28</f>
        <v>11.13</v>
      </c>
      <c r="AG103" s="379">
        <f>'Таблиця цін схема №2'!FT28</f>
        <v>32</v>
      </c>
      <c r="AH103" s="380">
        <f>'Таблиця цін схема №2'!FU28</f>
        <v>2</v>
      </c>
      <c r="AI103" s="47">
        <f>'Таблиця цін схема №2'!FX28</f>
        <v>15</v>
      </c>
      <c r="AJ103" s="380">
        <f>'Таблиця цін схема №2'!FY28</f>
        <v>2</v>
      </c>
      <c r="AK103" s="47">
        <f>'Таблиця цін схема №2'!GB28</f>
        <v>32</v>
      </c>
      <c r="AL103" s="379">
        <f>'Таблиця цін схема №2'!GC28</f>
        <v>6</v>
      </c>
      <c r="AM103" s="380">
        <f>'Таблиця цін схема №2'!GD28</f>
        <v>1</v>
      </c>
      <c r="AN103" s="47">
        <f>'Таблиця цін схема №2'!GG28</f>
        <v>50</v>
      </c>
      <c r="AO103" s="380">
        <f>'Таблиця цін схема №2'!GH28</f>
        <v>1</v>
      </c>
      <c r="AP103" s="47" t="str">
        <f>'Таблиця цін схема №2'!GK28</f>
        <v>0-150</v>
      </c>
      <c r="AQ103" s="380">
        <f>'Таблиця цін схема №2'!GL28</f>
        <v>1</v>
      </c>
      <c r="AR103" s="47" t="str">
        <f>'Таблиця цін схема №2'!GO28</f>
        <v>0-120</v>
      </c>
      <c r="AS103" s="380">
        <f>'Таблиця цін схема №2'!GP28</f>
        <v>1</v>
      </c>
      <c r="AT103" s="47" t="str">
        <f>'Таблиця цін схема №2'!GS28</f>
        <v>0-1,6</v>
      </c>
      <c r="AU103" s="380">
        <f>'Таблиця цін схема №2'!GT28</f>
        <v>3</v>
      </c>
      <c r="AV103" s="47" t="str">
        <f>'Таблиця цін схема №2'!GW28</f>
        <v>0-1,0</v>
      </c>
      <c r="AW103" s="380">
        <f>'Таблиця цін схема №2'!GX28</f>
        <v>13</v>
      </c>
      <c r="AX103" s="47" t="str">
        <f>'Таблиця цін схема №2'!HA28</f>
        <v>PSM01</v>
      </c>
      <c r="AY103" s="380">
        <f>'Таблиця цін схема №2'!HB28</f>
        <v>4</v>
      </c>
      <c r="AZ103" s="47" t="str">
        <f>'Таблиця цін схема №2'!HE28</f>
        <v>A-10</v>
      </c>
      <c r="BA103" s="380">
        <f>'Таблиця цін схема №2'!HF28</f>
        <v>6</v>
      </c>
      <c r="BB103" s="47" t="str">
        <f>'Таблиця цін схема №2'!HI28</f>
        <v>ТСП 1-5</v>
      </c>
      <c r="BC103" s="380">
        <f>'Таблиця цін схема №2'!HJ28</f>
        <v>7</v>
      </c>
      <c r="BD103" s="47" t="str">
        <f>'Таблиця цін схема №2'!HM28</f>
        <v>ТСП 2-10Г</v>
      </c>
      <c r="BE103" s="380">
        <f>'Таблиця цін схема №2'!HN28</f>
        <v>1</v>
      </c>
    </row>
    <row r="104" spans="1:57">
      <c r="A104" s="73">
        <v>45</v>
      </c>
      <c r="B104" s="1171" t="s">
        <v>906</v>
      </c>
      <c r="C104" s="525">
        <f>'Таблиця цін схема №2'!DT29</f>
        <v>20</v>
      </c>
      <c r="D104" s="380">
        <f>'Таблиця цін схема №2'!DU29</f>
        <v>1</v>
      </c>
      <c r="E104" s="47">
        <f>'Таблиця цін схема №2'!DX29</f>
        <v>50</v>
      </c>
      <c r="F104" s="380">
        <f>'Таблиця цін схема №2'!DY29</f>
        <v>1</v>
      </c>
      <c r="G104" s="47">
        <f>'Таблиця цін схема №2'!EB29</f>
        <v>50</v>
      </c>
      <c r="H104" s="380">
        <f>'Таблиця цін схема №2'!EC29</f>
        <v>2</v>
      </c>
      <c r="I104" s="47">
        <f>'Таблиця цін схема №2'!EF29</f>
        <v>32</v>
      </c>
      <c r="J104" s="380">
        <f>'Таблиця цін схема №2'!EG29</f>
        <v>1</v>
      </c>
      <c r="K104" s="47">
        <f>'Таблиця цін схема №2'!EJ29</f>
        <v>20</v>
      </c>
      <c r="L104" s="380">
        <f>'Таблиця цін схема №2'!EK29</f>
        <v>1</v>
      </c>
      <c r="M104" s="47">
        <f>'Таблиця цін схема №2'!EN29</f>
        <v>50</v>
      </c>
      <c r="N104" s="380">
        <f>'Таблиця цін схема №2'!EO29</f>
        <v>2</v>
      </c>
      <c r="O104" s="47">
        <f>'Таблиця цін схема №2'!ER29</f>
        <v>32</v>
      </c>
      <c r="P104" s="380">
        <f>'Таблиця цін схема №2'!ES29</f>
        <v>1</v>
      </c>
      <c r="Q104" s="47">
        <f>'Таблиця цін схема №2'!EV29</f>
        <v>20</v>
      </c>
      <c r="R104" s="380">
        <f>'Таблиця цін схема №2'!EW29</f>
        <v>1</v>
      </c>
      <c r="S104" s="1127">
        <f>'Таблиця цін схема №2'!EZ29</f>
        <v>20.183706299884566</v>
      </c>
      <c r="T104" s="379">
        <f>'Таблиця цін схема №2'!FA29</f>
        <v>20</v>
      </c>
      <c r="U104" s="380">
        <f>'Таблиця цін схема №2'!FB29</f>
        <v>2</v>
      </c>
      <c r="V104" s="1129">
        <f>'Таблиця цін схема №2'!FE29</f>
        <v>6.5654885654885655</v>
      </c>
      <c r="W104" s="379">
        <f>'Таблиця цін схема №2'!FF29</f>
        <v>9</v>
      </c>
      <c r="X104" s="379">
        <f>'Таблиця цін схема №2'!FG29</f>
        <v>8</v>
      </c>
      <c r="Y104" s="1144" t="str">
        <f>'Таблиця цін схема №2'!FH29</f>
        <v>Yonos MAXO 25/0,5-12 PN 10</v>
      </c>
      <c r="Z104" s="380">
        <f>'Таблиця цін схема №2'!FI29</f>
        <v>2</v>
      </c>
      <c r="AA104" s="1129">
        <f>'Таблиця цін схема №2'!FL29</f>
        <v>0.79107505070993911</v>
      </c>
      <c r="AB104" s="379">
        <f>'Таблиця цін схема №2'!FM29</f>
        <v>9</v>
      </c>
      <c r="AC104" s="379">
        <f>'Таблиця цін схема №2'!FN29</f>
        <v>9</v>
      </c>
      <c r="AD104" s="1144" t="str">
        <f>'Таблиця цін схема №2'!FO29</f>
        <v>TOP-Z 25/10 3- PN 10</v>
      </c>
      <c r="AE104" s="380">
        <f>'Таблиця цін схема №2'!FP29</f>
        <v>1</v>
      </c>
      <c r="AF104" s="47">
        <f>'Таблиця цін схема №2'!FS29</f>
        <v>22.36</v>
      </c>
      <c r="AG104" s="379">
        <f>'Таблиця цін схема №2'!FT29</f>
        <v>40</v>
      </c>
      <c r="AH104" s="517" t="s">
        <v>115</v>
      </c>
      <c r="AI104" s="47">
        <f>'Таблиця цін схема №2'!FX29</f>
        <v>15</v>
      </c>
      <c r="AJ104" s="380">
        <f>'Таблиця цін схема №2'!FY29</f>
        <v>2</v>
      </c>
      <c r="AK104" s="47">
        <f>'Таблиця цін схема №2'!GB29</f>
        <v>25</v>
      </c>
      <c r="AL104" s="379">
        <f>'Таблиця цін схема №2'!GC29</f>
        <v>3.5</v>
      </c>
      <c r="AM104" s="380">
        <f>'Таблиця цін схема №2'!GD29</f>
        <v>1</v>
      </c>
      <c r="AN104" s="47">
        <f>'Таблиця цін схема №2'!GG29</f>
        <v>32</v>
      </c>
      <c r="AO104" s="380">
        <f>'Таблиця цін схема №2'!GH29</f>
        <v>1</v>
      </c>
      <c r="AP104" s="47" t="str">
        <f>'Таблиця цін схема №2'!GK29</f>
        <v>0-150</v>
      </c>
      <c r="AQ104" s="380">
        <f>'Таблиця цін схема №2'!GL29</f>
        <v>1</v>
      </c>
      <c r="AR104" s="47" t="str">
        <f>'Таблиця цін схема №2'!GO29</f>
        <v>0-120</v>
      </c>
      <c r="AS104" s="380">
        <f>'Таблиця цін схема №2'!GP29</f>
        <v>1</v>
      </c>
      <c r="AT104" s="47" t="str">
        <f>'Таблиця цін схема №2'!GS29</f>
        <v>0-1,6</v>
      </c>
      <c r="AU104" s="380">
        <f>'Таблиця цін схема №2'!GT29</f>
        <v>3</v>
      </c>
      <c r="AV104" s="47" t="str">
        <f>'Таблиця цін схема №2'!GW29</f>
        <v>0-1,0</v>
      </c>
      <c r="AW104" s="380">
        <f>'Таблиця цін схема №2'!GX29</f>
        <v>11</v>
      </c>
      <c r="AX104" s="47" t="str">
        <f>'Таблиця цін схема №2'!HA29</f>
        <v>PSM01</v>
      </c>
      <c r="AY104" s="380">
        <f>'Таблиця цін схема №2'!HB29</f>
        <v>4</v>
      </c>
      <c r="AZ104" s="47" t="str">
        <f>'Таблиця цін схема №2'!HE29</f>
        <v>A-10</v>
      </c>
      <c r="BA104" s="380">
        <f>'Таблиця цін схема №2'!HF29</f>
        <v>6</v>
      </c>
      <c r="BB104" s="47" t="str">
        <f>'Таблиця цін схема №2'!HI29</f>
        <v>ТСП 1-5</v>
      </c>
      <c r="BC104" s="380">
        <f>'Таблиця цін схема №2'!HJ29</f>
        <v>7</v>
      </c>
      <c r="BD104" s="47" t="str">
        <f>'Таблиця цін схема №2'!HM29</f>
        <v>ТСП 2-10Г</v>
      </c>
      <c r="BE104" s="380">
        <f>'Таблиця цін схема №2'!HN29</f>
        <v>1</v>
      </c>
    </row>
    <row r="105" spans="1:57">
      <c r="A105" s="73">
        <v>46</v>
      </c>
      <c r="B105" s="1171" t="s">
        <v>907</v>
      </c>
      <c r="C105" s="525">
        <f>'Таблиця цін схема №2'!DT30</f>
        <v>40</v>
      </c>
      <c r="D105" s="380">
        <f>'Таблиця цін схема №2'!DU30</f>
        <v>1</v>
      </c>
      <c r="E105" s="47">
        <f>'Таблиця цін схема №2'!DX30</f>
        <v>80</v>
      </c>
      <c r="F105" s="380">
        <f>'Таблиця цін схема №2'!DY30</f>
        <v>1</v>
      </c>
      <c r="G105" s="47">
        <f>'Таблиця цін схема №2'!EB30</f>
        <v>80</v>
      </c>
      <c r="H105" s="380">
        <f>'Таблиця цін схема №2'!EC30</f>
        <v>2</v>
      </c>
      <c r="I105" s="47">
        <f>'Таблиця цін схема №2'!EF30</f>
        <v>65</v>
      </c>
      <c r="J105" s="380">
        <f>'Таблиця цін схема №2'!EG30</f>
        <v>1</v>
      </c>
      <c r="K105" s="47">
        <f>'Таблиця цін схема №2'!EJ30</f>
        <v>40</v>
      </c>
      <c r="L105" s="380">
        <f>'Таблиця цін схема №2'!EK30</f>
        <v>1</v>
      </c>
      <c r="M105" s="47">
        <f>'Таблиця цін схема №2'!EN30</f>
        <v>50</v>
      </c>
      <c r="N105" s="380">
        <f>'Таблиця цін схема №2'!EO30</f>
        <v>6</v>
      </c>
      <c r="O105" s="47">
        <f>'Таблиця цін схема №2'!ER30</f>
        <v>65</v>
      </c>
      <c r="P105" s="380">
        <f>'Таблиця цін схема №2'!ES30</f>
        <v>1</v>
      </c>
      <c r="Q105" s="47">
        <f>'Таблиця цін схема №2'!EV30</f>
        <v>40</v>
      </c>
      <c r="R105" s="380">
        <f>'Таблиця цін схема №2'!EW30</f>
        <v>1</v>
      </c>
      <c r="S105" s="1127">
        <f>'Таблиця цін схема №2'!EZ30</f>
        <v>34.187594241186375</v>
      </c>
      <c r="T105" s="379">
        <f>'Таблиця цін схема №2'!FA30</f>
        <v>40</v>
      </c>
      <c r="U105" s="380">
        <f>'Таблиця цін схема №2'!FB30</f>
        <v>2</v>
      </c>
      <c r="V105" s="1129">
        <f>'Таблиця цін схема №2'!FE30</f>
        <v>18.836590436590434</v>
      </c>
      <c r="W105" s="379">
        <f>'Таблиця цін схема №2'!FF30</f>
        <v>9</v>
      </c>
      <c r="X105" s="379">
        <f>'Таблиця цін схема №2'!FG30</f>
        <v>8</v>
      </c>
      <c r="Y105" s="1144" t="str">
        <f>'Таблиця цін схема №2'!FH30</f>
        <v>Yonos MAXO 40/0,5-16 PN 6/10</v>
      </c>
      <c r="Z105" s="380">
        <f>'Таблиця цін схема №2'!FI30</f>
        <v>2</v>
      </c>
      <c r="AA105" s="1129">
        <f>'Таблиця цін схема №2'!FL30</f>
        <v>2.5557809330628802</v>
      </c>
      <c r="AB105" s="379">
        <f>'Таблиця цін схема №2'!FM30</f>
        <v>9</v>
      </c>
      <c r="AC105" s="379">
        <f>'Таблиця цін схема №2'!FN30</f>
        <v>9</v>
      </c>
      <c r="AD105" s="1144" t="str">
        <f>'Таблиця цін схема №2'!FO30</f>
        <v>TOP-Z 25/10 3- PN 10</v>
      </c>
      <c r="AE105" s="380">
        <f>'Таблиця цін схема №2'!FP30</f>
        <v>1</v>
      </c>
      <c r="AF105" s="47">
        <f>'Таблиця цін схема №2'!FS30</f>
        <v>11.13</v>
      </c>
      <c r="AG105" s="379">
        <f>'Таблиця цін схема №2'!FT30</f>
        <v>32</v>
      </c>
      <c r="AH105" s="380">
        <f>'Таблиця цін схема №2'!FU30</f>
        <v>3</v>
      </c>
      <c r="AI105" s="47">
        <f>'Таблиця цін схема №2'!FX30</f>
        <v>15</v>
      </c>
      <c r="AJ105" s="380">
        <f>'Таблиця цін схема №2'!FY30</f>
        <v>2</v>
      </c>
      <c r="AK105" s="47">
        <f>'Таблиця цін схема №2'!GB30</f>
        <v>40</v>
      </c>
      <c r="AL105" s="379">
        <f>'Таблиця цін схема №2'!GC30</f>
        <v>15</v>
      </c>
      <c r="AM105" s="380">
        <f>'Таблиця цін схема №2'!GD30</f>
        <v>1</v>
      </c>
      <c r="AN105" s="47">
        <f>'Таблиця цін схема №2'!GG30</f>
        <v>65</v>
      </c>
      <c r="AO105" s="380">
        <f>'Таблиця цін схема №2'!GH30</f>
        <v>1</v>
      </c>
      <c r="AP105" s="47" t="str">
        <f>'Таблиця цін схема №2'!GK30</f>
        <v>0-150</v>
      </c>
      <c r="AQ105" s="380">
        <f>'Таблиця цін схема №2'!GL30</f>
        <v>1</v>
      </c>
      <c r="AR105" s="47" t="str">
        <f>'Таблиця цін схема №2'!GO30</f>
        <v>0-120</v>
      </c>
      <c r="AS105" s="380">
        <f>'Таблиця цін схема №2'!GP30</f>
        <v>5</v>
      </c>
      <c r="AT105" s="47" t="str">
        <f>'Таблиця цін схема №2'!GS30</f>
        <v>0-1,6</v>
      </c>
      <c r="AU105" s="380">
        <f>'Таблиця цін схема №2'!GT30</f>
        <v>5</v>
      </c>
      <c r="AV105" s="47" t="str">
        <f>'Таблиця цін схема №2'!GW30</f>
        <v>0-1,0</v>
      </c>
      <c r="AW105" s="380">
        <f>'Таблиця цін схема №2'!GX30</f>
        <v>14</v>
      </c>
      <c r="AX105" s="47" t="str">
        <f>'Таблиця цін схема №2'!HA30</f>
        <v>PSM01</v>
      </c>
      <c r="AY105" s="380">
        <f>'Таблиця цін схема №2'!HB30</f>
        <v>4</v>
      </c>
      <c r="AZ105" s="47" t="str">
        <f>'Таблиця цін схема №2'!HE30</f>
        <v>A-10</v>
      </c>
      <c r="BA105" s="380">
        <f>'Таблиця цін схема №2'!HF30</f>
        <v>6</v>
      </c>
      <c r="BB105" s="47" t="str">
        <f>'Таблиця цін схема №2'!HI30</f>
        <v>ТСП 1-5</v>
      </c>
      <c r="BC105" s="380">
        <f>'Таблиця цін схема №2'!HJ30</f>
        <v>7</v>
      </c>
      <c r="BD105" s="47" t="str">
        <f>'Таблиця цін схема №2'!HM30</f>
        <v>ТСП 2-10Г</v>
      </c>
      <c r="BE105" s="380">
        <f>'Таблиця цін схема №2'!HN30</f>
        <v>1</v>
      </c>
    </row>
    <row r="106" spans="1:57">
      <c r="A106" s="73">
        <v>47</v>
      </c>
      <c r="B106" s="1171" t="s">
        <v>908</v>
      </c>
      <c r="C106" s="525">
        <f>'Таблиця цін схема №2'!DT31</f>
        <v>20</v>
      </c>
      <c r="D106" s="380">
        <f>'Таблиця цін схема №2'!DU31</f>
        <v>1</v>
      </c>
      <c r="E106" s="47">
        <f>'Таблиця цін схема №2'!DX31</f>
        <v>50</v>
      </c>
      <c r="F106" s="380">
        <f>'Таблиця цін схема №2'!DY31</f>
        <v>1</v>
      </c>
      <c r="G106" s="47">
        <f>'Таблиця цін схема №2'!EB31</f>
        <v>50</v>
      </c>
      <c r="H106" s="380">
        <f>'Таблиця цін схема №2'!EC31</f>
        <v>2</v>
      </c>
      <c r="I106" s="47">
        <f>'Таблиця цін схема №2'!EF31</f>
        <v>32</v>
      </c>
      <c r="J106" s="380">
        <f>'Таблиця цін схема №2'!EG31</f>
        <v>1</v>
      </c>
      <c r="K106" s="47">
        <f>'Таблиця цін схема №2'!EJ31</f>
        <v>20</v>
      </c>
      <c r="L106" s="380">
        <f>'Таблиця цін схема №2'!EK31</f>
        <v>1</v>
      </c>
      <c r="M106" s="47">
        <f>'Таблиця цін схема №2'!EN31</f>
        <v>50</v>
      </c>
      <c r="N106" s="380">
        <f>'Таблиця цін схема №2'!EO31</f>
        <v>2</v>
      </c>
      <c r="O106" s="47">
        <f>'Таблиця цін схема №2'!ER31</f>
        <v>32</v>
      </c>
      <c r="P106" s="380">
        <f>'Таблиця цін схема №2'!ES31</f>
        <v>1</v>
      </c>
      <c r="Q106" s="47">
        <f>'Таблиця цін схема №2'!EV31</f>
        <v>20</v>
      </c>
      <c r="R106" s="380">
        <f>'Таблиця цін схема №2'!EW31</f>
        <v>1</v>
      </c>
      <c r="S106" s="1127">
        <f>'Таблиця цін схема №2'!EZ31</f>
        <v>17.874042631704782</v>
      </c>
      <c r="T106" s="379">
        <f>'Таблиця цін схема №2'!FA31</f>
        <v>20</v>
      </c>
      <c r="U106" s="380">
        <f>'Таблиця цін схема №2'!FB31</f>
        <v>2</v>
      </c>
      <c r="V106" s="1129">
        <f>'Таблиця цін схема №2'!FE31</f>
        <v>5.148856548856549</v>
      </c>
      <c r="W106" s="379">
        <f>'Таблиця цін схема №2'!FF31</f>
        <v>9</v>
      </c>
      <c r="X106" s="379">
        <f>'Таблиця цін схема №2'!FG31</f>
        <v>8</v>
      </c>
      <c r="Y106" s="1144" t="str">
        <f>'Таблиця цін схема №2'!FH31</f>
        <v>Yonos MAXO 25/0,5-12 PN 10</v>
      </c>
      <c r="Z106" s="380">
        <f>'Таблиця цін схема №2'!FI31</f>
        <v>2</v>
      </c>
      <c r="AA106" s="1129">
        <f>'Таблиця цін схема №2'!FL31</f>
        <v>0.79107505070993911</v>
      </c>
      <c r="AB106" s="379">
        <f>'Таблиця цін схема №2'!FM31</f>
        <v>9</v>
      </c>
      <c r="AC106" s="379">
        <f>'Таблиця цін схема №2'!FN31</f>
        <v>9</v>
      </c>
      <c r="AD106" s="1144" t="str">
        <f>'Таблиця цін схема №2'!FO31</f>
        <v>TOP-Z 25/10 3- PN 10</v>
      </c>
      <c r="AE106" s="380">
        <f>'Таблиця цін схема №2'!FP31</f>
        <v>1</v>
      </c>
      <c r="AF106" s="47">
        <f>'Таблиця цін схема №2'!FS31</f>
        <v>11.13</v>
      </c>
      <c r="AG106" s="379">
        <f>'Таблиця цін схема №2'!FT31</f>
        <v>32</v>
      </c>
      <c r="AH106" s="517" t="s">
        <v>115</v>
      </c>
      <c r="AI106" s="47">
        <f>'Таблиця цін схема №2'!FX31</f>
        <v>15</v>
      </c>
      <c r="AJ106" s="380">
        <f>'Таблиця цін схема №2'!FY31</f>
        <v>2</v>
      </c>
      <c r="AK106" s="47">
        <f>'Таблиця цін схема №2'!GB31</f>
        <v>25</v>
      </c>
      <c r="AL106" s="379">
        <f>'Таблиця цін схема №2'!GC31</f>
        <v>3.5</v>
      </c>
      <c r="AM106" s="380">
        <f>'Таблиця цін схема №2'!GD31</f>
        <v>1</v>
      </c>
      <c r="AN106" s="47">
        <f>'Таблиця цін схема №2'!GG31</f>
        <v>32</v>
      </c>
      <c r="AO106" s="380">
        <f>'Таблиця цін схема №2'!GH31</f>
        <v>1</v>
      </c>
      <c r="AP106" s="47" t="str">
        <f>'Таблиця цін схема №2'!GK31</f>
        <v>0-150</v>
      </c>
      <c r="AQ106" s="380">
        <f>'Таблиця цін схема №2'!GL31</f>
        <v>1</v>
      </c>
      <c r="AR106" s="47" t="str">
        <f>'Таблиця цін схема №2'!GO31</f>
        <v>0-120</v>
      </c>
      <c r="AS106" s="380">
        <f>'Таблиця цін схема №2'!GP31</f>
        <v>5</v>
      </c>
      <c r="AT106" s="47" t="str">
        <f>'Таблиця цін схема №2'!GS31</f>
        <v>0-1,6</v>
      </c>
      <c r="AU106" s="380">
        <f>'Таблиця цін схема №2'!GT31</f>
        <v>5</v>
      </c>
      <c r="AV106" s="47" t="str">
        <f>'Таблиця цін схема №2'!GW31</f>
        <v>0-1,0</v>
      </c>
      <c r="AW106" s="380">
        <f>'Таблиця цін схема №2'!GX31</f>
        <v>11</v>
      </c>
      <c r="AX106" s="47" t="str">
        <f>'Таблиця цін схема №2'!HA31</f>
        <v>PSM01</v>
      </c>
      <c r="AY106" s="380">
        <f>'Таблиця цін схема №2'!HB31</f>
        <v>4</v>
      </c>
      <c r="AZ106" s="47" t="str">
        <f>'Таблиця цін схема №2'!HE31</f>
        <v>A-10</v>
      </c>
      <c r="BA106" s="380">
        <f>'Таблиця цін схема №2'!HF31</f>
        <v>6</v>
      </c>
      <c r="BB106" s="47" t="str">
        <f>'Таблиця цін схема №2'!HI31</f>
        <v>ТСП 1-5</v>
      </c>
      <c r="BC106" s="380">
        <f>'Таблиця цін схема №2'!HJ31</f>
        <v>7</v>
      </c>
      <c r="BD106" s="47" t="str">
        <f>'Таблиця цін схема №2'!HM31</f>
        <v>ТСП 2-10Г</v>
      </c>
      <c r="BE106" s="380">
        <f>'Таблиця цін схема №2'!HN31</f>
        <v>1</v>
      </c>
    </row>
    <row r="107" spans="1:57">
      <c r="A107" s="73">
        <v>48</v>
      </c>
      <c r="B107" s="1171" t="s">
        <v>909</v>
      </c>
      <c r="C107" s="525">
        <f>'Таблиця цін схема №2'!DT32</f>
        <v>32</v>
      </c>
      <c r="D107" s="380">
        <f>'Таблиця цін схема №2'!DU32</f>
        <v>1</v>
      </c>
      <c r="E107" s="47">
        <f>'Таблиця цін схема №2'!DX32</f>
        <v>80</v>
      </c>
      <c r="F107" s="380">
        <f>'Таблиця цін схема №2'!DY32</f>
        <v>1</v>
      </c>
      <c r="G107" s="47">
        <f>'Таблиця цін схема №2'!EB32</f>
        <v>80</v>
      </c>
      <c r="H107" s="380">
        <f>'Таблиця цін схема №2'!EC32</f>
        <v>2</v>
      </c>
      <c r="I107" s="47">
        <f>'Таблиця цін схема №2'!EF32</f>
        <v>50</v>
      </c>
      <c r="J107" s="380">
        <f>'Таблиця цін схема №2'!EG32</f>
        <v>1</v>
      </c>
      <c r="K107" s="47">
        <f>'Таблиця цін схема №2'!EJ32</f>
        <v>32</v>
      </c>
      <c r="L107" s="380">
        <f>'Таблиця цін схема №2'!EK32</f>
        <v>1</v>
      </c>
      <c r="M107" s="47">
        <f>'Таблиця цін схема №2'!EN32</f>
        <v>50</v>
      </c>
      <c r="N107" s="380">
        <f>'Таблиця цін схема №2'!EO32</f>
        <v>6</v>
      </c>
      <c r="O107" s="47">
        <f>'Таблиця цін схема №2'!ER32</f>
        <v>50</v>
      </c>
      <c r="P107" s="380">
        <f>'Таблиця цін схема №2'!ES32</f>
        <v>1</v>
      </c>
      <c r="Q107" s="47">
        <f>'Таблиця цін схема №2'!EV32</f>
        <v>32</v>
      </c>
      <c r="R107" s="380">
        <f>'Таблиця цін схема №2'!EW32</f>
        <v>1</v>
      </c>
      <c r="S107" s="1127">
        <f>'Таблиця цін схема №2'!EZ32</f>
        <v>33.742465825721752</v>
      </c>
      <c r="T107" s="379">
        <f>'Таблиця цін схема №2'!FA32</f>
        <v>40</v>
      </c>
      <c r="U107" s="380">
        <f>'Таблиця цін схема №2'!FB32</f>
        <v>2</v>
      </c>
      <c r="V107" s="1129">
        <f>'Таблиця цін схема №2'!FE32</f>
        <v>18.349272349272351</v>
      </c>
      <c r="W107" s="379">
        <f>'Таблиця цін схема №2'!FF32</f>
        <v>9</v>
      </c>
      <c r="X107" s="379">
        <f>'Таблиця цін схема №2'!FG32</f>
        <v>8</v>
      </c>
      <c r="Y107" s="1144" t="str">
        <f>'Таблиця цін схема №2'!FH32</f>
        <v>Yonos MAXO 40/0,5-16 PN 6/10</v>
      </c>
      <c r="Z107" s="380">
        <f>'Таблиця цін схема №2'!FI32</f>
        <v>2</v>
      </c>
      <c r="AA107" s="1129">
        <f>'Таблиця цін схема №2'!FL32</f>
        <v>2.2369168356997973</v>
      </c>
      <c r="AB107" s="379">
        <f>'Таблиця цін схема №2'!FM32</f>
        <v>9</v>
      </c>
      <c r="AC107" s="379">
        <f>'Таблиця цін схема №2'!FN32</f>
        <v>9</v>
      </c>
      <c r="AD107" s="1144" t="str">
        <f>'Таблиця цін схема №2'!FO32</f>
        <v>TOP-Z 25/10 3- PN 10</v>
      </c>
      <c r="AE107" s="380">
        <f>'Таблиця цін схема №2'!FP32</f>
        <v>1</v>
      </c>
      <c r="AF107" s="47">
        <f>'Таблиця цін схема №2'!FS32</f>
        <v>11.13</v>
      </c>
      <c r="AG107" s="379">
        <f>'Таблиця цін схема №2'!FT32</f>
        <v>32</v>
      </c>
      <c r="AH107" s="380">
        <f>'Таблиця цін схема №2'!FU32</f>
        <v>3</v>
      </c>
      <c r="AI107" s="47">
        <f>'Таблиця цін схема №2'!FX32</f>
        <v>15</v>
      </c>
      <c r="AJ107" s="380">
        <f>'Таблиця цін схема №2'!FY32</f>
        <v>2</v>
      </c>
      <c r="AK107" s="47">
        <f>'Таблиця цін схема №2'!GB32</f>
        <v>40</v>
      </c>
      <c r="AL107" s="379">
        <f>'Таблиця цін схема №2'!GC32</f>
        <v>15</v>
      </c>
      <c r="AM107" s="380">
        <f>'Таблиця цін схема №2'!GD32</f>
        <v>1</v>
      </c>
      <c r="AN107" s="47">
        <f>'Таблиця цін схема №2'!GG32</f>
        <v>50</v>
      </c>
      <c r="AO107" s="380">
        <f>'Таблиця цін схема №2'!GH32</f>
        <v>1</v>
      </c>
      <c r="AP107" s="47" t="str">
        <f>'Таблиця цін схема №2'!GK32</f>
        <v>0-150</v>
      </c>
      <c r="AQ107" s="380">
        <f>'Таблиця цін схема №2'!GL32</f>
        <v>1</v>
      </c>
      <c r="AR107" s="47" t="str">
        <f>'Таблиця цін схема №2'!GO32</f>
        <v>0-120</v>
      </c>
      <c r="AS107" s="380">
        <f>'Таблиця цін схема №2'!GP32</f>
        <v>5</v>
      </c>
      <c r="AT107" s="47" t="str">
        <f>'Таблиця цін схема №2'!GS32</f>
        <v>0-1,6</v>
      </c>
      <c r="AU107" s="380">
        <f>'Таблиця цін схема №2'!GT32</f>
        <v>5</v>
      </c>
      <c r="AV107" s="47" t="str">
        <f>'Таблиця цін схема №2'!GW32</f>
        <v>0-1,0</v>
      </c>
      <c r="AW107" s="380">
        <f>'Таблиця цін схема №2'!GX32</f>
        <v>14</v>
      </c>
      <c r="AX107" s="47" t="str">
        <f>'Таблиця цін схема №2'!HA32</f>
        <v>PSM01</v>
      </c>
      <c r="AY107" s="380">
        <f>'Таблиця цін схема №2'!HB32</f>
        <v>4</v>
      </c>
      <c r="AZ107" s="47" t="str">
        <f>'Таблиця цін схема №2'!HE32</f>
        <v>A-10</v>
      </c>
      <c r="BA107" s="380">
        <f>'Таблиця цін схема №2'!HF32</f>
        <v>6</v>
      </c>
      <c r="BB107" s="47" t="str">
        <f>'Таблиця цін схема №2'!HI32</f>
        <v>ТСП 1-5</v>
      </c>
      <c r="BC107" s="380">
        <f>'Таблиця цін схема №2'!HJ32</f>
        <v>7</v>
      </c>
      <c r="BD107" s="47" t="str">
        <f>'Таблиця цін схема №2'!HM32</f>
        <v>ТСП 2-10Г</v>
      </c>
      <c r="BE107" s="380">
        <f>'Таблиця цін схема №2'!HN32</f>
        <v>1</v>
      </c>
    </row>
    <row r="108" spans="1:57">
      <c r="A108" s="73">
        <v>49</v>
      </c>
      <c r="B108" s="1171" t="s">
        <v>910</v>
      </c>
      <c r="C108" s="525">
        <f>'Таблиця цін схема №2'!DT33</f>
        <v>32</v>
      </c>
      <c r="D108" s="380">
        <f>'Таблиця цін схема №2'!DU33</f>
        <v>1</v>
      </c>
      <c r="E108" s="47">
        <f>'Таблиця цін схема №2'!DX33</f>
        <v>65</v>
      </c>
      <c r="F108" s="380">
        <f>'Таблиця цін схема №2'!DY33</f>
        <v>1</v>
      </c>
      <c r="G108" s="47">
        <f>'Таблиця цін схема №2'!EB33</f>
        <v>65</v>
      </c>
      <c r="H108" s="380">
        <f>'Таблиця цін схема №2'!EC33</f>
        <v>2</v>
      </c>
      <c r="I108" s="47">
        <f>'Таблиця цін схема №2'!EF33</f>
        <v>50</v>
      </c>
      <c r="J108" s="380">
        <f>'Таблиця цін схема №2'!EG33</f>
        <v>1</v>
      </c>
      <c r="K108" s="47">
        <f>'Таблиця цін схема №2'!EJ33</f>
        <v>32</v>
      </c>
      <c r="L108" s="380">
        <f>'Таблиця цін схема №2'!EK33</f>
        <v>1</v>
      </c>
      <c r="M108" s="47">
        <f>'Таблиця цін схема №2'!EN33</f>
        <v>50</v>
      </c>
      <c r="N108" s="380">
        <f>'Таблиця цін схема №2'!EO33</f>
        <v>4</v>
      </c>
      <c r="O108" s="47">
        <f>'Таблиця цін схема №2'!ER33</f>
        <v>50</v>
      </c>
      <c r="P108" s="380">
        <f>'Таблиця цін схема №2'!ES33</f>
        <v>1</v>
      </c>
      <c r="Q108" s="47">
        <f>'Таблиця цін схема №2'!EV33</f>
        <v>32</v>
      </c>
      <c r="R108" s="380">
        <f>'Таблиця цін схема №2'!EW33</f>
        <v>1</v>
      </c>
      <c r="S108" s="1127">
        <f>'Таблиця цін схема №2'!EZ33</f>
        <v>27.555289873271157</v>
      </c>
      <c r="T108" s="379">
        <f>'Таблиця цін схема №2'!FA33</f>
        <v>32</v>
      </c>
      <c r="U108" s="380">
        <f>'Таблиця цін схема №2'!FB33</f>
        <v>2</v>
      </c>
      <c r="V108" s="1129">
        <f>'Таблиця цін схема №2'!FE33</f>
        <v>12.237006237006238</v>
      </c>
      <c r="W108" s="379">
        <f>'Таблиця цін схема №2'!FF33</f>
        <v>9</v>
      </c>
      <c r="X108" s="379">
        <f>'Таблиця цін схема №2'!FG33</f>
        <v>8</v>
      </c>
      <c r="Y108" s="1144" t="str">
        <f>'Таблиця цін схема №2'!FH33</f>
        <v>Yonos MAXO 40/0,5-12 PN 6/10</v>
      </c>
      <c r="Z108" s="380">
        <f>'Таблиця цін схема №2'!FI33</f>
        <v>2</v>
      </c>
      <c r="AA108" s="1129">
        <f>'Таблиця цін схема №2'!FL33</f>
        <v>1.4914807302231239</v>
      </c>
      <c r="AB108" s="379">
        <f>'Таблиця цін схема №2'!FM33</f>
        <v>9</v>
      </c>
      <c r="AC108" s="379">
        <f>'Таблиця цін схема №2'!FN33</f>
        <v>9</v>
      </c>
      <c r="AD108" s="1144" t="str">
        <f>'Таблиця цін схема №2'!FO33</f>
        <v>TOP-Z 25/10 3- PN 10</v>
      </c>
      <c r="AE108" s="380">
        <f>'Таблиця цін схема №2'!FP33</f>
        <v>1</v>
      </c>
      <c r="AF108" s="47">
        <f>'Таблиця цін схема №2'!FS33</f>
        <v>11.13</v>
      </c>
      <c r="AG108" s="379">
        <f>'Таблиця цін схема №2'!FT33</f>
        <v>32</v>
      </c>
      <c r="AH108" s="380">
        <f>'Таблиця цін схема №2'!FU33</f>
        <v>2</v>
      </c>
      <c r="AI108" s="47">
        <f>'Таблиця цін схема №2'!FX33</f>
        <v>15</v>
      </c>
      <c r="AJ108" s="380">
        <f>'Таблиця цін схема №2'!FY33</f>
        <v>2</v>
      </c>
      <c r="AK108" s="47">
        <f>'Таблиця цін схема №2'!GB33</f>
        <v>32</v>
      </c>
      <c r="AL108" s="379">
        <f>'Таблиця цін схема №2'!GC33</f>
        <v>6</v>
      </c>
      <c r="AM108" s="380">
        <f>'Таблиця цін схема №2'!GD33</f>
        <v>1</v>
      </c>
      <c r="AN108" s="47">
        <f>'Таблиця цін схема №2'!GG33</f>
        <v>50</v>
      </c>
      <c r="AO108" s="380">
        <f>'Таблиця цін схема №2'!GH33</f>
        <v>1</v>
      </c>
      <c r="AP108" s="47" t="str">
        <f>'Таблиця цін схема №2'!GK33</f>
        <v>0-150</v>
      </c>
      <c r="AQ108" s="380">
        <f>'Таблиця цін схема №2'!GL33</f>
        <v>1</v>
      </c>
      <c r="AR108" s="47" t="str">
        <f>'Таблиця цін схема №2'!GO33</f>
        <v>0-120</v>
      </c>
      <c r="AS108" s="380">
        <f>'Таблиця цін схема №2'!GP33</f>
        <v>1</v>
      </c>
      <c r="AT108" s="47" t="str">
        <f>'Таблиця цін схема №2'!GS33</f>
        <v>0-1,6</v>
      </c>
      <c r="AU108" s="380">
        <f>'Таблиця цін схема №2'!GT33</f>
        <v>3</v>
      </c>
      <c r="AV108" s="47" t="str">
        <f>'Таблиця цін схема №2'!GW33</f>
        <v>0-1,0</v>
      </c>
      <c r="AW108" s="380">
        <f>'Таблиця цін схема №2'!GX33</f>
        <v>13</v>
      </c>
      <c r="AX108" s="47" t="str">
        <f>'Таблиця цін схема №2'!HA33</f>
        <v>PSM01</v>
      </c>
      <c r="AY108" s="380">
        <f>'Таблиця цін схема №2'!HB33</f>
        <v>4</v>
      </c>
      <c r="AZ108" s="47" t="str">
        <f>'Таблиця цін схема №2'!HE33</f>
        <v>A-10</v>
      </c>
      <c r="BA108" s="380">
        <f>'Таблиця цін схема №2'!HF33</f>
        <v>6</v>
      </c>
      <c r="BB108" s="47" t="str">
        <f>'Таблиця цін схема №2'!HI33</f>
        <v>ТСП 1-5</v>
      </c>
      <c r="BC108" s="380">
        <f>'Таблиця цін схема №2'!HJ33</f>
        <v>7</v>
      </c>
      <c r="BD108" s="47" t="str">
        <f>'Таблиця цін схема №2'!HM33</f>
        <v>ТСП 2-10Г</v>
      </c>
      <c r="BE108" s="380">
        <f>'Таблиця цін схема №2'!HN33</f>
        <v>1</v>
      </c>
    </row>
    <row r="109" spans="1:57">
      <c r="A109" s="73">
        <v>50</v>
      </c>
      <c r="B109" s="1171" t="s">
        <v>911</v>
      </c>
      <c r="C109" s="525">
        <f>'Таблиця цін схема №2'!DT34</f>
        <v>32</v>
      </c>
      <c r="D109" s="380">
        <f>'Таблиця цін схема №2'!DU34</f>
        <v>1</v>
      </c>
      <c r="E109" s="47">
        <f>'Таблиця цін схема №2'!DX34</f>
        <v>80</v>
      </c>
      <c r="F109" s="380">
        <f>'Таблиця цін схема №2'!DY34</f>
        <v>1</v>
      </c>
      <c r="G109" s="47">
        <f>'Таблиця цін схема №2'!EB34</f>
        <v>80</v>
      </c>
      <c r="H109" s="380">
        <f>'Таблиця цін схема №2'!EC34</f>
        <v>2</v>
      </c>
      <c r="I109" s="47">
        <f>'Таблиця цін схема №2'!EF34</f>
        <v>50</v>
      </c>
      <c r="J109" s="380">
        <f>'Таблиця цін схема №2'!EG34</f>
        <v>1</v>
      </c>
      <c r="K109" s="47">
        <f>'Таблиця цін схема №2'!EJ34</f>
        <v>32</v>
      </c>
      <c r="L109" s="380">
        <f>'Таблиця цін схема №2'!EK34</f>
        <v>1</v>
      </c>
      <c r="M109" s="47">
        <f>'Таблиця цін схема №2'!EN34</f>
        <v>50</v>
      </c>
      <c r="N109" s="380">
        <f>'Таблиця цін схема №2'!EO34</f>
        <v>6</v>
      </c>
      <c r="O109" s="47">
        <f>'Таблиця цін схема №2'!ER34</f>
        <v>50</v>
      </c>
      <c r="P109" s="380">
        <f>'Таблиця цін схема №2'!ES34</f>
        <v>1</v>
      </c>
      <c r="Q109" s="47">
        <f>'Таблиця цін схема №2'!EV34</f>
        <v>32</v>
      </c>
      <c r="R109" s="380">
        <f>'Таблиця цін схема №2'!EW34</f>
        <v>1</v>
      </c>
      <c r="S109" s="1127">
        <f>'Таблиця цін схема №2'!EZ34</f>
        <v>31.10880904181322</v>
      </c>
      <c r="T109" s="379">
        <f>'Таблиця цін схема №2'!FA34</f>
        <v>32</v>
      </c>
      <c r="U109" s="380">
        <f>'Таблиця цін схема №2'!FB34</f>
        <v>2</v>
      </c>
      <c r="V109" s="1129">
        <f>'Таблиця цін схема №2'!FE34</f>
        <v>15.596673596673595</v>
      </c>
      <c r="W109" s="379">
        <f>'Таблиця цін схема №2'!FF34</f>
        <v>9</v>
      </c>
      <c r="X109" s="379">
        <f>'Таблиця цін схема №2'!FG34</f>
        <v>8</v>
      </c>
      <c r="Y109" s="1144" t="str">
        <f>'Таблиця цін схема №2'!FH34</f>
        <v>Yonos MAXO 50/0,5-12 PN 6/10</v>
      </c>
      <c r="Z109" s="380">
        <f>'Таблиця цін схема №2'!FI34</f>
        <v>2</v>
      </c>
      <c r="AA109" s="1129">
        <f>'Таблиця цін схема №2'!FL34</f>
        <v>2.1906693711967544</v>
      </c>
      <c r="AB109" s="379">
        <f>'Таблиця цін схема №2'!FM34</f>
        <v>9</v>
      </c>
      <c r="AC109" s="379">
        <f>'Таблиця цін схема №2'!FN34</f>
        <v>9</v>
      </c>
      <c r="AD109" s="1144" t="str">
        <f>'Таблиця цін схема №2'!FO34</f>
        <v>TOP-Z 25/10 3- PN 10</v>
      </c>
      <c r="AE109" s="380">
        <f>'Таблиця цін схема №2'!FP34</f>
        <v>1</v>
      </c>
      <c r="AF109" s="47">
        <f>'Таблиця цін схема №2'!FS34</f>
        <v>11.13</v>
      </c>
      <c r="AG109" s="379">
        <f>'Таблиця цін схема №2'!FT34</f>
        <v>32</v>
      </c>
      <c r="AH109" s="380">
        <f>'Таблиця цін схема №2'!FU34</f>
        <v>3</v>
      </c>
      <c r="AI109" s="47">
        <f>'Таблиця цін схема №2'!FX34</f>
        <v>15</v>
      </c>
      <c r="AJ109" s="380">
        <f>'Таблиця цін схема №2'!FY34</f>
        <v>2</v>
      </c>
      <c r="AK109" s="47">
        <f>'Таблиця цін схема №2'!GB34</f>
        <v>40</v>
      </c>
      <c r="AL109" s="379">
        <f>'Таблиця цін схема №2'!GC34</f>
        <v>15</v>
      </c>
      <c r="AM109" s="380">
        <f>'Таблиця цін схема №2'!GD34</f>
        <v>1</v>
      </c>
      <c r="AN109" s="47">
        <f>'Таблиця цін схема №2'!GG34</f>
        <v>50</v>
      </c>
      <c r="AO109" s="380">
        <f>'Таблиця цін схема №2'!GH34</f>
        <v>1</v>
      </c>
      <c r="AP109" s="47" t="str">
        <f>'Таблиця цін схема №2'!GK34</f>
        <v>0-150</v>
      </c>
      <c r="AQ109" s="380">
        <f>'Таблиця цін схема №2'!GL34</f>
        <v>1</v>
      </c>
      <c r="AR109" s="47" t="str">
        <f>'Таблиця цін схема №2'!GO34</f>
        <v>0-120</v>
      </c>
      <c r="AS109" s="380">
        <f>'Таблиця цін схема №2'!GP34</f>
        <v>5</v>
      </c>
      <c r="AT109" s="47" t="str">
        <f>'Таблиця цін схема №2'!GS34</f>
        <v>0-1,6</v>
      </c>
      <c r="AU109" s="380">
        <f>'Таблиця цін схема №2'!GT34</f>
        <v>5</v>
      </c>
      <c r="AV109" s="47" t="str">
        <f>'Таблиця цін схема №2'!GW34</f>
        <v>0-1,0</v>
      </c>
      <c r="AW109" s="380">
        <f>'Таблиця цін схема №2'!GX34</f>
        <v>14</v>
      </c>
      <c r="AX109" s="47" t="str">
        <f>'Таблиця цін схема №2'!HA34</f>
        <v>PSM01</v>
      </c>
      <c r="AY109" s="380">
        <f>'Таблиця цін схема №2'!HB34</f>
        <v>4</v>
      </c>
      <c r="AZ109" s="47" t="str">
        <f>'Таблиця цін схема №2'!HE34</f>
        <v>A-10</v>
      </c>
      <c r="BA109" s="380">
        <f>'Таблиця цін схема №2'!HF34</f>
        <v>6</v>
      </c>
      <c r="BB109" s="47" t="str">
        <f>'Таблиця цін схема №2'!HI34</f>
        <v>ТСП 1-5</v>
      </c>
      <c r="BC109" s="380">
        <f>'Таблиця цін схема №2'!HJ34</f>
        <v>7</v>
      </c>
      <c r="BD109" s="47" t="str">
        <f>'Таблиця цін схема №2'!HM34</f>
        <v>ТСП 2-10Г</v>
      </c>
      <c r="BE109" s="380">
        <f>'Таблиця цін схема №2'!HN34</f>
        <v>1</v>
      </c>
    </row>
    <row r="110" spans="1:57">
      <c r="A110" s="73">
        <v>51</v>
      </c>
      <c r="B110" s="1171" t="s">
        <v>912</v>
      </c>
      <c r="C110" s="525">
        <f>'Таблиця цін схема №2'!DT35</f>
        <v>25</v>
      </c>
      <c r="D110" s="380">
        <f>'Таблиця цін схема №2'!DU35</f>
        <v>1</v>
      </c>
      <c r="E110" s="47">
        <f>'Таблиця цін схема №2'!DX35</f>
        <v>65</v>
      </c>
      <c r="F110" s="380">
        <f>'Таблиця цін схема №2'!DY35</f>
        <v>1</v>
      </c>
      <c r="G110" s="47">
        <f>'Таблиця цін схема №2'!EB35</f>
        <v>65</v>
      </c>
      <c r="H110" s="380">
        <f>'Таблиця цін схема №2'!EC35</f>
        <v>2</v>
      </c>
      <c r="I110" s="47">
        <f>'Таблиця цін схема №2'!EF35</f>
        <v>40</v>
      </c>
      <c r="J110" s="380">
        <f>'Таблиця цін схема №2'!EG35</f>
        <v>1</v>
      </c>
      <c r="K110" s="47">
        <f>'Таблиця цін схема №2'!EJ35</f>
        <v>25</v>
      </c>
      <c r="L110" s="380">
        <f>'Таблиця цін схема №2'!EK35</f>
        <v>1</v>
      </c>
      <c r="M110" s="47">
        <f>'Таблиця цін схема №2'!EN35</f>
        <v>50</v>
      </c>
      <c r="N110" s="380">
        <f>'Таблиця цін схема №2'!EO35</f>
        <v>4</v>
      </c>
      <c r="O110" s="47">
        <f>'Таблиця цін схема №2'!ER35</f>
        <v>40</v>
      </c>
      <c r="P110" s="380">
        <f>'Таблиця цін схема №2'!ES35</f>
        <v>1</v>
      </c>
      <c r="Q110" s="47">
        <f>'Таблиця цін схема №2'!EV35</f>
        <v>25</v>
      </c>
      <c r="R110" s="380">
        <f>'Таблиця цін схема №2'!EW35</f>
        <v>1</v>
      </c>
      <c r="S110" s="1127">
        <f>'Таблиця цін схема №2'!EZ35</f>
        <v>24.945861380196916</v>
      </c>
      <c r="T110" s="379">
        <f>'Таблиця цін схема №2'!FA35</f>
        <v>25</v>
      </c>
      <c r="U110" s="380">
        <f>'Таблиця цін схема №2'!FB35</f>
        <v>2</v>
      </c>
      <c r="V110" s="1129">
        <f>'Таблиця цін схема №2'!FE35</f>
        <v>10.029106029106028</v>
      </c>
      <c r="W110" s="379">
        <f>'Таблиця цін схема №2'!FF35</f>
        <v>9</v>
      </c>
      <c r="X110" s="379">
        <f>'Таблиця цін схема №2'!FG35</f>
        <v>8</v>
      </c>
      <c r="Y110" s="1144" t="str">
        <f>'Таблиця цін схема №2'!FH35</f>
        <v>Yonos MAXO 40/0,5-12 PN 6/10</v>
      </c>
      <c r="Z110" s="380">
        <f>'Таблиця цін схема №2'!FI35</f>
        <v>2</v>
      </c>
      <c r="AA110" s="1129">
        <f>'Таблиця цін схема №2'!FL35</f>
        <v>1.3582150101419879</v>
      </c>
      <c r="AB110" s="379">
        <f>'Таблиця цін схема №2'!FM35</f>
        <v>9</v>
      </c>
      <c r="AC110" s="379">
        <f>'Таблиця цін схема №2'!FN35</f>
        <v>9</v>
      </c>
      <c r="AD110" s="1144" t="str">
        <f>'Таблиця цін схема №2'!FO35</f>
        <v>TOP-Z 25/10 3- PN 10</v>
      </c>
      <c r="AE110" s="380">
        <f>'Таблиця цін схема №2'!FP35</f>
        <v>1</v>
      </c>
      <c r="AF110" s="47">
        <f>'Таблиця цін схема №2'!FS35</f>
        <v>11.13</v>
      </c>
      <c r="AG110" s="379">
        <f>'Таблиця цін схема №2'!FT35</f>
        <v>32</v>
      </c>
      <c r="AH110" s="380">
        <f>'Таблиця цін схема №2'!FU35</f>
        <v>2</v>
      </c>
      <c r="AI110" s="47">
        <f>'Таблиця цін схема №2'!FX35</f>
        <v>15</v>
      </c>
      <c r="AJ110" s="380">
        <f>'Таблиця цін схема №2'!FY35</f>
        <v>2</v>
      </c>
      <c r="AK110" s="47">
        <f>'Таблиця цін схема №2'!GB35</f>
        <v>32</v>
      </c>
      <c r="AL110" s="379">
        <f>'Таблиця цін схема №2'!GC35</f>
        <v>6</v>
      </c>
      <c r="AM110" s="380">
        <f>'Таблиця цін схема №2'!GD35</f>
        <v>1</v>
      </c>
      <c r="AN110" s="47">
        <f>'Таблиця цін схема №2'!GG35</f>
        <v>40</v>
      </c>
      <c r="AO110" s="380">
        <f>'Таблиця цін схема №2'!GH35</f>
        <v>1</v>
      </c>
      <c r="AP110" s="47" t="str">
        <f>'Таблиця цін схема №2'!GK35</f>
        <v>0-150</v>
      </c>
      <c r="AQ110" s="380">
        <f>'Таблиця цін схема №2'!GL35</f>
        <v>1</v>
      </c>
      <c r="AR110" s="47" t="str">
        <f>'Таблиця цін схема №2'!GO35</f>
        <v>0-120</v>
      </c>
      <c r="AS110" s="380">
        <f>'Таблиця цін схема №2'!GP35</f>
        <v>5</v>
      </c>
      <c r="AT110" s="47" t="str">
        <f>'Таблиця цін схема №2'!GS35</f>
        <v>0-1,6</v>
      </c>
      <c r="AU110" s="380">
        <f>'Таблиця цін схема №2'!GT35</f>
        <v>5</v>
      </c>
      <c r="AV110" s="47" t="str">
        <f>'Таблиця цін схема №2'!GW35</f>
        <v>0-1,0</v>
      </c>
      <c r="AW110" s="380">
        <f>'Таблиця цін схема №2'!GX35</f>
        <v>13</v>
      </c>
      <c r="AX110" s="47" t="str">
        <f>'Таблиця цін схема №2'!HA35</f>
        <v>PSM01</v>
      </c>
      <c r="AY110" s="380">
        <f>'Таблиця цін схема №2'!HB35</f>
        <v>4</v>
      </c>
      <c r="AZ110" s="47" t="str">
        <f>'Таблиця цін схема №2'!HE35</f>
        <v>A-10</v>
      </c>
      <c r="BA110" s="380">
        <f>'Таблиця цін схема №2'!HF35</f>
        <v>6</v>
      </c>
      <c r="BB110" s="47" t="str">
        <f>'Таблиця цін схема №2'!HI35</f>
        <v>ТСП 1-5</v>
      </c>
      <c r="BC110" s="380">
        <f>'Таблиця цін схема №2'!HJ35</f>
        <v>7</v>
      </c>
      <c r="BD110" s="47" t="str">
        <f>'Таблиця цін схема №2'!HM35</f>
        <v>ТСП 2-10Г</v>
      </c>
      <c r="BE110" s="380">
        <f>'Таблиця цін схема №2'!HN35</f>
        <v>1</v>
      </c>
    </row>
    <row r="111" spans="1:57">
      <c r="A111" s="73">
        <v>52</v>
      </c>
      <c r="B111" s="1171" t="s">
        <v>913</v>
      </c>
      <c r="C111" s="525">
        <f>'Таблиця цін схема №2'!DT36</f>
        <v>25</v>
      </c>
      <c r="D111" s="380">
        <f>'Таблиця цін схема №2'!DU36</f>
        <v>1</v>
      </c>
      <c r="E111" s="47">
        <f>'Таблиця цін схема №2'!DX36</f>
        <v>65</v>
      </c>
      <c r="F111" s="380">
        <f>'Таблиця цін схема №2'!DY36</f>
        <v>1</v>
      </c>
      <c r="G111" s="47">
        <f>'Таблиця цін схема №2'!EB36</f>
        <v>65</v>
      </c>
      <c r="H111" s="380">
        <f>'Таблиця цін схема №2'!EC36</f>
        <v>2</v>
      </c>
      <c r="I111" s="47">
        <f>'Таблиця цін схема №2'!EF36</f>
        <v>40</v>
      </c>
      <c r="J111" s="380">
        <f>'Таблиця цін схема №2'!EG36</f>
        <v>1</v>
      </c>
      <c r="K111" s="47">
        <f>'Таблиця цін схема №2'!EJ36</f>
        <v>25</v>
      </c>
      <c r="L111" s="380">
        <f>'Таблиця цін схема №2'!EK36</f>
        <v>1</v>
      </c>
      <c r="M111" s="47">
        <f>'Таблиця цін схема №2'!EN36</f>
        <v>50</v>
      </c>
      <c r="N111" s="380">
        <f>'Таблиця цін схема №2'!EO36</f>
        <v>4</v>
      </c>
      <c r="O111" s="47">
        <f>'Таблиця цін схема №2'!ER36</f>
        <v>40</v>
      </c>
      <c r="P111" s="380">
        <f>'Таблиця цін схема №2'!ES36</f>
        <v>1</v>
      </c>
      <c r="Q111" s="47">
        <f>'Таблиця цін схема №2'!EV36</f>
        <v>25</v>
      </c>
      <c r="R111" s="380">
        <f>'Таблиця цін схема №2'!EW36</f>
        <v>1</v>
      </c>
      <c r="S111" s="1127">
        <f>'Таблиця цін схема №2'!EZ36</f>
        <v>24.945861380196916</v>
      </c>
      <c r="T111" s="379">
        <f>'Таблиця цін схема №2'!FA36</f>
        <v>25</v>
      </c>
      <c r="U111" s="380">
        <f>'Таблиця цін схема №2'!FB36</f>
        <v>2</v>
      </c>
      <c r="V111" s="1129">
        <f>'Таблиця цін схема №2'!FE36</f>
        <v>10.029106029106028</v>
      </c>
      <c r="W111" s="379">
        <f>'Таблиця цін схема №2'!FF36</f>
        <v>9</v>
      </c>
      <c r="X111" s="379">
        <f>'Таблиця цін схема №2'!FG36</f>
        <v>8</v>
      </c>
      <c r="Y111" s="1144" t="str">
        <f>'Таблиця цін схема №2'!FH36</f>
        <v>Yonos MAXO 40/0,5-12 PN 6/10</v>
      </c>
      <c r="Z111" s="380">
        <f>'Таблиця цін схема №2'!FI36</f>
        <v>2</v>
      </c>
      <c r="AA111" s="1129">
        <f>'Таблиця цін схема №2'!FL36</f>
        <v>1.3582150101419879</v>
      </c>
      <c r="AB111" s="379">
        <f>'Таблиця цін схема №2'!FM36</f>
        <v>9</v>
      </c>
      <c r="AC111" s="379">
        <f>'Таблиця цін схема №2'!FN36</f>
        <v>9</v>
      </c>
      <c r="AD111" s="1144" t="str">
        <f>'Таблиця цін схема №2'!FO36</f>
        <v>TOP-Z 25/10 3- PN 10</v>
      </c>
      <c r="AE111" s="380">
        <f>'Таблиця цін схема №2'!FP36</f>
        <v>1</v>
      </c>
      <c r="AF111" s="47">
        <f>'Таблиця цін схема №2'!FS36</f>
        <v>11.13</v>
      </c>
      <c r="AG111" s="379">
        <f>'Таблиця цін схема №2'!FT36</f>
        <v>32</v>
      </c>
      <c r="AH111" s="380">
        <f>'Таблиця цін схема №2'!FU36</f>
        <v>2</v>
      </c>
      <c r="AI111" s="47">
        <f>'Таблиця цін схема №2'!FX36</f>
        <v>15</v>
      </c>
      <c r="AJ111" s="380">
        <f>'Таблиця цін схема №2'!FY36</f>
        <v>2</v>
      </c>
      <c r="AK111" s="47">
        <f>'Таблиця цін схема №2'!GB36</f>
        <v>32</v>
      </c>
      <c r="AL111" s="379">
        <f>'Таблиця цін схема №2'!GC36</f>
        <v>6</v>
      </c>
      <c r="AM111" s="380">
        <f>'Таблиця цін схема №2'!GD36</f>
        <v>1</v>
      </c>
      <c r="AN111" s="47">
        <f>'Таблиця цін схема №2'!GG36</f>
        <v>40</v>
      </c>
      <c r="AO111" s="380">
        <f>'Таблиця цін схема №2'!GH36</f>
        <v>1</v>
      </c>
      <c r="AP111" s="47" t="str">
        <f>'Таблиця цін схема №2'!GK36</f>
        <v>0-150</v>
      </c>
      <c r="AQ111" s="380">
        <f>'Таблиця цін схема №2'!GL36</f>
        <v>1</v>
      </c>
      <c r="AR111" s="47" t="str">
        <f>'Таблиця цін схема №2'!GO36</f>
        <v>0-120</v>
      </c>
      <c r="AS111" s="380">
        <f>'Таблиця цін схема №2'!GP36</f>
        <v>5</v>
      </c>
      <c r="AT111" s="47" t="str">
        <f>'Таблиця цін схема №2'!GS36</f>
        <v>0-1,6</v>
      </c>
      <c r="AU111" s="380">
        <f>'Таблиця цін схема №2'!GT36</f>
        <v>5</v>
      </c>
      <c r="AV111" s="47" t="str">
        <f>'Таблиця цін схема №2'!GW36</f>
        <v>0-1,0</v>
      </c>
      <c r="AW111" s="380">
        <f>'Таблиця цін схема №2'!GX36</f>
        <v>13</v>
      </c>
      <c r="AX111" s="47" t="str">
        <f>'Таблиця цін схема №2'!HA36</f>
        <v>PSM01</v>
      </c>
      <c r="AY111" s="380">
        <f>'Таблиця цін схема №2'!HB36</f>
        <v>4</v>
      </c>
      <c r="AZ111" s="47" t="str">
        <f>'Таблиця цін схема №2'!HE36</f>
        <v>A-10</v>
      </c>
      <c r="BA111" s="380">
        <f>'Таблиця цін схема №2'!HF36</f>
        <v>6</v>
      </c>
      <c r="BB111" s="47" t="str">
        <f>'Таблиця цін схема №2'!HI36</f>
        <v>ТСП 1-5</v>
      </c>
      <c r="BC111" s="380">
        <f>'Таблиця цін схема №2'!HJ36</f>
        <v>7</v>
      </c>
      <c r="BD111" s="47" t="str">
        <f>'Таблиця цін схема №2'!HM36</f>
        <v>ТСП 2-10Г</v>
      </c>
      <c r="BE111" s="380">
        <f>'Таблиця цін схема №2'!HN36</f>
        <v>1</v>
      </c>
    </row>
    <row r="112" spans="1:57">
      <c r="A112" s="73">
        <v>53</v>
      </c>
      <c r="B112" s="1171" t="s">
        <v>914</v>
      </c>
      <c r="C112" s="525">
        <f>'Таблиця цін схема №2'!DT37</f>
        <v>40</v>
      </c>
      <c r="D112" s="380">
        <f>'Таблиця цін схема №2'!DU37</f>
        <v>1</v>
      </c>
      <c r="E112" s="47">
        <f>'Таблиця цін схема №2'!DX37</f>
        <v>80</v>
      </c>
      <c r="F112" s="380">
        <f>'Таблиця цін схема №2'!DY37</f>
        <v>1</v>
      </c>
      <c r="G112" s="47">
        <f>'Таблиця цін схема №2'!EB37</f>
        <v>80</v>
      </c>
      <c r="H112" s="380">
        <f>'Таблиця цін схема №2'!EC37</f>
        <v>2</v>
      </c>
      <c r="I112" s="47">
        <f>'Таблиця цін схема №2'!EF37</f>
        <v>65</v>
      </c>
      <c r="J112" s="380">
        <f>'Таблиця цін схема №2'!EG37</f>
        <v>1</v>
      </c>
      <c r="K112" s="47">
        <f>'Таблиця цін схема №2'!EJ37</f>
        <v>40</v>
      </c>
      <c r="L112" s="380">
        <f>'Таблиця цін схема №2'!EK37</f>
        <v>1</v>
      </c>
      <c r="M112" s="47">
        <f>'Таблиця цін схема №2'!EN37</f>
        <v>40</v>
      </c>
      <c r="N112" s="380">
        <f>'Таблиця цін схема №2'!EO37</f>
        <v>8</v>
      </c>
      <c r="O112" s="47">
        <f>'Таблиця цін схема №2'!ER37</f>
        <v>65</v>
      </c>
      <c r="P112" s="380">
        <f>'Таблиця цін схема №2'!ES37</f>
        <v>1</v>
      </c>
      <c r="Q112" s="47">
        <f>'Таблиця цін схема №2'!EV37</f>
        <v>40</v>
      </c>
      <c r="R112" s="380">
        <f>'Таблиця цін схема №2'!EW37</f>
        <v>1</v>
      </c>
      <c r="S112" s="1127">
        <f>'Таблиця цін схема №2'!EZ37</f>
        <v>32.273791224459515</v>
      </c>
      <c r="T112" s="379">
        <f>'Таблиця цін схема №2'!FA37</f>
        <v>32</v>
      </c>
      <c r="U112" s="380">
        <f>'Таблиця цін схема №2'!FB37</f>
        <v>2</v>
      </c>
      <c r="V112" s="1129">
        <f>'Таблиця цін схема №2'!FE37</f>
        <v>16.786694386694386</v>
      </c>
      <c r="W112" s="379">
        <f>'Таблиця цін схема №2'!FF37</f>
        <v>9</v>
      </c>
      <c r="X112" s="379">
        <f>'Таблиця цін схема №2'!FG37</f>
        <v>8</v>
      </c>
      <c r="Y112" s="1144" t="str">
        <f>'Таблиця цін схема №2'!FH37</f>
        <v>Yonos MAXO 40/0,5-16 PN 6/10</v>
      </c>
      <c r="Z112" s="380">
        <f>'Таблиця цін схема №2'!FI37</f>
        <v>2</v>
      </c>
      <c r="AA112" s="1129">
        <f>'Таблиця цін схема №2'!FL37</f>
        <v>2.5588235294117645</v>
      </c>
      <c r="AB112" s="379">
        <f>'Таблиця цін схема №2'!FM37</f>
        <v>9</v>
      </c>
      <c r="AC112" s="379">
        <f>'Таблиця цін схема №2'!FN37</f>
        <v>9</v>
      </c>
      <c r="AD112" s="1144" t="str">
        <f>'Таблиця цін схема №2'!FO37</f>
        <v>TOP-Z 25/10 3- PN 10</v>
      </c>
      <c r="AE112" s="380">
        <f>'Таблиця цін схема №2'!FP37</f>
        <v>1</v>
      </c>
      <c r="AF112" s="47">
        <f>'Таблиця цін схема №2'!FS37</f>
        <v>11.13</v>
      </c>
      <c r="AG112" s="379">
        <f>'Таблиця цін схема №2'!FT37</f>
        <v>32</v>
      </c>
      <c r="AH112" s="380">
        <f>'Таблиця цін схема №2'!FU37</f>
        <v>4</v>
      </c>
      <c r="AI112" s="47">
        <f>'Таблиця цін схема №2'!FX37</f>
        <v>15</v>
      </c>
      <c r="AJ112" s="380">
        <f>'Таблиця цін схема №2'!FY37</f>
        <v>2</v>
      </c>
      <c r="AK112" s="47">
        <f>'Таблиця цін схема №2'!GB37</f>
        <v>40</v>
      </c>
      <c r="AL112" s="379">
        <f>'Таблиця цін схема №2'!GC37</f>
        <v>15</v>
      </c>
      <c r="AM112" s="380">
        <f>'Таблиця цін схема №2'!GD37</f>
        <v>1</v>
      </c>
      <c r="AN112" s="47">
        <f>'Таблиця цін схема №2'!GG37</f>
        <v>65</v>
      </c>
      <c r="AO112" s="380">
        <f>'Таблиця цін схема №2'!GH37</f>
        <v>1</v>
      </c>
      <c r="AP112" s="47" t="str">
        <f>'Таблиця цін схема №2'!GK37</f>
        <v>0-150</v>
      </c>
      <c r="AQ112" s="380">
        <f>'Таблиця цін схема №2'!GL37</f>
        <v>1</v>
      </c>
      <c r="AR112" s="47" t="str">
        <f>'Таблиця цін схема №2'!GO37</f>
        <v>0-120</v>
      </c>
      <c r="AS112" s="380">
        <f>'Таблиця цін схема №2'!GP37</f>
        <v>5</v>
      </c>
      <c r="AT112" s="47" t="str">
        <f>'Таблиця цін схема №2'!GS37</f>
        <v>0-1,6</v>
      </c>
      <c r="AU112" s="380">
        <f>'Таблиця цін схема №2'!GT37</f>
        <v>5</v>
      </c>
      <c r="AV112" s="47" t="str">
        <f>'Таблиця цін схема №2'!GW37</f>
        <v>0-1,0</v>
      </c>
      <c r="AW112" s="380">
        <f>'Таблиця цін схема №2'!GX37</f>
        <v>15</v>
      </c>
      <c r="AX112" s="47" t="str">
        <f>'Таблиця цін схема №2'!HA37</f>
        <v>PSM01</v>
      </c>
      <c r="AY112" s="380">
        <f>'Таблиця цін схема №2'!HB37</f>
        <v>4</v>
      </c>
      <c r="AZ112" s="47" t="str">
        <f>'Таблиця цін схема №2'!HE37</f>
        <v>A-10</v>
      </c>
      <c r="BA112" s="380">
        <f>'Таблиця цін схема №2'!HF37</f>
        <v>6</v>
      </c>
      <c r="BB112" s="47" t="str">
        <f>'Таблиця цін схема №2'!HI37</f>
        <v>ТСП 1-5</v>
      </c>
      <c r="BC112" s="380">
        <f>'Таблиця цін схема №2'!HJ37</f>
        <v>7</v>
      </c>
      <c r="BD112" s="47" t="str">
        <f>'Таблиця цін схема №2'!HM37</f>
        <v>ТСП 2-10Г</v>
      </c>
      <c r="BE112" s="380">
        <f>'Таблиця цін схема №2'!HN37</f>
        <v>1</v>
      </c>
    </row>
    <row r="113" spans="1:57">
      <c r="A113" s="73">
        <v>54</v>
      </c>
      <c r="B113" s="1171" t="s">
        <v>915</v>
      </c>
      <c r="C113" s="525">
        <f>'Таблиця цін схема №2'!DT38</f>
        <v>32</v>
      </c>
      <c r="D113" s="380">
        <f>'Таблиця цін схема №2'!DU38</f>
        <v>1</v>
      </c>
      <c r="E113" s="47">
        <f>'Таблиця цін схема №2'!DX38</f>
        <v>65</v>
      </c>
      <c r="F113" s="380">
        <f>'Таблиця цін схема №2'!DY38</f>
        <v>1</v>
      </c>
      <c r="G113" s="47">
        <f>'Таблиця цін схема №2'!EB38</f>
        <v>65</v>
      </c>
      <c r="H113" s="380">
        <f>'Таблиця цін схема №2'!EC38</f>
        <v>2</v>
      </c>
      <c r="I113" s="47">
        <f>'Таблиця цін схема №2'!EF38</f>
        <v>50</v>
      </c>
      <c r="J113" s="380">
        <f>'Таблиця цін схема №2'!EG38</f>
        <v>1</v>
      </c>
      <c r="K113" s="47">
        <f>'Таблиця цін схема №2'!EJ38</f>
        <v>32</v>
      </c>
      <c r="L113" s="380">
        <f>'Таблиця цін схема №2'!EK38</f>
        <v>1</v>
      </c>
      <c r="M113" s="47">
        <f>'Таблиця цін схема №2'!EN38</f>
        <v>40</v>
      </c>
      <c r="N113" s="380">
        <f>'Таблиця цін схема №2'!EO38</f>
        <v>6</v>
      </c>
      <c r="O113" s="47">
        <f>'Таблиця цін схема №2'!ER38</f>
        <v>50</v>
      </c>
      <c r="P113" s="380">
        <f>'Таблиця цін схема №2'!ES38</f>
        <v>1</v>
      </c>
      <c r="Q113" s="47">
        <f>'Таблиця цін схема №2'!EV38</f>
        <v>32</v>
      </c>
      <c r="R113" s="380">
        <f>'Таблиця цін схема №2'!EW38</f>
        <v>1</v>
      </c>
      <c r="S113" s="1127">
        <f>'Таблиця цін схема №2'!EZ38</f>
        <v>26.621908271196485</v>
      </c>
      <c r="T113" s="379">
        <f>'Таблиця цін схема №2'!FA38</f>
        <v>32</v>
      </c>
      <c r="U113" s="380">
        <f>'Таблиця цін схема №2'!FB38</f>
        <v>2</v>
      </c>
      <c r="V113" s="1129">
        <f>'Таблиця цін схема №2'!FE38</f>
        <v>11.422037422037421</v>
      </c>
      <c r="W113" s="379">
        <f>'Таблиця цін схема №2'!FF38</f>
        <v>9</v>
      </c>
      <c r="X113" s="379">
        <f>'Таблиця цін схема №2'!FG38</f>
        <v>8</v>
      </c>
      <c r="Y113" s="1144" t="str">
        <f>'Таблиця цін схема №2'!FH38</f>
        <v>Yonos MAXO 40/0,5-12 PN 6/10</v>
      </c>
      <c r="Z113" s="380">
        <f>'Таблиця цін схема №2'!FI38</f>
        <v>2</v>
      </c>
      <c r="AA113" s="1129">
        <f>'Таблиця цін схема №2'!FL38</f>
        <v>1.6186612576064909</v>
      </c>
      <c r="AB113" s="379">
        <f>'Таблиця цін схема №2'!FM38</f>
        <v>9</v>
      </c>
      <c r="AC113" s="379">
        <f>'Таблиця цін схема №2'!FN38</f>
        <v>9</v>
      </c>
      <c r="AD113" s="1144" t="str">
        <f>'Таблиця цін схема №2'!FO38</f>
        <v>TOP-Z 25/10 3- PN 10</v>
      </c>
      <c r="AE113" s="380">
        <f>'Таблиця цін схема №2'!FP38</f>
        <v>1</v>
      </c>
      <c r="AF113" s="47">
        <f>'Таблиця цін схема №2'!FS38</f>
        <v>11.13</v>
      </c>
      <c r="AG113" s="379">
        <f>'Таблиця цін схема №2'!FT38</f>
        <v>32</v>
      </c>
      <c r="AH113" s="380">
        <f>'Таблиця цін схема №2'!FU38</f>
        <v>3</v>
      </c>
      <c r="AI113" s="47">
        <f>'Таблиця цін схема №2'!FX38</f>
        <v>15</v>
      </c>
      <c r="AJ113" s="380">
        <f>'Таблиця цін схема №2'!FY38</f>
        <v>2</v>
      </c>
      <c r="AK113" s="47">
        <f>'Таблиця цін схема №2'!GB38</f>
        <v>32</v>
      </c>
      <c r="AL113" s="379">
        <f>'Таблиця цін схема №2'!GC38</f>
        <v>6</v>
      </c>
      <c r="AM113" s="380">
        <f>'Таблиця цін схема №2'!GD38</f>
        <v>1</v>
      </c>
      <c r="AN113" s="47">
        <f>'Таблиця цін схема №2'!GG38</f>
        <v>50</v>
      </c>
      <c r="AO113" s="380">
        <f>'Таблиця цін схема №2'!GH38</f>
        <v>1</v>
      </c>
      <c r="AP113" s="47" t="str">
        <f>'Таблиця цін схема №2'!GK38</f>
        <v>0-150</v>
      </c>
      <c r="AQ113" s="380">
        <f>'Таблиця цін схема №2'!GL38</f>
        <v>1</v>
      </c>
      <c r="AR113" s="47" t="str">
        <f>'Таблиця цін схема №2'!GO38</f>
        <v>0-120</v>
      </c>
      <c r="AS113" s="380">
        <f>'Таблиця цін схема №2'!GP38</f>
        <v>5</v>
      </c>
      <c r="AT113" s="47" t="str">
        <f>'Таблиця цін схема №2'!GS38</f>
        <v>0-1,6</v>
      </c>
      <c r="AU113" s="380">
        <f>'Таблиця цін схема №2'!GT38</f>
        <v>5</v>
      </c>
      <c r="AV113" s="47" t="str">
        <f>'Таблиця цін схема №2'!GW38</f>
        <v>0-1,0</v>
      </c>
      <c r="AW113" s="380">
        <f>'Таблиця цін схема №2'!GX38</f>
        <v>14</v>
      </c>
      <c r="AX113" s="47" t="str">
        <f>'Таблиця цін схема №2'!HA38</f>
        <v>PSM01</v>
      </c>
      <c r="AY113" s="380">
        <f>'Таблиця цін схема №2'!HB38</f>
        <v>4</v>
      </c>
      <c r="AZ113" s="47" t="str">
        <f>'Таблиця цін схема №2'!HE38</f>
        <v>A-10</v>
      </c>
      <c r="BA113" s="380">
        <f>'Таблиця цін схема №2'!HF38</f>
        <v>6</v>
      </c>
      <c r="BB113" s="47" t="str">
        <f>'Таблиця цін схема №2'!HI38</f>
        <v>ТСП 1-5</v>
      </c>
      <c r="BC113" s="380">
        <f>'Таблиця цін схема №2'!HJ38</f>
        <v>7</v>
      </c>
      <c r="BD113" s="47" t="str">
        <f>'Таблиця цін схема №2'!HM38</f>
        <v>ТСП 2-10Г</v>
      </c>
      <c r="BE113" s="380">
        <f>'Таблиця цін схема №2'!HN38</f>
        <v>1</v>
      </c>
    </row>
    <row r="114" spans="1:57">
      <c r="A114" s="73">
        <v>55</v>
      </c>
      <c r="B114" s="1171" t="s">
        <v>916</v>
      </c>
      <c r="C114" s="525">
        <f>'Таблиця цін схема №2'!DT39</f>
        <v>32</v>
      </c>
      <c r="D114" s="380">
        <f>'Таблиця цін схема №2'!DU39</f>
        <v>1</v>
      </c>
      <c r="E114" s="47">
        <f>'Таблиця цін схема №2'!DX39</f>
        <v>80</v>
      </c>
      <c r="F114" s="380">
        <f>'Таблиця цін схема №2'!DY39</f>
        <v>1</v>
      </c>
      <c r="G114" s="47">
        <f>'Таблиця цін схема №2'!EB39</f>
        <v>80</v>
      </c>
      <c r="H114" s="380">
        <f>'Таблиця цін схема №2'!EC39</f>
        <v>2</v>
      </c>
      <c r="I114" s="47">
        <f>'Таблиця цін схема №2'!EF39</f>
        <v>50</v>
      </c>
      <c r="J114" s="380">
        <f>'Таблиця цін схема №2'!EG39</f>
        <v>1</v>
      </c>
      <c r="K114" s="47">
        <f>'Таблиця цін схема №2'!EJ39</f>
        <v>32</v>
      </c>
      <c r="L114" s="380">
        <f>'Таблиця цін схема №2'!EK39</f>
        <v>1</v>
      </c>
      <c r="M114" s="47">
        <f>'Таблиця цін схема №2'!EN39</f>
        <v>40</v>
      </c>
      <c r="N114" s="380">
        <f>'Таблиця цін схема №2'!EO39</f>
        <v>6</v>
      </c>
      <c r="O114" s="47">
        <f>'Таблиця цін схема №2'!ER39</f>
        <v>50</v>
      </c>
      <c r="P114" s="380">
        <f>'Таблиця цін схема №2'!ES39</f>
        <v>1</v>
      </c>
      <c r="Q114" s="47">
        <f>'Таблиця цін схема №2'!EV39</f>
        <v>32</v>
      </c>
      <c r="R114" s="380">
        <f>'Таблиця цін схема №2'!EW39</f>
        <v>1</v>
      </c>
      <c r="S114" s="1127">
        <f>'Таблиця цін схема №2'!EZ39</f>
        <v>29.471291115253159</v>
      </c>
      <c r="T114" s="379">
        <f>'Таблиця цін схема №2'!FA39</f>
        <v>32</v>
      </c>
      <c r="U114" s="380">
        <f>'Таблиця цін схема №2'!FB39</f>
        <v>2</v>
      </c>
      <c r="V114" s="1129">
        <f>'Таблиця цін схема №2'!FE39</f>
        <v>13.997920997920996</v>
      </c>
      <c r="W114" s="379">
        <f>'Таблиця цін схема №2'!FF39</f>
        <v>10</v>
      </c>
      <c r="X114" s="379">
        <f>'Таблиця цін схема №2'!FG39</f>
        <v>10</v>
      </c>
      <c r="Y114" s="1144" t="str">
        <f>'Таблиця цін схема №2'!FH39</f>
        <v>Yonos MAXO 40/0,5-16 PN 6/10</v>
      </c>
      <c r="Z114" s="380">
        <f>'Таблиця цін схема №2'!FI39</f>
        <v>2</v>
      </c>
      <c r="AA114" s="1129">
        <f>'Таблиця цін схема №2'!FL39</f>
        <v>1.6186612576064909</v>
      </c>
      <c r="AB114" s="379">
        <f>'Таблиця цін схема №2'!FM39</f>
        <v>10</v>
      </c>
      <c r="AC114" s="379">
        <f>'Таблиця цін схема №2'!FN39</f>
        <v>11</v>
      </c>
      <c r="AD114" s="1144" t="str">
        <f>'Таблиця цін схема №2'!FO39</f>
        <v>TOP-Z 25/10 3- PN 10</v>
      </c>
      <c r="AE114" s="380">
        <f>'Таблиця цін схема №2'!FP39</f>
        <v>1</v>
      </c>
      <c r="AF114" s="47">
        <f>'Таблиця цін схема №2'!FS39</f>
        <v>11.13</v>
      </c>
      <c r="AG114" s="379">
        <f>'Таблиця цін схема №2'!FT39</f>
        <v>32</v>
      </c>
      <c r="AH114" s="380">
        <f>'Таблиця цін схема №2'!FU39</f>
        <v>3</v>
      </c>
      <c r="AI114" s="47">
        <f>'Таблиця цін схема №2'!FX39</f>
        <v>15</v>
      </c>
      <c r="AJ114" s="380">
        <f>'Таблиця цін схема №2'!FY39</f>
        <v>2</v>
      </c>
      <c r="AK114" s="47">
        <f>'Таблиця цін схема №2'!GB39</f>
        <v>32</v>
      </c>
      <c r="AL114" s="379">
        <f>'Таблиця цін схема №2'!GC39</f>
        <v>6</v>
      </c>
      <c r="AM114" s="380">
        <f>'Таблиця цін схема №2'!GD39</f>
        <v>1</v>
      </c>
      <c r="AN114" s="47">
        <f>'Таблиця цін схема №2'!GG39</f>
        <v>50</v>
      </c>
      <c r="AO114" s="380">
        <f>'Таблиця цін схема №2'!GH39</f>
        <v>1</v>
      </c>
      <c r="AP114" s="47" t="str">
        <f>'Таблиця цін схема №2'!GK39</f>
        <v>0-150</v>
      </c>
      <c r="AQ114" s="380">
        <f>'Таблиця цін схема №2'!GL39</f>
        <v>1</v>
      </c>
      <c r="AR114" s="47" t="str">
        <f>'Таблиця цін схема №2'!GO39</f>
        <v>0-120</v>
      </c>
      <c r="AS114" s="380">
        <f>'Таблиця цін схема №2'!GP39</f>
        <v>5</v>
      </c>
      <c r="AT114" s="47" t="str">
        <f>'Таблиця цін схема №2'!GS39</f>
        <v>0-1,6</v>
      </c>
      <c r="AU114" s="380">
        <f>'Таблиця цін схема №2'!GT39</f>
        <v>5</v>
      </c>
      <c r="AV114" s="47" t="str">
        <f>'Таблиця цін схема №2'!GW39</f>
        <v>0-1,0</v>
      </c>
      <c r="AW114" s="380">
        <f>'Таблиця цін схема №2'!GX39</f>
        <v>14</v>
      </c>
      <c r="AX114" s="47" t="str">
        <f>'Таблиця цін схема №2'!HA39</f>
        <v>PSM01</v>
      </c>
      <c r="AY114" s="380">
        <f>'Таблиця цін схема №2'!HB39</f>
        <v>4</v>
      </c>
      <c r="AZ114" s="47" t="str">
        <f>'Таблиця цін схема №2'!HE39</f>
        <v>A-10</v>
      </c>
      <c r="BA114" s="380">
        <f>'Таблиця цін схема №2'!HF39</f>
        <v>6</v>
      </c>
      <c r="BB114" s="47" t="str">
        <f>'Таблиця цін схема №2'!HI39</f>
        <v>ТСП 1-5</v>
      </c>
      <c r="BC114" s="380">
        <f>'Таблиця цін схема №2'!HJ39</f>
        <v>7</v>
      </c>
      <c r="BD114" s="47" t="str">
        <f>'Таблиця цін схема №2'!HM39</f>
        <v>ТСП 2-10Г</v>
      </c>
      <c r="BE114" s="380">
        <f>'Таблиця цін схема №2'!HN39</f>
        <v>1</v>
      </c>
    </row>
    <row r="115" spans="1:57">
      <c r="A115" s="73">
        <v>56</v>
      </c>
      <c r="B115" s="1171" t="s">
        <v>917</v>
      </c>
      <c r="C115" s="525">
        <f>'Таблиця цін схема №2'!DT40</f>
        <v>32</v>
      </c>
      <c r="D115" s="380">
        <f>'Таблиця цін схема №2'!DU40</f>
        <v>1</v>
      </c>
      <c r="E115" s="47">
        <f>'Таблиця цін схема №2'!DX40</f>
        <v>80</v>
      </c>
      <c r="F115" s="380">
        <f>'Таблиця цін схема №2'!DY40</f>
        <v>1</v>
      </c>
      <c r="G115" s="47">
        <f>'Таблиця цін схема №2'!EB40</f>
        <v>80</v>
      </c>
      <c r="H115" s="380">
        <f>'Таблиця цін схема №2'!EC40</f>
        <v>2</v>
      </c>
      <c r="I115" s="47">
        <f>'Таблиця цін схема №2'!EF40</f>
        <v>50</v>
      </c>
      <c r="J115" s="380">
        <f>'Таблиця цін схема №2'!EG40</f>
        <v>1</v>
      </c>
      <c r="K115" s="47">
        <f>'Таблиця цін схема №2'!EJ40</f>
        <v>32</v>
      </c>
      <c r="L115" s="380">
        <f>'Таблиця цін схема №2'!EK40</f>
        <v>1</v>
      </c>
      <c r="M115" s="47">
        <f>'Таблиця цін схема №2'!EN40</f>
        <v>80</v>
      </c>
      <c r="N115" s="380">
        <f>'Таблиця цін схема №2'!EO40</f>
        <v>2</v>
      </c>
      <c r="O115" s="47">
        <f>'Таблиця цін схема №2'!ER40</f>
        <v>50</v>
      </c>
      <c r="P115" s="380">
        <f>'Таблиця цін схема №2'!ES40</f>
        <v>1</v>
      </c>
      <c r="Q115" s="47">
        <f>'Таблиця цін схема №2'!EV40</f>
        <v>32</v>
      </c>
      <c r="R115" s="380">
        <f>'Таблиця цін схема №2'!EW40</f>
        <v>1</v>
      </c>
      <c r="S115" s="1127">
        <f>'Таблиця цін схема №2'!EZ40</f>
        <v>30.586075263099708</v>
      </c>
      <c r="T115" s="379">
        <f>'Таблиця цін схема №2'!FA40</f>
        <v>32</v>
      </c>
      <c r="U115" s="380">
        <f>'Таблиця цін схема №2'!FB40</f>
        <v>2</v>
      </c>
      <c r="V115" s="1129">
        <f>'Таблиця цін схема №2'!FE40</f>
        <v>15.076923076923075</v>
      </c>
      <c r="W115" s="379">
        <f>'Таблиця цін схема №2'!FF40</f>
        <v>9</v>
      </c>
      <c r="X115" s="379">
        <f>'Таблиця цін схема №2'!FG40</f>
        <v>8</v>
      </c>
      <c r="Y115" s="1144" t="str">
        <f>'Таблиця цін схема №2'!FH40</f>
        <v>Yonos MAXO 50/0,5-12 PN 6/10</v>
      </c>
      <c r="Z115" s="380">
        <f>'Таблиця цін схема №2'!FI40</f>
        <v>2</v>
      </c>
      <c r="AA115" s="1129">
        <f>'Таблиця цін схема №2'!FL40</f>
        <v>1.6430020283975661</v>
      </c>
      <c r="AB115" s="379">
        <f>'Таблиця цін схема №2'!FM40</f>
        <v>9</v>
      </c>
      <c r="AC115" s="379">
        <f>'Таблиця цін схема №2'!FN40</f>
        <v>9</v>
      </c>
      <c r="AD115" s="1144" t="str">
        <f>'Таблиця цін схема №2'!FO40</f>
        <v>TOP-Z 25/10 3- PN 10</v>
      </c>
      <c r="AE115" s="380">
        <f>'Таблиця цін схема №2'!FP40</f>
        <v>1</v>
      </c>
      <c r="AF115" s="47">
        <f>'Таблиця цін схема №2'!FS40</f>
        <v>32.15</v>
      </c>
      <c r="AG115" s="379">
        <f>'Таблиця цін схема №2'!FT40</f>
        <v>50</v>
      </c>
      <c r="AH115" s="517" t="s">
        <v>115</v>
      </c>
      <c r="AI115" s="47">
        <f>'Таблиця цін схема №2'!FX40</f>
        <v>15</v>
      </c>
      <c r="AJ115" s="380">
        <f>'Таблиця цін схема №2'!FY40</f>
        <v>2</v>
      </c>
      <c r="AK115" s="47">
        <f>'Таблиця цін схема №2'!GB40</f>
        <v>32</v>
      </c>
      <c r="AL115" s="379">
        <f>'Таблиця цін схема №2'!GC40</f>
        <v>6</v>
      </c>
      <c r="AM115" s="380">
        <f>'Таблиця цін схема №2'!GD40</f>
        <v>1</v>
      </c>
      <c r="AN115" s="47">
        <f>'Таблиця цін схема №2'!GG40</f>
        <v>50</v>
      </c>
      <c r="AO115" s="380">
        <f>'Таблиця цін схема №2'!GH40</f>
        <v>1</v>
      </c>
      <c r="AP115" s="47" t="str">
        <f>'Таблиця цін схема №2'!GK40</f>
        <v>0-150</v>
      </c>
      <c r="AQ115" s="380">
        <f>'Таблиця цін схема №2'!GL40</f>
        <v>1</v>
      </c>
      <c r="AR115" s="47" t="str">
        <f>'Таблиця цін схема №2'!GO40</f>
        <v>0-120</v>
      </c>
      <c r="AS115" s="380">
        <f>'Таблиця цін схема №2'!GP40</f>
        <v>1</v>
      </c>
      <c r="AT115" s="47" t="str">
        <f>'Таблиця цін схема №2'!GS40</f>
        <v>0-1,6</v>
      </c>
      <c r="AU115" s="380">
        <f>'Таблиця цін схема №2'!GT40</f>
        <v>3</v>
      </c>
      <c r="AV115" s="47" t="str">
        <f>'Таблиця цін схема №2'!GW40</f>
        <v>0-1,0</v>
      </c>
      <c r="AW115" s="380">
        <f>'Таблиця цін схема №2'!GX40</f>
        <v>11</v>
      </c>
      <c r="AX115" s="47" t="str">
        <f>'Таблиця цін схема №2'!HA40</f>
        <v>PSM01</v>
      </c>
      <c r="AY115" s="380">
        <f>'Таблиця цін схема №2'!HB40</f>
        <v>4</v>
      </c>
      <c r="AZ115" s="47" t="str">
        <f>'Таблиця цін схема №2'!HE40</f>
        <v>A-10</v>
      </c>
      <c r="BA115" s="380">
        <f>'Таблиця цін схема №2'!HF40</f>
        <v>6</v>
      </c>
      <c r="BB115" s="47" t="str">
        <f>'Таблиця цін схема №2'!HI40</f>
        <v>ТСП 1-5</v>
      </c>
      <c r="BC115" s="380">
        <f>'Таблиця цін схема №2'!HJ40</f>
        <v>7</v>
      </c>
      <c r="BD115" s="47" t="str">
        <f>'Таблиця цін схема №2'!HM40</f>
        <v>ТСП 2-10Г</v>
      </c>
      <c r="BE115" s="380">
        <f>'Таблиця цін схема №2'!HN40</f>
        <v>1</v>
      </c>
    </row>
    <row r="116" spans="1:57">
      <c r="A116" s="73">
        <v>57</v>
      </c>
      <c r="B116" s="1171" t="s">
        <v>918</v>
      </c>
      <c r="C116" s="525">
        <f>'Таблиця цін схема №2'!DT41</f>
        <v>32</v>
      </c>
      <c r="D116" s="380">
        <f>'Таблиця цін схема №2'!DU41</f>
        <v>1</v>
      </c>
      <c r="E116" s="47">
        <f>'Таблиця цін схема №2'!DX41</f>
        <v>65</v>
      </c>
      <c r="F116" s="380">
        <f>'Таблиця цін схема №2'!DY41</f>
        <v>1</v>
      </c>
      <c r="G116" s="47">
        <f>'Таблиця цін схема №2'!EB41</f>
        <v>65</v>
      </c>
      <c r="H116" s="380">
        <f>'Таблиця цін схема №2'!EC41</f>
        <v>2</v>
      </c>
      <c r="I116" s="47">
        <f>'Таблиця цін схема №2'!EF41</f>
        <v>50</v>
      </c>
      <c r="J116" s="380">
        <f>'Таблиця цін схема №2'!EG41</f>
        <v>1</v>
      </c>
      <c r="K116" s="47">
        <f>'Таблиця цін схема №2'!EJ41</f>
        <v>32</v>
      </c>
      <c r="L116" s="380">
        <f>'Таблиця цін схема №2'!EK41</f>
        <v>1</v>
      </c>
      <c r="M116" s="47">
        <f>'Таблиця цін схема №2'!EN41</f>
        <v>50</v>
      </c>
      <c r="N116" s="380">
        <f>'Таблиця цін схема №2'!EO41</f>
        <v>4</v>
      </c>
      <c r="O116" s="47">
        <f>'Таблиця цін схема №2'!ER41</f>
        <v>50</v>
      </c>
      <c r="P116" s="380">
        <f>'Таблиця цін схема №2'!ES41</f>
        <v>1</v>
      </c>
      <c r="Q116" s="47">
        <f>'Таблиця цін схема №2'!EV41</f>
        <v>32</v>
      </c>
      <c r="R116" s="380">
        <f>'Таблиця цін схема №2'!EW41</f>
        <v>1</v>
      </c>
      <c r="S116" s="1127">
        <f>'Таблиця цін схема №2'!EZ41</f>
        <v>27.597391181051879</v>
      </c>
      <c r="T116" s="379">
        <f>'Таблиця цін схема №2'!FA41</f>
        <v>32</v>
      </c>
      <c r="U116" s="380">
        <f>'Таблиця цін схема №2'!FB41</f>
        <v>2</v>
      </c>
      <c r="V116" s="1129">
        <f>'Таблиця цін схема №2'!FE41</f>
        <v>12.274428274428276</v>
      </c>
      <c r="W116" s="379">
        <f>'Таблиця цін схема №2'!FF41</f>
        <v>10</v>
      </c>
      <c r="X116" s="379">
        <f>'Таблиця цін схема №2'!FG41</f>
        <v>10</v>
      </c>
      <c r="Y116" s="1144" t="str">
        <f>'Таблиця цін схема №2'!FH41</f>
        <v>Yonos MAXO 40/0,5-16 PN 6/10</v>
      </c>
      <c r="Z116" s="380">
        <f>'Таблиця цін схема №2'!FI41</f>
        <v>2</v>
      </c>
      <c r="AA116" s="1129">
        <f>'Таблиця цін схема №2'!FL41</f>
        <v>1.995943204868154</v>
      </c>
      <c r="AB116" s="379">
        <f>'Таблиця цін схема №2'!FM41</f>
        <v>10</v>
      </c>
      <c r="AC116" s="379">
        <f>'Таблиця цін схема №2'!FN41</f>
        <v>11</v>
      </c>
      <c r="AD116" s="1144" t="str">
        <f>'Таблиця цін схема №2'!FO41</f>
        <v>TOP-Z 25/10 3- PN 10</v>
      </c>
      <c r="AE116" s="380">
        <f>'Таблиця цін схема №2'!FP41</f>
        <v>1</v>
      </c>
      <c r="AF116" s="47">
        <f>'Таблиця цін схема №2'!FS41</f>
        <v>11.13</v>
      </c>
      <c r="AG116" s="379">
        <f>'Таблиця цін схема №2'!FT41</f>
        <v>32</v>
      </c>
      <c r="AH116" s="380">
        <f>'Таблиця цін схема №2'!FU41</f>
        <v>2</v>
      </c>
      <c r="AI116" s="47">
        <f>'Таблиця цін схема №2'!FX41</f>
        <v>15</v>
      </c>
      <c r="AJ116" s="380">
        <f>'Таблиця цін схема №2'!FY41</f>
        <v>2</v>
      </c>
      <c r="AK116" s="47">
        <f>'Таблиця цін схема №2'!GB41</f>
        <v>40</v>
      </c>
      <c r="AL116" s="379">
        <f>'Таблиця цін схема №2'!GC41</f>
        <v>15</v>
      </c>
      <c r="AM116" s="380">
        <f>'Таблиця цін схема №2'!GD41</f>
        <v>1</v>
      </c>
      <c r="AN116" s="47">
        <f>'Таблиця цін схема №2'!GG41</f>
        <v>50</v>
      </c>
      <c r="AO116" s="380">
        <f>'Таблиця цін схема №2'!GH41</f>
        <v>1</v>
      </c>
      <c r="AP116" s="47" t="str">
        <f>'Таблиця цін схема №2'!GK41</f>
        <v>0-150</v>
      </c>
      <c r="AQ116" s="380">
        <f>'Таблиця цін схема №2'!GL41</f>
        <v>1</v>
      </c>
      <c r="AR116" s="47" t="str">
        <f>'Таблиця цін схема №2'!GO41</f>
        <v>0-120</v>
      </c>
      <c r="AS116" s="380">
        <f>'Таблиця цін схема №2'!GP41</f>
        <v>1</v>
      </c>
      <c r="AT116" s="47" t="str">
        <f>'Таблиця цін схема №2'!GS41</f>
        <v>0-1,6</v>
      </c>
      <c r="AU116" s="380">
        <f>'Таблиця цін схема №2'!GT41</f>
        <v>3</v>
      </c>
      <c r="AV116" s="47" t="str">
        <f>'Таблиця цін схема №2'!GW41</f>
        <v>0-1,0</v>
      </c>
      <c r="AW116" s="380">
        <f>'Таблиця цін схема №2'!GX41</f>
        <v>13</v>
      </c>
      <c r="AX116" s="47" t="str">
        <f>'Таблиця цін схема №2'!HA41</f>
        <v>PSM01</v>
      </c>
      <c r="AY116" s="380">
        <f>'Таблиця цін схема №2'!HB41</f>
        <v>4</v>
      </c>
      <c r="AZ116" s="47" t="str">
        <f>'Таблиця цін схема №2'!HE41</f>
        <v>A-10</v>
      </c>
      <c r="BA116" s="380">
        <f>'Таблиця цін схема №2'!HF41</f>
        <v>6</v>
      </c>
      <c r="BB116" s="47" t="str">
        <f>'Таблиця цін схема №2'!HI41</f>
        <v>ТСП 1-5</v>
      </c>
      <c r="BC116" s="380">
        <f>'Таблиця цін схема №2'!HJ41</f>
        <v>7</v>
      </c>
      <c r="BD116" s="47" t="str">
        <f>'Таблиця цін схема №2'!HM41</f>
        <v>ТСП 2-10Г</v>
      </c>
      <c r="BE116" s="380">
        <f>'Таблиця цін схема №2'!HN41</f>
        <v>1</v>
      </c>
    </row>
    <row r="117" spans="1:57">
      <c r="A117" s="73">
        <v>58</v>
      </c>
      <c r="B117" s="1171" t="s">
        <v>919</v>
      </c>
      <c r="C117" s="525">
        <f>'Таблиця цін схема №2'!DT42</f>
        <v>25</v>
      </c>
      <c r="D117" s="380">
        <f>'Таблиця цін схема №2'!DU42</f>
        <v>1</v>
      </c>
      <c r="E117" s="47">
        <f>'Таблиця цін схема №2'!DX42</f>
        <v>80</v>
      </c>
      <c r="F117" s="380">
        <f>'Таблиця цін схема №2'!DY42</f>
        <v>1</v>
      </c>
      <c r="G117" s="47">
        <f>'Таблиця цін схема №2'!EB42</f>
        <v>80</v>
      </c>
      <c r="H117" s="380">
        <f>'Таблиця цін схема №2'!EC42</f>
        <v>2</v>
      </c>
      <c r="I117" s="47">
        <f>'Таблиця цін схема №2'!EF42</f>
        <v>40</v>
      </c>
      <c r="J117" s="380">
        <f>'Таблиця цін схема №2'!EG42</f>
        <v>1</v>
      </c>
      <c r="K117" s="47">
        <f>'Таблиця цін схема №2'!EJ42</f>
        <v>25</v>
      </c>
      <c r="L117" s="380">
        <f>'Таблиця цін схема №2'!EK42</f>
        <v>1</v>
      </c>
      <c r="M117" s="47">
        <f>'Таблиця цін схема №2'!EN42</f>
        <v>80</v>
      </c>
      <c r="N117" s="380">
        <f>'Таблиця цін схема №2'!EO42</f>
        <v>2</v>
      </c>
      <c r="O117" s="47">
        <f>'Таблиця цін схема №2'!ER42</f>
        <v>40</v>
      </c>
      <c r="P117" s="380">
        <f>'Таблиця цін схема №2'!ES42</f>
        <v>1</v>
      </c>
      <c r="Q117" s="47">
        <f>'Таблиця цін схема №2'!EV42</f>
        <v>25</v>
      </c>
      <c r="R117" s="380">
        <f>'Таблиця цін схема №2'!EW42</f>
        <v>1</v>
      </c>
      <c r="S117" s="1127">
        <f>'Таблиця цін схема №2'!EZ42</f>
        <v>31.267225652430369</v>
      </c>
      <c r="T117" s="379">
        <f>'Таблиця цін схема №2'!FA42</f>
        <v>32</v>
      </c>
      <c r="U117" s="380">
        <f>'Таблиця цін схема №2'!FB42</f>
        <v>2</v>
      </c>
      <c r="V117" s="1129">
        <f>'Таблиця цін схема №2'!FE42</f>
        <v>15.755925155925155</v>
      </c>
      <c r="W117" s="379">
        <f>'Таблиця цін схема №2'!FF42</f>
        <v>9</v>
      </c>
      <c r="X117" s="379">
        <f>'Таблиця цін схема №2'!FG42</f>
        <v>8</v>
      </c>
      <c r="Y117" s="1144" t="str">
        <f>'Таблиця цін схема №2'!FH42</f>
        <v>Yonos MAXO 40/0,5-16 PN 6/10</v>
      </c>
      <c r="Z117" s="380">
        <f>'Таблиця цін схема №2'!FI42</f>
        <v>2</v>
      </c>
      <c r="AA117" s="1129">
        <f>'Таблиця цін схема №2'!FL42</f>
        <v>1.3691683569979718</v>
      </c>
      <c r="AB117" s="379">
        <f>'Таблиця цін схема №2'!FM42</f>
        <v>9</v>
      </c>
      <c r="AC117" s="379">
        <f>'Таблиця цін схема №2'!FN42</f>
        <v>9</v>
      </c>
      <c r="AD117" s="1144" t="str">
        <f>'Таблиця цін схема №2'!FO42</f>
        <v>TOP-Z 25/10 3- PN 10</v>
      </c>
      <c r="AE117" s="380">
        <f>'Таблиця цін схема №2'!FP42</f>
        <v>1</v>
      </c>
      <c r="AF117" s="47">
        <f>'Таблиця цін схема №2'!FS42</f>
        <v>32.15</v>
      </c>
      <c r="AG117" s="379">
        <f>'Таблиця цін схема №2'!FT42</f>
        <v>50</v>
      </c>
      <c r="AH117" s="517" t="s">
        <v>115</v>
      </c>
      <c r="AI117" s="47">
        <f>'Таблиця цін схема №2'!FX42</f>
        <v>15</v>
      </c>
      <c r="AJ117" s="380">
        <f>'Таблиця цін схема №2'!FY42</f>
        <v>2</v>
      </c>
      <c r="AK117" s="47">
        <f>'Таблиця цін схема №2'!GB42</f>
        <v>32</v>
      </c>
      <c r="AL117" s="379">
        <f>'Таблиця цін схема №2'!GC42</f>
        <v>6</v>
      </c>
      <c r="AM117" s="380">
        <f>'Таблиця цін схема №2'!GD42</f>
        <v>1</v>
      </c>
      <c r="AN117" s="47">
        <f>'Таблиця цін схема №2'!GG42</f>
        <v>40</v>
      </c>
      <c r="AO117" s="380">
        <f>'Таблиця цін схема №2'!GH42</f>
        <v>1</v>
      </c>
      <c r="AP117" s="47" t="str">
        <f>'Таблиця цін схема №2'!GK42</f>
        <v>0-150</v>
      </c>
      <c r="AQ117" s="380">
        <f>'Таблиця цін схема №2'!GL42</f>
        <v>1</v>
      </c>
      <c r="AR117" s="47" t="str">
        <f>'Таблиця цін схема №2'!GO42</f>
        <v>0-120</v>
      </c>
      <c r="AS117" s="380">
        <f>'Таблиця цін схема №2'!GP42</f>
        <v>5</v>
      </c>
      <c r="AT117" s="47" t="str">
        <f>'Таблиця цін схема №2'!GS42</f>
        <v>0-1,6</v>
      </c>
      <c r="AU117" s="380">
        <f>'Таблиця цін схема №2'!GT42</f>
        <v>5</v>
      </c>
      <c r="AV117" s="47" t="str">
        <f>'Таблиця цін схема №2'!GW42</f>
        <v>0-1,0</v>
      </c>
      <c r="AW117" s="380">
        <f>'Таблиця цін схема №2'!GX42</f>
        <v>11</v>
      </c>
      <c r="AX117" s="47" t="str">
        <f>'Таблиця цін схема №2'!HA42</f>
        <v>PSM01</v>
      </c>
      <c r="AY117" s="380">
        <f>'Таблиця цін схема №2'!HB42</f>
        <v>4</v>
      </c>
      <c r="AZ117" s="47" t="str">
        <f>'Таблиця цін схема №2'!HE42</f>
        <v>A-10</v>
      </c>
      <c r="BA117" s="380">
        <f>'Таблиця цін схема №2'!HF42</f>
        <v>6</v>
      </c>
      <c r="BB117" s="47" t="str">
        <f>'Таблиця цін схема №2'!HI42</f>
        <v>ТСП 1-5</v>
      </c>
      <c r="BC117" s="380">
        <f>'Таблиця цін схема №2'!HJ42</f>
        <v>7</v>
      </c>
      <c r="BD117" s="47" t="str">
        <f>'Таблиця цін схема №2'!HM42</f>
        <v>ТСП 2-10Г</v>
      </c>
      <c r="BE117" s="380">
        <f>'Таблиця цін схема №2'!HN42</f>
        <v>1</v>
      </c>
    </row>
    <row r="118" spans="1:57">
      <c r="A118" s="73">
        <v>59</v>
      </c>
      <c r="B118" s="1171" t="s">
        <v>920</v>
      </c>
      <c r="C118" s="525">
        <f>'Таблиця цін схема №2'!DT43</f>
        <v>25</v>
      </c>
      <c r="D118" s="380">
        <f>'Таблиця цін схема №2'!DU43</f>
        <v>1</v>
      </c>
      <c r="E118" s="47">
        <f>'Таблиця цін схема №2'!DX43</f>
        <v>50</v>
      </c>
      <c r="F118" s="380">
        <f>'Таблиця цін схема №2'!DY43</f>
        <v>1</v>
      </c>
      <c r="G118" s="47">
        <f>'Таблиця цін схема №2'!EB43</f>
        <v>50</v>
      </c>
      <c r="H118" s="380">
        <f>'Таблиця цін схема №2'!EC43</f>
        <v>2</v>
      </c>
      <c r="I118" s="47">
        <f>'Таблиця цін схема №2'!EF43</f>
        <v>40</v>
      </c>
      <c r="J118" s="380">
        <f>'Таблиця цін схема №2'!EG43</f>
        <v>1</v>
      </c>
      <c r="K118" s="47">
        <f>'Таблиця цін схема №2'!EJ43</f>
        <v>25</v>
      </c>
      <c r="L118" s="380">
        <f>'Таблиця цін схема №2'!EK43</f>
        <v>1</v>
      </c>
      <c r="M118" s="47">
        <f>'Таблиця цін схема №2'!EN43</f>
        <v>50</v>
      </c>
      <c r="N118" s="380">
        <f>'Таблиця цін схема №2'!EO43</f>
        <v>2</v>
      </c>
      <c r="O118" s="47">
        <f>'Таблиця цін схема №2'!ER43</f>
        <v>40</v>
      </c>
      <c r="P118" s="380">
        <f>'Таблиця цін схема №2'!ES43</f>
        <v>1</v>
      </c>
      <c r="Q118" s="47">
        <f>'Таблиця цін схема №2'!EV43</f>
        <v>25</v>
      </c>
      <c r="R118" s="380">
        <f>'Таблиця цін схема №2'!EW43</f>
        <v>1</v>
      </c>
      <c r="S118" s="1127">
        <f>'Таблиця цін схема №2'!EZ43</f>
        <v>19.384968403378945</v>
      </c>
      <c r="T118" s="379">
        <f>'Таблиця цін схема №2'!FA43</f>
        <v>20</v>
      </c>
      <c r="U118" s="380">
        <f>'Таблиця цін схема №2'!FB43</f>
        <v>2</v>
      </c>
      <c r="V118" s="1129">
        <f>'Таблиця цін схема №2'!FE43</f>
        <v>6.0561330561330564</v>
      </c>
      <c r="W118" s="379">
        <f>'Таблиця цін схема №2'!FF43</f>
        <v>9</v>
      </c>
      <c r="X118" s="379">
        <f>'Таблиця цін схема №2'!FG43</f>
        <v>8</v>
      </c>
      <c r="Y118" s="1144" t="str">
        <f>'Таблиця цін схема №2'!FH43</f>
        <v>Yonos MAXO 25/0,5-12 PN 10</v>
      </c>
      <c r="Z118" s="380">
        <f>'Таблиця цін схема №2'!FI43</f>
        <v>2</v>
      </c>
      <c r="AA118" s="1129">
        <f>'Таблиця цін схема №2'!FL43</f>
        <v>1.189046653144016</v>
      </c>
      <c r="AB118" s="379">
        <f>'Таблиця цін схема №2'!FM43</f>
        <v>9</v>
      </c>
      <c r="AC118" s="379">
        <f>'Таблиця цін схема №2'!FN43</f>
        <v>9</v>
      </c>
      <c r="AD118" s="1144" t="str">
        <f>'Таблиця цін схема №2'!FO43</f>
        <v>TOP-Z 25/10 3- PN 10</v>
      </c>
      <c r="AE118" s="380">
        <f>'Таблиця цін схема №2'!FP43</f>
        <v>1</v>
      </c>
      <c r="AF118" s="47">
        <f>'Таблиця цін схема №2'!FS43</f>
        <v>11.13</v>
      </c>
      <c r="AG118" s="379">
        <f>'Таблиця цін схема №2'!FT43</f>
        <v>32</v>
      </c>
      <c r="AH118" s="517" t="s">
        <v>115</v>
      </c>
      <c r="AI118" s="47">
        <f>'Таблиця цін схема №2'!FX43</f>
        <v>15</v>
      </c>
      <c r="AJ118" s="380">
        <f>'Таблиця цін схема №2'!FY43</f>
        <v>2</v>
      </c>
      <c r="AK118" s="47">
        <f>'Таблиця цін схема №2'!GB43</f>
        <v>32</v>
      </c>
      <c r="AL118" s="379">
        <f>'Таблиця цін схема №2'!GC43</f>
        <v>6</v>
      </c>
      <c r="AM118" s="380">
        <f>'Таблиця цін схема №2'!GD43</f>
        <v>1</v>
      </c>
      <c r="AN118" s="47">
        <f>'Таблиця цін схема №2'!GG43</f>
        <v>40</v>
      </c>
      <c r="AO118" s="380">
        <f>'Таблиця цін схема №2'!GH43</f>
        <v>1</v>
      </c>
      <c r="AP118" s="47" t="str">
        <f>'Таблиця цін схема №2'!GK43</f>
        <v>0-150</v>
      </c>
      <c r="AQ118" s="380">
        <f>'Таблиця цін схема №2'!GL43</f>
        <v>1</v>
      </c>
      <c r="AR118" s="47" t="str">
        <f>'Таблиця цін схема №2'!GO43</f>
        <v>0-120</v>
      </c>
      <c r="AS118" s="380">
        <f>'Таблиця цін схема №2'!GP43</f>
        <v>1</v>
      </c>
      <c r="AT118" s="47" t="str">
        <f>'Таблиця цін схема №2'!GS43</f>
        <v>0-1,6</v>
      </c>
      <c r="AU118" s="380">
        <f>'Таблиця цін схема №2'!GT43</f>
        <v>3</v>
      </c>
      <c r="AV118" s="47" t="str">
        <f>'Таблиця цін схема №2'!GW43</f>
        <v>0-1,0</v>
      </c>
      <c r="AW118" s="380">
        <f>'Таблиця цін схема №2'!GX43</f>
        <v>11</v>
      </c>
      <c r="AX118" s="47" t="str">
        <f>'Таблиця цін схема №2'!HA43</f>
        <v>PSM01</v>
      </c>
      <c r="AY118" s="380">
        <f>'Таблиця цін схема №2'!HB43</f>
        <v>4</v>
      </c>
      <c r="AZ118" s="47" t="str">
        <f>'Таблиця цін схема №2'!HE43</f>
        <v>A-10</v>
      </c>
      <c r="BA118" s="380">
        <f>'Таблиця цін схема №2'!HF43</f>
        <v>6</v>
      </c>
      <c r="BB118" s="47" t="str">
        <f>'Таблиця цін схема №2'!HI43</f>
        <v>ТСП 1-5</v>
      </c>
      <c r="BC118" s="380">
        <f>'Таблиця цін схема №2'!HJ43</f>
        <v>7</v>
      </c>
      <c r="BD118" s="47" t="str">
        <f>'Таблиця цін схема №2'!HM43</f>
        <v>ТСП 2-10Г</v>
      </c>
      <c r="BE118" s="380">
        <f>'Таблиця цін схема №2'!HN43</f>
        <v>1</v>
      </c>
    </row>
    <row r="119" spans="1:57">
      <c r="A119" s="73">
        <v>60</v>
      </c>
      <c r="B119" s="1171" t="s">
        <v>921</v>
      </c>
      <c r="C119" s="525">
        <f>'Таблиця цін схема №2'!DT44</f>
        <v>40</v>
      </c>
      <c r="D119" s="380">
        <f>'Таблиця цін схема №2'!DU44</f>
        <v>1</v>
      </c>
      <c r="E119" s="47">
        <f>'Таблиця цін схема №2'!DX44</f>
        <v>80</v>
      </c>
      <c r="F119" s="380">
        <f>'Таблиця цін схема №2'!DY44</f>
        <v>1</v>
      </c>
      <c r="G119" s="47">
        <f>'Таблиця цін схема №2'!EB44</f>
        <v>80</v>
      </c>
      <c r="H119" s="380">
        <f>'Таблиця цін схема №2'!EC44</f>
        <v>2</v>
      </c>
      <c r="I119" s="47">
        <f>'Таблиця цін схема №2'!EF44</f>
        <v>65</v>
      </c>
      <c r="J119" s="380">
        <f>'Таблиця цін схема №2'!EG44</f>
        <v>1</v>
      </c>
      <c r="K119" s="47">
        <f>'Таблиця цін схема №2'!EJ44</f>
        <v>40</v>
      </c>
      <c r="L119" s="380">
        <f>'Таблиця цін схема №2'!EK44</f>
        <v>1</v>
      </c>
      <c r="M119" s="47">
        <f>'Таблиця цін схема №2'!EN44</f>
        <v>40</v>
      </c>
      <c r="N119" s="380">
        <f>'Таблиця цін схема №2'!EO44</f>
        <v>8</v>
      </c>
      <c r="O119" s="47">
        <f>'Таблиця цін схема №2'!ER44</f>
        <v>65</v>
      </c>
      <c r="P119" s="380">
        <f>'Таблиця цін схема №2'!ES44</f>
        <v>1</v>
      </c>
      <c r="Q119" s="47">
        <f>'Таблиця цін схема №2'!EV44</f>
        <v>40</v>
      </c>
      <c r="R119" s="380">
        <f>'Таблиця цін схема №2'!EW44</f>
        <v>1</v>
      </c>
      <c r="S119" s="1127">
        <f>'Таблиця цін схема №2'!EZ44</f>
        <v>33.864583269250488</v>
      </c>
      <c r="T119" s="379">
        <f>'Таблиця цін схема №2'!FA44</f>
        <v>40</v>
      </c>
      <c r="U119" s="380">
        <f>'Таблиця цін схема №2'!FB44</f>
        <v>2</v>
      </c>
      <c r="V119" s="1129">
        <f>'Таблиця цін схема №2'!FE44</f>
        <v>18.48232848232848</v>
      </c>
      <c r="W119" s="379">
        <f>'Таблиця цін схема №2'!FF44</f>
        <v>9</v>
      </c>
      <c r="X119" s="379">
        <f>'Таблиця цін схема №2'!FG44</f>
        <v>8</v>
      </c>
      <c r="Y119" s="1144" t="str">
        <f>'Таблиця цін схема №2'!FH44</f>
        <v>Yonos MAXO 40/0,5-16 PN 6/10</v>
      </c>
      <c r="Z119" s="380">
        <f>'Таблиця цін схема №2'!FI44</f>
        <v>2</v>
      </c>
      <c r="AA119" s="1129">
        <f>'Таблиця цін схема №2'!FL44</f>
        <v>2.5588235294117645</v>
      </c>
      <c r="AB119" s="379">
        <f>'Таблиця цін схема №2'!FM44</f>
        <v>9</v>
      </c>
      <c r="AC119" s="379">
        <f>'Таблиця цін схема №2'!FN44</f>
        <v>9</v>
      </c>
      <c r="AD119" s="1144" t="str">
        <f>'Таблиця цін схема №2'!FO44</f>
        <v>TOP-Z 25/10 3- PN 10</v>
      </c>
      <c r="AE119" s="380">
        <f>'Таблиця цін схема №2'!FP44</f>
        <v>1</v>
      </c>
      <c r="AF119" s="47">
        <f>'Таблиця цін схема №2'!FS44</f>
        <v>11.13</v>
      </c>
      <c r="AG119" s="379">
        <f>'Таблиця цін схема №2'!FT44</f>
        <v>32</v>
      </c>
      <c r="AH119" s="380">
        <f>'Таблиця цін схема №2'!FU44</f>
        <v>4</v>
      </c>
      <c r="AI119" s="47">
        <f>'Таблиця цін схема №2'!FX44</f>
        <v>15</v>
      </c>
      <c r="AJ119" s="380">
        <f>'Таблиця цін схема №2'!FY44</f>
        <v>2</v>
      </c>
      <c r="AK119" s="47">
        <f>'Таблиця цін схема №2'!GB44</f>
        <v>40</v>
      </c>
      <c r="AL119" s="379">
        <f>'Таблиця цін схема №2'!GC44</f>
        <v>15</v>
      </c>
      <c r="AM119" s="380">
        <f>'Таблиця цін схема №2'!GD44</f>
        <v>1</v>
      </c>
      <c r="AN119" s="47">
        <f>'Таблиця цін схема №2'!GG44</f>
        <v>65</v>
      </c>
      <c r="AO119" s="380">
        <f>'Таблиця цін схема №2'!GH44</f>
        <v>1</v>
      </c>
      <c r="AP119" s="47" t="str">
        <f>'Таблиця цін схема №2'!GK44</f>
        <v>0-150</v>
      </c>
      <c r="AQ119" s="380">
        <f>'Таблиця цін схема №2'!GL44</f>
        <v>1</v>
      </c>
      <c r="AR119" s="47" t="str">
        <f>'Таблиця цін схема №2'!GO44</f>
        <v>0-120</v>
      </c>
      <c r="AS119" s="380">
        <f>'Таблиця цін схема №2'!GP44</f>
        <v>5</v>
      </c>
      <c r="AT119" s="47" t="str">
        <f>'Таблиця цін схема №2'!GS44</f>
        <v>0-1,6</v>
      </c>
      <c r="AU119" s="380">
        <f>'Таблиця цін схема №2'!GT44</f>
        <v>5</v>
      </c>
      <c r="AV119" s="47" t="str">
        <f>'Таблиця цін схема №2'!GW44</f>
        <v>0-1,0</v>
      </c>
      <c r="AW119" s="380">
        <f>'Таблиця цін схема №2'!GX44</f>
        <v>15</v>
      </c>
      <c r="AX119" s="47" t="str">
        <f>'Таблиця цін схема №2'!HA44</f>
        <v>PSM01</v>
      </c>
      <c r="AY119" s="380">
        <f>'Таблиця цін схема №2'!HB44</f>
        <v>4</v>
      </c>
      <c r="AZ119" s="47" t="str">
        <f>'Таблиця цін схема №2'!HE44</f>
        <v>A-10</v>
      </c>
      <c r="BA119" s="380">
        <f>'Таблиця цін схема №2'!HF44</f>
        <v>6</v>
      </c>
      <c r="BB119" s="47" t="str">
        <f>'Таблиця цін схема №2'!HI44</f>
        <v>ТСП 1-5</v>
      </c>
      <c r="BC119" s="380">
        <f>'Таблиця цін схема №2'!HJ44</f>
        <v>7</v>
      </c>
      <c r="BD119" s="47" t="str">
        <f>'Таблиця цін схема №2'!HM44</f>
        <v>ТСП 2-10Г</v>
      </c>
      <c r="BE119" s="380">
        <f>'Таблиця цін схема №2'!HN44</f>
        <v>1</v>
      </c>
    </row>
    <row r="120" spans="1:57">
      <c r="A120" s="73">
        <v>61</v>
      </c>
      <c r="B120" s="1171" t="s">
        <v>922</v>
      </c>
      <c r="C120" s="525">
        <f>'Таблиця цін схема №2'!DT45</f>
        <v>25</v>
      </c>
      <c r="D120" s="380">
        <f>'Таблиця цін схема №2'!DU45</f>
        <v>1</v>
      </c>
      <c r="E120" s="47">
        <f>'Таблиця цін схема №2'!DX45</f>
        <v>80</v>
      </c>
      <c r="F120" s="380">
        <f>'Таблиця цін схема №2'!DY45</f>
        <v>1</v>
      </c>
      <c r="G120" s="47">
        <f>'Таблиця цін схема №2'!EB45</f>
        <v>80</v>
      </c>
      <c r="H120" s="380">
        <f>'Таблиця цін схема №2'!EC45</f>
        <v>2</v>
      </c>
      <c r="I120" s="47">
        <f>'Таблиця цін схема №2'!EF45</f>
        <v>40</v>
      </c>
      <c r="J120" s="380">
        <f>'Таблиця цін схема №2'!EG45</f>
        <v>1</v>
      </c>
      <c r="K120" s="47">
        <f>'Таблиця цін схема №2'!EJ45</f>
        <v>25</v>
      </c>
      <c r="L120" s="380">
        <f>'Таблиця цін схема №2'!EK45</f>
        <v>1</v>
      </c>
      <c r="M120" s="47">
        <f>'Таблиця цін схема №2'!EN45</f>
        <v>40</v>
      </c>
      <c r="N120" s="380">
        <f>'Таблиця цін схема №2'!EO45</f>
        <v>8</v>
      </c>
      <c r="O120" s="47">
        <f>'Таблиця цін схема №2'!ER45</f>
        <v>40</v>
      </c>
      <c r="P120" s="380">
        <f>'Таблиця цін схема №2'!ES45</f>
        <v>1</v>
      </c>
      <c r="Q120" s="47">
        <f>'Таблиця цін схема №2'!EV45</f>
        <v>25</v>
      </c>
      <c r="R120" s="380">
        <f>'Таблиця цін схема №2'!EW45</f>
        <v>1</v>
      </c>
      <c r="S120" s="1127">
        <f>'Таблиця цін схема №2'!EZ45</f>
        <v>29.732325842422753</v>
      </c>
      <c r="T120" s="379">
        <f>'Таблиця цін схема №2'!FA45</f>
        <v>32</v>
      </c>
      <c r="U120" s="380">
        <f>'Таблиця цін схема №2'!FB45</f>
        <v>2</v>
      </c>
      <c r="V120" s="1129">
        <f>'Таблиця цін схема №2'!FE45</f>
        <v>14.246985446985446</v>
      </c>
      <c r="W120" s="379">
        <f>'Таблиця цін схема №2'!FF45</f>
        <v>9</v>
      </c>
      <c r="X120" s="379">
        <f>'Таблиця цін схема №2'!FG45</f>
        <v>8</v>
      </c>
      <c r="Y120" s="1144" t="str">
        <f>'Таблиця цін схема №2'!FH45</f>
        <v>Yonos MAXO 50/0,5-12 PN 6/10</v>
      </c>
      <c r="Z120" s="380">
        <f>'Таблиця цін схема №2'!FI45</f>
        <v>2</v>
      </c>
      <c r="AA120" s="1129">
        <f>'Таблиця цін схема №2'!FL45</f>
        <v>1.0296146044624745</v>
      </c>
      <c r="AB120" s="379">
        <f>'Таблиця цін схема №2'!FM45</f>
        <v>9</v>
      </c>
      <c r="AC120" s="379">
        <f>'Таблиця цін схема №2'!FN45</f>
        <v>9</v>
      </c>
      <c r="AD120" s="1144" t="str">
        <f>'Таблиця цін схема №2'!FO45</f>
        <v>TOP-Z 25/10 3- PN 10</v>
      </c>
      <c r="AE120" s="380">
        <f>'Таблиця цін схема №2'!FP45</f>
        <v>1</v>
      </c>
      <c r="AF120" s="47">
        <f>'Таблиця цін схема №2'!FS45</f>
        <v>11.13</v>
      </c>
      <c r="AG120" s="379">
        <f>'Таблиця цін схема №2'!FT45</f>
        <v>32</v>
      </c>
      <c r="AH120" s="380">
        <f>'Таблиця цін схема №2'!FU45</f>
        <v>4</v>
      </c>
      <c r="AI120" s="47">
        <f>'Таблиця цін схема №2'!FX45</f>
        <v>15</v>
      </c>
      <c r="AJ120" s="380">
        <f>'Таблиця цін схема №2'!FY45</f>
        <v>2</v>
      </c>
      <c r="AK120" s="47">
        <f>'Таблиця цін схема №2'!GB45</f>
        <v>25</v>
      </c>
      <c r="AL120" s="379">
        <f>'Таблиця цін схема №2'!GC45</f>
        <v>3.5</v>
      </c>
      <c r="AM120" s="380">
        <f>'Таблиця цін схема №2'!GD45</f>
        <v>1</v>
      </c>
      <c r="AN120" s="47">
        <f>'Таблиця цін схема №2'!GG45</f>
        <v>40</v>
      </c>
      <c r="AO120" s="380">
        <f>'Таблиця цін схема №2'!GH45</f>
        <v>1</v>
      </c>
      <c r="AP120" s="47" t="str">
        <f>'Таблиця цін схема №2'!GK45</f>
        <v>0-150</v>
      </c>
      <c r="AQ120" s="380">
        <f>'Таблиця цін схема №2'!GL45</f>
        <v>1</v>
      </c>
      <c r="AR120" s="47" t="str">
        <f>'Таблиця цін схема №2'!GO45</f>
        <v>0-120</v>
      </c>
      <c r="AS120" s="380">
        <f>'Таблиця цін схема №2'!GP45</f>
        <v>5</v>
      </c>
      <c r="AT120" s="47" t="str">
        <f>'Таблиця цін схема №2'!GS45</f>
        <v>0-1,6</v>
      </c>
      <c r="AU120" s="380">
        <f>'Таблиця цін схема №2'!GT45</f>
        <v>5</v>
      </c>
      <c r="AV120" s="47" t="str">
        <f>'Таблиця цін схема №2'!GW45</f>
        <v>0-1,0</v>
      </c>
      <c r="AW120" s="380">
        <f>'Таблиця цін схема №2'!GX45</f>
        <v>15</v>
      </c>
      <c r="AX120" s="47" t="str">
        <f>'Таблиця цін схема №2'!HA45</f>
        <v>PSM01</v>
      </c>
      <c r="AY120" s="380">
        <f>'Таблиця цін схема №2'!HB45</f>
        <v>4</v>
      </c>
      <c r="AZ120" s="47" t="str">
        <f>'Таблиця цін схема №2'!HE45</f>
        <v>A-10</v>
      </c>
      <c r="BA120" s="380">
        <f>'Таблиця цін схема №2'!HF45</f>
        <v>6</v>
      </c>
      <c r="BB120" s="47" t="str">
        <f>'Таблиця цін схема №2'!HI45</f>
        <v>ТСП 1-5</v>
      </c>
      <c r="BC120" s="380">
        <f>'Таблиця цін схема №2'!HJ45</f>
        <v>7</v>
      </c>
      <c r="BD120" s="47" t="str">
        <f>'Таблиця цін схема №2'!HM45</f>
        <v>ТСП 2-10Г</v>
      </c>
      <c r="BE120" s="380">
        <f>'Таблиця цін схема №2'!HN45</f>
        <v>1</v>
      </c>
    </row>
    <row r="121" spans="1:57">
      <c r="A121" s="73">
        <v>62</v>
      </c>
      <c r="B121" s="1171" t="s">
        <v>923</v>
      </c>
      <c r="C121" s="525">
        <f>'Таблиця цін схема №2'!DT46</f>
        <v>25</v>
      </c>
      <c r="D121" s="380">
        <f>'Таблиця цін схема №2'!DU46</f>
        <v>1</v>
      </c>
      <c r="E121" s="47">
        <f>'Таблиця цін схема №2'!DX46</f>
        <v>80</v>
      </c>
      <c r="F121" s="380">
        <f>'Таблиця цін схема №2'!DY46</f>
        <v>1</v>
      </c>
      <c r="G121" s="47">
        <f>'Таблиця цін схема №2'!EB46</f>
        <v>80</v>
      </c>
      <c r="H121" s="380">
        <f>'Таблиця цін схема №2'!EC46</f>
        <v>2</v>
      </c>
      <c r="I121" s="47">
        <f>'Таблиця цін схема №2'!EF46</f>
        <v>40</v>
      </c>
      <c r="J121" s="380">
        <f>'Таблиця цін схема №2'!EG46</f>
        <v>1</v>
      </c>
      <c r="K121" s="47">
        <f>'Таблиця цін схема №2'!EJ46</f>
        <v>25</v>
      </c>
      <c r="L121" s="380">
        <f>'Таблиця цін схема №2'!EK46</f>
        <v>1</v>
      </c>
      <c r="M121" s="47">
        <f>'Таблиця цін схема №2'!EN46</f>
        <v>40</v>
      </c>
      <c r="N121" s="380">
        <f>'Таблиця цін схема №2'!EO46</f>
        <v>8</v>
      </c>
      <c r="O121" s="47">
        <f>'Таблиця цін схема №2'!ER46</f>
        <v>40</v>
      </c>
      <c r="P121" s="380">
        <f>'Таблиця цін схема №2'!ES46</f>
        <v>1</v>
      </c>
      <c r="Q121" s="47">
        <f>'Таблиця цін схема №2'!EV46</f>
        <v>25</v>
      </c>
      <c r="R121" s="380">
        <f>'Таблиця цін схема №2'!EW46</f>
        <v>1</v>
      </c>
      <c r="S121" s="1127">
        <f>'Таблиця цін схема №2'!EZ46</f>
        <v>33.569218042724799</v>
      </c>
      <c r="T121" s="379">
        <f>'Таблиця цін схема №2'!FA46</f>
        <v>40</v>
      </c>
      <c r="U121" s="380">
        <f>'Таблиця цін схема №2'!FB46</f>
        <v>2</v>
      </c>
      <c r="V121" s="1129">
        <f>'Таблиця цін схема №2'!FE46</f>
        <v>18.161330561330562</v>
      </c>
      <c r="W121" s="379">
        <f>'Таблиця цін схема №2'!FF46</f>
        <v>9</v>
      </c>
      <c r="X121" s="379">
        <f>'Таблиця цін схема №2'!FG46</f>
        <v>8</v>
      </c>
      <c r="Y121" s="1144" t="str">
        <f>'Таблиця цін схема №2'!FH46</f>
        <v>Yonos MAXO 40/0,5-16 PN 6/10</v>
      </c>
      <c r="Z121" s="380">
        <f>'Таблиця цін схема №2'!FI46</f>
        <v>2</v>
      </c>
      <c r="AA121" s="1129">
        <f>'Таблиця цін схема №2'!FL46</f>
        <v>1.349452332657201</v>
      </c>
      <c r="AB121" s="379">
        <f>'Таблиця цін схема №2'!FM46</f>
        <v>9</v>
      </c>
      <c r="AC121" s="379">
        <f>'Таблиця цін схема №2'!FN46</f>
        <v>9</v>
      </c>
      <c r="AD121" s="1144" t="str">
        <f>'Таблиця цін схема №2'!FO46</f>
        <v>TOP-Z 25/10 3- PN 10</v>
      </c>
      <c r="AE121" s="380">
        <f>'Таблиця цін схема №2'!FP46</f>
        <v>1</v>
      </c>
      <c r="AF121" s="47">
        <f>'Таблиця цін схема №2'!FS46</f>
        <v>11.13</v>
      </c>
      <c r="AG121" s="379">
        <f>'Таблиця цін схема №2'!FT46</f>
        <v>32</v>
      </c>
      <c r="AH121" s="380">
        <f>'Таблиця цін схема №2'!FU46</f>
        <v>4</v>
      </c>
      <c r="AI121" s="47">
        <f>'Таблиця цін схема №2'!FX46</f>
        <v>15</v>
      </c>
      <c r="AJ121" s="380">
        <f>'Таблиця цін схема №2'!FY46</f>
        <v>2</v>
      </c>
      <c r="AK121" s="47">
        <f>'Таблиця цін схема №2'!GB46</f>
        <v>32</v>
      </c>
      <c r="AL121" s="379">
        <f>'Таблиця цін схема №2'!GC46</f>
        <v>6</v>
      </c>
      <c r="AM121" s="380">
        <f>'Таблиця цін схема №2'!GD46</f>
        <v>1</v>
      </c>
      <c r="AN121" s="47">
        <f>'Таблиця цін схема №2'!GG46</f>
        <v>40</v>
      </c>
      <c r="AO121" s="380">
        <f>'Таблиця цін схема №2'!GH46</f>
        <v>1</v>
      </c>
      <c r="AP121" s="47" t="str">
        <f>'Таблиця цін схема №2'!GK46</f>
        <v>0-150</v>
      </c>
      <c r="AQ121" s="380">
        <f>'Таблиця цін схема №2'!GL46</f>
        <v>1</v>
      </c>
      <c r="AR121" s="47" t="str">
        <f>'Таблиця цін схема №2'!GO46</f>
        <v>0-120</v>
      </c>
      <c r="AS121" s="380">
        <f>'Таблиця цін схема №2'!GP46</f>
        <v>5</v>
      </c>
      <c r="AT121" s="47" t="str">
        <f>'Таблиця цін схема №2'!GS46</f>
        <v>0-1,6</v>
      </c>
      <c r="AU121" s="380">
        <f>'Таблиця цін схема №2'!GT46</f>
        <v>5</v>
      </c>
      <c r="AV121" s="47" t="str">
        <f>'Таблиця цін схема №2'!GW46</f>
        <v>0-1,0</v>
      </c>
      <c r="AW121" s="380">
        <f>'Таблиця цін схема №2'!GX46</f>
        <v>15</v>
      </c>
      <c r="AX121" s="47" t="str">
        <f>'Таблиця цін схема №2'!HA46</f>
        <v>PSM01</v>
      </c>
      <c r="AY121" s="380">
        <f>'Таблиця цін схема №2'!HB46</f>
        <v>4</v>
      </c>
      <c r="AZ121" s="47" t="str">
        <f>'Таблиця цін схема №2'!HE46</f>
        <v>A-10</v>
      </c>
      <c r="BA121" s="380">
        <f>'Таблиця цін схема №2'!HF46</f>
        <v>6</v>
      </c>
      <c r="BB121" s="47" t="str">
        <f>'Таблиця цін схема №2'!HI46</f>
        <v>ТСП 1-5</v>
      </c>
      <c r="BC121" s="380">
        <f>'Таблиця цін схема №2'!HJ46</f>
        <v>7</v>
      </c>
      <c r="BD121" s="47" t="str">
        <f>'Таблиця цін схема №2'!HM46</f>
        <v>ТСП 2-10Г</v>
      </c>
      <c r="BE121" s="380">
        <f>'Таблиця цін схема №2'!HN46</f>
        <v>1</v>
      </c>
    </row>
    <row r="122" spans="1:57">
      <c r="A122" s="73">
        <v>63</v>
      </c>
      <c r="B122" s="1171" t="s">
        <v>924</v>
      </c>
      <c r="C122" s="525">
        <f>'Таблиця цін схема №2'!DT47</f>
        <v>20</v>
      </c>
      <c r="D122" s="380">
        <f>'Таблиця цін схема №2'!DU47</f>
        <v>1</v>
      </c>
      <c r="E122" s="47">
        <f>'Таблиця цін схема №2'!DX47</f>
        <v>65</v>
      </c>
      <c r="F122" s="380">
        <f>'Таблиця цін схема №2'!DY47</f>
        <v>1</v>
      </c>
      <c r="G122" s="47">
        <f>'Таблиця цін схема №2'!EB47</f>
        <v>65</v>
      </c>
      <c r="H122" s="380">
        <f>'Таблиця цін схема №2'!EC47</f>
        <v>2</v>
      </c>
      <c r="I122" s="47">
        <f>'Таблиця цін схема №2'!EF47</f>
        <v>32</v>
      </c>
      <c r="J122" s="380">
        <f>'Таблиця цін схема №2'!EG47</f>
        <v>1</v>
      </c>
      <c r="K122" s="47">
        <f>'Таблиця цін схема №2'!EJ47</f>
        <v>20</v>
      </c>
      <c r="L122" s="380">
        <f>'Таблиця цін схема №2'!EK47</f>
        <v>1</v>
      </c>
      <c r="M122" s="47">
        <f>'Таблиця цін схема №2'!EN47</f>
        <v>32</v>
      </c>
      <c r="N122" s="380">
        <f>'Таблиця цін схема №2'!EO47</f>
        <v>8</v>
      </c>
      <c r="O122" s="47">
        <f>'Таблиця цін схема №2'!ER47</f>
        <v>32</v>
      </c>
      <c r="P122" s="380">
        <f>'Таблиця цін схема №2'!ES47</f>
        <v>1</v>
      </c>
      <c r="Q122" s="47">
        <f>'Таблиця цін схема №2'!EV47</f>
        <v>20</v>
      </c>
      <c r="R122" s="380">
        <f>'Таблиця цін схема №2'!EW47</f>
        <v>1</v>
      </c>
      <c r="S122" s="1127">
        <f>'Таблиця цін схема №2'!EZ47</f>
        <v>27.016805880784645</v>
      </c>
      <c r="T122" s="379">
        <f>'Таблиця цін схема №2'!FA47</f>
        <v>32</v>
      </c>
      <c r="U122" s="380">
        <f>'Таблиця цін схема №2'!FB47</f>
        <v>2</v>
      </c>
      <c r="V122" s="1129">
        <f>'Таблиця цін схема №2'!FE47</f>
        <v>11.763409563409562</v>
      </c>
      <c r="W122" s="379">
        <f>'Таблиця цін схема №2'!FF47</f>
        <v>9</v>
      </c>
      <c r="X122" s="379">
        <f>'Таблиця цін схема №2'!FG47</f>
        <v>8</v>
      </c>
      <c r="Y122" s="1144" t="str">
        <f>'Таблиця цін схема №2'!FH47</f>
        <v>Yonos MAXO 40/0,5-12 PN 6/10</v>
      </c>
      <c r="Z122" s="380">
        <f>'Таблиця цін схема №2'!FI47</f>
        <v>2</v>
      </c>
      <c r="AA122" s="1129">
        <f>'Таблиця цін схема №2'!FL47</f>
        <v>0.68787018255578103</v>
      </c>
      <c r="AB122" s="379">
        <f>'Таблиця цін схема №2'!FM47</f>
        <v>9</v>
      </c>
      <c r="AC122" s="379">
        <f>'Таблиця цін схема №2'!FN47</f>
        <v>9</v>
      </c>
      <c r="AD122" s="1144" t="str">
        <f>'Таблиця цін схема №2'!FO47</f>
        <v>TOP-Z 25/10 3- PN 10</v>
      </c>
      <c r="AE122" s="380">
        <f>'Таблиця цін схема №2'!FP47</f>
        <v>1</v>
      </c>
      <c r="AF122" s="47">
        <f>'Таблиця цін схема №2'!FS47</f>
        <v>5.83</v>
      </c>
      <c r="AG122" s="379">
        <f>'Таблиця цін схема №2'!FT47</f>
        <v>25</v>
      </c>
      <c r="AH122" s="380">
        <f>'Таблиця цін схема №2'!FU47</f>
        <v>4</v>
      </c>
      <c r="AI122" s="47">
        <f>'Таблиця цін схема №2'!FX47</f>
        <v>15</v>
      </c>
      <c r="AJ122" s="380">
        <f>'Таблиця цін схема №2'!FY47</f>
        <v>2</v>
      </c>
      <c r="AK122" s="47">
        <f>'Таблиця цін схема №2'!GB47</f>
        <v>20</v>
      </c>
      <c r="AL122" s="379">
        <f>'Таблиця цін схема №2'!GC47</f>
        <v>2.5</v>
      </c>
      <c r="AM122" s="380">
        <f>'Таблиця цін схема №2'!GD47</f>
        <v>1</v>
      </c>
      <c r="AN122" s="47">
        <f>'Таблиця цін схема №2'!GG47</f>
        <v>32</v>
      </c>
      <c r="AO122" s="380">
        <f>'Таблиця цін схема №2'!GH47</f>
        <v>1</v>
      </c>
      <c r="AP122" s="47" t="str">
        <f>'Таблиця цін схема №2'!GK47</f>
        <v>0-150</v>
      </c>
      <c r="AQ122" s="380">
        <f>'Таблиця цін схема №2'!GL47</f>
        <v>1</v>
      </c>
      <c r="AR122" s="47" t="str">
        <f>'Таблиця цін схема №2'!GO47</f>
        <v>0-120</v>
      </c>
      <c r="AS122" s="380">
        <f>'Таблиця цін схема №2'!GP47</f>
        <v>1</v>
      </c>
      <c r="AT122" s="47" t="str">
        <f>'Таблиця цін схема №2'!GS47</f>
        <v>0-1,6</v>
      </c>
      <c r="AU122" s="380">
        <f>'Таблиця цін схема №2'!GT47</f>
        <v>3</v>
      </c>
      <c r="AV122" s="47" t="str">
        <f>'Таблиця цін схема №2'!GW47</f>
        <v>0-1,0</v>
      </c>
      <c r="AW122" s="380">
        <f>'Таблиця цін схема №2'!GX47</f>
        <v>15</v>
      </c>
      <c r="AX122" s="47" t="str">
        <f>'Таблиця цін схема №2'!HA47</f>
        <v>PSM01</v>
      </c>
      <c r="AY122" s="380">
        <f>'Таблиця цін схема №2'!HB47</f>
        <v>4</v>
      </c>
      <c r="AZ122" s="47" t="str">
        <f>'Таблиця цін схема №2'!HE47</f>
        <v>A-10</v>
      </c>
      <c r="BA122" s="380">
        <f>'Таблиця цін схема №2'!HF47</f>
        <v>6</v>
      </c>
      <c r="BB122" s="47" t="str">
        <f>'Таблиця цін схема №2'!HI47</f>
        <v>ТСП 1-5</v>
      </c>
      <c r="BC122" s="380">
        <f>'Таблиця цін схема №2'!HJ47</f>
        <v>7</v>
      </c>
      <c r="BD122" s="47" t="str">
        <f>'Таблиця цін схема №2'!HM47</f>
        <v>ТСП 2-10Г</v>
      </c>
      <c r="BE122" s="380">
        <f>'Таблиця цін схема №2'!HN47</f>
        <v>1</v>
      </c>
    </row>
    <row r="123" spans="1:57">
      <c r="A123" s="73">
        <v>64</v>
      </c>
      <c r="B123" s="1171" t="s">
        <v>925</v>
      </c>
      <c r="C123" s="525">
        <f>'Таблиця цін схема №2'!DT48</f>
        <v>20</v>
      </c>
      <c r="D123" s="380">
        <f>'Таблиця цін схема №2'!DU48</f>
        <v>1</v>
      </c>
      <c r="E123" s="47">
        <f>'Таблиця цін схема №2'!DX48</f>
        <v>65</v>
      </c>
      <c r="F123" s="380">
        <f>'Таблиця цін схема №2'!DY48</f>
        <v>1</v>
      </c>
      <c r="G123" s="47">
        <f>'Таблиця цін схема №2'!EB48</f>
        <v>65</v>
      </c>
      <c r="H123" s="380">
        <f>'Таблиця цін схема №2'!EC48</f>
        <v>2</v>
      </c>
      <c r="I123" s="47">
        <f>'Таблиця цін схема №2'!EF48</f>
        <v>32</v>
      </c>
      <c r="J123" s="380">
        <f>'Таблиця цін схема №2'!EG48</f>
        <v>1</v>
      </c>
      <c r="K123" s="47">
        <f>'Таблиця цін схема №2'!EJ48</f>
        <v>20</v>
      </c>
      <c r="L123" s="380">
        <f>'Таблиця цін схема №2'!EK48</f>
        <v>1</v>
      </c>
      <c r="M123" s="47">
        <f>'Таблиця цін схема №2'!EN48</f>
        <v>32</v>
      </c>
      <c r="N123" s="380">
        <f>'Таблиця цін схема №2'!EO48</f>
        <v>8</v>
      </c>
      <c r="O123" s="47">
        <f>'Таблиця цін схема №2'!ER48</f>
        <v>32</v>
      </c>
      <c r="P123" s="380">
        <f>'Таблиця цін схема №2'!ES48</f>
        <v>1</v>
      </c>
      <c r="Q123" s="47">
        <f>'Таблиця цін схема №2'!EV48</f>
        <v>20</v>
      </c>
      <c r="R123" s="380">
        <f>'Таблиця цін схема №2'!EW48</f>
        <v>1</v>
      </c>
      <c r="S123" s="1127">
        <f>'Таблиця цін схема №2'!EZ48</f>
        <v>25.568965563745436</v>
      </c>
      <c r="T123" s="379">
        <f>'Таблиця цін схема №2'!FA48</f>
        <v>25</v>
      </c>
      <c r="U123" s="380">
        <f>'Таблиця цін схема №2'!FB48</f>
        <v>2</v>
      </c>
      <c r="V123" s="1129">
        <f>'Таблиця цін схема №2'!FE48</f>
        <v>10.536382536382536</v>
      </c>
      <c r="W123" s="379">
        <f>'Таблиця цін схема №2'!FF48</f>
        <v>9</v>
      </c>
      <c r="X123" s="379">
        <f>'Таблиця цін схема №2'!FG48</f>
        <v>8</v>
      </c>
      <c r="Y123" s="1144" t="str">
        <f>'Таблиця цін схема №2'!FH48</f>
        <v>Yonos MAXO 40/0,5-12 PN 6/10</v>
      </c>
      <c r="Z123" s="380">
        <f>'Таблиця цін схема №2'!FI48</f>
        <v>2</v>
      </c>
      <c r="AA123" s="1129">
        <f>'Таблиця цін схема №2'!FL48</f>
        <v>0.7448275862068966</v>
      </c>
      <c r="AB123" s="379">
        <f>'Таблиця цін схема №2'!FM48</f>
        <v>9</v>
      </c>
      <c r="AC123" s="379">
        <f>'Таблиця цін схема №2'!FN48</f>
        <v>9</v>
      </c>
      <c r="AD123" s="1144" t="str">
        <f>'Таблиця цін схема №2'!FO48</f>
        <v>TOP-Z 25/10 3- PN 10</v>
      </c>
      <c r="AE123" s="380">
        <f>'Таблиця цін схема №2'!FP48</f>
        <v>1</v>
      </c>
      <c r="AF123" s="47">
        <f>'Таблиця цін схема №2'!FS48</f>
        <v>5.83</v>
      </c>
      <c r="AG123" s="379">
        <f>'Таблиця цін схема №2'!FT48</f>
        <v>25</v>
      </c>
      <c r="AH123" s="380">
        <f>'Таблиця цін схема №2'!FU48</f>
        <v>4</v>
      </c>
      <c r="AI123" s="47">
        <f>'Таблиця цін схема №2'!FX48</f>
        <v>15</v>
      </c>
      <c r="AJ123" s="380">
        <f>'Таблиця цін схема №2'!FY48</f>
        <v>2</v>
      </c>
      <c r="AK123" s="47">
        <f>'Таблиця цін схема №2'!GB48</f>
        <v>20</v>
      </c>
      <c r="AL123" s="379">
        <f>'Таблиця цін схема №2'!GC48</f>
        <v>2.5</v>
      </c>
      <c r="AM123" s="380">
        <f>'Таблиця цін схема №2'!GD48</f>
        <v>1</v>
      </c>
      <c r="AN123" s="47">
        <f>'Таблиця цін схема №2'!GG48</f>
        <v>32</v>
      </c>
      <c r="AO123" s="380">
        <f>'Таблиця цін схема №2'!GH48</f>
        <v>1</v>
      </c>
      <c r="AP123" s="47" t="str">
        <f>'Таблиця цін схема №2'!GK48</f>
        <v>0-150</v>
      </c>
      <c r="AQ123" s="380">
        <f>'Таблиця цін схема №2'!GL48</f>
        <v>1</v>
      </c>
      <c r="AR123" s="47" t="str">
        <f>'Таблиця цін схема №2'!GO48</f>
        <v>0-120</v>
      </c>
      <c r="AS123" s="380">
        <f>'Таблиця цін схема №2'!GP48</f>
        <v>5</v>
      </c>
      <c r="AT123" s="47" t="str">
        <f>'Таблиця цін схема №2'!GS48</f>
        <v>0-1,6</v>
      </c>
      <c r="AU123" s="380">
        <f>'Таблиця цін схема №2'!GT48</f>
        <v>5</v>
      </c>
      <c r="AV123" s="47" t="str">
        <f>'Таблиця цін схема №2'!GW48</f>
        <v>0-1,0</v>
      </c>
      <c r="AW123" s="380">
        <f>'Таблиця цін схема №2'!GX48</f>
        <v>15</v>
      </c>
      <c r="AX123" s="47" t="str">
        <f>'Таблиця цін схема №2'!HA48</f>
        <v>PSM01</v>
      </c>
      <c r="AY123" s="380">
        <f>'Таблиця цін схема №2'!HB48</f>
        <v>4</v>
      </c>
      <c r="AZ123" s="47" t="str">
        <f>'Таблиця цін схема №2'!HE48</f>
        <v>A-10</v>
      </c>
      <c r="BA123" s="380">
        <f>'Таблиця цін схема №2'!HF48</f>
        <v>6</v>
      </c>
      <c r="BB123" s="47" t="str">
        <f>'Таблиця цін схема №2'!HI48</f>
        <v>ТСП 1-5</v>
      </c>
      <c r="BC123" s="380">
        <f>'Таблиця цін схема №2'!HJ48</f>
        <v>7</v>
      </c>
      <c r="BD123" s="47" t="str">
        <f>'Таблиця цін схема №2'!HM48</f>
        <v>ТСП 2-10Г</v>
      </c>
      <c r="BE123" s="380">
        <f>'Таблиця цін схема №2'!HN48</f>
        <v>1</v>
      </c>
    </row>
    <row r="124" spans="1:57">
      <c r="A124" s="73">
        <v>65</v>
      </c>
      <c r="B124" s="1171" t="s">
        <v>926</v>
      </c>
      <c r="C124" s="525">
        <f>'Таблиця цін схема №2'!DT49</f>
        <v>20</v>
      </c>
      <c r="D124" s="380">
        <f>'Таблиця цін схема №2'!DU49</f>
        <v>1</v>
      </c>
      <c r="E124" s="47">
        <f>'Таблиця цін схема №2'!DX49</f>
        <v>65</v>
      </c>
      <c r="F124" s="380">
        <f>'Таблиця цін схема №2'!DY49</f>
        <v>1</v>
      </c>
      <c r="G124" s="47">
        <f>'Таблиця цін схема №2'!EB49</f>
        <v>65</v>
      </c>
      <c r="H124" s="380">
        <f>'Таблиця цін схема №2'!EC49</f>
        <v>2</v>
      </c>
      <c r="I124" s="47">
        <f>'Таблиця цін схема №2'!EF49</f>
        <v>32</v>
      </c>
      <c r="J124" s="380">
        <f>'Таблиця цін схема №2'!EG49</f>
        <v>1</v>
      </c>
      <c r="K124" s="47">
        <f>'Таблиця цін схема №2'!EJ49</f>
        <v>20</v>
      </c>
      <c r="L124" s="380">
        <f>'Таблиця цін схема №2'!EK49</f>
        <v>1</v>
      </c>
      <c r="M124" s="47">
        <f>'Таблиця цін схема №2'!EN49</f>
        <v>32</v>
      </c>
      <c r="N124" s="380">
        <f>'Таблиця цін схема №2'!EO49</f>
        <v>8</v>
      </c>
      <c r="O124" s="47">
        <f>'Таблиця цін схема №2'!ER49</f>
        <v>32</v>
      </c>
      <c r="P124" s="380">
        <f>'Таблиця цін схема №2'!ES49</f>
        <v>1</v>
      </c>
      <c r="Q124" s="47">
        <f>'Таблиця цін схема №2'!EV49</f>
        <v>20</v>
      </c>
      <c r="R124" s="380">
        <f>'Таблиця цін схема №2'!EW49</f>
        <v>1</v>
      </c>
      <c r="S124" s="1127">
        <f>'Таблиця цін схема №2'!EZ49</f>
        <v>25.769481950555392</v>
      </c>
      <c r="T124" s="379">
        <f>'Таблиця цін схема №2'!FA49</f>
        <v>25</v>
      </c>
      <c r="U124" s="380">
        <f>'Таблиця цін схема №2'!FB49</f>
        <v>2</v>
      </c>
      <c r="V124" s="1129">
        <f>'Таблиця цін схема №2'!FE49</f>
        <v>10.702286902286902</v>
      </c>
      <c r="W124" s="379">
        <f>'Таблиця цін схема №2'!FF49</f>
        <v>9</v>
      </c>
      <c r="X124" s="379">
        <f>'Таблиця цін схема №2'!FG49</f>
        <v>8</v>
      </c>
      <c r="Y124" s="1144" t="str">
        <f>'Таблиця цін схема №2'!FH49</f>
        <v>Yonos MAXO 40/0,5-12 PN 6/10</v>
      </c>
      <c r="Z124" s="380">
        <f>'Таблиця цін схема №2'!FI49</f>
        <v>2</v>
      </c>
      <c r="AA124" s="1129">
        <f>'Таблиця цін схема №2'!FL49</f>
        <v>0.75797160243407713</v>
      </c>
      <c r="AB124" s="379">
        <f>'Таблиця цін схема №2'!FM49</f>
        <v>9</v>
      </c>
      <c r="AC124" s="379">
        <f>'Таблиця цін схема №2'!FN49</f>
        <v>9</v>
      </c>
      <c r="AD124" s="1144" t="str">
        <f>'Таблиця цін схема №2'!FO49</f>
        <v>TOP-Z 25/10 3- PN 10</v>
      </c>
      <c r="AE124" s="380">
        <f>'Таблиця цін схема №2'!FP49</f>
        <v>1</v>
      </c>
      <c r="AF124" s="47">
        <f>'Таблиця цін схема №2'!FS49</f>
        <v>5.83</v>
      </c>
      <c r="AG124" s="379">
        <f>'Таблиця цін схема №2'!FT49</f>
        <v>25</v>
      </c>
      <c r="AH124" s="380">
        <f>'Таблиця цін схема №2'!FU49</f>
        <v>4</v>
      </c>
      <c r="AI124" s="47">
        <f>'Таблиця цін схема №2'!FX49</f>
        <v>15</v>
      </c>
      <c r="AJ124" s="380">
        <f>'Таблиця цін схема №2'!FY49</f>
        <v>2</v>
      </c>
      <c r="AK124" s="47">
        <f>'Таблиця цін схема №2'!GB49</f>
        <v>25</v>
      </c>
      <c r="AL124" s="379">
        <f>'Таблиця цін схема №2'!GC49</f>
        <v>3.5</v>
      </c>
      <c r="AM124" s="380">
        <f>'Таблиця цін схема №2'!GD49</f>
        <v>1</v>
      </c>
      <c r="AN124" s="47">
        <f>'Таблиця цін схема №2'!GG49</f>
        <v>32</v>
      </c>
      <c r="AO124" s="380">
        <f>'Таблиця цін схема №2'!GH49</f>
        <v>1</v>
      </c>
      <c r="AP124" s="47" t="str">
        <f>'Таблиця цін схема №2'!GK49</f>
        <v>0-150</v>
      </c>
      <c r="AQ124" s="380">
        <f>'Таблиця цін схема №2'!GL49</f>
        <v>1</v>
      </c>
      <c r="AR124" s="47" t="str">
        <f>'Таблиця цін схема №2'!GO49</f>
        <v>0-120</v>
      </c>
      <c r="AS124" s="380">
        <f>'Таблиця цін схема №2'!GP49</f>
        <v>5</v>
      </c>
      <c r="AT124" s="47" t="str">
        <f>'Таблиця цін схема №2'!GS49</f>
        <v>0-1,6</v>
      </c>
      <c r="AU124" s="380">
        <f>'Таблиця цін схема №2'!GT49</f>
        <v>5</v>
      </c>
      <c r="AV124" s="47" t="str">
        <f>'Таблиця цін схема №2'!GW49</f>
        <v>0-1,0</v>
      </c>
      <c r="AW124" s="380">
        <f>'Таблиця цін схема №2'!GX49</f>
        <v>15</v>
      </c>
      <c r="AX124" s="47" t="str">
        <f>'Таблиця цін схема №2'!HA49</f>
        <v>PSM01</v>
      </c>
      <c r="AY124" s="380">
        <f>'Таблиця цін схема №2'!HB49</f>
        <v>4</v>
      </c>
      <c r="AZ124" s="47" t="str">
        <f>'Таблиця цін схема №2'!HE49</f>
        <v>A-10</v>
      </c>
      <c r="BA124" s="380">
        <f>'Таблиця цін схема №2'!HF49</f>
        <v>6</v>
      </c>
      <c r="BB124" s="47" t="str">
        <f>'Таблиця цін схема №2'!HI49</f>
        <v>ТСП 1-5</v>
      </c>
      <c r="BC124" s="380">
        <f>'Таблиця цін схема №2'!HJ49</f>
        <v>7</v>
      </c>
      <c r="BD124" s="47" t="str">
        <f>'Таблиця цін схема №2'!HM49</f>
        <v>ТСП 2-10Г</v>
      </c>
      <c r="BE124" s="380">
        <f>'Таблиця цін схема №2'!HN49</f>
        <v>1</v>
      </c>
    </row>
    <row r="125" spans="1:57">
      <c r="A125" s="73">
        <v>66</v>
      </c>
      <c r="B125" s="1171" t="s">
        <v>927</v>
      </c>
      <c r="C125" s="525">
        <f>'Таблиця цін схема №2'!DT50</f>
        <v>20</v>
      </c>
      <c r="D125" s="380">
        <f>'Таблиця цін схема №2'!DU50</f>
        <v>1</v>
      </c>
      <c r="E125" s="47">
        <f>'Таблиця цін схема №2'!DX50</f>
        <v>65</v>
      </c>
      <c r="F125" s="380">
        <f>'Таблиця цін схема №2'!DY50</f>
        <v>1</v>
      </c>
      <c r="G125" s="47">
        <f>'Таблиця цін схема №2'!EB50</f>
        <v>65</v>
      </c>
      <c r="H125" s="380">
        <f>'Таблиця цін схема №2'!EC50</f>
        <v>2</v>
      </c>
      <c r="I125" s="47">
        <f>'Таблиця цін схема №2'!EF50</f>
        <v>32</v>
      </c>
      <c r="J125" s="380">
        <f>'Таблиця цін схема №2'!EG50</f>
        <v>1</v>
      </c>
      <c r="K125" s="47">
        <f>'Таблиця цін схема №2'!EJ50</f>
        <v>20</v>
      </c>
      <c r="L125" s="380">
        <f>'Таблиця цін схема №2'!EK50</f>
        <v>1</v>
      </c>
      <c r="M125" s="47">
        <f>'Таблиця цін схема №2'!EN50</f>
        <v>32</v>
      </c>
      <c r="N125" s="380">
        <f>'Таблиця цін схема №2'!EO50</f>
        <v>8</v>
      </c>
      <c r="O125" s="47">
        <f>'Таблиця цін схема №2'!ER50</f>
        <v>32</v>
      </c>
      <c r="P125" s="380">
        <f>'Таблиця цін схема №2'!ES50</f>
        <v>1</v>
      </c>
      <c r="Q125" s="47">
        <f>'Таблиця цін схема №2'!EV50</f>
        <v>20</v>
      </c>
      <c r="R125" s="380">
        <f>'Таблиця цін схема №2'!EW50</f>
        <v>1</v>
      </c>
      <c r="S125" s="1127">
        <f>'Таблиця цін схема №2'!EZ50</f>
        <v>25.785996199487812</v>
      </c>
      <c r="T125" s="379">
        <f>'Таблиця цін схема №2'!FA50</f>
        <v>25</v>
      </c>
      <c r="U125" s="380">
        <f>'Таблиця цін схема №2'!FB50</f>
        <v>2</v>
      </c>
      <c r="V125" s="1129">
        <f>'Таблиця цін схема №2'!FE50</f>
        <v>10.716008316008317</v>
      </c>
      <c r="W125" s="379">
        <f>'Таблиця цін схема №2'!FF50</f>
        <v>9</v>
      </c>
      <c r="X125" s="379">
        <f>'Таблиця цін схема №2'!FG50</f>
        <v>8</v>
      </c>
      <c r="Y125" s="1144" t="str">
        <f>'Таблиця цін схема №2'!FH50</f>
        <v>Yonos MAXO 40/0,5-12 PN 6/10</v>
      </c>
      <c r="Z125" s="380">
        <f>'Таблиця цін схема №2'!FI50</f>
        <v>2</v>
      </c>
      <c r="AA125" s="1129">
        <f>'Таблиця цін схема №2'!FL50</f>
        <v>0.76673427991886423</v>
      </c>
      <c r="AB125" s="379">
        <f>'Таблиця цін схема №2'!FM50</f>
        <v>9</v>
      </c>
      <c r="AC125" s="379">
        <f>'Таблиця цін схема №2'!FN50</f>
        <v>9</v>
      </c>
      <c r="AD125" s="1144" t="str">
        <f>'Таблиця цін схема №2'!FO50</f>
        <v>TOP-Z 25/10 3- PN 10</v>
      </c>
      <c r="AE125" s="380">
        <f>'Таблиця цін схема №2'!FP50</f>
        <v>1</v>
      </c>
      <c r="AF125" s="47">
        <f>'Таблиця цін схема №2'!FS50</f>
        <v>5.83</v>
      </c>
      <c r="AG125" s="379">
        <f>'Таблиця цін схема №2'!FT50</f>
        <v>25</v>
      </c>
      <c r="AH125" s="380">
        <f>'Таблиця цін схема №2'!FU50</f>
        <v>4</v>
      </c>
      <c r="AI125" s="47">
        <f>'Таблиця цін схема №2'!FX50</f>
        <v>15</v>
      </c>
      <c r="AJ125" s="380">
        <f>'Таблиця цін схема №2'!FY50</f>
        <v>2</v>
      </c>
      <c r="AK125" s="47">
        <f>'Таблиця цін схема №2'!GB50</f>
        <v>25</v>
      </c>
      <c r="AL125" s="379">
        <f>'Таблиця цін схема №2'!GC50</f>
        <v>3.5</v>
      </c>
      <c r="AM125" s="380">
        <f>'Таблиця цін схема №2'!GD50</f>
        <v>1</v>
      </c>
      <c r="AN125" s="47">
        <f>'Таблиця цін схема №2'!GG50</f>
        <v>32</v>
      </c>
      <c r="AO125" s="380">
        <f>'Таблиця цін схема №2'!GH50</f>
        <v>1</v>
      </c>
      <c r="AP125" s="47" t="str">
        <f>'Таблиця цін схема №2'!GK50</f>
        <v>0-150</v>
      </c>
      <c r="AQ125" s="380">
        <f>'Таблиця цін схема №2'!GL50</f>
        <v>1</v>
      </c>
      <c r="AR125" s="47" t="str">
        <f>'Таблиця цін схема №2'!GO50</f>
        <v>0-120</v>
      </c>
      <c r="AS125" s="380">
        <f>'Таблиця цін схема №2'!GP50</f>
        <v>1</v>
      </c>
      <c r="AT125" s="47" t="str">
        <f>'Таблиця цін схема №2'!GS50</f>
        <v>0-1,6</v>
      </c>
      <c r="AU125" s="380">
        <f>'Таблиця цін схема №2'!GT50</f>
        <v>3</v>
      </c>
      <c r="AV125" s="47" t="str">
        <f>'Таблиця цін схема №2'!GW50</f>
        <v>0-1,0</v>
      </c>
      <c r="AW125" s="380">
        <f>'Таблиця цін схема №2'!GX50</f>
        <v>15</v>
      </c>
      <c r="AX125" s="47" t="str">
        <f>'Таблиця цін схема №2'!HA50</f>
        <v>PSM01</v>
      </c>
      <c r="AY125" s="380">
        <f>'Таблиця цін схема №2'!HB50</f>
        <v>4</v>
      </c>
      <c r="AZ125" s="47" t="str">
        <f>'Таблиця цін схема №2'!HE50</f>
        <v>A-10</v>
      </c>
      <c r="BA125" s="380">
        <f>'Таблиця цін схема №2'!HF50</f>
        <v>6</v>
      </c>
      <c r="BB125" s="47" t="str">
        <f>'Таблиця цін схема №2'!HI50</f>
        <v>ТСП 1-5</v>
      </c>
      <c r="BC125" s="380">
        <f>'Таблиця цін схема №2'!HJ50</f>
        <v>7</v>
      </c>
      <c r="BD125" s="47" t="str">
        <f>'Таблиця цін схема №2'!HM50</f>
        <v>ТСП 2-10Г</v>
      </c>
      <c r="BE125" s="380">
        <f>'Таблиця цін схема №2'!HN50</f>
        <v>1</v>
      </c>
    </row>
    <row r="126" spans="1:57">
      <c r="A126" s="73">
        <v>67</v>
      </c>
      <c r="B126" s="1171" t="s">
        <v>928</v>
      </c>
      <c r="C126" s="525">
        <f>'Таблиця цін схема №2'!DT51</f>
        <v>20</v>
      </c>
      <c r="D126" s="380">
        <f>'Таблиця цін схема №2'!DU51</f>
        <v>1</v>
      </c>
      <c r="E126" s="47">
        <f>'Таблиця цін схема №2'!DX51</f>
        <v>65</v>
      </c>
      <c r="F126" s="380">
        <f>'Таблиця цін схема №2'!DY51</f>
        <v>1</v>
      </c>
      <c r="G126" s="47">
        <f>'Таблиця цін схема №2'!EB51</f>
        <v>65</v>
      </c>
      <c r="H126" s="380">
        <f>'Таблиця цін схема №2'!EC51</f>
        <v>2</v>
      </c>
      <c r="I126" s="47">
        <f>'Таблиця цін схема №2'!EF51</f>
        <v>40</v>
      </c>
      <c r="J126" s="380">
        <f>'Таблиця цін схема №2'!EG51</f>
        <v>1</v>
      </c>
      <c r="K126" s="47">
        <f>'Таблиця цін схема №2'!EJ51</f>
        <v>20</v>
      </c>
      <c r="L126" s="380">
        <f>'Таблиця цін схема №2'!EK51</f>
        <v>1</v>
      </c>
      <c r="M126" s="47">
        <f>'Таблиця цін схема №2'!EN51</f>
        <v>32</v>
      </c>
      <c r="N126" s="380">
        <f>'Таблиця цін схема №2'!EO51</f>
        <v>8</v>
      </c>
      <c r="O126" s="47">
        <f>'Таблиця цін схема №2'!ER51</f>
        <v>40</v>
      </c>
      <c r="P126" s="380">
        <f>'Таблиця цін схема №2'!ES51</f>
        <v>1</v>
      </c>
      <c r="Q126" s="47">
        <f>'Таблиця цін схема №2'!EV51</f>
        <v>20</v>
      </c>
      <c r="R126" s="380">
        <f>'Таблиця цін схема №2'!EW51</f>
        <v>1</v>
      </c>
      <c r="S126" s="1127">
        <f>'Таблиця цін схема №2'!EZ51</f>
        <v>25.576532212166683</v>
      </c>
      <c r="T126" s="379">
        <f>'Таблиця цін схема №2'!FA51</f>
        <v>25</v>
      </c>
      <c r="U126" s="380">
        <f>'Таблиця цін схема №2'!FB51</f>
        <v>2</v>
      </c>
      <c r="V126" s="1129">
        <f>'Таблиця цін схема №2'!FE51</f>
        <v>10.542619542619542</v>
      </c>
      <c r="W126" s="379">
        <f>'Таблиця цін схема №2'!FF51</f>
        <v>9</v>
      </c>
      <c r="X126" s="379">
        <f>'Таблиця цін схема №2'!FG51</f>
        <v>8</v>
      </c>
      <c r="Y126" s="1144" t="str">
        <f>'Таблиця цін схема №2'!FH51</f>
        <v>Yonos MAXO 40/0,5-12 PN 6/10</v>
      </c>
      <c r="Z126" s="380">
        <f>'Таблиця цін схема №2'!FI51</f>
        <v>2</v>
      </c>
      <c r="AA126" s="1129">
        <f>'Таблиця цін схема №2'!FL51</f>
        <v>0.95075050709939146</v>
      </c>
      <c r="AB126" s="379">
        <f>'Таблиця цін схема №2'!FM51</f>
        <v>9</v>
      </c>
      <c r="AC126" s="379">
        <f>'Таблиця цін схема №2'!FN51</f>
        <v>9</v>
      </c>
      <c r="AD126" s="1144" t="str">
        <f>'Таблиця цін схема №2'!FO51</f>
        <v>TOP-Z 25/10 3- PN 10</v>
      </c>
      <c r="AE126" s="380">
        <f>'Таблиця цін схема №2'!FP51</f>
        <v>1</v>
      </c>
      <c r="AF126" s="47">
        <f>'Таблиця цін схема №2'!FS51</f>
        <v>5.83</v>
      </c>
      <c r="AG126" s="379">
        <f>'Таблиця цін схема №2'!FT51</f>
        <v>25</v>
      </c>
      <c r="AH126" s="380">
        <f>'Таблиця цін схема №2'!FU51</f>
        <v>4</v>
      </c>
      <c r="AI126" s="47">
        <f>'Таблиця цін схема №2'!FX51</f>
        <v>15</v>
      </c>
      <c r="AJ126" s="380">
        <f>'Таблиця цін схема №2'!FY51</f>
        <v>2</v>
      </c>
      <c r="AK126" s="47">
        <f>'Таблиця цін схема №2'!GB51</f>
        <v>25</v>
      </c>
      <c r="AL126" s="379">
        <f>'Таблиця цін схема №2'!GC51</f>
        <v>3.5</v>
      </c>
      <c r="AM126" s="380">
        <f>'Таблиця цін схема №2'!GD51</f>
        <v>1</v>
      </c>
      <c r="AN126" s="47">
        <f>'Таблиця цін схема №2'!GG51</f>
        <v>40</v>
      </c>
      <c r="AO126" s="380">
        <f>'Таблиця цін схема №2'!GH51</f>
        <v>1</v>
      </c>
      <c r="AP126" s="47" t="str">
        <f>'Таблиця цін схема №2'!GK51</f>
        <v>0-150</v>
      </c>
      <c r="AQ126" s="380">
        <f>'Таблиця цін схема №2'!GL51</f>
        <v>1</v>
      </c>
      <c r="AR126" s="47" t="str">
        <f>'Таблиця цін схема №2'!GO51</f>
        <v>0-120</v>
      </c>
      <c r="AS126" s="380">
        <f>'Таблиця цін схема №2'!GP51</f>
        <v>5</v>
      </c>
      <c r="AT126" s="47" t="str">
        <f>'Таблиця цін схема №2'!GS51</f>
        <v>0-1,6</v>
      </c>
      <c r="AU126" s="380">
        <f>'Таблиця цін схема №2'!GT51</f>
        <v>5</v>
      </c>
      <c r="AV126" s="47" t="str">
        <f>'Таблиця цін схема №2'!GW51</f>
        <v>0-1,0</v>
      </c>
      <c r="AW126" s="380">
        <f>'Таблиця цін схема №2'!GX51</f>
        <v>15</v>
      </c>
      <c r="AX126" s="47" t="str">
        <f>'Таблиця цін схема №2'!HA51</f>
        <v>PSM01</v>
      </c>
      <c r="AY126" s="380">
        <f>'Таблиця цін схема №2'!HB51</f>
        <v>4</v>
      </c>
      <c r="AZ126" s="47" t="str">
        <f>'Таблиця цін схема №2'!HE51</f>
        <v>A-10</v>
      </c>
      <c r="BA126" s="380">
        <f>'Таблиця цін схема №2'!HF51</f>
        <v>6</v>
      </c>
      <c r="BB126" s="47" t="str">
        <f>'Таблиця цін схема №2'!HI51</f>
        <v>ТСП 1-5</v>
      </c>
      <c r="BC126" s="380">
        <f>'Таблиця цін схема №2'!HJ51</f>
        <v>7</v>
      </c>
      <c r="BD126" s="47" t="str">
        <f>'Таблиця цін схема №2'!HM51</f>
        <v>ТСП 2-10Г</v>
      </c>
      <c r="BE126" s="380">
        <f>'Таблиця цін схема №2'!HN51</f>
        <v>1</v>
      </c>
    </row>
    <row r="127" spans="1:57">
      <c r="A127" s="73">
        <v>68</v>
      </c>
      <c r="B127" s="1171" t="s">
        <v>929</v>
      </c>
      <c r="C127" s="525">
        <f>'Таблиця цін схема №2'!DT52</f>
        <v>20</v>
      </c>
      <c r="D127" s="380">
        <f>'Таблиця цін схема №2'!DU52</f>
        <v>1</v>
      </c>
      <c r="E127" s="47">
        <f>'Таблиця цін схема №2'!DX52</f>
        <v>65</v>
      </c>
      <c r="F127" s="380">
        <f>'Таблиця цін схема №2'!DY52</f>
        <v>1</v>
      </c>
      <c r="G127" s="47">
        <f>'Таблиця цін схема №2'!EB52</f>
        <v>65</v>
      </c>
      <c r="H127" s="380">
        <f>'Таблиця цін схема №2'!EC52</f>
        <v>2</v>
      </c>
      <c r="I127" s="47">
        <f>'Таблиця цін схема №2'!EF52</f>
        <v>32</v>
      </c>
      <c r="J127" s="380">
        <f>'Таблиця цін схема №2'!EG52</f>
        <v>1</v>
      </c>
      <c r="K127" s="47">
        <f>'Таблиця цін схема №2'!EJ52</f>
        <v>20</v>
      </c>
      <c r="L127" s="380">
        <f>'Таблиця цін схема №2'!EK52</f>
        <v>1</v>
      </c>
      <c r="M127" s="47">
        <f>'Таблиця цін схема №2'!EN52</f>
        <v>32</v>
      </c>
      <c r="N127" s="380">
        <f>'Таблиця цін схема №2'!EO52</f>
        <v>8</v>
      </c>
      <c r="O127" s="47">
        <f>'Таблиця цін схема №2'!ER52</f>
        <v>32</v>
      </c>
      <c r="P127" s="380">
        <f>'Таблиця цін схема №2'!ES52</f>
        <v>1</v>
      </c>
      <c r="Q127" s="47">
        <f>'Таблиця цін схема №2'!EV52</f>
        <v>20</v>
      </c>
      <c r="R127" s="380">
        <f>'Таблиця цін схема №2'!EW52</f>
        <v>1</v>
      </c>
      <c r="S127" s="1127">
        <f>'Таблиця цін схема №2'!EZ52</f>
        <v>24.710495745735251</v>
      </c>
      <c r="T127" s="379">
        <f>'Таблиця цін схема №2'!FA52</f>
        <v>25</v>
      </c>
      <c r="U127" s="380">
        <f>'Таблиця цін схема №2'!FB52</f>
        <v>2</v>
      </c>
      <c r="V127" s="1129">
        <f>'Таблиця цін схема №2'!FE52</f>
        <v>9.84074844074844</v>
      </c>
      <c r="W127" s="379">
        <f>'Таблиця цін схема №2'!FF52</f>
        <v>9</v>
      </c>
      <c r="X127" s="379">
        <f>'Таблиця цін схема №2'!FG52</f>
        <v>8</v>
      </c>
      <c r="Y127" s="1144" t="str">
        <f>'Таблиця цін схема №2'!FH52</f>
        <v>Yonos MAXO 40/0,5-12 PN 6/10</v>
      </c>
      <c r="Z127" s="380">
        <f>'Таблиця цін схема №2'!FI52</f>
        <v>2</v>
      </c>
      <c r="AA127" s="1129">
        <f>'Таблиця цін схема №2'!FL52</f>
        <v>0.6747261663286005</v>
      </c>
      <c r="AB127" s="379">
        <f>'Таблиця цін схема №2'!FM52</f>
        <v>9</v>
      </c>
      <c r="AC127" s="379">
        <f>'Таблиця цін схема №2'!FN52</f>
        <v>9</v>
      </c>
      <c r="AD127" s="1144" t="str">
        <f>'Таблиця цін схема №2'!FO52</f>
        <v>TOP-Z 25/10 3- PN 10</v>
      </c>
      <c r="AE127" s="380">
        <f>'Таблиця цін схема №2'!FP52</f>
        <v>1</v>
      </c>
      <c r="AF127" s="47">
        <f>'Таблиця цін схема №2'!FS52</f>
        <v>5.83</v>
      </c>
      <c r="AG127" s="379">
        <f>'Таблиця цін схема №2'!FT52</f>
        <v>25</v>
      </c>
      <c r="AH127" s="380">
        <f>'Таблиця цін схема №2'!FU52</f>
        <v>4</v>
      </c>
      <c r="AI127" s="47">
        <f>'Таблиця цін схема №2'!FX52</f>
        <v>15</v>
      </c>
      <c r="AJ127" s="380">
        <f>'Таблиця цін схема №2'!FY52</f>
        <v>2</v>
      </c>
      <c r="AK127" s="47">
        <f>'Таблиця цін схема №2'!GB52</f>
        <v>20</v>
      </c>
      <c r="AL127" s="379">
        <f>'Таблиця цін схема №2'!GC52</f>
        <v>2.5</v>
      </c>
      <c r="AM127" s="380">
        <f>'Таблиця цін схема №2'!GD52</f>
        <v>1</v>
      </c>
      <c r="AN127" s="47">
        <f>'Таблиця цін схема №2'!GG52</f>
        <v>32</v>
      </c>
      <c r="AO127" s="380">
        <f>'Таблиця цін схема №2'!GH52</f>
        <v>1</v>
      </c>
      <c r="AP127" s="47" t="str">
        <f>'Таблиця цін схема №2'!GK52</f>
        <v>0-150</v>
      </c>
      <c r="AQ127" s="380">
        <f>'Таблиця цін схема №2'!GL52</f>
        <v>1</v>
      </c>
      <c r="AR127" s="47" t="str">
        <f>'Таблиця цін схема №2'!GO52</f>
        <v>0-120</v>
      </c>
      <c r="AS127" s="380">
        <f>'Таблиця цін схема №2'!GP52</f>
        <v>5</v>
      </c>
      <c r="AT127" s="47" t="str">
        <f>'Таблиця цін схема №2'!GS52</f>
        <v>0-1,6</v>
      </c>
      <c r="AU127" s="380">
        <f>'Таблиця цін схема №2'!GT52</f>
        <v>5</v>
      </c>
      <c r="AV127" s="47" t="str">
        <f>'Таблиця цін схема №2'!GW52</f>
        <v>0-1,0</v>
      </c>
      <c r="AW127" s="380">
        <f>'Таблиця цін схема №2'!GX52</f>
        <v>15</v>
      </c>
      <c r="AX127" s="47" t="str">
        <f>'Таблиця цін схема №2'!HA52</f>
        <v>PSM01</v>
      </c>
      <c r="AY127" s="380">
        <f>'Таблиця цін схема №2'!HB52</f>
        <v>4</v>
      </c>
      <c r="AZ127" s="47" t="str">
        <f>'Таблиця цін схема №2'!HE52</f>
        <v>A-10</v>
      </c>
      <c r="BA127" s="380">
        <f>'Таблиця цін схема №2'!HF52</f>
        <v>6</v>
      </c>
      <c r="BB127" s="47" t="str">
        <f>'Таблиця цін схема №2'!HI52</f>
        <v>ТСП 1-5</v>
      </c>
      <c r="BC127" s="380">
        <f>'Таблиця цін схема №2'!HJ52</f>
        <v>7</v>
      </c>
      <c r="BD127" s="47" t="str">
        <f>'Таблиця цін схема №2'!HM52</f>
        <v>ТСП 2-10Г</v>
      </c>
      <c r="BE127" s="380">
        <f>'Таблиця цін схема №2'!HN52</f>
        <v>1</v>
      </c>
    </row>
    <row r="128" spans="1:57">
      <c r="A128" s="73">
        <v>69</v>
      </c>
      <c r="B128" s="1171" t="s">
        <v>930</v>
      </c>
      <c r="C128" s="525">
        <f>'Таблиця цін схема №2'!DT53</f>
        <v>32</v>
      </c>
      <c r="D128" s="380">
        <f>'Таблиця цін схема №2'!DU53</f>
        <v>1</v>
      </c>
      <c r="E128" s="47">
        <f>'Таблиця цін схема №2'!DX53</f>
        <v>100</v>
      </c>
      <c r="F128" s="380">
        <f>'Таблиця цін схема №2'!DY53</f>
        <v>1</v>
      </c>
      <c r="G128" s="47">
        <f>'Таблиця цін схема №2'!EB53</f>
        <v>100</v>
      </c>
      <c r="H128" s="380">
        <f>'Таблиця цін схема №2'!EC53</f>
        <v>2</v>
      </c>
      <c r="I128" s="47">
        <f>'Таблиця цін схема №2'!EF53</f>
        <v>50</v>
      </c>
      <c r="J128" s="380">
        <f>'Таблиця цін схема №2'!EG53</f>
        <v>1</v>
      </c>
      <c r="K128" s="47">
        <f>'Таблиця цін схема №2'!EJ53</f>
        <v>32</v>
      </c>
      <c r="L128" s="380">
        <f>'Таблиця цін схема №2'!EK53</f>
        <v>1</v>
      </c>
      <c r="M128" s="47">
        <f>'Таблиця цін схема №2'!EN53</f>
        <v>50</v>
      </c>
      <c r="N128" s="380">
        <f>'Таблиця цін схема №2'!EO53</f>
        <v>8</v>
      </c>
      <c r="O128" s="47">
        <f>'Таблиця цін схема №2'!ER53</f>
        <v>50</v>
      </c>
      <c r="P128" s="380">
        <f>'Таблиця цін схема №2'!ES53</f>
        <v>1</v>
      </c>
      <c r="Q128" s="47">
        <f>'Таблиця цін схема №2'!EV53</f>
        <v>32</v>
      </c>
      <c r="R128" s="380">
        <f>'Таблиця цін схема №2'!EW53</f>
        <v>1</v>
      </c>
      <c r="S128" s="1127">
        <f>'Таблиця цін схема №2'!EZ53</f>
        <v>36.156053435075009</v>
      </c>
      <c r="T128" s="379">
        <f>'Таблиця цін схема №2'!FA53</f>
        <v>40</v>
      </c>
      <c r="U128" s="380">
        <f>'Таблиця цін схема №2'!FB53</f>
        <v>2</v>
      </c>
      <c r="V128" s="1129">
        <f>'Таблиця цін схема №2'!FE53</f>
        <v>21.068191268191267</v>
      </c>
      <c r="W128" s="379">
        <f>'Таблиця цін схема №2'!FF53</f>
        <v>9</v>
      </c>
      <c r="X128" s="379">
        <f>'Таблиця цін схема №2'!FG53</f>
        <v>8</v>
      </c>
      <c r="Y128" s="1144" t="str">
        <f>'Таблиця цін схема №2'!FH53</f>
        <v>Yonos MAXO 40/0,5-16 PN 6/10</v>
      </c>
      <c r="Z128" s="380">
        <f>'Таблиця цін схема №2'!FI53</f>
        <v>2</v>
      </c>
      <c r="AA128" s="1129">
        <f>'Таблиця цін схема №2'!FL53</f>
        <v>1.5948073022312372</v>
      </c>
      <c r="AB128" s="379">
        <f>'Таблиця цін схема №2'!FM53</f>
        <v>9</v>
      </c>
      <c r="AC128" s="379">
        <f>'Таблиця цін схема №2'!FN53</f>
        <v>9</v>
      </c>
      <c r="AD128" s="1144" t="str">
        <f>'Таблиця цін схема №2'!FO53</f>
        <v>TOP-Z 25/10 3- PN 10</v>
      </c>
      <c r="AE128" s="380">
        <f>'Таблиця цін схема №2'!FP53</f>
        <v>1</v>
      </c>
      <c r="AF128" s="47">
        <f>'Таблиця цін схема №2'!FS53</f>
        <v>11.13</v>
      </c>
      <c r="AG128" s="379">
        <f>'Таблиця цін схема №2'!FT53</f>
        <v>32</v>
      </c>
      <c r="AH128" s="380">
        <f>'Таблиця цін схема №2'!FU53</f>
        <v>4</v>
      </c>
      <c r="AI128" s="47">
        <f>'Таблиця цін схема №2'!FX53</f>
        <v>15</v>
      </c>
      <c r="AJ128" s="380">
        <f>'Таблиця цін схема №2'!FY53</f>
        <v>2</v>
      </c>
      <c r="AK128" s="47">
        <f>'Таблиця цін схема №2'!GB53</f>
        <v>32</v>
      </c>
      <c r="AL128" s="379">
        <f>'Таблиця цін схема №2'!GC53</f>
        <v>6</v>
      </c>
      <c r="AM128" s="380">
        <f>'Таблиця цін схема №2'!GD53</f>
        <v>1</v>
      </c>
      <c r="AN128" s="47">
        <f>'Таблиця цін схема №2'!GG53</f>
        <v>50</v>
      </c>
      <c r="AO128" s="380">
        <f>'Таблиця цін схема №2'!GH53</f>
        <v>1</v>
      </c>
      <c r="AP128" s="47" t="str">
        <f>'Таблиця цін схема №2'!GK53</f>
        <v>0-150</v>
      </c>
      <c r="AQ128" s="380">
        <f>'Таблиця цін схема №2'!GL53</f>
        <v>1</v>
      </c>
      <c r="AR128" s="47" t="str">
        <f>'Таблиця цін схема №2'!GO53</f>
        <v>0-120</v>
      </c>
      <c r="AS128" s="380">
        <f>'Таблиця цін схема №2'!GP53</f>
        <v>5</v>
      </c>
      <c r="AT128" s="47" t="str">
        <f>'Таблиця цін схема №2'!GS53</f>
        <v>0-1,6</v>
      </c>
      <c r="AU128" s="380">
        <f>'Таблиця цін схема №2'!GT53</f>
        <v>5</v>
      </c>
      <c r="AV128" s="47" t="str">
        <f>'Таблиця цін схема №2'!GW53</f>
        <v>0-1,0</v>
      </c>
      <c r="AW128" s="380">
        <f>'Таблиця цін схема №2'!GX53</f>
        <v>15</v>
      </c>
      <c r="AX128" s="47" t="str">
        <f>'Таблиця цін схема №2'!HA53</f>
        <v>PSM01</v>
      </c>
      <c r="AY128" s="380">
        <f>'Таблиця цін схема №2'!HB53</f>
        <v>4</v>
      </c>
      <c r="AZ128" s="47" t="str">
        <f>'Таблиця цін схема №2'!HE53</f>
        <v>A-10</v>
      </c>
      <c r="BA128" s="380">
        <f>'Таблиця цін схема №2'!HF53</f>
        <v>6</v>
      </c>
      <c r="BB128" s="47" t="str">
        <f>'Таблиця цін схема №2'!HI53</f>
        <v>ТСП 1-5</v>
      </c>
      <c r="BC128" s="380">
        <f>'Таблиця цін схема №2'!HJ53</f>
        <v>7</v>
      </c>
      <c r="BD128" s="47" t="str">
        <f>'Таблиця цін схема №2'!HM53</f>
        <v>ТСП 2-10Г</v>
      </c>
      <c r="BE128" s="380">
        <f>'Таблиця цін схема №2'!HN53</f>
        <v>1</v>
      </c>
    </row>
    <row r="129" spans="1:57">
      <c r="A129" s="73">
        <v>70</v>
      </c>
      <c r="B129" s="1171" t="s">
        <v>931</v>
      </c>
      <c r="C129" s="525">
        <f>'Таблиця цін схема №2'!DT54</f>
        <v>20</v>
      </c>
      <c r="D129" s="380">
        <f>'Таблиця цін схема №2'!DU54</f>
        <v>1</v>
      </c>
      <c r="E129" s="47">
        <f>'Таблиця цін схема №2'!DX54</f>
        <v>65</v>
      </c>
      <c r="F129" s="380">
        <f>'Таблиця цін схема №2'!DY54</f>
        <v>1</v>
      </c>
      <c r="G129" s="47">
        <f>'Таблиця цін схема №2'!EB54</f>
        <v>65</v>
      </c>
      <c r="H129" s="380">
        <f>'Таблиця цін схема №2'!EC54</f>
        <v>2</v>
      </c>
      <c r="I129" s="47">
        <f>'Таблиця цін схема №2'!EF54</f>
        <v>32</v>
      </c>
      <c r="J129" s="380">
        <f>'Таблиця цін схема №2'!EG54</f>
        <v>1</v>
      </c>
      <c r="K129" s="47">
        <f>'Таблиця цін схема №2'!EJ54</f>
        <v>20</v>
      </c>
      <c r="L129" s="380">
        <f>'Таблиця цін схема №2'!EK54</f>
        <v>1</v>
      </c>
      <c r="M129" s="47">
        <f>'Таблиця цін схема №2'!EN54</f>
        <v>32</v>
      </c>
      <c r="N129" s="380">
        <f>'Таблиця цін схема №2'!EO54</f>
        <v>8</v>
      </c>
      <c r="O129" s="47">
        <f>'Таблиця цін схема №2'!ER54</f>
        <v>32</v>
      </c>
      <c r="P129" s="380">
        <f>'Таблиця цін схема №2'!ES54</f>
        <v>1</v>
      </c>
      <c r="Q129" s="47">
        <f>'Таблиця цін схема №2'!EV54</f>
        <v>20</v>
      </c>
      <c r="R129" s="380">
        <f>'Таблиця цін схема №2'!EW54</f>
        <v>1</v>
      </c>
      <c r="S129" s="1127">
        <f>'Таблиця цін схема №2'!EZ54</f>
        <v>26.369709896015159</v>
      </c>
      <c r="T129" s="379">
        <f>'Таблиця цін схема №2'!FA54</f>
        <v>32</v>
      </c>
      <c r="U129" s="380">
        <f>'Таблиця цін схема №2'!FB54</f>
        <v>2</v>
      </c>
      <c r="V129" s="1129">
        <f>'Таблиця цін схема №2'!FE54</f>
        <v>11.206652806652805</v>
      </c>
      <c r="W129" s="379">
        <f>'Таблиця цін схема №2'!FF54</f>
        <v>9</v>
      </c>
      <c r="X129" s="379">
        <f>'Таблиця цін схема №2'!FG54</f>
        <v>8</v>
      </c>
      <c r="Y129" s="1144" t="str">
        <f>'Таблиця цін схема №2'!FH54</f>
        <v>Yonos MAXO 40/0,5-12 PN 6/10</v>
      </c>
      <c r="Z129" s="380">
        <f>'Таблиця цін схема №2'!FI54</f>
        <v>2</v>
      </c>
      <c r="AA129" s="1129">
        <f>'Таблиця цін схема №2'!FL54</f>
        <v>0.8061663286004056</v>
      </c>
      <c r="AB129" s="379">
        <f>'Таблиця цін схема №2'!FM54</f>
        <v>9</v>
      </c>
      <c r="AC129" s="379">
        <f>'Таблиця цін схема №2'!FN54</f>
        <v>9</v>
      </c>
      <c r="AD129" s="1144" t="str">
        <f>'Таблиця цін схема №2'!FO54</f>
        <v>TOP-Z 25/10 3- PN 10</v>
      </c>
      <c r="AE129" s="380">
        <f>'Таблиця цін схема №2'!FP54</f>
        <v>1</v>
      </c>
      <c r="AF129" s="47">
        <f>'Таблиця цін схема №2'!FS54</f>
        <v>5.83</v>
      </c>
      <c r="AG129" s="379">
        <f>'Таблиця цін схема №2'!FT54</f>
        <v>25</v>
      </c>
      <c r="AH129" s="380">
        <f>'Таблиця цін схема №2'!FU54</f>
        <v>4</v>
      </c>
      <c r="AI129" s="47">
        <f>'Таблиця цін схема №2'!FX54</f>
        <v>15</v>
      </c>
      <c r="AJ129" s="380">
        <f>'Таблиця цін схема №2'!FY54</f>
        <v>2</v>
      </c>
      <c r="AK129" s="47">
        <f>'Таблиця цін схема №2'!GB54</f>
        <v>25</v>
      </c>
      <c r="AL129" s="379">
        <f>'Таблиця цін схема №2'!GC54</f>
        <v>3.5</v>
      </c>
      <c r="AM129" s="380">
        <f>'Таблиця цін схема №2'!GD54</f>
        <v>1</v>
      </c>
      <c r="AN129" s="47">
        <f>'Таблиця цін схема №2'!GG54</f>
        <v>32</v>
      </c>
      <c r="AO129" s="380">
        <f>'Таблиця цін схема №2'!GH54</f>
        <v>1</v>
      </c>
      <c r="AP129" s="47" t="str">
        <f>'Таблиця цін схема №2'!GK54</f>
        <v>0-150</v>
      </c>
      <c r="AQ129" s="380">
        <f>'Таблиця цін схема №2'!GL54</f>
        <v>1</v>
      </c>
      <c r="AR129" s="47" t="str">
        <f>'Таблиця цін схема №2'!GO54</f>
        <v>0-120</v>
      </c>
      <c r="AS129" s="380">
        <f>'Таблиця цін схема №2'!GP54</f>
        <v>5</v>
      </c>
      <c r="AT129" s="47" t="str">
        <f>'Таблиця цін схема №2'!GS54</f>
        <v>0-1,6</v>
      </c>
      <c r="AU129" s="380">
        <f>'Таблиця цін схема №2'!GT54</f>
        <v>5</v>
      </c>
      <c r="AV129" s="47" t="str">
        <f>'Таблиця цін схема №2'!GW54</f>
        <v>0-1,0</v>
      </c>
      <c r="AW129" s="380">
        <f>'Таблиця цін схема №2'!GX54</f>
        <v>15</v>
      </c>
      <c r="AX129" s="47" t="str">
        <f>'Таблиця цін схема №2'!HA54</f>
        <v>PSM01</v>
      </c>
      <c r="AY129" s="380">
        <f>'Таблиця цін схема №2'!HB54</f>
        <v>4</v>
      </c>
      <c r="AZ129" s="47" t="str">
        <f>'Таблиця цін схема №2'!HE54</f>
        <v>A-10</v>
      </c>
      <c r="BA129" s="380">
        <f>'Таблиця цін схема №2'!HF54</f>
        <v>6</v>
      </c>
      <c r="BB129" s="47" t="str">
        <f>'Таблиця цін схема №2'!HI54</f>
        <v>ТСП 1-5</v>
      </c>
      <c r="BC129" s="380">
        <f>'Таблиця цін схема №2'!HJ54</f>
        <v>7</v>
      </c>
      <c r="BD129" s="47" t="str">
        <f>'Таблиця цін схема №2'!HM54</f>
        <v>ТСП 2-10Г</v>
      </c>
      <c r="BE129" s="380">
        <f>'Таблиця цін схема №2'!HN54</f>
        <v>1</v>
      </c>
    </row>
    <row r="130" spans="1:57">
      <c r="A130" s="73">
        <v>71</v>
      </c>
      <c r="B130" s="1171" t="s">
        <v>932</v>
      </c>
      <c r="C130" s="525">
        <f>'Таблиця цін схема №2'!DT55</f>
        <v>20</v>
      </c>
      <c r="D130" s="380">
        <f>'Таблиця цін схема №2'!DU55</f>
        <v>1</v>
      </c>
      <c r="E130" s="47">
        <f>'Таблиця цін схема №2'!DX55</f>
        <v>80</v>
      </c>
      <c r="F130" s="380">
        <f>'Таблиця цін схема №2'!DY55</f>
        <v>1</v>
      </c>
      <c r="G130" s="47">
        <f>'Таблиця цін схема №2'!EB55</f>
        <v>80</v>
      </c>
      <c r="H130" s="380">
        <f>'Таблиця цін схема №2'!EC55</f>
        <v>2</v>
      </c>
      <c r="I130" s="47">
        <f>'Таблиця цін схема №2'!EF55</f>
        <v>40</v>
      </c>
      <c r="J130" s="380">
        <f>'Таблиця цін схема №2'!EG55</f>
        <v>1</v>
      </c>
      <c r="K130" s="47">
        <f>'Таблиця цін схема №2'!EJ55</f>
        <v>20</v>
      </c>
      <c r="L130" s="380">
        <f>'Таблиця цін схема №2'!EK55</f>
        <v>1</v>
      </c>
      <c r="M130" s="47">
        <f>'Таблиця цін схема №2'!EN55</f>
        <v>40</v>
      </c>
      <c r="N130" s="380">
        <f>'Таблиця цін схема №2'!EO55</f>
        <v>8</v>
      </c>
      <c r="O130" s="47">
        <f>'Таблиця цін схема №2'!ER55</f>
        <v>40</v>
      </c>
      <c r="P130" s="380">
        <f>'Таблиця цін схема №2'!ES55</f>
        <v>1</v>
      </c>
      <c r="Q130" s="47">
        <f>'Таблиця цін схема №2'!EV55</f>
        <v>20</v>
      </c>
      <c r="R130" s="380">
        <f>'Таблиця цін схема №2'!EW55</f>
        <v>1</v>
      </c>
      <c r="S130" s="1127">
        <f>'Таблиця цін схема №2'!EZ55</f>
        <v>31.223462332034863</v>
      </c>
      <c r="T130" s="379">
        <f>'Таблиця цін схема №2'!FA55</f>
        <v>32</v>
      </c>
      <c r="U130" s="380">
        <f>'Таблиця цін схема №2'!FB55</f>
        <v>2</v>
      </c>
      <c r="V130" s="1129">
        <f>'Таблиця цін схема №2'!FE55</f>
        <v>15.711850311850311</v>
      </c>
      <c r="W130" s="379">
        <f>'Таблиця цін схема №2'!FF55</f>
        <v>9</v>
      </c>
      <c r="X130" s="379">
        <f>'Таблиця цін схема №2'!FG55</f>
        <v>8</v>
      </c>
      <c r="Y130" s="1144" t="str">
        <f>'Таблиця цін схема №2'!FH55</f>
        <v>Yonos MAXO 40/0,5-16 PN 6/10</v>
      </c>
      <c r="Z130" s="380">
        <f>'Таблиця цін схема №2'!FI55</f>
        <v>2</v>
      </c>
      <c r="AA130" s="1129">
        <f>'Таблиця цін схема №2'!FL55</f>
        <v>1.134766734279919</v>
      </c>
      <c r="AB130" s="379">
        <f>'Таблиця цін схема №2'!FM55</f>
        <v>9</v>
      </c>
      <c r="AC130" s="379">
        <f>'Таблиця цін схема №2'!FN55</f>
        <v>9</v>
      </c>
      <c r="AD130" s="1144" t="str">
        <f>'Таблиця цін схема №2'!FO55</f>
        <v>TOP-Z 25/10 3- PN 10</v>
      </c>
      <c r="AE130" s="380">
        <f>'Таблиця цін схема №2'!FP55</f>
        <v>1</v>
      </c>
      <c r="AF130" s="47">
        <f>'Таблиця цін схема №2'!FS55</f>
        <v>11.13</v>
      </c>
      <c r="AG130" s="379">
        <f>'Таблиця цін схема №2'!FT55</f>
        <v>32</v>
      </c>
      <c r="AH130" s="380">
        <f>'Таблиця цін схема №2'!FU55</f>
        <v>4</v>
      </c>
      <c r="AI130" s="47">
        <f>'Таблиця цін схема №2'!FX55</f>
        <v>15</v>
      </c>
      <c r="AJ130" s="380">
        <f>'Таблиця цін схема №2'!FY55</f>
        <v>2</v>
      </c>
      <c r="AK130" s="47">
        <f>'Таблиця цін схема №2'!GB55</f>
        <v>32</v>
      </c>
      <c r="AL130" s="379">
        <f>'Таблиця цін схема №2'!GC55</f>
        <v>6</v>
      </c>
      <c r="AM130" s="380">
        <f>'Таблиця цін схема №2'!GD55</f>
        <v>1</v>
      </c>
      <c r="AN130" s="47">
        <f>'Таблиця цін схема №2'!GG55</f>
        <v>40</v>
      </c>
      <c r="AO130" s="380">
        <f>'Таблиця цін схема №2'!GH55</f>
        <v>1</v>
      </c>
      <c r="AP130" s="47" t="str">
        <f>'Таблиця цін схема №2'!GK55</f>
        <v>0-150</v>
      </c>
      <c r="AQ130" s="380">
        <f>'Таблиця цін схема №2'!GL55</f>
        <v>1</v>
      </c>
      <c r="AR130" s="47" t="str">
        <f>'Таблиця цін схема №2'!GO55</f>
        <v>0-120</v>
      </c>
      <c r="AS130" s="380">
        <f>'Таблиця цін схема №2'!GP55</f>
        <v>5</v>
      </c>
      <c r="AT130" s="47" t="str">
        <f>'Таблиця цін схема №2'!GS55</f>
        <v>0-1,6</v>
      </c>
      <c r="AU130" s="380">
        <f>'Таблиця цін схема №2'!GT55</f>
        <v>5</v>
      </c>
      <c r="AV130" s="47" t="str">
        <f>'Таблиця цін схема №2'!GW55</f>
        <v>0-1,0</v>
      </c>
      <c r="AW130" s="380">
        <f>'Таблиця цін схема №2'!GX55</f>
        <v>15</v>
      </c>
      <c r="AX130" s="47" t="str">
        <f>'Таблиця цін схема №2'!HA55</f>
        <v>PSM01</v>
      </c>
      <c r="AY130" s="380">
        <f>'Таблиця цін схема №2'!HB55</f>
        <v>4</v>
      </c>
      <c r="AZ130" s="47" t="str">
        <f>'Таблиця цін схема №2'!HE55</f>
        <v>A-10</v>
      </c>
      <c r="BA130" s="380">
        <f>'Таблиця цін схема №2'!HF55</f>
        <v>6</v>
      </c>
      <c r="BB130" s="47" t="str">
        <f>'Таблиця цін схема №2'!HI55</f>
        <v>ТСП 1-5</v>
      </c>
      <c r="BC130" s="380">
        <f>'Таблиця цін схема №2'!HJ55</f>
        <v>7</v>
      </c>
      <c r="BD130" s="47" t="str">
        <f>'Таблиця цін схема №2'!HM55</f>
        <v>ТСП 2-10Г</v>
      </c>
      <c r="BE130" s="380">
        <f>'Таблиця цін схема №2'!HN55</f>
        <v>1</v>
      </c>
    </row>
    <row r="131" spans="1:57">
      <c r="A131" s="73">
        <v>72</v>
      </c>
      <c r="B131" s="1171" t="s">
        <v>933</v>
      </c>
      <c r="C131" s="525">
        <f>'Таблиця цін схема №2'!DT56</f>
        <v>20</v>
      </c>
      <c r="D131" s="380">
        <f>'Таблиця цін схема №2'!DU56</f>
        <v>1</v>
      </c>
      <c r="E131" s="47">
        <f>'Таблиця цін схема №2'!DX56</f>
        <v>40</v>
      </c>
      <c r="F131" s="380">
        <f>'Таблиця цін схема №2'!DY56</f>
        <v>1</v>
      </c>
      <c r="G131" s="47">
        <f>'Таблиця цін схема №2'!EB56</f>
        <v>40</v>
      </c>
      <c r="H131" s="380">
        <f>'Таблиця цін схема №2'!EC56</f>
        <v>2</v>
      </c>
      <c r="I131" s="47">
        <f>'Таблиця цін схема №2'!EF56</f>
        <v>25</v>
      </c>
      <c r="J131" s="380">
        <f>'Таблиця цін схема №2'!EG56</f>
        <v>1</v>
      </c>
      <c r="K131" s="47">
        <f>'Таблиця цін схема №2'!EJ56</f>
        <v>20</v>
      </c>
      <c r="L131" s="380">
        <f>'Таблиця цін схема №2'!EK56</f>
        <v>1</v>
      </c>
      <c r="M131" s="47">
        <f>'Таблиця цін схема №2'!EN56</f>
        <v>32</v>
      </c>
      <c r="N131" s="380">
        <f>'Таблиця цін схема №2'!EO56</f>
        <v>4</v>
      </c>
      <c r="O131" s="47">
        <f>'Таблиця цін схема №2'!ER56</f>
        <v>25</v>
      </c>
      <c r="P131" s="380">
        <f>'Таблиця цін схема №2'!ES56</f>
        <v>1</v>
      </c>
      <c r="Q131" s="47">
        <f>'Таблиця цін схема №2'!EV56</f>
        <v>20</v>
      </c>
      <c r="R131" s="380">
        <f>'Таблиця цін схема №2'!EW56</f>
        <v>1</v>
      </c>
      <c r="S131" s="1127">
        <f>'Таблиця цін схема №2'!EZ56</f>
        <v>16.505998909487424</v>
      </c>
      <c r="T131" s="379">
        <f>'Таблиця цін схема №2'!FA56</f>
        <v>20</v>
      </c>
      <c r="U131" s="380">
        <f>'Таблиця цін схема №2'!FB56</f>
        <v>2</v>
      </c>
      <c r="V131" s="1129">
        <f>'Таблиця цін схема №2'!FE56</f>
        <v>4.3908523908523902</v>
      </c>
      <c r="W131" s="379">
        <f>'Таблиця цін схема №2'!FF56</f>
        <v>4</v>
      </c>
      <c r="X131" s="379">
        <f>'Таблиця цін схема №2'!FG56</f>
        <v>5</v>
      </c>
      <c r="Y131" s="1144" t="str">
        <f>'Таблиця цін схема №2'!FH56</f>
        <v>Yonos MAXO 25/0,5-7 PN 10</v>
      </c>
      <c r="Z131" s="380">
        <f>'Таблиця цін схема №2'!FI56</f>
        <v>2</v>
      </c>
      <c r="AA131" s="1129">
        <f>'Таблиця цін схема №2'!FL56</f>
        <v>0.54766734279918861</v>
      </c>
      <c r="AB131" s="379">
        <f>'Таблиця цін схема №2'!FM56</f>
        <v>4</v>
      </c>
      <c r="AC131" s="379">
        <f>'Таблиця цін схема №2'!FN56</f>
        <v>6</v>
      </c>
      <c r="AD131" s="1144" t="str">
        <f>'Таблиця цін схема №2'!FO56</f>
        <v>TOP-Z 25/6 3- PN 10</v>
      </c>
      <c r="AE131" s="380">
        <f>'Таблиця цін схема №2'!FP56</f>
        <v>1</v>
      </c>
      <c r="AF131" s="47">
        <f>'Таблиця цін схема №2'!FS56</f>
        <v>5.83</v>
      </c>
      <c r="AG131" s="379">
        <f>'Таблиця цін схема №2'!FT56</f>
        <v>25</v>
      </c>
      <c r="AH131" s="380">
        <f>'Таблиця цін схема №2'!FU56</f>
        <v>2</v>
      </c>
      <c r="AI131" s="47">
        <f>'Таблиця цін схема №2'!FX56</f>
        <v>15</v>
      </c>
      <c r="AJ131" s="380">
        <f>'Таблиця цін схема №2'!FY56</f>
        <v>2</v>
      </c>
      <c r="AK131" s="47">
        <f>'Таблиця цін схема №2'!GB56</f>
        <v>20</v>
      </c>
      <c r="AL131" s="379">
        <f>'Таблиця цін схема №2'!GC56</f>
        <v>2.5</v>
      </c>
      <c r="AM131" s="380">
        <f>'Таблиця цін схема №2'!GD56</f>
        <v>1</v>
      </c>
      <c r="AN131" s="47">
        <f>'Таблиця цін схема №2'!GG56</f>
        <v>25</v>
      </c>
      <c r="AO131" s="380">
        <f>'Таблиця цін схема №2'!GH56</f>
        <v>1</v>
      </c>
      <c r="AP131" s="47" t="str">
        <f>'Таблиця цін схема №2'!GK56</f>
        <v>0-150</v>
      </c>
      <c r="AQ131" s="380">
        <f>'Таблиця цін схема №2'!GL56</f>
        <v>1</v>
      </c>
      <c r="AR131" s="47" t="str">
        <f>'Таблиця цін схема №2'!GO56</f>
        <v>0-120</v>
      </c>
      <c r="AS131" s="380">
        <f>'Таблиця цін схема №2'!GP56</f>
        <v>1</v>
      </c>
      <c r="AT131" s="47" t="str">
        <f>'Таблиця цін схема №2'!GS56</f>
        <v>0-1,6</v>
      </c>
      <c r="AU131" s="380">
        <f>'Таблиця цін схема №2'!GT56</f>
        <v>3</v>
      </c>
      <c r="AV131" s="47" t="str">
        <f>'Таблиця цін схема №2'!GW56</f>
        <v>0-1,0</v>
      </c>
      <c r="AW131" s="380">
        <f>'Таблиця цін схема №2'!GX56</f>
        <v>13</v>
      </c>
      <c r="AX131" s="47" t="str">
        <f>'Таблиця цін схема №2'!HA56</f>
        <v>PSM01</v>
      </c>
      <c r="AY131" s="380">
        <f>'Таблиця цін схема №2'!HB56</f>
        <v>4</v>
      </c>
      <c r="AZ131" s="47" t="str">
        <f>'Таблиця цін схема №2'!HE56</f>
        <v>A-10</v>
      </c>
      <c r="BA131" s="380">
        <f>'Таблиця цін схема №2'!HF56</f>
        <v>6</v>
      </c>
      <c r="BB131" s="47" t="str">
        <f>'Таблиця цін схема №2'!HI56</f>
        <v>ТСП 1-5</v>
      </c>
      <c r="BC131" s="380">
        <f>'Таблиця цін схема №2'!HJ56</f>
        <v>7</v>
      </c>
      <c r="BD131" s="47" t="str">
        <f>'Таблиця цін схема №2'!HM56</f>
        <v>ТСП 2-10Г</v>
      </c>
      <c r="BE131" s="380">
        <f>'Таблиця цін схема №2'!HN56</f>
        <v>1</v>
      </c>
    </row>
    <row r="132" spans="1:57">
      <c r="A132" s="73">
        <v>73</v>
      </c>
      <c r="B132" s="1171" t="s">
        <v>934</v>
      </c>
      <c r="C132" s="525">
        <f>'Таблиця цін схема №2'!DT57</f>
        <v>20</v>
      </c>
      <c r="D132" s="380">
        <f>'Таблиця цін схема №2'!DU57</f>
        <v>1</v>
      </c>
      <c r="E132" s="47">
        <f>'Таблиця цін схема №2'!DX57</f>
        <v>40</v>
      </c>
      <c r="F132" s="380">
        <f>'Таблиця цін схема №2'!DY57</f>
        <v>1</v>
      </c>
      <c r="G132" s="47">
        <f>'Таблиця цін схема №2'!EB57</f>
        <v>40</v>
      </c>
      <c r="H132" s="380">
        <f>'Таблиця цін схема №2'!EC57</f>
        <v>2</v>
      </c>
      <c r="I132" s="47">
        <f>'Таблиця цін схема №2'!EF57</f>
        <v>25</v>
      </c>
      <c r="J132" s="380">
        <f>'Таблиця цін схема №2'!EG57</f>
        <v>1</v>
      </c>
      <c r="K132" s="47">
        <f>'Таблиця цін схема №2'!EJ57</f>
        <v>20</v>
      </c>
      <c r="L132" s="380">
        <f>'Таблиця цін схема №2'!EK57</f>
        <v>1</v>
      </c>
      <c r="M132" s="47">
        <f>'Таблиця цін схема №2'!EN57</f>
        <v>32</v>
      </c>
      <c r="N132" s="380">
        <f>'Таблиця цін схема №2'!EO57</f>
        <v>4</v>
      </c>
      <c r="O132" s="47">
        <f>'Таблиця цін схема №2'!ER57</f>
        <v>25</v>
      </c>
      <c r="P132" s="380">
        <f>'Таблиця цін схема №2'!ES57</f>
        <v>1</v>
      </c>
      <c r="Q132" s="47">
        <f>'Таблиця цін схема №2'!EV57</f>
        <v>20</v>
      </c>
      <c r="R132" s="380">
        <f>'Таблиця цін схема №2'!EW57</f>
        <v>1</v>
      </c>
      <c r="S132" s="1127">
        <f>'Таблиця цін схема №2'!EZ57</f>
        <v>17.270605084941295</v>
      </c>
      <c r="T132" s="379">
        <f>'Таблиця цін схема №2'!FA57</f>
        <v>20</v>
      </c>
      <c r="U132" s="380">
        <f>'Таблиця цін схема №2'!FB57</f>
        <v>2</v>
      </c>
      <c r="V132" s="1129">
        <f>'Таблиця цін схема №2'!FE57</f>
        <v>4.8070686070686071</v>
      </c>
      <c r="W132" s="379">
        <f>'Таблиця цін схема №2'!FF57</f>
        <v>5</v>
      </c>
      <c r="X132" s="379">
        <f>'Таблиця цін схема №2'!FG57</f>
        <v>5</v>
      </c>
      <c r="Y132" s="1144" t="str">
        <f>'Таблиця цін схема №2'!FH57</f>
        <v>Yonos MAXO 25/0,5-7 PN 10</v>
      </c>
      <c r="Z132" s="380">
        <f>'Таблиця цін схема №2'!FI57</f>
        <v>2</v>
      </c>
      <c r="AA132" s="1129">
        <f>'Таблиця цін схема №2'!FL57</f>
        <v>0.2935496957403651</v>
      </c>
      <c r="AB132" s="379">
        <f>'Таблиця цін схема №2'!FM57</f>
        <v>5</v>
      </c>
      <c r="AC132" s="379">
        <f>'Таблиця цін схема №2'!FN57</f>
        <v>6</v>
      </c>
      <c r="AD132" s="1144" t="str">
        <f>'Таблиця цін схема №2'!FO57</f>
        <v>TOP-Z 25/6 3- PN 10</v>
      </c>
      <c r="AE132" s="380">
        <f>'Таблиця цін схема №2'!FP57</f>
        <v>1</v>
      </c>
      <c r="AF132" s="47">
        <f>'Таблиця цін схема №2'!FS57</f>
        <v>5.83</v>
      </c>
      <c r="AG132" s="379">
        <f>'Таблиця цін схема №2'!FT57</f>
        <v>25</v>
      </c>
      <c r="AH132" s="380">
        <f>'Таблиця цін схема №2'!FU57</f>
        <v>2</v>
      </c>
      <c r="AI132" s="47">
        <f>'Таблиця цін схема №2'!FX57</f>
        <v>15</v>
      </c>
      <c r="AJ132" s="380">
        <f>'Таблиця цін схема №2'!FY57</f>
        <v>2</v>
      </c>
      <c r="AK132" s="47">
        <f>'Таблиця цін схема №2'!GB57</f>
        <v>15</v>
      </c>
      <c r="AL132" s="379">
        <f>'Таблиця цін схема №2'!GC57</f>
        <v>1.5</v>
      </c>
      <c r="AM132" s="380">
        <f>'Таблиця цін схема №2'!GD57</f>
        <v>1</v>
      </c>
      <c r="AN132" s="47">
        <f>'Таблиця цін схема №2'!GG57</f>
        <v>25</v>
      </c>
      <c r="AO132" s="380">
        <f>'Таблиця цін схема №2'!GH57</f>
        <v>1</v>
      </c>
      <c r="AP132" s="47" t="str">
        <f>'Таблиця цін схема №2'!GK57</f>
        <v>0-150</v>
      </c>
      <c r="AQ132" s="380">
        <f>'Таблиця цін схема №2'!GL57</f>
        <v>1</v>
      </c>
      <c r="AR132" s="47" t="str">
        <f>'Таблиця цін схема №2'!GO57</f>
        <v>0-120</v>
      </c>
      <c r="AS132" s="380">
        <f>'Таблиця цін схема №2'!GP57</f>
        <v>1</v>
      </c>
      <c r="AT132" s="47" t="str">
        <f>'Таблиця цін схема №2'!GS57</f>
        <v>0-1,6</v>
      </c>
      <c r="AU132" s="380">
        <f>'Таблиця цін схема №2'!GT57</f>
        <v>3</v>
      </c>
      <c r="AV132" s="47" t="str">
        <f>'Таблиця цін схема №2'!GW57</f>
        <v>0-1,0</v>
      </c>
      <c r="AW132" s="380">
        <f>'Таблиця цін схема №2'!GX57</f>
        <v>13</v>
      </c>
      <c r="AX132" s="47" t="str">
        <f>'Таблиця цін схема №2'!HA57</f>
        <v>PSM01</v>
      </c>
      <c r="AY132" s="380">
        <f>'Таблиця цін схема №2'!HB57</f>
        <v>4</v>
      </c>
      <c r="AZ132" s="47" t="str">
        <f>'Таблиця цін схема №2'!HE57</f>
        <v>A-10</v>
      </c>
      <c r="BA132" s="380">
        <f>'Таблиця цін схема №2'!HF57</f>
        <v>6</v>
      </c>
      <c r="BB132" s="47" t="str">
        <f>'Таблиця цін схема №2'!HI57</f>
        <v>ТСП 1-5</v>
      </c>
      <c r="BC132" s="380">
        <f>'Таблиця цін схема №2'!HJ57</f>
        <v>7</v>
      </c>
      <c r="BD132" s="47" t="str">
        <f>'Таблиця цін схема №2'!HM57</f>
        <v>ТСП 2-10Г</v>
      </c>
      <c r="BE132" s="380">
        <f>'Таблиця цін схема №2'!HN57</f>
        <v>1</v>
      </c>
    </row>
    <row r="133" spans="1:57">
      <c r="A133" s="73">
        <v>74</v>
      </c>
      <c r="B133" s="1171" t="s">
        <v>935</v>
      </c>
      <c r="C133" s="525">
        <f>'Таблиця цін схема №2'!DT58</f>
        <v>20</v>
      </c>
      <c r="D133" s="380">
        <f>'Таблиця цін схема №2'!DU58</f>
        <v>1</v>
      </c>
      <c r="E133" s="47">
        <f>'Таблиця цін схема №2'!DX58</f>
        <v>50</v>
      </c>
      <c r="F133" s="380">
        <f>'Таблиця цін схема №2'!DY58</f>
        <v>1</v>
      </c>
      <c r="G133" s="47">
        <f>'Таблиця цін схема №2'!EB58</f>
        <v>50</v>
      </c>
      <c r="H133" s="380">
        <f>'Таблиця цін схема №2'!EC58</f>
        <v>2</v>
      </c>
      <c r="I133" s="47">
        <f>'Таблиця цін схема №2'!EF58</f>
        <v>25</v>
      </c>
      <c r="J133" s="380">
        <f>'Таблиця цін схема №2'!EG58</f>
        <v>1</v>
      </c>
      <c r="K133" s="47">
        <f>'Таблиця цін схема №2'!EJ58</f>
        <v>20</v>
      </c>
      <c r="L133" s="380">
        <f>'Таблиця цін схема №2'!EK58</f>
        <v>1</v>
      </c>
      <c r="M133" s="47">
        <f>'Таблиця цін схема №2'!EN58</f>
        <v>32</v>
      </c>
      <c r="N133" s="380">
        <f>'Таблиця цін схема №2'!EO58</f>
        <v>6</v>
      </c>
      <c r="O133" s="47">
        <f>'Таблиця цін схема №2'!ER58</f>
        <v>25</v>
      </c>
      <c r="P133" s="380">
        <f>'Таблиця цін схема №2'!ES58</f>
        <v>1</v>
      </c>
      <c r="Q133" s="47">
        <f>'Таблиця цін схема №2'!EV58</f>
        <v>20</v>
      </c>
      <c r="R133" s="380">
        <f>'Таблиця цін схема №2'!EW58</f>
        <v>1</v>
      </c>
      <c r="S133" s="1127">
        <f>'Таблиця цін схема №2'!EZ58</f>
        <v>20.727315310961039</v>
      </c>
      <c r="T133" s="379">
        <f>'Таблиця цін схема №2'!FA58</f>
        <v>20</v>
      </c>
      <c r="U133" s="380">
        <f>'Таблиця цін схема №2'!FB58</f>
        <v>2</v>
      </c>
      <c r="V133" s="1129">
        <f>'Таблиця цін схема №2'!FE58</f>
        <v>6.9239085239085245</v>
      </c>
      <c r="W133" s="379">
        <f>'Таблиця цін схема №2'!FF58</f>
        <v>5</v>
      </c>
      <c r="X133" s="379">
        <f>'Таблиця цін схема №2'!FG58</f>
        <v>5</v>
      </c>
      <c r="Y133" s="1144" t="str">
        <f>'Таблиця цін схема №2'!FH58</f>
        <v>Yonos MAXO 25/0,5-10 PN 10</v>
      </c>
      <c r="Z133" s="380">
        <f>'Таблиця цін схема №2'!FI58</f>
        <v>2</v>
      </c>
      <c r="AA133" s="1129">
        <f>'Таблиця цін схема №2'!FL58</f>
        <v>0.35488843813387422</v>
      </c>
      <c r="AB133" s="379">
        <f>'Таблиця цін схема №2'!FM58</f>
        <v>5</v>
      </c>
      <c r="AC133" s="379">
        <f>'Таблиця цін схема №2'!FN58</f>
        <v>6</v>
      </c>
      <c r="AD133" s="1144" t="str">
        <f>'Таблиця цін схема №2'!FO58</f>
        <v>TOP-Z 25/6 3- PN 10</v>
      </c>
      <c r="AE133" s="380">
        <f>'Таблиця цін схема №2'!FP58</f>
        <v>1</v>
      </c>
      <c r="AF133" s="47">
        <f>'Таблиця цін схема №2'!FS58</f>
        <v>5.83</v>
      </c>
      <c r="AG133" s="379">
        <f>'Таблиця цін схема №2'!FT58</f>
        <v>25</v>
      </c>
      <c r="AH133" s="380">
        <f>'Таблиця цін схема №2'!FU58</f>
        <v>3</v>
      </c>
      <c r="AI133" s="47">
        <f>'Таблиця цін схема №2'!FX58</f>
        <v>15</v>
      </c>
      <c r="AJ133" s="380">
        <f>'Таблиця цін схема №2'!FY58</f>
        <v>2</v>
      </c>
      <c r="AK133" s="47">
        <f>'Таблиця цін схема №2'!GB58</f>
        <v>15</v>
      </c>
      <c r="AL133" s="379">
        <f>'Таблиця цін схема №2'!GC58</f>
        <v>1.5</v>
      </c>
      <c r="AM133" s="380">
        <f>'Таблиця цін схема №2'!GD58</f>
        <v>1</v>
      </c>
      <c r="AN133" s="47">
        <f>'Таблиця цін схема №2'!GG58</f>
        <v>25</v>
      </c>
      <c r="AO133" s="380">
        <f>'Таблиця цін схема №2'!GH58</f>
        <v>1</v>
      </c>
      <c r="AP133" s="47" t="str">
        <f>'Таблиця цін схема №2'!GK58</f>
        <v>0-150</v>
      </c>
      <c r="AQ133" s="380">
        <f>'Таблиця цін схема №2'!GL58</f>
        <v>1</v>
      </c>
      <c r="AR133" s="47" t="str">
        <f>'Таблиця цін схема №2'!GO58</f>
        <v>0-120</v>
      </c>
      <c r="AS133" s="380">
        <f>'Таблиця цін схема №2'!GP58</f>
        <v>1</v>
      </c>
      <c r="AT133" s="47" t="str">
        <f>'Таблиця цін схема №2'!GS58</f>
        <v>0-1,6</v>
      </c>
      <c r="AU133" s="380">
        <f>'Таблиця цін схема №2'!GT58</f>
        <v>3</v>
      </c>
      <c r="AV133" s="47" t="str">
        <f>'Таблиця цін схема №2'!GW58</f>
        <v>0-1,0</v>
      </c>
      <c r="AW133" s="380">
        <f>'Таблиця цін схема №2'!GX58</f>
        <v>14</v>
      </c>
      <c r="AX133" s="47" t="str">
        <f>'Таблиця цін схема №2'!HA58</f>
        <v>PSM01</v>
      </c>
      <c r="AY133" s="380">
        <f>'Таблиця цін схема №2'!HB58</f>
        <v>4</v>
      </c>
      <c r="AZ133" s="47" t="str">
        <f>'Таблиця цін схема №2'!HE58</f>
        <v>A-10</v>
      </c>
      <c r="BA133" s="380">
        <f>'Таблиця цін схема №2'!HF58</f>
        <v>6</v>
      </c>
      <c r="BB133" s="47" t="str">
        <f>'Таблиця цін схема №2'!HI58</f>
        <v>ТСП 1-5</v>
      </c>
      <c r="BC133" s="380">
        <f>'Таблиця цін схема №2'!HJ58</f>
        <v>7</v>
      </c>
      <c r="BD133" s="47" t="str">
        <f>'Таблиця цін схема №2'!HM58</f>
        <v>ТСП 2-10Г</v>
      </c>
      <c r="BE133" s="380">
        <f>'Таблиця цін схема №2'!HN58</f>
        <v>1</v>
      </c>
    </row>
    <row r="134" spans="1:57">
      <c r="A134" s="73">
        <v>88</v>
      </c>
      <c r="B134" s="1171" t="s">
        <v>936</v>
      </c>
      <c r="C134" s="525">
        <f>'Таблиця цін схема №2'!DT59</f>
        <v>32</v>
      </c>
      <c r="D134" s="380">
        <f>'Таблиця цін схема №2'!DU59</f>
        <v>1</v>
      </c>
      <c r="E134" s="47">
        <f>'Таблиця цін схема №2'!DX59</f>
        <v>65</v>
      </c>
      <c r="F134" s="380">
        <f>'Таблиця цін схема №2'!DY59</f>
        <v>1</v>
      </c>
      <c r="G134" s="47">
        <f>'Таблиця цін схема №2'!EB59</f>
        <v>65</v>
      </c>
      <c r="H134" s="380">
        <f>'Таблиця цін схема №2'!EC59</f>
        <v>2</v>
      </c>
      <c r="I134" s="47">
        <f>'Таблиця цін схема №2'!EF59</f>
        <v>50</v>
      </c>
      <c r="J134" s="380">
        <f>'Таблиця цін схема №2'!EG59</f>
        <v>1</v>
      </c>
      <c r="K134" s="47">
        <f>'Таблиця цін схема №2'!EJ59</f>
        <v>32</v>
      </c>
      <c r="L134" s="380">
        <f>'Таблиця цін схема №2'!EK59</f>
        <v>1</v>
      </c>
      <c r="M134" s="47">
        <f>'Таблиця цін схема №2'!EN59</f>
        <v>50</v>
      </c>
      <c r="N134" s="380">
        <f>'Таблиця цін схема №2'!EO59</f>
        <v>4</v>
      </c>
      <c r="O134" s="47">
        <f>'Таблиця цін схема №2'!ER59</f>
        <v>50</v>
      </c>
      <c r="P134" s="380">
        <f>'Таблиця цін схема №2'!ES59</f>
        <v>1</v>
      </c>
      <c r="Q134" s="47">
        <f>'Таблиця цін схема №2'!EV59</f>
        <v>32</v>
      </c>
      <c r="R134" s="380">
        <f>'Таблиця цін схема №2'!EW59</f>
        <v>1</v>
      </c>
      <c r="S134" s="1127">
        <f>'Таблиця цін схема №2'!EZ59</f>
        <v>28.074721726136485</v>
      </c>
      <c r="T134" s="379">
        <f>'Таблиця цін схема №2'!FA59</f>
        <v>32</v>
      </c>
      <c r="U134" s="380">
        <f>'Таблиця цін схема №2'!FB59</f>
        <v>2</v>
      </c>
      <c r="V134" s="1129">
        <f>'Таблиця цін схема №2'!FE59</f>
        <v>12.702702702702702</v>
      </c>
      <c r="W134" s="379">
        <f>'Таблиця цін схема №2'!FF59</f>
        <v>9</v>
      </c>
      <c r="X134" s="379">
        <f>'Таблиця цін схема №2'!FG59</f>
        <v>8</v>
      </c>
      <c r="Y134" s="1144" t="str">
        <f>'Таблиця цін схема №2'!FH59</f>
        <v>Yonos MAXO 40/0,5-12 PN 6/10</v>
      </c>
      <c r="Z134" s="380">
        <f>'Таблиця цін схема №2'!FI59</f>
        <v>2</v>
      </c>
      <c r="AA134" s="1129">
        <f>'Таблиця цін схема №2'!FL59</f>
        <v>1.9667342799188641</v>
      </c>
      <c r="AB134" s="379">
        <f>'Таблиця цін схема №2'!FM59</f>
        <v>9</v>
      </c>
      <c r="AC134" s="379">
        <f>'Таблиця цін схема №2'!FN59</f>
        <v>9</v>
      </c>
      <c r="AD134" s="1144" t="str">
        <f>'Таблиця цін схема №2'!FO59</f>
        <v>TOP-Z 25/10 3- PN 10</v>
      </c>
      <c r="AE134" s="380">
        <f>'Таблиця цін схема №2'!FP59</f>
        <v>1</v>
      </c>
      <c r="AF134" s="47">
        <f>'Таблиця цін схема №2'!FS59</f>
        <v>11.13</v>
      </c>
      <c r="AG134" s="379">
        <f>'Таблиця цін схема №2'!FT59</f>
        <v>32</v>
      </c>
      <c r="AH134" s="380">
        <f>'Таблиця цін схема №2'!FU59</f>
        <v>2</v>
      </c>
      <c r="AI134" s="47">
        <f>'Таблиця цін схема №2'!FX59</f>
        <v>15</v>
      </c>
      <c r="AJ134" s="380">
        <f>'Таблиця цін схема №2'!FY59</f>
        <v>2</v>
      </c>
      <c r="AK134" s="47">
        <f>'Таблиця цін схема №2'!GB59</f>
        <v>40</v>
      </c>
      <c r="AL134" s="379">
        <f>'Таблиця цін схема №2'!GC59</f>
        <v>15</v>
      </c>
      <c r="AM134" s="380">
        <f>'Таблиця цін схема №2'!GD59</f>
        <v>1</v>
      </c>
      <c r="AN134" s="47">
        <f>'Таблиця цін схема №2'!GG59</f>
        <v>50</v>
      </c>
      <c r="AO134" s="380">
        <f>'Таблиця цін схема №2'!GH59</f>
        <v>1</v>
      </c>
      <c r="AP134" s="47" t="str">
        <f>'Таблиця цін схема №2'!GK59</f>
        <v>0-150</v>
      </c>
      <c r="AQ134" s="380">
        <f>'Таблиця цін схема №2'!GL59</f>
        <v>1</v>
      </c>
      <c r="AR134" s="47" t="str">
        <f>'Таблиця цін схема №2'!GO59</f>
        <v>0-120</v>
      </c>
      <c r="AS134" s="380">
        <f>'Таблиця цін схема №2'!GP59</f>
        <v>1</v>
      </c>
      <c r="AT134" s="47" t="str">
        <f>'Таблиця цін схема №2'!GS59</f>
        <v>0-1,6</v>
      </c>
      <c r="AU134" s="380">
        <f>'Таблиця цін схема №2'!GT59</f>
        <v>3</v>
      </c>
      <c r="AV134" s="47" t="str">
        <f>'Таблиця цін схема №2'!GW59</f>
        <v>0-1,0</v>
      </c>
      <c r="AW134" s="380">
        <f>'Таблиця цін схема №2'!GX59</f>
        <v>13</v>
      </c>
      <c r="AX134" s="47" t="str">
        <f>'Таблиця цін схема №2'!HA59</f>
        <v>PSM01</v>
      </c>
      <c r="AY134" s="380">
        <f>'Таблиця цін схема №2'!HB59</f>
        <v>4</v>
      </c>
      <c r="AZ134" s="47" t="str">
        <f>'Таблиця цін схема №2'!HE59</f>
        <v>A-10</v>
      </c>
      <c r="BA134" s="380">
        <f>'Таблиця цін схема №2'!HF59</f>
        <v>6</v>
      </c>
      <c r="BB134" s="47" t="str">
        <f>'Таблиця цін схема №2'!HI59</f>
        <v>ТСП 1-5</v>
      </c>
      <c r="BC134" s="380">
        <f>'Таблиця цін схема №2'!HJ59</f>
        <v>7</v>
      </c>
      <c r="BD134" s="47" t="str">
        <f>'Таблиця цін схема №2'!HM59</f>
        <v>ТСП 2-10Г</v>
      </c>
      <c r="BE134" s="380">
        <f>'Таблиця цін схема №2'!HN59</f>
        <v>1</v>
      </c>
    </row>
    <row r="135" spans="1:57">
      <c r="A135" s="73">
        <v>89</v>
      </c>
      <c r="B135" s="1171" t="s">
        <v>937</v>
      </c>
      <c r="C135" s="525">
        <f>'Таблиця цін схема №2'!DT60</f>
        <v>20</v>
      </c>
      <c r="D135" s="380">
        <f>'Таблиця цін схема №2'!DU60</f>
        <v>1</v>
      </c>
      <c r="E135" s="47">
        <f>'Таблиця цін схема №2'!DX60</f>
        <v>65</v>
      </c>
      <c r="F135" s="380">
        <f>'Таблиця цін схема №2'!DY60</f>
        <v>1</v>
      </c>
      <c r="G135" s="47">
        <f>'Таблиця цін схема №2'!EB60</f>
        <v>65</v>
      </c>
      <c r="H135" s="380">
        <f>'Таблиця цін схема №2'!EC60</f>
        <v>2</v>
      </c>
      <c r="I135" s="47">
        <f>'Таблиця цін схема №2'!EF60</f>
        <v>32</v>
      </c>
      <c r="J135" s="380">
        <f>'Таблиця цін схема №2'!EG60</f>
        <v>1</v>
      </c>
      <c r="K135" s="47">
        <f>'Таблиця цін схема №2'!EJ60</f>
        <v>20</v>
      </c>
      <c r="L135" s="380">
        <f>'Таблиця цін схема №2'!EK60</f>
        <v>1</v>
      </c>
      <c r="M135" s="47">
        <f>'Таблиця цін схема №2'!EN60</f>
        <v>32</v>
      </c>
      <c r="N135" s="380">
        <f>'Таблиця цін схема №2'!EO60</f>
        <v>8</v>
      </c>
      <c r="O135" s="47">
        <f>'Таблиця цін схема №2'!ER60</f>
        <v>32</v>
      </c>
      <c r="P135" s="380">
        <f>'Таблиця цін схема №2'!ES60</f>
        <v>1</v>
      </c>
      <c r="Q135" s="47">
        <f>'Таблиця цін схема №2'!EV60</f>
        <v>20</v>
      </c>
      <c r="R135" s="380">
        <f>'Таблиця цін схема №2'!EW60</f>
        <v>1</v>
      </c>
      <c r="S135" s="1127">
        <f>'Таблиця цін схема №2'!EZ60</f>
        <v>25.344478688661166</v>
      </c>
      <c r="T135" s="379">
        <f>'Таблиця цін схема №2'!FA60</f>
        <v>25</v>
      </c>
      <c r="U135" s="380">
        <f>'Таблиця цін схема №2'!FB60</f>
        <v>2</v>
      </c>
      <c r="V135" s="1129">
        <f>'Таблиця цін схема №2'!FE60</f>
        <v>10.352182952182952</v>
      </c>
      <c r="W135" s="379">
        <f>'Таблиця цін схема №2'!FF60</f>
        <v>9</v>
      </c>
      <c r="X135" s="379">
        <f>'Таблиця цін схема №2'!FG60</f>
        <v>8</v>
      </c>
      <c r="Y135" s="1144" t="str">
        <f>'Таблиця цін схема №2'!FH60</f>
        <v>Yonos MAXO 40/0,5-12 PN 6/10</v>
      </c>
      <c r="Z135" s="380">
        <f>'Таблиця цін схема №2'!FI60</f>
        <v>2</v>
      </c>
      <c r="AA135" s="1129">
        <f>'Таблиця цін схема №2'!FL60</f>
        <v>0.76235294117647068</v>
      </c>
      <c r="AB135" s="379">
        <f>'Таблиця цін схема №2'!FM60</f>
        <v>9</v>
      </c>
      <c r="AC135" s="379">
        <f>'Таблиця цін схема №2'!FN60</f>
        <v>9</v>
      </c>
      <c r="AD135" s="1144" t="str">
        <f>'Таблиця цін схема №2'!FO60</f>
        <v>TOP-Z 25/10 3- PN 10</v>
      </c>
      <c r="AE135" s="380">
        <f>'Таблиця цін схема №2'!FP60</f>
        <v>1</v>
      </c>
      <c r="AF135" s="47">
        <f>'Таблиця цін схема №2'!FS60</f>
        <v>5.83</v>
      </c>
      <c r="AG135" s="379">
        <f>'Таблиця цін схема №2'!FT60</f>
        <v>25</v>
      </c>
      <c r="AH135" s="380">
        <f>'Таблиця цін схема №2'!FU60</f>
        <v>4</v>
      </c>
      <c r="AI135" s="47">
        <f>'Таблиця цін схема №2'!FX60</f>
        <v>15</v>
      </c>
      <c r="AJ135" s="380">
        <f>'Таблиця цін схема №2'!FY60</f>
        <v>2</v>
      </c>
      <c r="AK135" s="47">
        <f>'Таблиця цін схема №2'!GB60</f>
        <v>25</v>
      </c>
      <c r="AL135" s="379">
        <f>'Таблиця цін схема №2'!GC60</f>
        <v>3.5</v>
      </c>
      <c r="AM135" s="380">
        <f>'Таблиця цін схема №2'!GD60</f>
        <v>1</v>
      </c>
      <c r="AN135" s="47">
        <f>'Таблиця цін схема №2'!GG60</f>
        <v>32</v>
      </c>
      <c r="AO135" s="380">
        <f>'Таблиця цін схема №2'!GH60</f>
        <v>1</v>
      </c>
      <c r="AP135" s="47" t="str">
        <f>'Таблиця цін схема №2'!GK60</f>
        <v>0-150</v>
      </c>
      <c r="AQ135" s="380">
        <f>'Таблиця цін схема №2'!GL60</f>
        <v>1</v>
      </c>
      <c r="AR135" s="47" t="str">
        <f>'Таблиця цін схема №2'!GO60</f>
        <v>0-120</v>
      </c>
      <c r="AS135" s="380">
        <f>'Таблиця цін схема №2'!GP60</f>
        <v>5</v>
      </c>
      <c r="AT135" s="47" t="str">
        <f>'Таблиця цін схема №2'!GS60</f>
        <v>0-1,6</v>
      </c>
      <c r="AU135" s="380">
        <f>'Таблиця цін схема №2'!GT60</f>
        <v>5</v>
      </c>
      <c r="AV135" s="47" t="str">
        <f>'Таблиця цін схема №2'!GW60</f>
        <v>0-1,0</v>
      </c>
      <c r="AW135" s="380">
        <f>'Таблиця цін схема №2'!GX60</f>
        <v>15</v>
      </c>
      <c r="AX135" s="47" t="str">
        <f>'Таблиця цін схема №2'!HA60</f>
        <v>PSM01</v>
      </c>
      <c r="AY135" s="380">
        <f>'Таблиця цін схема №2'!HB60</f>
        <v>4</v>
      </c>
      <c r="AZ135" s="47" t="str">
        <f>'Таблиця цін схема №2'!HE60</f>
        <v>A-10</v>
      </c>
      <c r="BA135" s="380">
        <f>'Таблиця цін схема №2'!HF60</f>
        <v>6</v>
      </c>
      <c r="BB135" s="47" t="str">
        <f>'Таблиця цін схема №2'!HI60</f>
        <v>ТСП 1-5</v>
      </c>
      <c r="BC135" s="380">
        <f>'Таблиця цін схема №2'!HJ60</f>
        <v>7</v>
      </c>
      <c r="BD135" s="47" t="str">
        <f>'Таблиця цін схема №2'!HM60</f>
        <v>ТСП 2-10Г</v>
      </c>
      <c r="BE135" s="380">
        <f>'Таблиця цін схема №2'!HN60</f>
        <v>1</v>
      </c>
    </row>
    <row r="136" spans="1:57">
      <c r="A136" s="73">
        <v>90</v>
      </c>
      <c r="B136" s="1171" t="s">
        <v>938</v>
      </c>
      <c r="C136" s="525">
        <f>'Таблиця цін схема №2'!DT61</f>
        <v>20</v>
      </c>
      <c r="D136" s="380">
        <f>'Таблиця цін схема №2'!DU61</f>
        <v>1</v>
      </c>
      <c r="E136" s="47">
        <f>'Таблиця цін схема №2'!DX61</f>
        <v>65</v>
      </c>
      <c r="F136" s="380">
        <f>'Таблиця цін схема №2'!DY61</f>
        <v>1</v>
      </c>
      <c r="G136" s="47">
        <f>'Таблиця цін схема №2'!EB61</f>
        <v>65</v>
      </c>
      <c r="H136" s="380">
        <f>'Таблиця цін схема №2'!EC61</f>
        <v>2</v>
      </c>
      <c r="I136" s="47">
        <f>'Таблиця цін схема №2'!EF61</f>
        <v>32</v>
      </c>
      <c r="J136" s="380">
        <f>'Таблиця цін схема №2'!EG61</f>
        <v>1</v>
      </c>
      <c r="K136" s="47">
        <f>'Таблиця цін схема №2'!EJ61</f>
        <v>20</v>
      </c>
      <c r="L136" s="380">
        <f>'Таблиця цін схема №2'!EK61</f>
        <v>1</v>
      </c>
      <c r="M136" s="47">
        <f>'Таблиця цін схема №2'!EN61</f>
        <v>40</v>
      </c>
      <c r="N136" s="380">
        <f>'Таблиця цін схема №2'!EO61</f>
        <v>6</v>
      </c>
      <c r="O136" s="47">
        <f>'Таблиця цін схема №2'!ER61</f>
        <v>32</v>
      </c>
      <c r="P136" s="380">
        <f>'Таблиця цін схема №2'!ES61</f>
        <v>1</v>
      </c>
      <c r="Q136" s="47">
        <f>'Таблиця цін схема №2'!EV61</f>
        <v>20</v>
      </c>
      <c r="R136" s="380">
        <f>'Таблиця цін схема №2'!EW61</f>
        <v>1</v>
      </c>
      <c r="S136" s="1127">
        <f>'Таблиця цін схема №2'!EZ61</f>
        <v>25.757965758188281</v>
      </c>
      <c r="T136" s="379">
        <f>'Таблиця цін схема №2'!FA61</f>
        <v>25</v>
      </c>
      <c r="U136" s="380">
        <f>'Таблиця цін схема №2'!FB61</f>
        <v>2</v>
      </c>
      <c r="V136" s="1129">
        <f>'Таблиця цін схема №2'!FE61</f>
        <v>10.692723492723493</v>
      </c>
      <c r="W136" s="379">
        <f>'Таблиця цін схема №2'!FF61</f>
        <v>4</v>
      </c>
      <c r="X136" s="379">
        <f>'Таблиця цін схема №2'!FG61</f>
        <v>5</v>
      </c>
      <c r="Y136" s="1144" t="str">
        <f>'Таблиця цін схема №2'!FH61</f>
        <v>Yonos MAXO 40/0,5-8 PN 6/10</v>
      </c>
      <c r="Z136" s="380">
        <f>'Таблиця цін схема №2'!FI61</f>
        <v>2</v>
      </c>
      <c r="AA136" s="1129">
        <f>'Таблиця цін схема №2'!FL61</f>
        <v>0.71805273833671401</v>
      </c>
      <c r="AB136" s="379">
        <f>'Таблиця цін схема №2'!FM61</f>
        <v>4</v>
      </c>
      <c r="AC136" s="379">
        <f>'Таблиця цін схема №2'!FN61</f>
        <v>6</v>
      </c>
      <c r="AD136" s="1144" t="str">
        <f>'Таблиця цін схема №2'!FO61</f>
        <v>TOP-Z 25/6 3- PN 10</v>
      </c>
      <c r="AE136" s="380">
        <f>'Таблиця цін схема №2'!FP61</f>
        <v>1</v>
      </c>
      <c r="AF136" s="47">
        <f>'Таблиця цін схема №2'!FS61</f>
        <v>11.13</v>
      </c>
      <c r="AG136" s="379">
        <f>'Таблиця цін схема №2'!FT61</f>
        <v>32</v>
      </c>
      <c r="AH136" s="380">
        <f>'Таблиця цін схема №2'!FU61</f>
        <v>3</v>
      </c>
      <c r="AI136" s="47">
        <f>'Таблиця цін схема №2'!FX61</f>
        <v>15</v>
      </c>
      <c r="AJ136" s="380">
        <f>'Таблиця цін схема №2'!FY61</f>
        <v>2</v>
      </c>
      <c r="AK136" s="47">
        <f>'Таблиця цін схема №2'!GB61</f>
        <v>20</v>
      </c>
      <c r="AL136" s="379">
        <f>'Таблиця цін схема №2'!GC61</f>
        <v>2.5</v>
      </c>
      <c r="AM136" s="380">
        <f>'Таблиця цін схема №2'!GD61</f>
        <v>1</v>
      </c>
      <c r="AN136" s="47">
        <f>'Таблиця цін схема №2'!GG61</f>
        <v>32</v>
      </c>
      <c r="AO136" s="380">
        <f>'Таблиця цін схема №2'!GH61</f>
        <v>1</v>
      </c>
      <c r="AP136" s="47" t="str">
        <f>'Таблиця цін схема №2'!GK61</f>
        <v>0-150</v>
      </c>
      <c r="AQ136" s="380">
        <f>'Таблиця цін схема №2'!GL61</f>
        <v>1</v>
      </c>
      <c r="AR136" s="47" t="str">
        <f>'Таблиця цін схема №2'!GO61</f>
        <v>0-120</v>
      </c>
      <c r="AS136" s="380">
        <f>'Таблиця цін схема №2'!GP61</f>
        <v>5</v>
      </c>
      <c r="AT136" s="47" t="str">
        <f>'Таблиця цін схема №2'!GS61</f>
        <v>0-1,6</v>
      </c>
      <c r="AU136" s="380">
        <f>'Таблиця цін схема №2'!GT61</f>
        <v>5</v>
      </c>
      <c r="AV136" s="47" t="str">
        <f>'Таблиця цін схема №2'!GW61</f>
        <v>0-1,0</v>
      </c>
      <c r="AW136" s="380">
        <f>'Таблиця цін схема №2'!GX61</f>
        <v>14</v>
      </c>
      <c r="AX136" s="47" t="str">
        <f>'Таблиця цін схема №2'!HA61</f>
        <v>PSM01</v>
      </c>
      <c r="AY136" s="380">
        <f>'Таблиця цін схема №2'!HB61</f>
        <v>4</v>
      </c>
      <c r="AZ136" s="47" t="str">
        <f>'Таблиця цін схема №2'!HE61</f>
        <v>A-10</v>
      </c>
      <c r="BA136" s="380">
        <f>'Таблиця цін схема №2'!HF61</f>
        <v>6</v>
      </c>
      <c r="BB136" s="47" t="str">
        <f>'Таблиця цін схема №2'!HI61</f>
        <v>ТСП 1-5</v>
      </c>
      <c r="BC136" s="380">
        <f>'Таблиця цін схема №2'!HJ61</f>
        <v>7</v>
      </c>
      <c r="BD136" s="47" t="str">
        <f>'Таблиця цін схема №2'!HM61</f>
        <v>ТСП 2-10Г</v>
      </c>
      <c r="BE136" s="380">
        <f>'Таблиця цін схема №2'!HN61</f>
        <v>1</v>
      </c>
    </row>
    <row r="137" spans="1:57">
      <c r="A137" s="73">
        <v>91</v>
      </c>
      <c r="B137" s="1171" t="s">
        <v>939</v>
      </c>
      <c r="C137" s="525">
        <f>'Таблиця цін схема №2'!DT62</f>
        <v>25</v>
      </c>
      <c r="D137" s="380">
        <f>'Таблиця цін схема №2'!DU62</f>
        <v>1</v>
      </c>
      <c r="E137" s="47">
        <f>'Таблиця цін схема №2'!DX62</f>
        <v>80</v>
      </c>
      <c r="F137" s="380">
        <f>'Таблиця цін схема №2'!DY62</f>
        <v>1</v>
      </c>
      <c r="G137" s="47">
        <f>'Таблиця цін схема №2'!EB62</f>
        <v>80</v>
      </c>
      <c r="H137" s="380">
        <f>'Таблиця цін схема №2'!EC62</f>
        <v>2</v>
      </c>
      <c r="I137" s="47">
        <f>'Таблиця цін схема №2'!EF62</f>
        <v>40</v>
      </c>
      <c r="J137" s="380">
        <f>'Таблиця цін схема №2'!EG62</f>
        <v>1</v>
      </c>
      <c r="K137" s="47">
        <f>'Таблиця цін схема №2'!EJ62</f>
        <v>25</v>
      </c>
      <c r="L137" s="380">
        <f>'Таблиця цін схема №2'!EK62</f>
        <v>1</v>
      </c>
      <c r="M137" s="47">
        <f>'Таблиця цін схема №2'!EN62</f>
        <v>50</v>
      </c>
      <c r="N137" s="380">
        <f>'Таблиця цін схема №2'!EO62</f>
        <v>4</v>
      </c>
      <c r="O137" s="47">
        <f>'Таблиця цін схема №2'!ER62</f>
        <v>40</v>
      </c>
      <c r="P137" s="380">
        <f>'Таблиця цін схема №2'!ES62</f>
        <v>1</v>
      </c>
      <c r="Q137" s="47">
        <f>'Таблиця цін схема №2'!EV62</f>
        <v>25</v>
      </c>
      <c r="R137" s="380">
        <f>'Таблиця цін схема №2'!EW62</f>
        <v>1</v>
      </c>
      <c r="S137" s="1127">
        <f>'Таблиця цін схема №2'!EZ62</f>
        <v>29.704110826617921</v>
      </c>
      <c r="T137" s="379">
        <f>'Таблиця цін схема №2'!FA62</f>
        <v>32</v>
      </c>
      <c r="U137" s="380">
        <f>'Таблиця цін схема №2'!FB62</f>
        <v>2</v>
      </c>
      <c r="V137" s="1129">
        <f>'Таблиця цін схема №2'!FE62</f>
        <v>14.21995841995842</v>
      </c>
      <c r="W137" s="379">
        <f>'Таблиця цін схема №2'!FF62</f>
        <v>9</v>
      </c>
      <c r="X137" s="379">
        <f>'Таблиця цін схема №2'!FG62</f>
        <v>8</v>
      </c>
      <c r="Y137" s="1144" t="str">
        <f>'Таблиця цін схема №2'!FH62</f>
        <v>Yonos MAXO 50/0,5-12 PN 6/10</v>
      </c>
      <c r="Z137" s="380">
        <f>'Таблиця цін схема №2'!FI62</f>
        <v>2</v>
      </c>
      <c r="AA137" s="1129">
        <f>'Таблиця цін схема №2'!FL62</f>
        <v>0.92884381338742383</v>
      </c>
      <c r="AB137" s="379">
        <f>'Таблиця цін схема №2'!FM62</f>
        <v>9</v>
      </c>
      <c r="AC137" s="379">
        <f>'Таблиця цін схема №2'!FN62</f>
        <v>9</v>
      </c>
      <c r="AD137" s="1144" t="str">
        <f>'Таблиця цін схема №2'!FO62</f>
        <v>TOP-Z 25/10 3- PN 10</v>
      </c>
      <c r="AE137" s="380">
        <f>'Таблиця цін схема №2'!FP62</f>
        <v>1</v>
      </c>
      <c r="AF137" s="47">
        <f>'Таблиця цін схема №2'!FS62</f>
        <v>22.36</v>
      </c>
      <c r="AG137" s="379">
        <f>'Таблиця цін схема №2'!FT62</f>
        <v>40</v>
      </c>
      <c r="AH137" s="380">
        <f>'Таблиця цін схема №2'!FU62</f>
        <v>2</v>
      </c>
      <c r="AI137" s="47">
        <f>'Таблиця цін схема №2'!FX62</f>
        <v>15</v>
      </c>
      <c r="AJ137" s="380">
        <f>'Таблиця цін схема №2'!FY62</f>
        <v>2</v>
      </c>
      <c r="AK137" s="47">
        <f>'Таблиця цін схема №2'!GB62</f>
        <v>25</v>
      </c>
      <c r="AL137" s="379">
        <f>'Таблиця цін схема №2'!GC62</f>
        <v>3.5</v>
      </c>
      <c r="AM137" s="380">
        <f>'Таблиця цін схема №2'!GD62</f>
        <v>1</v>
      </c>
      <c r="AN137" s="47">
        <f>'Таблиця цін схема №2'!GG62</f>
        <v>40</v>
      </c>
      <c r="AO137" s="380">
        <f>'Таблиця цін схема №2'!GH62</f>
        <v>1</v>
      </c>
      <c r="AP137" s="47" t="str">
        <f>'Таблиця цін схема №2'!GK62</f>
        <v>0-150</v>
      </c>
      <c r="AQ137" s="380">
        <f>'Таблиця цін схема №2'!GL62</f>
        <v>1</v>
      </c>
      <c r="AR137" s="47" t="str">
        <f>'Таблиця цін схема №2'!GO62</f>
        <v>0-120</v>
      </c>
      <c r="AS137" s="380">
        <f>'Таблиця цін схема №2'!GP62</f>
        <v>5</v>
      </c>
      <c r="AT137" s="47" t="str">
        <f>'Таблиця цін схема №2'!GS62</f>
        <v>0-1,6</v>
      </c>
      <c r="AU137" s="380">
        <f>'Таблиця цін схема №2'!GT62</f>
        <v>5</v>
      </c>
      <c r="AV137" s="47" t="str">
        <f>'Таблиця цін схема №2'!GW62</f>
        <v>0-1,0</v>
      </c>
      <c r="AW137" s="380">
        <f>'Таблиця цін схема №2'!GX62</f>
        <v>13</v>
      </c>
      <c r="AX137" s="47" t="str">
        <f>'Таблиця цін схема №2'!HA62</f>
        <v>PSM01</v>
      </c>
      <c r="AY137" s="380">
        <f>'Таблиця цін схема №2'!HB62</f>
        <v>4</v>
      </c>
      <c r="AZ137" s="47" t="str">
        <f>'Таблиця цін схема №2'!HE62</f>
        <v>A-10</v>
      </c>
      <c r="BA137" s="380">
        <f>'Таблиця цін схема №2'!HF62</f>
        <v>6</v>
      </c>
      <c r="BB137" s="47" t="str">
        <f>'Таблиця цін схема №2'!HI62</f>
        <v>ТСП 1-5</v>
      </c>
      <c r="BC137" s="380">
        <f>'Таблиця цін схема №2'!HJ62</f>
        <v>7</v>
      </c>
      <c r="BD137" s="47" t="str">
        <f>'Таблиця цін схема №2'!HM62</f>
        <v>ТСП 2-10Г</v>
      </c>
      <c r="BE137" s="380">
        <f>'Таблиця цін схема №2'!HN62</f>
        <v>1</v>
      </c>
    </row>
    <row r="138" spans="1:57">
      <c r="A138" s="73">
        <v>92</v>
      </c>
      <c r="B138" s="1171" t="s">
        <v>940</v>
      </c>
      <c r="C138" s="525">
        <f>'Таблиця цін схема №2'!DT63</f>
        <v>25</v>
      </c>
      <c r="D138" s="380">
        <f>'Таблиця цін схема №2'!DU63</f>
        <v>1</v>
      </c>
      <c r="E138" s="47">
        <f>'Таблиця цін схема №2'!DX63</f>
        <v>80</v>
      </c>
      <c r="F138" s="380">
        <f>'Таблиця цін схема №2'!DY63</f>
        <v>1</v>
      </c>
      <c r="G138" s="47">
        <f>'Таблиця цін схема №2'!EB63</f>
        <v>80</v>
      </c>
      <c r="H138" s="380">
        <f>'Таблиця цін схема №2'!EC63</f>
        <v>2</v>
      </c>
      <c r="I138" s="47">
        <f>'Таблиця цін схема №2'!EF63</f>
        <v>40</v>
      </c>
      <c r="J138" s="380">
        <f>'Таблиця цін схема №2'!EG63</f>
        <v>1</v>
      </c>
      <c r="K138" s="47">
        <f>'Таблиця цін схема №2'!EJ63</f>
        <v>25</v>
      </c>
      <c r="L138" s="380">
        <f>'Таблиця цін схема №2'!EK63</f>
        <v>1</v>
      </c>
      <c r="M138" s="47">
        <f>'Таблиця цін схема №2'!EN63</f>
        <v>65</v>
      </c>
      <c r="N138" s="380">
        <f>'Таблиця цін схема №2'!EO63</f>
        <v>4</v>
      </c>
      <c r="O138" s="47">
        <f>'Таблиця цін схема №2'!ER63</f>
        <v>40</v>
      </c>
      <c r="P138" s="380">
        <f>'Таблиця цін схема №2'!ES63</f>
        <v>1</v>
      </c>
      <c r="Q138" s="47">
        <f>'Таблиця цін схема №2'!EV63</f>
        <v>25</v>
      </c>
      <c r="R138" s="380">
        <f>'Таблиця цін схема №2'!EW63</f>
        <v>1</v>
      </c>
      <c r="S138" s="1127">
        <f>'Таблиця цін схема №2'!EZ63</f>
        <v>33.035045027969915</v>
      </c>
      <c r="T138" s="379">
        <f>'Таблиця цін схема №2'!FA63</f>
        <v>40</v>
      </c>
      <c r="U138" s="380">
        <f>'Таблиця цін схема №2'!FB63</f>
        <v>2</v>
      </c>
      <c r="V138" s="1129">
        <f>'Таблиця цін схема №2'!FE63</f>
        <v>17.587941787941787</v>
      </c>
      <c r="W138" s="379">
        <f>'Таблиця цін схема №2'!FF63</f>
        <v>9</v>
      </c>
      <c r="X138" s="379">
        <f>'Таблиця цін схема №2'!FG63</f>
        <v>8</v>
      </c>
      <c r="Y138" s="1144" t="str">
        <f>'Таблиця цін схема №2'!FH63</f>
        <v>Yonos MAXO 40/0,5-16 PN 6/10</v>
      </c>
      <c r="Z138" s="380">
        <f>'Таблиця цін схема №2'!FI63</f>
        <v>2</v>
      </c>
      <c r="AA138" s="1129">
        <f>'Таблиця цін схема №2'!FL63</f>
        <v>1.2004868154158215</v>
      </c>
      <c r="AB138" s="379">
        <f>'Таблиця цін схема №2'!FM63</f>
        <v>9</v>
      </c>
      <c r="AC138" s="379">
        <f>'Таблиця цін схема №2'!FN63</f>
        <v>9</v>
      </c>
      <c r="AD138" s="1144" t="str">
        <f>'Таблиця цін схема №2'!FO63</f>
        <v>TOP-Z 25/10 3- PN 10</v>
      </c>
      <c r="AE138" s="380">
        <f>'Таблиця цін схема №2'!FP63</f>
        <v>1</v>
      </c>
      <c r="AF138" s="47">
        <f>'Таблиця цін схема №2'!FS63</f>
        <v>22.36</v>
      </c>
      <c r="AG138" s="379">
        <f>'Таблиця цін схема №2'!FT63</f>
        <v>40</v>
      </c>
      <c r="AH138" s="380">
        <f>'Таблиця цін схема №2'!FU63</f>
        <v>2</v>
      </c>
      <c r="AI138" s="47">
        <f>'Таблиця цін схема №2'!FX63</f>
        <v>15</v>
      </c>
      <c r="AJ138" s="380">
        <f>'Таблиця цін схема №2'!FY63</f>
        <v>2</v>
      </c>
      <c r="AK138" s="47">
        <f>'Таблиця цін схема №2'!GB63</f>
        <v>32</v>
      </c>
      <c r="AL138" s="379">
        <f>'Таблиця цін схема №2'!GC63</f>
        <v>6</v>
      </c>
      <c r="AM138" s="380">
        <f>'Таблиця цін схема №2'!GD63</f>
        <v>1</v>
      </c>
      <c r="AN138" s="47">
        <f>'Таблиця цін схема №2'!GG63</f>
        <v>40</v>
      </c>
      <c r="AO138" s="380">
        <f>'Таблиця цін схема №2'!GH63</f>
        <v>1</v>
      </c>
      <c r="AP138" s="47" t="str">
        <f>'Таблиця цін схема №2'!GK63</f>
        <v>0-150</v>
      </c>
      <c r="AQ138" s="380">
        <f>'Таблиця цін схема №2'!GL63</f>
        <v>1</v>
      </c>
      <c r="AR138" s="47" t="str">
        <f>'Таблиця цін схема №2'!GO63</f>
        <v>0-120</v>
      </c>
      <c r="AS138" s="380">
        <f>'Таблиця цін схема №2'!GP63</f>
        <v>5</v>
      </c>
      <c r="AT138" s="47" t="str">
        <f>'Таблиця цін схема №2'!GS63</f>
        <v>0-1,6</v>
      </c>
      <c r="AU138" s="380">
        <f>'Таблиця цін схема №2'!GT63</f>
        <v>5</v>
      </c>
      <c r="AV138" s="47" t="str">
        <f>'Таблиця цін схема №2'!GW63</f>
        <v>0-1,0</v>
      </c>
      <c r="AW138" s="380">
        <f>'Таблиця цін схема №2'!GX63</f>
        <v>13</v>
      </c>
      <c r="AX138" s="47" t="str">
        <f>'Таблиця цін схема №2'!HA63</f>
        <v>PSM01</v>
      </c>
      <c r="AY138" s="380">
        <f>'Таблиця цін схема №2'!HB63</f>
        <v>4</v>
      </c>
      <c r="AZ138" s="47" t="str">
        <f>'Таблиця цін схема №2'!HE63</f>
        <v>A-10</v>
      </c>
      <c r="BA138" s="380">
        <f>'Таблиця цін схема №2'!HF63</f>
        <v>6</v>
      </c>
      <c r="BB138" s="47" t="str">
        <f>'Таблиця цін схема №2'!HI63</f>
        <v>ТСП 1-5</v>
      </c>
      <c r="BC138" s="380">
        <f>'Таблиця цін схема №2'!HJ63</f>
        <v>7</v>
      </c>
      <c r="BD138" s="47" t="str">
        <f>'Таблиця цін схема №2'!HM63</f>
        <v>ТСП 2-10Г</v>
      </c>
      <c r="BE138" s="380">
        <f>'Таблиця цін схема №2'!HN63</f>
        <v>1</v>
      </c>
    </row>
    <row r="139" spans="1:57">
      <c r="A139" s="73">
        <v>93</v>
      </c>
      <c r="B139" s="1171" t="s">
        <v>941</v>
      </c>
      <c r="C139" s="525">
        <f>'Таблиця цін схема №2'!DT64</f>
        <v>20</v>
      </c>
      <c r="D139" s="380">
        <f>'Таблиця цін схема №2'!DU64</f>
        <v>1</v>
      </c>
      <c r="E139" s="47">
        <f>'Таблиця цін схема №2'!DX64</f>
        <v>25</v>
      </c>
      <c r="F139" s="380">
        <f>'Таблиця цін схема №2'!DY64</f>
        <v>1</v>
      </c>
      <c r="G139" s="47">
        <f>'Таблиця цін схема №2'!EB64</f>
        <v>25</v>
      </c>
      <c r="H139" s="380">
        <f>'Таблиця цін схема №2'!EC64</f>
        <v>2</v>
      </c>
      <c r="I139" s="47">
        <f>'Таблиця цін схема №2'!EF64</f>
        <v>20</v>
      </c>
      <c r="J139" s="380">
        <f>'Таблиця цін схема №2'!EG64</f>
        <v>1</v>
      </c>
      <c r="K139" s="47">
        <f>'Таблиця цін схема №2'!EJ64</f>
        <v>20</v>
      </c>
      <c r="L139" s="380">
        <f>'Таблиця цін схема №2'!EK64</f>
        <v>1</v>
      </c>
      <c r="M139" s="47">
        <f>'Таблиця цін схема №2'!EN64</f>
        <v>20</v>
      </c>
      <c r="N139" s="380">
        <f>'Таблиця цін схема №2'!EO64</f>
        <v>4</v>
      </c>
      <c r="O139" s="47">
        <f>'Таблиця цін схема №2'!ER64</f>
        <v>20</v>
      </c>
      <c r="P139" s="380">
        <f>'Таблиця цін схема №2'!ES64</f>
        <v>1</v>
      </c>
      <c r="Q139" s="47">
        <f>'Таблиця цін схема №2'!EV64</f>
        <v>20</v>
      </c>
      <c r="R139" s="380">
        <f>'Таблиця цін схема №2'!EW64</f>
        <v>1</v>
      </c>
      <c r="S139" s="1127">
        <f>'Таблиця цін схема №2'!EZ64</f>
        <v>9.1569645625611109</v>
      </c>
      <c r="T139" s="379">
        <f>'Таблиця цін схема №2'!FA64</f>
        <v>15</v>
      </c>
      <c r="U139" s="380">
        <f>'Таблиця цін схема №2'!FB64</f>
        <v>2</v>
      </c>
      <c r="V139" s="1129">
        <f>'Таблиця цін схема №2'!FE64</f>
        <v>1.3513513513513513</v>
      </c>
      <c r="W139" s="379">
        <f>'Таблиця цін схема №2'!FF64</f>
        <v>2</v>
      </c>
      <c r="X139" s="379">
        <f>'Таблиця цін схема №2'!FG64</f>
        <v>5</v>
      </c>
      <c r="Y139" s="1144" t="str">
        <f>'Таблиця цін схема №2'!FH64</f>
        <v>Yonos PICO 25/1-8-130</v>
      </c>
      <c r="Z139" s="380">
        <f>'Таблиця цін схема №2'!FI64</f>
        <v>2</v>
      </c>
      <c r="AA139" s="1129">
        <f>'Таблиця цін схема №2'!FL64</f>
        <v>1.7525354969574039E-2</v>
      </c>
      <c r="AB139" s="379">
        <f>'Таблиця цін схема №2'!FM64</f>
        <v>2</v>
      </c>
      <c r="AC139" s="379">
        <f>'Таблиця цін схема №2'!FN64</f>
        <v>6</v>
      </c>
      <c r="AD139" s="1144" t="str">
        <f>'Таблиця цін схема №2'!FO64</f>
        <v>Star-Z 20/7 3- PN 10</v>
      </c>
      <c r="AE139" s="380">
        <f>'Таблиця цін схема №2'!FP64</f>
        <v>1</v>
      </c>
      <c r="AF139" s="47">
        <f>'Таблиця цін схема №2'!FS64</f>
        <v>1.67</v>
      </c>
      <c r="AG139" s="379">
        <f>'Таблиця цін схема №2'!FT64</f>
        <v>15</v>
      </c>
      <c r="AH139" s="380">
        <f>'Таблиця цін схема №2'!FU64</f>
        <v>2</v>
      </c>
      <c r="AI139" s="47">
        <f>'Таблиця цін схема №2'!FX64</f>
        <v>15</v>
      </c>
      <c r="AJ139" s="380">
        <f>'Таблиця цін схема №2'!FY64</f>
        <v>2</v>
      </c>
      <c r="AK139" s="47">
        <f>'Таблиця цін схема №2'!GB64</f>
        <v>15</v>
      </c>
      <c r="AL139" s="379">
        <f>'Таблиця цін схема №2'!GC64</f>
        <v>1.5</v>
      </c>
      <c r="AM139" s="380">
        <f>'Таблиця цін схема №2'!GD64</f>
        <v>1</v>
      </c>
      <c r="AN139" s="47">
        <f>'Таблиця цін схема №2'!GG64</f>
        <v>20</v>
      </c>
      <c r="AO139" s="380">
        <f>'Таблиця цін схема №2'!GH64</f>
        <v>1</v>
      </c>
      <c r="AP139" s="47" t="str">
        <f>'Таблиця цін схема №2'!GK64</f>
        <v>0-150</v>
      </c>
      <c r="AQ139" s="380">
        <f>'Таблиця цін схема №2'!GL64</f>
        <v>1</v>
      </c>
      <c r="AR139" s="47" t="str">
        <f>'Таблиця цін схема №2'!GO64</f>
        <v>0-120</v>
      </c>
      <c r="AS139" s="380">
        <f>'Таблиця цін схема №2'!GP64</f>
        <v>1</v>
      </c>
      <c r="AT139" s="47" t="str">
        <f>'Таблиця цін схема №2'!GS64</f>
        <v>0-1,6</v>
      </c>
      <c r="AU139" s="380">
        <f>'Таблиця цін схема №2'!GT64</f>
        <v>3</v>
      </c>
      <c r="AV139" s="47" t="str">
        <f>'Таблиця цін схема №2'!GW64</f>
        <v>0-1,0</v>
      </c>
      <c r="AW139" s="380">
        <f>'Таблиця цін схема №2'!GX64</f>
        <v>13</v>
      </c>
      <c r="AX139" s="47" t="str">
        <f>'Таблиця цін схема №2'!HA64</f>
        <v>PSM01</v>
      </c>
      <c r="AY139" s="380">
        <f>'Таблиця цін схема №2'!HB64</f>
        <v>4</v>
      </c>
      <c r="AZ139" s="47" t="str">
        <f>'Таблиця цін схема №2'!HE64</f>
        <v>A-10</v>
      </c>
      <c r="BA139" s="380">
        <f>'Таблиця цін схема №2'!HF64</f>
        <v>6</v>
      </c>
      <c r="BB139" s="47" t="str">
        <f>'Таблиця цін схема №2'!HI64</f>
        <v>ТСП 1-5</v>
      </c>
      <c r="BC139" s="380">
        <f>'Таблиця цін схема №2'!HJ64</f>
        <v>7</v>
      </c>
      <c r="BD139" s="47" t="str">
        <f>'Таблиця цін схема №2'!HM64</f>
        <v>ТСП 2-10Г</v>
      </c>
      <c r="BE139" s="380">
        <f>'Таблиця цін схема №2'!HN64</f>
        <v>1</v>
      </c>
    </row>
    <row r="140" spans="1:57">
      <c r="A140" s="73">
        <v>95</v>
      </c>
      <c r="B140" s="1171" t="s">
        <v>881</v>
      </c>
      <c r="C140" s="525">
        <f>'Таблиця цін схема №2'!DT65</f>
        <v>20</v>
      </c>
      <c r="D140" s="380">
        <f>'Таблиця цін схема №2'!DU65</f>
        <v>1</v>
      </c>
      <c r="E140" s="47">
        <f>'Таблиця цін схема №2'!DX65</f>
        <v>32</v>
      </c>
      <c r="F140" s="380">
        <f>'Таблиця цін схема №2'!DY65</f>
        <v>1</v>
      </c>
      <c r="G140" s="47">
        <f>'Таблиця цін схема №2'!EB65</f>
        <v>32</v>
      </c>
      <c r="H140" s="380">
        <f>'Таблиця цін схема №2'!EC65</f>
        <v>2</v>
      </c>
      <c r="I140" s="47">
        <f>'Таблиця цін схема №2'!EF65</f>
        <v>20</v>
      </c>
      <c r="J140" s="380">
        <f>'Таблиця цін схема №2'!EG65</f>
        <v>1</v>
      </c>
      <c r="K140" s="47">
        <f>'Таблиця цін схема №2'!EJ65</f>
        <v>20</v>
      </c>
      <c r="L140" s="380">
        <f>'Таблиця цін схема №2'!EK65</f>
        <v>1</v>
      </c>
      <c r="M140" s="47">
        <f>'Таблиця цін схема №2'!EN65</f>
        <v>32</v>
      </c>
      <c r="N140" s="380">
        <f>'Таблиця цін схема №2'!EO65</f>
        <v>2</v>
      </c>
      <c r="O140" s="47">
        <f>'Таблиця цін схема №2'!ER65</f>
        <v>20</v>
      </c>
      <c r="P140" s="380">
        <f>'Таблиця цін схема №2'!ES65</f>
        <v>1</v>
      </c>
      <c r="Q140" s="47">
        <f>'Таблиця цін схема №2'!EV65</f>
        <v>20</v>
      </c>
      <c r="R140" s="380">
        <f>'Таблиця цін схема №2'!EW65</f>
        <v>1</v>
      </c>
      <c r="S140" s="1127">
        <f>'Таблиця цін схема №2'!EZ65</f>
        <v>12.412799845320958</v>
      </c>
      <c r="T140" s="379">
        <f>'Таблиця цін схема №2'!FA65</f>
        <v>15</v>
      </c>
      <c r="U140" s="380">
        <f>'Таблиця цін схема №2'!FB65</f>
        <v>2</v>
      </c>
      <c r="V140" s="1129">
        <f>'Таблиця цін схема №2'!FE65</f>
        <v>2.4831600831600831</v>
      </c>
      <c r="W140" s="379">
        <f>'Таблиця цін схема №2'!FF65</f>
        <v>5</v>
      </c>
      <c r="X140" s="379">
        <f>'Таблиця цін схема №2'!FG65</f>
        <v>8</v>
      </c>
      <c r="Y140" s="1144" t="str">
        <f>'Таблиця цін схема №2'!FH65</f>
        <v>Yonos MAXO 25/0,5-10 PN 10</v>
      </c>
      <c r="Z140" s="380">
        <f>'Таблиця цін схема №2'!FI65</f>
        <v>2</v>
      </c>
      <c r="AA140" s="1129">
        <f>'Таблиця цін схема №2'!FL65</f>
        <v>0.18255578093306288</v>
      </c>
      <c r="AB140" s="379">
        <f>'Таблиця цін схема №2'!FM65</f>
        <v>5</v>
      </c>
      <c r="AC140" s="379">
        <f>'Таблиця цін схема №2'!FN65</f>
        <v>6</v>
      </c>
      <c r="AD140" s="1144" t="str">
        <f>'Таблиця цін схема №2'!FO65</f>
        <v>Star-Z 20/7 3- PN 10</v>
      </c>
      <c r="AE140" s="380">
        <f>'Таблиця цін схема №2'!FP65</f>
        <v>1</v>
      </c>
      <c r="AF140" s="47">
        <f>'Таблиця цін схема №2'!FS65</f>
        <v>5.83</v>
      </c>
      <c r="AG140" s="379">
        <f>'Таблиця цін схема №2'!FT65</f>
        <v>25</v>
      </c>
      <c r="AH140" s="517" t="s">
        <v>115</v>
      </c>
      <c r="AI140" s="47">
        <f>'Таблиця цін схема №2'!FX65</f>
        <v>15</v>
      </c>
      <c r="AJ140" s="380">
        <f>'Таблиця цін схема №2'!FY65</f>
        <v>2</v>
      </c>
      <c r="AK140" s="47">
        <f>'Таблиця цін схема №2'!GB65</f>
        <v>15</v>
      </c>
      <c r="AL140" s="379">
        <f>'Таблиця цін схема №2'!GC65</f>
        <v>1.5</v>
      </c>
      <c r="AM140" s="380">
        <f>'Таблиця цін схема №2'!GD65</f>
        <v>1</v>
      </c>
      <c r="AN140" s="47">
        <f>'Таблиця цін схема №2'!GG65</f>
        <v>20</v>
      </c>
      <c r="AO140" s="380">
        <f>'Таблиця цін схема №2'!GH65</f>
        <v>1</v>
      </c>
      <c r="AP140" s="47" t="str">
        <f>'Таблиця цін схема №2'!GK65</f>
        <v>0-150</v>
      </c>
      <c r="AQ140" s="380">
        <f>'Таблиця цін схема №2'!GL65</f>
        <v>1</v>
      </c>
      <c r="AR140" s="47" t="str">
        <f>'Таблиця цін схема №2'!GO65</f>
        <v>0-120</v>
      </c>
      <c r="AS140" s="380">
        <f>'Таблиця цін схема №2'!GP65</f>
        <v>1</v>
      </c>
      <c r="AT140" s="47" t="str">
        <f>'Таблиця цін схема №2'!GS65</f>
        <v>0-1,6</v>
      </c>
      <c r="AU140" s="380">
        <f>'Таблиця цін схема №2'!GT65</f>
        <v>3</v>
      </c>
      <c r="AV140" s="47" t="str">
        <f>'Таблиця цін схема №2'!GW65</f>
        <v>0-1,0</v>
      </c>
      <c r="AW140" s="380">
        <f>'Таблиця цін схема №2'!GX65</f>
        <v>11</v>
      </c>
      <c r="AX140" s="47" t="str">
        <f>'Таблиця цін схема №2'!HA65</f>
        <v>PSM01</v>
      </c>
      <c r="AY140" s="380">
        <f>'Таблиця цін схема №2'!HB65</f>
        <v>4</v>
      </c>
      <c r="AZ140" s="47" t="str">
        <f>'Таблиця цін схема №2'!HE65</f>
        <v>A-10</v>
      </c>
      <c r="BA140" s="380">
        <f>'Таблиця цін схема №2'!HF65</f>
        <v>6</v>
      </c>
      <c r="BB140" s="47" t="str">
        <f>'Таблиця цін схема №2'!HI65</f>
        <v>ТСП 1-5</v>
      </c>
      <c r="BC140" s="380">
        <f>'Таблиця цін схема №2'!HJ65</f>
        <v>7</v>
      </c>
      <c r="BD140" s="47" t="str">
        <f>'Таблиця цін схема №2'!HM65</f>
        <v>ТСП 2-10Г</v>
      </c>
      <c r="BE140" s="380">
        <f>'Таблиця цін схема №2'!HN65</f>
        <v>1</v>
      </c>
    </row>
    <row r="141" spans="1:57">
      <c r="A141" s="73">
        <v>96</v>
      </c>
      <c r="B141" s="1171" t="s">
        <v>882</v>
      </c>
      <c r="C141" s="525">
        <f>'Таблиця цін схема №2'!DT66</f>
        <v>20</v>
      </c>
      <c r="D141" s="380">
        <f>'Таблиця цін схема №2'!DU66</f>
        <v>1</v>
      </c>
      <c r="E141" s="47">
        <f>'Таблиця цін схема №2'!DX66</f>
        <v>50</v>
      </c>
      <c r="F141" s="380">
        <f>'Таблиця цін схема №2'!DY66</f>
        <v>1</v>
      </c>
      <c r="G141" s="47">
        <f>'Таблиця цін схема №2'!EB66</f>
        <v>50</v>
      </c>
      <c r="H141" s="380">
        <f>'Таблиця цін схема №2'!EC66</f>
        <v>2</v>
      </c>
      <c r="I141" s="47">
        <f>'Таблиця цін схема №2'!EF66</f>
        <v>32</v>
      </c>
      <c r="J141" s="380">
        <f>'Таблиця цін схема №2'!EG66</f>
        <v>1</v>
      </c>
      <c r="K141" s="47">
        <f>'Таблиця цін схема №2'!EJ66</f>
        <v>20</v>
      </c>
      <c r="L141" s="380">
        <f>'Таблиця цін схема №2'!EK66</f>
        <v>1</v>
      </c>
      <c r="M141" s="47">
        <f>'Таблиця цін схема №2'!EN66</f>
        <v>50</v>
      </c>
      <c r="N141" s="380">
        <f>'Таблиця цін схема №2'!EO66</f>
        <v>2</v>
      </c>
      <c r="O141" s="47">
        <f>'Таблиця цін схема №2'!ER66</f>
        <v>32</v>
      </c>
      <c r="P141" s="380">
        <f>'Таблиця цін схема №2'!ES66</f>
        <v>1</v>
      </c>
      <c r="Q141" s="47">
        <f>'Таблиця цін схема №2'!EV66</f>
        <v>20</v>
      </c>
      <c r="R141" s="380">
        <f>'Таблиця цін схема №2'!EW66</f>
        <v>1</v>
      </c>
      <c r="S141" s="1127">
        <f>'Таблиця цін схема №2'!EZ66</f>
        <v>21.489997673336308</v>
      </c>
      <c r="T141" s="379">
        <f>'Таблиця цін схема №2'!FA66</f>
        <v>25</v>
      </c>
      <c r="U141" s="380">
        <f>'Таблиця цін схема №2'!FB66</f>
        <v>2</v>
      </c>
      <c r="V141" s="1129">
        <f>'Таблиця цін схема №2'!FE66</f>
        <v>7.4428274428274426</v>
      </c>
      <c r="W141" s="379">
        <f>'Таблиця цін схема №2'!FF66</f>
        <v>5</v>
      </c>
      <c r="X141" s="379">
        <f>'Таблиця цін схема №2'!FG66</f>
        <v>8</v>
      </c>
      <c r="Y141" s="1144" t="str">
        <f>'Таблиця цін схема №2'!FH66</f>
        <v>Yonos MAXO 25/0,5-12 PN 10</v>
      </c>
      <c r="Z141" s="380">
        <f>'Таблиця цін схема №2'!FI66</f>
        <v>2</v>
      </c>
      <c r="AA141" s="1129">
        <f>'Таблиця цін схема №2'!FL66</f>
        <v>0.59634888438133871</v>
      </c>
      <c r="AB141" s="379">
        <f>'Таблиця цін схема №2'!FM66</f>
        <v>5</v>
      </c>
      <c r="AC141" s="379">
        <f>'Таблиця цін схема №2'!FN66</f>
        <v>6</v>
      </c>
      <c r="AD141" s="1144" t="str">
        <f>'Таблиця цін схема №2'!FO66</f>
        <v>Star-Z 20/7 3- PN 10</v>
      </c>
      <c r="AE141" s="380">
        <f>'Таблиця цін схема №2'!FP66</f>
        <v>1</v>
      </c>
      <c r="AF141" s="47">
        <f>'Таблиця цін схема №2'!FS66</f>
        <v>22.36</v>
      </c>
      <c r="AG141" s="379">
        <f>'Таблиця цін схема №2'!FT66</f>
        <v>40</v>
      </c>
      <c r="AH141" s="517" t="s">
        <v>115</v>
      </c>
      <c r="AI141" s="47">
        <f>'Таблиця цін схема №2'!FX66</f>
        <v>15</v>
      </c>
      <c r="AJ141" s="380">
        <f>'Таблиця цін схема №2'!FY66</f>
        <v>2</v>
      </c>
      <c r="AK141" s="47">
        <f>'Таблиця цін схема №2'!GB66</f>
        <v>20</v>
      </c>
      <c r="AL141" s="379">
        <f>'Таблиця цін схема №2'!GC66</f>
        <v>2.5</v>
      </c>
      <c r="AM141" s="380">
        <f>'Таблиця цін схема №2'!GD66</f>
        <v>1</v>
      </c>
      <c r="AN141" s="47">
        <f>'Таблиця цін схема №2'!GG66</f>
        <v>32</v>
      </c>
      <c r="AO141" s="380">
        <f>'Таблиця цін схема №2'!GH66</f>
        <v>1</v>
      </c>
      <c r="AP141" s="47" t="str">
        <f>'Таблиця цін схема №2'!GK66</f>
        <v>0-150</v>
      </c>
      <c r="AQ141" s="380">
        <f>'Таблиця цін схема №2'!GL66</f>
        <v>1</v>
      </c>
      <c r="AR141" s="47" t="str">
        <f>'Таблиця цін схема №2'!GO66</f>
        <v>0-120</v>
      </c>
      <c r="AS141" s="380">
        <f>'Таблиця цін схема №2'!GP66</f>
        <v>1</v>
      </c>
      <c r="AT141" s="47" t="str">
        <f>'Таблиця цін схема №2'!GS66</f>
        <v>0-1,6</v>
      </c>
      <c r="AU141" s="380">
        <f>'Таблиця цін схема №2'!GT66</f>
        <v>3</v>
      </c>
      <c r="AV141" s="47" t="str">
        <f>'Таблиця цін схема №2'!GW66</f>
        <v>0-1,0</v>
      </c>
      <c r="AW141" s="380">
        <f>'Таблиця цін схема №2'!GX66</f>
        <v>11</v>
      </c>
      <c r="AX141" s="47" t="str">
        <f>'Таблиця цін схема №2'!HA66</f>
        <v>PSM01</v>
      </c>
      <c r="AY141" s="380">
        <f>'Таблиця цін схема №2'!HB66</f>
        <v>4</v>
      </c>
      <c r="AZ141" s="47" t="str">
        <f>'Таблиця цін схема №2'!HE66</f>
        <v>A-10</v>
      </c>
      <c r="BA141" s="380">
        <f>'Таблиця цін схема №2'!HF66</f>
        <v>6</v>
      </c>
      <c r="BB141" s="47" t="str">
        <f>'Таблиця цін схема №2'!HI66</f>
        <v>ТСП 1-5</v>
      </c>
      <c r="BC141" s="380">
        <f>'Таблиця цін схема №2'!HJ66</f>
        <v>7</v>
      </c>
      <c r="BD141" s="47" t="str">
        <f>'Таблиця цін схема №2'!HM66</f>
        <v>ТСП 2-10Г</v>
      </c>
      <c r="BE141" s="380">
        <f>'Таблиця цін схема №2'!HN66</f>
        <v>1</v>
      </c>
    </row>
    <row r="142" spans="1:57">
      <c r="A142" s="73">
        <v>97</v>
      </c>
      <c r="B142" s="1171" t="s">
        <v>883</v>
      </c>
      <c r="C142" s="525">
        <f>'Таблиця цін схема №2'!DT67</f>
        <v>20</v>
      </c>
      <c r="D142" s="380">
        <f>'Таблиця цін схема №2'!DU67</f>
        <v>1</v>
      </c>
      <c r="E142" s="47">
        <f>'Таблиця цін схема №2'!DX67</f>
        <v>40</v>
      </c>
      <c r="F142" s="380">
        <f>'Таблиця цін схема №2'!DY67</f>
        <v>1</v>
      </c>
      <c r="G142" s="47">
        <f>'Таблиця цін схема №2'!EB67</f>
        <v>40</v>
      </c>
      <c r="H142" s="380">
        <f>'Таблиця цін схема №2'!EC67</f>
        <v>2</v>
      </c>
      <c r="I142" s="47">
        <f>'Таблиця цін схема №2'!EF67</f>
        <v>25</v>
      </c>
      <c r="J142" s="380">
        <f>'Таблиця цін схема №2'!EG67</f>
        <v>1</v>
      </c>
      <c r="K142" s="47">
        <f>'Таблиця цін схема №2'!EJ67</f>
        <v>20</v>
      </c>
      <c r="L142" s="380">
        <f>'Таблиця цін схема №2'!EK67</f>
        <v>1</v>
      </c>
      <c r="M142" s="47">
        <f>'Таблиця цін схема №2'!EN67</f>
        <v>32</v>
      </c>
      <c r="N142" s="380">
        <f>'Таблиця цін схема №2'!EO67</f>
        <v>4</v>
      </c>
      <c r="O142" s="47">
        <f>'Таблиця цін схема №2'!ER67</f>
        <v>25</v>
      </c>
      <c r="P142" s="380">
        <f>'Таблиця цін схема №2'!ES67</f>
        <v>1</v>
      </c>
      <c r="Q142" s="47">
        <f>'Таблиця цін схема №2'!EV67</f>
        <v>20</v>
      </c>
      <c r="R142" s="380">
        <f>'Таблиця цін схема №2'!EW67</f>
        <v>1</v>
      </c>
      <c r="S142" s="1127">
        <f>'Таблиця цін схема №2'!EZ67</f>
        <v>15.195723082499233</v>
      </c>
      <c r="T142" s="379">
        <f>'Таблиця цін схема №2'!FA67</f>
        <v>15</v>
      </c>
      <c r="U142" s="380">
        <f>'Таблиця цін схема №2'!FB67</f>
        <v>2</v>
      </c>
      <c r="V142" s="1129">
        <f>'Таблиця цін схема №2'!FE67</f>
        <v>3.7214137214137213</v>
      </c>
      <c r="W142" s="379">
        <f>'Таблиця цін схема №2'!FF67</f>
        <v>5</v>
      </c>
      <c r="X142" s="379">
        <f>'Таблиця цін схема №2'!FG67</f>
        <v>8</v>
      </c>
      <c r="Y142" s="1144" t="str">
        <f>'Таблиця цін схема №2'!FH67</f>
        <v>Yonos MAXO 25/0,5-10 PN 10</v>
      </c>
      <c r="Z142" s="380">
        <f>'Таблиця цін схема №2'!FI67</f>
        <v>2</v>
      </c>
      <c r="AA142" s="1129">
        <f>'Таблиця цін схема №2'!FL67</f>
        <v>0.29817444219066935</v>
      </c>
      <c r="AB142" s="379">
        <f>'Таблиця цін схема №2'!FM67</f>
        <v>5</v>
      </c>
      <c r="AC142" s="379">
        <f>'Таблиця цін схема №2'!FN67</f>
        <v>6</v>
      </c>
      <c r="AD142" s="1144" t="str">
        <f>'Таблиця цін схема №2'!FO67</f>
        <v>Star-Z 20/7 3- PN 10</v>
      </c>
      <c r="AE142" s="380">
        <f>'Таблиця цін схема №2'!FP67</f>
        <v>1</v>
      </c>
      <c r="AF142" s="47">
        <f>'Таблиця цін схема №2'!FS67</f>
        <v>3.25</v>
      </c>
      <c r="AG142" s="379">
        <f>'Таблиця цін схема №2'!FT67</f>
        <v>20</v>
      </c>
      <c r="AH142" s="380">
        <f>'Таблиця цін схема №2'!FU67</f>
        <v>2</v>
      </c>
      <c r="AI142" s="47">
        <f>'Таблиця цін схема №2'!FX67</f>
        <v>15</v>
      </c>
      <c r="AJ142" s="380">
        <f>'Таблиця цін схема №2'!FY67</f>
        <v>2</v>
      </c>
      <c r="AK142" s="47">
        <f>'Таблиця цін схема №2'!GB67</f>
        <v>15</v>
      </c>
      <c r="AL142" s="379">
        <f>'Таблиця цін схема №2'!GC67</f>
        <v>1.5</v>
      </c>
      <c r="AM142" s="380">
        <f>'Таблиця цін схема №2'!GD67</f>
        <v>1</v>
      </c>
      <c r="AN142" s="47">
        <f>'Таблиця цін схема №2'!GG67</f>
        <v>25</v>
      </c>
      <c r="AO142" s="380">
        <f>'Таблиця цін схема №2'!GH67</f>
        <v>1</v>
      </c>
      <c r="AP142" s="47" t="str">
        <f>'Таблиця цін схема №2'!GK67</f>
        <v>0-150</v>
      </c>
      <c r="AQ142" s="380">
        <f>'Таблиця цін схема №2'!GL67</f>
        <v>1</v>
      </c>
      <c r="AR142" s="47" t="str">
        <f>'Таблиця цін схема №2'!GO67</f>
        <v>0-120</v>
      </c>
      <c r="AS142" s="380">
        <f>'Таблиця цін схема №2'!GP67</f>
        <v>1</v>
      </c>
      <c r="AT142" s="47" t="str">
        <f>'Таблиця цін схема №2'!GS67</f>
        <v>0-1,6</v>
      </c>
      <c r="AU142" s="380">
        <f>'Таблиця цін схема №2'!GT67</f>
        <v>3</v>
      </c>
      <c r="AV142" s="47" t="str">
        <f>'Таблиця цін схема №2'!GW67</f>
        <v>0-1,0</v>
      </c>
      <c r="AW142" s="380">
        <f>'Таблиця цін схема №2'!GX67</f>
        <v>13</v>
      </c>
      <c r="AX142" s="47" t="str">
        <f>'Таблиця цін схема №2'!HA67</f>
        <v>PSM01</v>
      </c>
      <c r="AY142" s="380">
        <f>'Таблиця цін схема №2'!HB67</f>
        <v>4</v>
      </c>
      <c r="AZ142" s="47" t="str">
        <f>'Таблиця цін схема №2'!HE67</f>
        <v>A-10</v>
      </c>
      <c r="BA142" s="380">
        <f>'Таблиця цін схема №2'!HF67</f>
        <v>6</v>
      </c>
      <c r="BB142" s="47" t="str">
        <f>'Таблиця цін схема №2'!HI67</f>
        <v>ТСП 1-5</v>
      </c>
      <c r="BC142" s="380">
        <f>'Таблиця цін схема №2'!HJ67</f>
        <v>7</v>
      </c>
      <c r="BD142" s="47" t="str">
        <f>'Таблиця цін схема №2'!HM67</f>
        <v>ТСП 2-10Г</v>
      </c>
      <c r="BE142" s="380">
        <f>'Таблиця цін схема №2'!HN67</f>
        <v>1</v>
      </c>
    </row>
    <row r="143" spans="1:57">
      <c r="A143" s="73">
        <v>98</v>
      </c>
      <c r="B143" s="1171" t="s">
        <v>884</v>
      </c>
      <c r="C143" s="525">
        <f>'Таблиця цін схема №2'!DT68</f>
        <v>20</v>
      </c>
      <c r="D143" s="380">
        <f>'Таблиця цін схема №2'!DU68</f>
        <v>1</v>
      </c>
      <c r="E143" s="47">
        <f>'Таблиця цін схема №2'!DX68</f>
        <v>32</v>
      </c>
      <c r="F143" s="380">
        <f>'Таблиця цін схема №2'!DY68</f>
        <v>1</v>
      </c>
      <c r="G143" s="47">
        <f>'Таблиця цін схема №2'!EB68</f>
        <v>32</v>
      </c>
      <c r="H143" s="380">
        <f>'Таблиця цін схема №2'!EC68</f>
        <v>2</v>
      </c>
      <c r="I143" s="47">
        <f>'Таблиця цін схема №2'!EF68</f>
        <v>20</v>
      </c>
      <c r="J143" s="380">
        <f>'Таблиця цін схема №2'!EG68</f>
        <v>1</v>
      </c>
      <c r="K143" s="47">
        <f>'Таблиця цін схема №2'!EJ68</f>
        <v>20</v>
      </c>
      <c r="L143" s="380">
        <f>'Таблиця цін схема №2'!EK68</f>
        <v>1</v>
      </c>
      <c r="M143" s="47">
        <f>'Таблиця цін схема №2'!EN68</f>
        <v>20</v>
      </c>
      <c r="N143" s="380">
        <f>'Таблиця цін схема №2'!EO68</f>
        <v>4</v>
      </c>
      <c r="O143" s="47">
        <f>'Таблиця цін схема №2'!ER68</f>
        <v>20</v>
      </c>
      <c r="P143" s="380">
        <f>'Таблиця цін схема №2'!ES68</f>
        <v>1</v>
      </c>
      <c r="Q143" s="47">
        <f>'Таблиця цін схема №2'!EV68</f>
        <v>20</v>
      </c>
      <c r="R143" s="380">
        <f>'Таблиця цін схема №2'!EW68</f>
        <v>1</v>
      </c>
      <c r="S143" s="1127">
        <f>'Таблиця цін схема №2'!EZ68</f>
        <v>11.553752637130501</v>
      </c>
      <c r="T143" s="379">
        <f>'Таблиця цін схема №2'!FA68</f>
        <v>15</v>
      </c>
      <c r="U143" s="380">
        <f>'Таблиця цін схема №2'!FB68</f>
        <v>2</v>
      </c>
      <c r="V143" s="1129">
        <f>'Таблиця цін схема №2'!FE68</f>
        <v>2.1513513513513516</v>
      </c>
      <c r="W143" s="379">
        <f>'Таблиця цін схема №2'!FF68</f>
        <v>3</v>
      </c>
      <c r="X143" s="379">
        <f>'Таблиця цін схема №2'!FG68</f>
        <v>5</v>
      </c>
      <c r="Y143" s="1144" t="str">
        <f>'Таблиця цін схема №2'!FH68</f>
        <v>Yonos PICO 25/1-8-130</v>
      </c>
      <c r="Z143" s="380">
        <f>'Таблиця цін схема №2'!FI68</f>
        <v>2</v>
      </c>
      <c r="AA143" s="1129">
        <f>'Таблиця цін схема №2'!FL68</f>
        <v>0.2129817444219067</v>
      </c>
      <c r="AB143" s="379">
        <f>'Таблиця цін схема №2'!FM68</f>
        <v>3</v>
      </c>
      <c r="AC143" s="379">
        <f>'Таблиця цін схема №2'!FN68</f>
        <v>6</v>
      </c>
      <c r="AD143" s="1144" t="str">
        <f>'Таблиця цін схема №2'!FO68</f>
        <v>Star-Z 20/7 3- PN 10</v>
      </c>
      <c r="AE143" s="380">
        <f>'Таблиця цін схема №2'!FP68</f>
        <v>1</v>
      </c>
      <c r="AF143" s="47">
        <f>'Таблиця цін схема №2'!FS68</f>
        <v>3.25</v>
      </c>
      <c r="AG143" s="379">
        <f>'Таблиця цін схема №2'!FT68</f>
        <v>20</v>
      </c>
      <c r="AH143" s="380">
        <f>'Таблиця цін схема №2'!FU68</f>
        <v>2</v>
      </c>
      <c r="AI143" s="47">
        <f>'Таблиця цін схема №2'!FX68</f>
        <v>15</v>
      </c>
      <c r="AJ143" s="380">
        <f>'Таблиця цін схема №2'!FY68</f>
        <v>2</v>
      </c>
      <c r="AK143" s="47">
        <f>'Таблиця цін схема №2'!GB68</f>
        <v>15</v>
      </c>
      <c r="AL143" s="379">
        <f>'Таблиця цін схема №2'!GC68</f>
        <v>1.5</v>
      </c>
      <c r="AM143" s="380">
        <f>'Таблиця цін схема №2'!GD68</f>
        <v>1</v>
      </c>
      <c r="AN143" s="47">
        <f>'Таблиця цін схема №2'!GG68</f>
        <v>20</v>
      </c>
      <c r="AO143" s="380">
        <f>'Таблиця цін схема №2'!GH68</f>
        <v>1</v>
      </c>
      <c r="AP143" s="47" t="str">
        <f>'Таблиця цін схема №2'!GK68</f>
        <v>0-150</v>
      </c>
      <c r="AQ143" s="380">
        <f>'Таблиця цін схема №2'!GL68</f>
        <v>1</v>
      </c>
      <c r="AR143" s="47" t="str">
        <f>'Таблиця цін схема №2'!GO68</f>
        <v>0-120</v>
      </c>
      <c r="AS143" s="380">
        <f>'Таблиця цін схема №2'!GP68</f>
        <v>1</v>
      </c>
      <c r="AT143" s="47" t="str">
        <f>'Таблиця цін схема №2'!GS68</f>
        <v>0-1,6</v>
      </c>
      <c r="AU143" s="380">
        <f>'Таблиця цін схема №2'!GT68</f>
        <v>3</v>
      </c>
      <c r="AV143" s="47" t="str">
        <f>'Таблиця цін схема №2'!GW68</f>
        <v>0-1,0</v>
      </c>
      <c r="AW143" s="380">
        <f>'Таблиця цін схема №2'!GX68</f>
        <v>13</v>
      </c>
      <c r="AX143" s="47" t="str">
        <f>'Таблиця цін схема №2'!HA68</f>
        <v>PSM01</v>
      </c>
      <c r="AY143" s="380">
        <f>'Таблиця цін схема №2'!HB68</f>
        <v>4</v>
      </c>
      <c r="AZ143" s="47" t="str">
        <f>'Таблиця цін схема №2'!HE68</f>
        <v>A-10</v>
      </c>
      <c r="BA143" s="380">
        <f>'Таблиця цін схема №2'!HF68</f>
        <v>6</v>
      </c>
      <c r="BB143" s="47" t="str">
        <f>'Таблиця цін схема №2'!HI68</f>
        <v>ТСП 1-5</v>
      </c>
      <c r="BC143" s="380">
        <f>'Таблиця цін схема №2'!HJ68</f>
        <v>7</v>
      </c>
      <c r="BD143" s="47" t="str">
        <f>'Таблиця цін схема №2'!HM68</f>
        <v>ТСП 2-10Г</v>
      </c>
      <c r="BE143" s="380">
        <f>'Таблиця цін схема №2'!HN68</f>
        <v>1</v>
      </c>
    </row>
    <row r="144" spans="1:57">
      <c r="A144" s="73">
        <v>99</v>
      </c>
      <c r="B144" s="1171" t="s">
        <v>885</v>
      </c>
      <c r="C144" s="525">
        <f>'Таблиця цін схема №2'!DT69</f>
        <v>20</v>
      </c>
      <c r="D144" s="380">
        <f>'Таблиця цін схема №2'!DU69</f>
        <v>1</v>
      </c>
      <c r="E144" s="47">
        <f>'Таблиця цін схема №2'!DX69</f>
        <v>32</v>
      </c>
      <c r="F144" s="380">
        <f>'Таблиця цін схема №2'!DY69</f>
        <v>1</v>
      </c>
      <c r="G144" s="47">
        <f>'Таблиця цін схема №2'!EB69</f>
        <v>32</v>
      </c>
      <c r="H144" s="380">
        <f>'Таблиця цін схема №2'!EC69</f>
        <v>2</v>
      </c>
      <c r="I144" s="47">
        <f>'Таблиця цін схема №2'!EF69</f>
        <v>20</v>
      </c>
      <c r="J144" s="380">
        <f>'Таблиця цін схема №2'!EG69</f>
        <v>1</v>
      </c>
      <c r="K144" s="47">
        <f>'Таблиця цін схема №2'!EJ69</f>
        <v>20</v>
      </c>
      <c r="L144" s="380">
        <f>'Таблиця цін схема №2'!EK69</f>
        <v>1</v>
      </c>
      <c r="M144" s="47">
        <f>'Таблиця цін схема №2'!EN69</f>
        <v>20</v>
      </c>
      <c r="N144" s="380">
        <f>'Таблиця цін схема №2'!EO69</f>
        <v>4</v>
      </c>
      <c r="O144" s="47">
        <f>'Таблиця цін схема №2'!ER69</f>
        <v>20</v>
      </c>
      <c r="P144" s="380">
        <f>'Таблиця цін схема №2'!ES69</f>
        <v>1</v>
      </c>
      <c r="Q144" s="47">
        <f>'Таблиця цін схема №2'!EV69</f>
        <v>20</v>
      </c>
      <c r="R144" s="380">
        <f>'Таблиця цін схема №2'!EW69</f>
        <v>1</v>
      </c>
      <c r="S144" s="1127">
        <f>'Таблиця цін схема №2'!EZ69</f>
        <v>11.758494801631711</v>
      </c>
      <c r="T144" s="379">
        <f>'Таблиця цін схема №2'!FA69</f>
        <v>15</v>
      </c>
      <c r="U144" s="380">
        <f>'Таблиця цін схема №2'!FB69</f>
        <v>2</v>
      </c>
      <c r="V144" s="1129">
        <f>'Таблиця цін схема №2'!FE69</f>
        <v>2.2282744282744282</v>
      </c>
      <c r="W144" s="379">
        <f>'Таблиця цін схема №2'!FF69</f>
        <v>3</v>
      </c>
      <c r="X144" s="379">
        <f>'Таблиця цін схема №2'!FG69</f>
        <v>5</v>
      </c>
      <c r="Y144" s="1144" t="str">
        <f>'Таблиця цін схема №2'!FH69</f>
        <v>Yonos PICO 25/1-8-130</v>
      </c>
      <c r="Z144" s="380">
        <f>'Таблиця цін схема №2'!FI69</f>
        <v>2</v>
      </c>
      <c r="AA144" s="1129">
        <f>'Таблиця цін схема №2'!FL69</f>
        <v>0.10953346855983773</v>
      </c>
      <c r="AB144" s="379">
        <f>'Таблиця цін схема №2'!FM69</f>
        <v>3</v>
      </c>
      <c r="AC144" s="379">
        <f>'Таблиця цін схема №2'!FN69</f>
        <v>6</v>
      </c>
      <c r="AD144" s="1144" t="str">
        <f>'Таблиця цін схема №2'!FO69</f>
        <v>Star-Z 20/7 3- PN 10</v>
      </c>
      <c r="AE144" s="380">
        <f>'Таблиця цін схема №2'!FP69</f>
        <v>1</v>
      </c>
      <c r="AF144" s="47">
        <f>'Таблиця цін схема №2'!FS69</f>
        <v>3.25</v>
      </c>
      <c r="AG144" s="379">
        <f>'Таблиця цін схема №2'!FT69</f>
        <v>20</v>
      </c>
      <c r="AH144" s="380">
        <f>'Таблиця цін схема №2'!FU69</f>
        <v>2</v>
      </c>
      <c r="AI144" s="47">
        <f>'Таблиця цін схема №2'!FX69</f>
        <v>15</v>
      </c>
      <c r="AJ144" s="380">
        <f>'Таблиця цін схема №2'!FY69</f>
        <v>2</v>
      </c>
      <c r="AK144" s="47">
        <f>'Таблиця цін схема №2'!GB69</f>
        <v>15</v>
      </c>
      <c r="AL144" s="379">
        <f>'Таблиця цін схема №2'!GC69</f>
        <v>1.5</v>
      </c>
      <c r="AM144" s="380">
        <f>'Таблиця цін схема №2'!GD69</f>
        <v>1</v>
      </c>
      <c r="AN144" s="47">
        <f>'Таблиця цін схема №2'!GG69</f>
        <v>20</v>
      </c>
      <c r="AO144" s="380">
        <f>'Таблиця цін схема №2'!GH69</f>
        <v>1</v>
      </c>
      <c r="AP144" s="47" t="str">
        <f>'Таблиця цін схема №2'!GK69</f>
        <v>0-150</v>
      </c>
      <c r="AQ144" s="380">
        <f>'Таблиця цін схема №2'!GL69</f>
        <v>1</v>
      </c>
      <c r="AR144" s="47" t="str">
        <f>'Таблиця цін схема №2'!GO69</f>
        <v>0-120</v>
      </c>
      <c r="AS144" s="380">
        <f>'Таблиця цін схема №2'!GP69</f>
        <v>5</v>
      </c>
      <c r="AT144" s="47" t="str">
        <f>'Таблиця цін схема №2'!GS69</f>
        <v>0-1,6</v>
      </c>
      <c r="AU144" s="380">
        <f>'Таблиця цін схема №2'!GT69</f>
        <v>5</v>
      </c>
      <c r="AV144" s="47" t="str">
        <f>'Таблиця цін схема №2'!GW69</f>
        <v>0-1,0</v>
      </c>
      <c r="AW144" s="380">
        <f>'Таблиця цін схема №2'!GX69</f>
        <v>13</v>
      </c>
      <c r="AX144" s="47" t="str">
        <f>'Таблиця цін схема №2'!HA69</f>
        <v>PSM01</v>
      </c>
      <c r="AY144" s="380">
        <f>'Таблиця цін схема №2'!HB69</f>
        <v>4</v>
      </c>
      <c r="AZ144" s="47" t="str">
        <f>'Таблиця цін схема №2'!HE69</f>
        <v>A-10</v>
      </c>
      <c r="BA144" s="380">
        <f>'Таблиця цін схема №2'!HF69</f>
        <v>6</v>
      </c>
      <c r="BB144" s="47" t="str">
        <f>'Таблиця цін схема №2'!HI69</f>
        <v>ТСП 1-5</v>
      </c>
      <c r="BC144" s="380">
        <f>'Таблиця цін схема №2'!HJ69</f>
        <v>7</v>
      </c>
      <c r="BD144" s="47" t="str">
        <f>'Таблиця цін схема №2'!HM69</f>
        <v>ТСП 2-10Г</v>
      </c>
      <c r="BE144" s="380">
        <f>'Таблиця цін схема №2'!HN69</f>
        <v>1</v>
      </c>
    </row>
    <row r="145" spans="1:57">
      <c r="A145" s="73">
        <v>100</v>
      </c>
      <c r="B145" s="1171" t="s">
        <v>942</v>
      </c>
      <c r="C145" s="525">
        <f>'Таблиця цін схема №2'!DT70</f>
        <v>20</v>
      </c>
      <c r="D145" s="380">
        <f>'Таблиця цін схема №2'!DU70</f>
        <v>1</v>
      </c>
      <c r="E145" s="47">
        <f>'Таблиця цін схема №2'!DX70</f>
        <v>32</v>
      </c>
      <c r="F145" s="380">
        <f>'Таблиця цін схема №2'!DY70</f>
        <v>1</v>
      </c>
      <c r="G145" s="47">
        <f>'Таблиця цін схема №2'!EB70</f>
        <v>32</v>
      </c>
      <c r="H145" s="380">
        <f>'Таблиця цін схема №2'!EC70</f>
        <v>2</v>
      </c>
      <c r="I145" s="47">
        <f>'Таблиця цін схема №2'!EF70</f>
        <v>20</v>
      </c>
      <c r="J145" s="380">
        <f>'Таблиця цін схема №2'!EG70</f>
        <v>1</v>
      </c>
      <c r="K145" s="47">
        <f>'Таблиця цін схема №2'!EJ70</f>
        <v>20</v>
      </c>
      <c r="L145" s="380">
        <f>'Таблиця цін схема №2'!EK70</f>
        <v>1</v>
      </c>
      <c r="M145" s="47">
        <f>'Таблиця цін схема №2'!EN70</f>
        <v>32</v>
      </c>
      <c r="N145" s="380">
        <f>'Таблиця цін схема №2'!EO70</f>
        <v>2</v>
      </c>
      <c r="O145" s="47">
        <f>'Таблиця цін схема №2'!ER70</f>
        <v>20</v>
      </c>
      <c r="P145" s="380">
        <f>'Таблиця цін схема №2'!ES70</f>
        <v>1</v>
      </c>
      <c r="Q145" s="47">
        <f>'Таблиця цін схема №2'!EV70</f>
        <v>20</v>
      </c>
      <c r="R145" s="380">
        <f>'Таблиця цін схема №2'!EW70</f>
        <v>1</v>
      </c>
      <c r="S145" s="1127">
        <f>'Таблиця цін схема №2'!EZ70</f>
        <v>11.660445960596874</v>
      </c>
      <c r="T145" s="379">
        <f>'Таблиця цін схема №2'!FA70</f>
        <v>15</v>
      </c>
      <c r="U145" s="380">
        <f>'Таблиця цін схема №2'!FB70</f>
        <v>2</v>
      </c>
      <c r="V145" s="1129">
        <f>'Таблиця цін схема №2'!FE70</f>
        <v>2.1912681912681911</v>
      </c>
      <c r="W145" s="379">
        <f>'Таблиця цін схема №2'!FF70</f>
        <v>2</v>
      </c>
      <c r="X145" s="379">
        <f>'Таблиця цін схема №2'!FG70</f>
        <v>5</v>
      </c>
      <c r="Y145" s="1144" t="str">
        <f>'Таблиця цін схема №2'!FH70</f>
        <v>Yonos PICO 25/1-8-130</v>
      </c>
      <c r="Z145" s="380">
        <f>'Таблиця цін схема №2'!FI70</f>
        <v>2</v>
      </c>
      <c r="AA145" s="1129">
        <f>'Таблиця цін схема №2'!FL70</f>
        <v>0.18255578093306288</v>
      </c>
      <c r="AB145" s="379">
        <f>'Таблиця цін схема №2'!FM70</f>
        <v>2</v>
      </c>
      <c r="AC145" s="379">
        <f>'Таблиця цін схема №2'!FN70</f>
        <v>6</v>
      </c>
      <c r="AD145" s="1144" t="str">
        <f>'Таблиця цін схема №2'!FO70</f>
        <v>Star-Z 20/7 3- PN 10</v>
      </c>
      <c r="AE145" s="380">
        <f>'Таблиця цін схема №2'!FP70</f>
        <v>1</v>
      </c>
      <c r="AF145" s="47">
        <f>'Таблиця цін схема №2'!FS70</f>
        <v>5.83</v>
      </c>
      <c r="AG145" s="379">
        <f>'Таблиця цін схема №2'!FT70</f>
        <v>25</v>
      </c>
      <c r="AH145" s="517" t="s">
        <v>115</v>
      </c>
      <c r="AI145" s="47">
        <f>'Таблиця цін схема №2'!FX70</f>
        <v>15</v>
      </c>
      <c r="AJ145" s="380">
        <f>'Таблиця цін схема №2'!FY70</f>
        <v>2</v>
      </c>
      <c r="AK145" s="47">
        <f>'Таблиця цін схема №2'!GB70</f>
        <v>15</v>
      </c>
      <c r="AL145" s="379">
        <f>'Таблиця цін схема №2'!GC70</f>
        <v>1.5</v>
      </c>
      <c r="AM145" s="380">
        <f>'Таблиця цін схема №2'!GD70</f>
        <v>1</v>
      </c>
      <c r="AN145" s="47">
        <f>'Таблиця цін схема №2'!GG70</f>
        <v>20</v>
      </c>
      <c r="AO145" s="380">
        <f>'Таблиця цін схема №2'!GH70</f>
        <v>1</v>
      </c>
      <c r="AP145" s="47" t="str">
        <f>'Таблиця цін схема №2'!GK70</f>
        <v>0-150</v>
      </c>
      <c r="AQ145" s="380">
        <f>'Таблиця цін схема №2'!GL70</f>
        <v>1</v>
      </c>
      <c r="AR145" s="47" t="str">
        <f>'Таблиця цін схема №2'!GO70</f>
        <v>0-120</v>
      </c>
      <c r="AS145" s="380">
        <f>'Таблиця цін схема №2'!GP70</f>
        <v>1</v>
      </c>
      <c r="AT145" s="47" t="str">
        <f>'Таблиця цін схема №2'!GS70</f>
        <v>0-1,6</v>
      </c>
      <c r="AU145" s="380">
        <f>'Таблиця цін схема №2'!GT70</f>
        <v>3</v>
      </c>
      <c r="AV145" s="47" t="str">
        <f>'Таблиця цін схема №2'!GW70</f>
        <v>0-1,0</v>
      </c>
      <c r="AW145" s="380">
        <f>'Таблиця цін схема №2'!GX70</f>
        <v>11</v>
      </c>
      <c r="AX145" s="47" t="str">
        <f>'Таблиця цін схема №2'!HA70</f>
        <v>PSM01</v>
      </c>
      <c r="AY145" s="380">
        <f>'Таблиця цін схема №2'!HB70</f>
        <v>4</v>
      </c>
      <c r="AZ145" s="47" t="str">
        <f>'Таблиця цін схема №2'!HE70</f>
        <v>A-10</v>
      </c>
      <c r="BA145" s="380">
        <f>'Таблиця цін схема №2'!HF70</f>
        <v>6</v>
      </c>
      <c r="BB145" s="47" t="str">
        <f>'Таблиця цін схема №2'!HI70</f>
        <v>ТСП 1-5</v>
      </c>
      <c r="BC145" s="380">
        <f>'Таблиця цін схема №2'!HJ70</f>
        <v>7</v>
      </c>
      <c r="BD145" s="47" t="str">
        <f>'Таблиця цін схема №2'!HM70</f>
        <v>ТСП 2-10Г</v>
      </c>
      <c r="BE145" s="380">
        <f>'Таблиця цін схема №2'!HN70</f>
        <v>1</v>
      </c>
    </row>
    <row r="146" spans="1:57">
      <c r="A146" s="73">
        <v>101</v>
      </c>
      <c r="B146" s="1171" t="s">
        <v>943</v>
      </c>
      <c r="C146" s="525">
        <f>'Таблиця цін схема №2'!DT71</f>
        <v>20</v>
      </c>
      <c r="D146" s="380">
        <f>'Таблиця цін схема №2'!DU71</f>
        <v>1</v>
      </c>
      <c r="E146" s="47">
        <f>'Таблиця цін схема №2'!DX71</f>
        <v>32</v>
      </c>
      <c r="F146" s="380">
        <f>'Таблиця цін схема №2'!DY71</f>
        <v>1</v>
      </c>
      <c r="G146" s="47">
        <f>'Таблиця цін схема №2'!EB71</f>
        <v>32</v>
      </c>
      <c r="H146" s="380">
        <f>'Таблиця цін схема №2'!EC71</f>
        <v>2</v>
      </c>
      <c r="I146" s="47">
        <f>'Таблиця цін схема №2'!EF71</f>
        <v>20</v>
      </c>
      <c r="J146" s="380">
        <f>'Таблиця цін схема №2'!EG71</f>
        <v>1</v>
      </c>
      <c r="K146" s="47">
        <f>'Таблиця цін схема №2'!EJ71</f>
        <v>20</v>
      </c>
      <c r="L146" s="380">
        <f>'Таблиця цін схема №2'!EK71</f>
        <v>1</v>
      </c>
      <c r="M146" s="47">
        <f>'Таблиця цін схема №2'!EN71</f>
        <v>32</v>
      </c>
      <c r="N146" s="380">
        <f>'Таблиця цін схема №2'!EO71</f>
        <v>2</v>
      </c>
      <c r="O146" s="47">
        <f>'Таблиця цін схема №2'!ER71</f>
        <v>20</v>
      </c>
      <c r="P146" s="380">
        <f>'Таблиця цін схема №2'!ES71</f>
        <v>1</v>
      </c>
      <c r="Q146" s="47">
        <f>'Таблиця цін схема №2'!EV71</f>
        <v>20</v>
      </c>
      <c r="R146" s="380">
        <f>'Таблиця цін схема №2'!EW71</f>
        <v>1</v>
      </c>
      <c r="S146" s="1127">
        <f>'Таблиця цін схема №2'!EZ71</f>
        <v>11.046900017652012</v>
      </c>
      <c r="T146" s="379">
        <f>'Таблиця цін схема №2'!FA71</f>
        <v>15</v>
      </c>
      <c r="U146" s="380">
        <f>'Таблиця цін схема №2'!FB71</f>
        <v>2</v>
      </c>
      <c r="V146" s="1129">
        <f>'Таблиця цін схема №2'!FE71</f>
        <v>1.966735966735967</v>
      </c>
      <c r="W146" s="379">
        <f>'Таблиця цін схема №2'!FF71</f>
        <v>2</v>
      </c>
      <c r="X146" s="379">
        <f>'Таблиця цін схема №2'!FG71</f>
        <v>5</v>
      </c>
      <c r="Y146" s="1144" t="str">
        <f>'Таблиця цін схема №2'!FH71</f>
        <v>Yonos PICO 25/1-8-130</v>
      </c>
      <c r="Z146" s="380">
        <f>'Таблиця цін схема №2'!FI71</f>
        <v>2</v>
      </c>
      <c r="AA146" s="1129">
        <f>'Таблиця цін схема №2'!FL71</f>
        <v>0.18255578093306288</v>
      </c>
      <c r="AB146" s="379">
        <f>'Таблиця цін схема №2'!FM71</f>
        <v>2</v>
      </c>
      <c r="AC146" s="379">
        <f>'Таблиця цін схема №2'!FN71</f>
        <v>6</v>
      </c>
      <c r="AD146" s="1144" t="str">
        <f>'Таблиця цін схема №2'!FO71</f>
        <v>Star-Z 20/7 3- PN 10</v>
      </c>
      <c r="AE146" s="380">
        <f>'Таблиця цін схема №2'!FP71</f>
        <v>1</v>
      </c>
      <c r="AF146" s="47">
        <f>'Таблиця цін схема №2'!FS71</f>
        <v>5.83</v>
      </c>
      <c r="AG146" s="379">
        <f>'Таблиця цін схема №2'!FT71</f>
        <v>25</v>
      </c>
      <c r="AH146" s="517" t="s">
        <v>115</v>
      </c>
      <c r="AI146" s="47">
        <f>'Таблиця цін схема №2'!FX71</f>
        <v>15</v>
      </c>
      <c r="AJ146" s="380">
        <f>'Таблиця цін схема №2'!FY71</f>
        <v>2</v>
      </c>
      <c r="AK146" s="47">
        <f>'Таблиця цін схема №2'!GB71</f>
        <v>15</v>
      </c>
      <c r="AL146" s="379">
        <f>'Таблиця цін схема №2'!GC71</f>
        <v>1.5</v>
      </c>
      <c r="AM146" s="380">
        <f>'Таблиця цін схема №2'!GD71</f>
        <v>1</v>
      </c>
      <c r="AN146" s="47">
        <f>'Таблиця цін схема №2'!GG71</f>
        <v>20</v>
      </c>
      <c r="AO146" s="380">
        <f>'Таблиця цін схема №2'!GH71</f>
        <v>1</v>
      </c>
      <c r="AP146" s="47" t="str">
        <f>'Таблиця цін схема №2'!GK71</f>
        <v>0-150</v>
      </c>
      <c r="AQ146" s="380">
        <f>'Таблиця цін схема №2'!GL71</f>
        <v>1</v>
      </c>
      <c r="AR146" s="47" t="str">
        <f>'Таблиця цін схема №2'!GO71</f>
        <v>0-120</v>
      </c>
      <c r="AS146" s="380">
        <f>'Таблиця цін схема №2'!GP71</f>
        <v>1</v>
      </c>
      <c r="AT146" s="47" t="str">
        <f>'Таблиця цін схема №2'!GS71</f>
        <v>0-1,6</v>
      </c>
      <c r="AU146" s="380">
        <f>'Таблиця цін схема №2'!GT71</f>
        <v>3</v>
      </c>
      <c r="AV146" s="47" t="str">
        <f>'Таблиця цін схема №2'!GW71</f>
        <v>0-1,0</v>
      </c>
      <c r="AW146" s="380">
        <f>'Таблиця цін схема №2'!GX71</f>
        <v>11</v>
      </c>
      <c r="AX146" s="47" t="str">
        <f>'Таблиця цін схема №2'!HA71</f>
        <v>PSM01</v>
      </c>
      <c r="AY146" s="380">
        <f>'Таблиця цін схема №2'!HB71</f>
        <v>4</v>
      </c>
      <c r="AZ146" s="47" t="str">
        <f>'Таблиця цін схема №2'!HE71</f>
        <v>A-10</v>
      </c>
      <c r="BA146" s="380">
        <f>'Таблиця цін схема №2'!HF71</f>
        <v>6</v>
      </c>
      <c r="BB146" s="47" t="str">
        <f>'Таблиця цін схема №2'!HI71</f>
        <v>ТСП 1-5</v>
      </c>
      <c r="BC146" s="380">
        <f>'Таблиця цін схема №2'!HJ71</f>
        <v>7</v>
      </c>
      <c r="BD146" s="47" t="str">
        <f>'Таблиця цін схема №2'!HM71</f>
        <v>ТСП 2-10Г</v>
      </c>
      <c r="BE146" s="380">
        <f>'Таблиця цін схема №2'!HN71</f>
        <v>1</v>
      </c>
    </row>
    <row r="147" spans="1:57">
      <c r="A147" s="73">
        <v>102</v>
      </c>
      <c r="B147" s="1171" t="s">
        <v>944</v>
      </c>
      <c r="C147" s="525">
        <f>'Таблиця цін схема №2'!DT72</f>
        <v>20</v>
      </c>
      <c r="D147" s="380">
        <f>'Таблиця цін схема №2'!DU72</f>
        <v>1</v>
      </c>
      <c r="E147" s="47">
        <f>'Таблиця цін схема №2'!DX72</f>
        <v>50</v>
      </c>
      <c r="F147" s="380">
        <f>'Таблиця цін схема №2'!DY72</f>
        <v>1</v>
      </c>
      <c r="G147" s="47">
        <f>'Таблиця цін схема №2'!EB72</f>
        <v>50</v>
      </c>
      <c r="H147" s="380">
        <f>'Таблиця цін схема №2'!EC72</f>
        <v>2</v>
      </c>
      <c r="I147" s="47">
        <f>'Таблиця цін схема №2'!EF72</f>
        <v>25</v>
      </c>
      <c r="J147" s="380">
        <f>'Таблиця цін схема №2'!EG72</f>
        <v>1</v>
      </c>
      <c r="K147" s="47">
        <f>'Таблиця цін схема №2'!EJ72</f>
        <v>20</v>
      </c>
      <c r="L147" s="380">
        <f>'Таблиця цін схема №2'!EK72</f>
        <v>1</v>
      </c>
      <c r="M147" s="47">
        <f>'Таблиця цін схема №2'!EN72</f>
        <v>32</v>
      </c>
      <c r="N147" s="380">
        <f>'Таблиця цін схема №2'!EO72</f>
        <v>4</v>
      </c>
      <c r="O147" s="47">
        <f>'Таблиця цін схема №2'!ER72</f>
        <v>25</v>
      </c>
      <c r="P147" s="380">
        <f>'Таблиця цін схема №2'!ES72</f>
        <v>1</v>
      </c>
      <c r="Q147" s="47">
        <f>'Таблиця цін схема №2'!EV72</f>
        <v>20</v>
      </c>
      <c r="R147" s="380">
        <f>'Таблиця цін схема №2'!EW72</f>
        <v>1</v>
      </c>
      <c r="S147" s="1127">
        <f>'Таблиця цін схема №2'!EZ72</f>
        <v>17.858157799728392</v>
      </c>
      <c r="T147" s="379">
        <f>'Таблиця цін схема №2'!FA72</f>
        <v>20</v>
      </c>
      <c r="U147" s="380">
        <f>'Таблиця цін схема №2'!FB72</f>
        <v>2</v>
      </c>
      <c r="V147" s="1129">
        <f>'Таблиця цін схема №2'!FE72</f>
        <v>5.1397089397089397</v>
      </c>
      <c r="W147" s="379">
        <f>'Таблиця цін схема №2'!FF72</f>
        <v>5</v>
      </c>
      <c r="X147" s="379">
        <f>'Таблиця цін схема №2'!FG72</f>
        <v>5</v>
      </c>
      <c r="Y147" s="1144" t="str">
        <f>'Таблиця цін схема №2'!FH72</f>
        <v>Yonos MAXO 25/0,5-7 PN 10</v>
      </c>
      <c r="Z147" s="380">
        <f>'Таблиця цін схема №2'!FI72</f>
        <v>2</v>
      </c>
      <c r="AA147" s="1129">
        <f>'Таблиця цін схема №2'!FL72</f>
        <v>0.43813387423935091</v>
      </c>
      <c r="AB147" s="379">
        <f>'Таблиця цін схема №2'!FM72</f>
        <v>5</v>
      </c>
      <c r="AC147" s="379">
        <f>'Таблиця цін схема №2'!FN72</f>
        <v>6</v>
      </c>
      <c r="AD147" s="1144" t="str">
        <f>'Таблиця цін схема №2'!FO72</f>
        <v>Star-Z 20/7 3- PN 10</v>
      </c>
      <c r="AE147" s="380">
        <f>'Таблиця цін схема №2'!FP72</f>
        <v>1</v>
      </c>
      <c r="AF147" s="47">
        <f>'Таблиця цін схема №2'!FS72</f>
        <v>5.83</v>
      </c>
      <c r="AG147" s="379">
        <f>'Таблиця цін схема №2'!FT72</f>
        <v>25</v>
      </c>
      <c r="AH147" s="380">
        <f>'Таблиця цін схема №2'!FU72</f>
        <v>2</v>
      </c>
      <c r="AI147" s="47">
        <f>'Таблиця цін схема №2'!FX72</f>
        <v>15</v>
      </c>
      <c r="AJ147" s="380">
        <f>'Таблиця цін схема №2'!FY72</f>
        <v>2</v>
      </c>
      <c r="AK147" s="47">
        <f>'Таблиця цін схема №2'!GB72</f>
        <v>15</v>
      </c>
      <c r="AL147" s="379">
        <f>'Таблиця цін схема №2'!GC72</f>
        <v>1.5</v>
      </c>
      <c r="AM147" s="380">
        <f>'Таблиця цін схема №2'!GD72</f>
        <v>1</v>
      </c>
      <c r="AN147" s="47">
        <f>'Таблиця цін схема №2'!GG72</f>
        <v>25</v>
      </c>
      <c r="AO147" s="380">
        <f>'Таблиця цін схема №2'!GH72</f>
        <v>1</v>
      </c>
      <c r="AP147" s="47" t="str">
        <f>'Таблиця цін схема №2'!GK72</f>
        <v>0-150</v>
      </c>
      <c r="AQ147" s="380">
        <f>'Таблиця цін схема №2'!GL72</f>
        <v>1</v>
      </c>
      <c r="AR147" s="47" t="str">
        <f>'Таблиця цін схема №2'!GO72</f>
        <v>0-120</v>
      </c>
      <c r="AS147" s="380">
        <f>'Таблиця цін схема №2'!GP72</f>
        <v>1</v>
      </c>
      <c r="AT147" s="47" t="str">
        <f>'Таблиця цін схема №2'!GS72</f>
        <v>0-1,6</v>
      </c>
      <c r="AU147" s="380">
        <f>'Таблиця цін схема №2'!GT72</f>
        <v>3</v>
      </c>
      <c r="AV147" s="47" t="str">
        <f>'Таблиця цін схема №2'!GW72</f>
        <v>0-1,0</v>
      </c>
      <c r="AW147" s="380">
        <f>'Таблиця цін схема №2'!GX72</f>
        <v>13</v>
      </c>
      <c r="AX147" s="47" t="str">
        <f>'Таблиця цін схема №2'!HA72</f>
        <v>PSM01</v>
      </c>
      <c r="AY147" s="380">
        <f>'Таблиця цін схема №2'!HB72</f>
        <v>4</v>
      </c>
      <c r="AZ147" s="47" t="str">
        <f>'Таблиця цін схема №2'!HE72</f>
        <v>A-10</v>
      </c>
      <c r="BA147" s="380">
        <f>'Таблиця цін схема №2'!HF72</f>
        <v>6</v>
      </c>
      <c r="BB147" s="47" t="str">
        <f>'Таблиця цін схема №2'!HI72</f>
        <v>ТСП 1-5</v>
      </c>
      <c r="BC147" s="380">
        <f>'Таблиця цін схема №2'!HJ72</f>
        <v>7</v>
      </c>
      <c r="BD147" s="47" t="str">
        <f>'Таблиця цін схема №2'!HM72</f>
        <v>ТСП 2-10Г</v>
      </c>
      <c r="BE147" s="380">
        <f>'Таблиця цін схема №2'!HN72</f>
        <v>1</v>
      </c>
    </row>
    <row r="148" spans="1:57" ht="13.5" thickBot="1">
      <c r="A148" s="1138">
        <v>103</v>
      </c>
      <c r="B148" s="1172" t="s">
        <v>945</v>
      </c>
      <c r="C148" s="145">
        <f>'Таблиця цін схема №2'!DT73</f>
        <v>20</v>
      </c>
      <c r="D148" s="7">
        <f>'Таблиця цін схема №2'!DU73</f>
        <v>1</v>
      </c>
      <c r="E148" s="49">
        <f>'Таблиця цін схема №2'!DX73</f>
        <v>32</v>
      </c>
      <c r="F148" s="7">
        <f>'Таблиця цін схема №2'!DY73</f>
        <v>1</v>
      </c>
      <c r="G148" s="49">
        <f>'Таблиця цін схема №2'!EB73</f>
        <v>32</v>
      </c>
      <c r="H148" s="7">
        <f>'Таблиця цін схема №2'!EC73</f>
        <v>2</v>
      </c>
      <c r="I148" s="49">
        <f>'Таблиця цін схема №2'!EF73</f>
        <v>20</v>
      </c>
      <c r="J148" s="7">
        <f>'Таблиця цін схема №2'!EG73</f>
        <v>1</v>
      </c>
      <c r="K148" s="49">
        <f>'Таблиця цін схема №2'!EJ73</f>
        <v>20</v>
      </c>
      <c r="L148" s="7">
        <f>'Таблиця цін схема №2'!EK73</f>
        <v>1</v>
      </c>
      <c r="M148" s="49">
        <f>'Таблиця цін схема №2'!EN73</f>
        <v>32</v>
      </c>
      <c r="N148" s="7">
        <f>'Таблиця цін схема №2'!EO73</f>
        <v>2</v>
      </c>
      <c r="O148" s="49">
        <f>'Таблиця цін схема №2'!ER73</f>
        <v>20</v>
      </c>
      <c r="P148" s="7">
        <f>'Таблиця цін схема №2'!ES73</f>
        <v>1</v>
      </c>
      <c r="Q148" s="49">
        <f>'Таблиця цін схема №2'!EV73</f>
        <v>20</v>
      </c>
      <c r="R148" s="7">
        <f>'Таблиця цін схема №2'!EW73</f>
        <v>1</v>
      </c>
      <c r="S148" s="1128">
        <f>'Таблиця цін схема №2'!EZ73</f>
        <v>11.251693205913501</v>
      </c>
      <c r="T148" s="43">
        <f>'Таблиця цін схема №2'!FA73</f>
        <v>15</v>
      </c>
      <c r="U148" s="7">
        <f>'Таблиця цін схема №2'!FB73</f>
        <v>2</v>
      </c>
      <c r="V148" s="1130">
        <f>'Таблиця цін схема №2'!FE73</f>
        <v>2.0403326403326405</v>
      </c>
      <c r="W148" s="43">
        <f>'Таблиця цін схема №2'!FF73</f>
        <v>3</v>
      </c>
      <c r="X148" s="43">
        <f>'Таблиця цін схема №2'!FG73</f>
        <v>5</v>
      </c>
      <c r="Y148" s="1149" t="str">
        <f>'Таблиця цін схема №2'!FH73</f>
        <v>Yonos PICO 25/1-8-130</v>
      </c>
      <c r="Z148" s="7">
        <f>'Таблиця цін схема №2'!FI73</f>
        <v>2</v>
      </c>
      <c r="AA148" s="1130">
        <f>'Таблиця цін схема №2'!FL73</f>
        <v>1.0953346855983774E-2</v>
      </c>
      <c r="AB148" s="43">
        <f>'Таблиця цін схема №2'!FM73</f>
        <v>3</v>
      </c>
      <c r="AC148" s="43">
        <f>'Таблиця цін схема №2'!FN73</f>
        <v>6</v>
      </c>
      <c r="AD148" s="1149" t="str">
        <f>'Таблиця цін схема №2'!FO73</f>
        <v>Star-Z 20/7 3- PN 10</v>
      </c>
      <c r="AE148" s="7">
        <f>'Таблиця цін схема №2'!FP73</f>
        <v>1</v>
      </c>
      <c r="AF148" s="49">
        <f>'Таблиця цін схема №2'!FS73</f>
        <v>5.83</v>
      </c>
      <c r="AG148" s="43">
        <f>'Таблиця цін схема №2'!FT73</f>
        <v>25</v>
      </c>
      <c r="AH148" s="517" t="s">
        <v>115</v>
      </c>
      <c r="AI148" s="49">
        <f>'Таблиця цін схема №2'!FX73</f>
        <v>15</v>
      </c>
      <c r="AJ148" s="7">
        <f>'Таблиця цін схема №2'!FY73</f>
        <v>2</v>
      </c>
      <c r="AK148" s="49">
        <f>'Таблиця цін схема №2'!GB73</f>
        <v>15</v>
      </c>
      <c r="AL148" s="43">
        <f>'Таблиця цін схема №2'!GC73</f>
        <v>1.5</v>
      </c>
      <c r="AM148" s="7">
        <f>'Таблиця цін схема №2'!GD73</f>
        <v>1</v>
      </c>
      <c r="AN148" s="49">
        <f>'Таблиця цін схема №2'!GG73</f>
        <v>20</v>
      </c>
      <c r="AO148" s="7">
        <f>'Таблиця цін схема №2'!GH73</f>
        <v>1</v>
      </c>
      <c r="AP148" s="49" t="str">
        <f>'Таблиця цін схема №2'!GK73</f>
        <v>0-150</v>
      </c>
      <c r="AQ148" s="7">
        <f>'Таблиця цін схема №2'!GL73</f>
        <v>1</v>
      </c>
      <c r="AR148" s="49" t="str">
        <f>'Таблиця цін схема №2'!GO73</f>
        <v>0-120</v>
      </c>
      <c r="AS148" s="7">
        <f>'Таблиця цін схема №2'!GP73</f>
        <v>5</v>
      </c>
      <c r="AT148" s="49" t="str">
        <f>'Таблиця цін схема №2'!GS73</f>
        <v>0-1,6</v>
      </c>
      <c r="AU148" s="7">
        <f>'Таблиця цін схема №2'!GT73</f>
        <v>5</v>
      </c>
      <c r="AV148" s="49" t="str">
        <f>'Таблиця цін схема №2'!GW73</f>
        <v>0-1,0</v>
      </c>
      <c r="AW148" s="7">
        <f>'Таблиця цін схема №2'!GX73</f>
        <v>11</v>
      </c>
      <c r="AX148" s="49" t="str">
        <f>'Таблиця цін схема №2'!HA73</f>
        <v>PSM01</v>
      </c>
      <c r="AY148" s="7">
        <f>'Таблиця цін схема №2'!HB73</f>
        <v>4</v>
      </c>
      <c r="AZ148" s="49" t="str">
        <f>'Таблиця цін схема №2'!HE73</f>
        <v>A-10</v>
      </c>
      <c r="BA148" s="7">
        <f>'Таблиця цін схема №2'!HF73</f>
        <v>6</v>
      </c>
      <c r="BB148" s="49" t="str">
        <f>'Таблиця цін схема №2'!HI73</f>
        <v>ТСП 1-5</v>
      </c>
      <c r="BC148" s="7">
        <f>'Таблиця цін схема №2'!HJ73</f>
        <v>7</v>
      </c>
      <c r="BD148" s="49" t="str">
        <f>'Таблиця цін схема №2'!HM73</f>
        <v>ТСП 2-10Г</v>
      </c>
      <c r="BE148" s="7">
        <f>'Таблиця цін схема №2'!HN73</f>
        <v>1</v>
      </c>
    </row>
  </sheetData>
  <mergeCells count="46">
    <mergeCell ref="BD79:BE79"/>
    <mergeCell ref="AK79:AM79"/>
    <mergeCell ref="AN79:AO79"/>
    <mergeCell ref="AP79:AQ79"/>
    <mergeCell ref="AR79:AS79"/>
    <mergeCell ref="AT79:AU79"/>
    <mergeCell ref="AV79:AW79"/>
    <mergeCell ref="AA79:AE79"/>
    <mergeCell ref="AF79:AH79"/>
    <mergeCell ref="AX79:AY79"/>
    <mergeCell ref="AZ79:BA79"/>
    <mergeCell ref="BB79:BC79"/>
    <mergeCell ref="M79:N79"/>
    <mergeCell ref="O79:P79"/>
    <mergeCell ref="Q79:R79"/>
    <mergeCell ref="S79:U79"/>
    <mergeCell ref="V79:Z79"/>
    <mergeCell ref="AU4:AV4"/>
    <mergeCell ref="AW4:AX4"/>
    <mergeCell ref="AY4:AZ4"/>
    <mergeCell ref="BA4:BB4"/>
    <mergeCell ref="BC4:BD4"/>
    <mergeCell ref="C79:D79"/>
    <mergeCell ref="AG4:AJ4"/>
    <mergeCell ref="AK4:AL4"/>
    <mergeCell ref="AM4:AN4"/>
    <mergeCell ref="AO4:AP4"/>
    <mergeCell ref="C4:D4"/>
    <mergeCell ref="E4:F4"/>
    <mergeCell ref="G4:H4"/>
    <mergeCell ref="I4:J4"/>
    <mergeCell ref="K4:L4"/>
    <mergeCell ref="M4:N4"/>
    <mergeCell ref="AI79:AJ79"/>
    <mergeCell ref="E79:F79"/>
    <mergeCell ref="G79:H79"/>
    <mergeCell ref="I79:J79"/>
    <mergeCell ref="K79:L79"/>
    <mergeCell ref="AQ4:AR4"/>
    <mergeCell ref="AS4:AT4"/>
    <mergeCell ref="O4:Q4"/>
    <mergeCell ref="R4:T4"/>
    <mergeCell ref="U4:V4"/>
    <mergeCell ref="W4:Y4"/>
    <mergeCell ref="Z4:AB4"/>
    <mergeCell ref="AC4:AF4"/>
  </mergeCells>
  <pageMargins left="0.25" right="0.25" top="0.75" bottom="0.75" header="0.3" footer="0.3"/>
  <pageSetup paperSize="8" fitToHeight="5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25"/>
  <sheetViews>
    <sheetView zoomScale="55" zoomScaleNormal="55" workbookViewId="0">
      <selection activeCell="K28" sqref="K28"/>
    </sheetView>
  </sheetViews>
  <sheetFormatPr defaultRowHeight="12.75"/>
  <cols>
    <col min="1" max="1" width="3.28515625" style="276" bestFit="1" customWidth="1"/>
    <col min="2" max="2" width="26" style="276" customWidth="1"/>
    <col min="3" max="12" width="9.140625" style="276"/>
    <col min="13" max="13" width="28.28515625" style="276" bestFit="1" customWidth="1"/>
    <col min="14" max="19" width="9.140625" style="276"/>
    <col min="20" max="20" width="12.28515625" style="276" bestFit="1" customWidth="1"/>
    <col min="21" max="21" width="9.140625" style="276"/>
    <col min="22" max="22" width="12.28515625" style="276" bestFit="1" customWidth="1"/>
    <col min="23" max="23" width="9.140625" style="276"/>
    <col min="24" max="24" width="12.28515625" style="276" bestFit="1" customWidth="1"/>
    <col min="25" max="25" width="9.140625" style="276"/>
    <col min="26" max="26" width="12.28515625" style="276" bestFit="1" customWidth="1"/>
    <col min="27" max="33" width="9.140625" style="276"/>
    <col min="34" max="34" width="9.7109375" style="276" bestFit="1" customWidth="1"/>
    <col min="35" max="40" width="9.140625" style="276"/>
    <col min="41" max="41" width="12.42578125" style="276" bestFit="1" customWidth="1"/>
    <col min="42" max="46" width="9.140625" style="276"/>
    <col min="47" max="47" width="28.28515625" style="276" bestFit="1" customWidth="1"/>
    <col min="48" max="53" width="9.140625" style="276"/>
    <col min="54" max="54" width="12.28515625" style="276" bestFit="1" customWidth="1"/>
    <col min="55" max="55" width="9.140625" style="276"/>
    <col min="56" max="56" width="12.28515625" style="276" bestFit="1" customWidth="1"/>
    <col min="57" max="57" width="9.140625" style="276"/>
    <col min="58" max="58" width="12.28515625" style="276" bestFit="1" customWidth="1"/>
    <col min="59" max="59" width="9.140625" style="276"/>
    <col min="60" max="60" width="12.28515625" style="276" bestFit="1" customWidth="1"/>
    <col min="61" max="67" width="9.140625" style="276"/>
    <col min="68" max="68" width="9.7109375" style="276" bestFit="1" customWidth="1"/>
    <col min="69" max="16384" width="9.140625" style="276"/>
  </cols>
  <sheetData>
    <row r="2" spans="1:36" ht="18">
      <c r="B2" s="1156" t="s">
        <v>1391</v>
      </c>
    </row>
    <row r="4" spans="1:36" ht="13.5" thickBot="1"/>
    <row r="5" spans="1:36" s="1160" customFormat="1" ht="112.5" customHeight="1" thickBot="1">
      <c r="A5" s="1158" t="str">
        <f>'Таблиця цін схема №3'!B3</f>
        <v>№</v>
      </c>
      <c r="B5" s="1159" t="str">
        <f>'Таблиця цін схема №3'!C3</f>
        <v>Adress</v>
      </c>
      <c r="C5" s="1485" t="str">
        <f>'Таблиця цін схема №3'!P3</f>
        <v>Flanged full bore ball valve, PN16, type 11с36п</v>
      </c>
      <c r="D5" s="1487"/>
      <c r="E5" s="1485" t="str">
        <f>'Таблиця цін схема №3'!T3</f>
        <v>Flanged mud trap EI-FG, PN16</v>
      </c>
      <c r="F5" s="1487"/>
      <c r="G5" s="1485" t="str">
        <f>'Таблиця цін схема №3'!X3</f>
        <v>Flanged screen filter, PN16, type 821А</v>
      </c>
      <c r="H5" s="1487"/>
      <c r="I5" s="1485" t="str">
        <f>'Таблиця цін схема №3'!AB3</f>
        <v>Flanged full bore ball valve (heating system), PN16, type 11с36п</v>
      </c>
      <c r="J5" s="1487"/>
      <c r="K5" s="1485" t="str">
        <f>'Таблиця цін схема №3'!AF3</f>
        <v>Electrical drive of the control valve (heating system) AMV20</v>
      </c>
      <c r="L5" s="1487"/>
      <c r="M5" s="1485" t="str">
        <f>'Таблиця цін схема №3'!AJ3</f>
        <v>Two-way control valve, pressure balanced (heating system) VB2</v>
      </c>
      <c r="N5" s="1486"/>
      <c r="O5" s="1487"/>
      <c r="P5" s="1485" t="str">
        <f>'Таблиця цін схема №3'!AO3</f>
        <v>Pressure difference regulating valve with impulse tubes (heating system) AVP</v>
      </c>
      <c r="Q5" s="1486"/>
      <c r="R5" s="1487"/>
      <c r="S5" s="1485" t="str">
        <f>'Таблиця цін схема №3'!AT3</f>
        <v>Heat meter (heating system),existed</v>
      </c>
      <c r="T5" s="1486"/>
      <c r="U5" s="1486"/>
      <c r="V5" s="1487"/>
      <c r="W5" s="1485" t="str">
        <f>'Таблиця цін схема №3'!AZ3</f>
        <v>Threaded ball valve, type FIV (DN15-32) or flanged full-bore valve, type 11с36п, PN16 (DN40 and above)</v>
      </c>
      <c r="X5" s="1487"/>
      <c r="Y5" s="1485" t="str">
        <f>'Таблиця цін схема №3'!BD3</f>
        <v>Threaded ball valve, type FIV (DN15-32) or flanged full-bore valve, type 11с36п, PN16 (DN40 and above)</v>
      </c>
      <c r="Z5" s="1487"/>
      <c r="AA5" s="1485" t="str">
        <f>'Таблиця цін схема №3'!BH3</f>
        <v>Threaded ball valve DN20, type FIV</v>
      </c>
      <c r="AB5" s="1486"/>
      <c r="AC5" s="1485" t="str">
        <f>'Таблиця цін схема №3'!BL3</f>
        <v>Threaded ball valve DN15, type FIV</v>
      </c>
      <c r="AD5" s="1487"/>
      <c r="AE5" s="1485" t="str">
        <f>'Таблиця цін схема №3'!BP3</f>
        <v>Threaded three-way valve DN15 (Art.101112) Skloplylad (for manometers)</v>
      </c>
      <c r="AF5" s="1487"/>
      <c r="AG5" s="1485" t="str">
        <f>'Таблиця цін схема №3'!BT3</f>
        <v>Threaded check valve type 999/H (DN15-32)or interflanged check valve type 656 (DN40 and above)</v>
      </c>
      <c r="AH5" s="1487"/>
      <c r="AI5" s="1485" t="str">
        <f>'Таблиця цін схема №3'!BX3</f>
        <v>Threaded screen filter IVR 924 (DN15-32) or flanged screen filter Zetkama 821A (DN40 and above)</v>
      </c>
      <c r="AJ5" s="1487"/>
    </row>
    <row r="6" spans="1:36">
      <c r="A6" s="1134"/>
      <c r="B6" s="1080"/>
      <c r="C6" s="1135">
        <f>'Таблиця цін схема №3'!P4</f>
        <v>1</v>
      </c>
      <c r="D6" s="523"/>
      <c r="E6" s="1135">
        <f>'Таблиця цін схема №3'!T4</f>
        <v>3</v>
      </c>
      <c r="F6" s="523"/>
      <c r="G6" s="1135">
        <f>'Таблиця цін схема №3'!X4</f>
        <v>2</v>
      </c>
      <c r="H6" s="523"/>
      <c r="I6" s="1135">
        <f>'Таблиця цін схема №3'!AB4</f>
        <v>4</v>
      </c>
      <c r="J6" s="523"/>
      <c r="K6" s="1135" t="str">
        <f>'Таблиця цін схема №3'!AF4</f>
        <v>5.1</v>
      </c>
      <c r="L6" s="523"/>
      <c r="M6" s="1135" t="str">
        <f>'Таблиця цін схема №3'!AJ4</f>
        <v>5.2</v>
      </c>
      <c r="N6" s="522"/>
      <c r="O6" s="523"/>
      <c r="P6" s="1135">
        <f>'Таблиця цін схема №3'!AO4</f>
        <v>6</v>
      </c>
      <c r="Q6" s="522"/>
      <c r="R6" s="523"/>
      <c r="S6" s="1135" t="str">
        <f>'Таблиця цін схема №3'!AT4</f>
        <v>7</v>
      </c>
      <c r="T6" s="522"/>
      <c r="U6" s="522" t="str">
        <f>'Таблиця цін схема №3'!AV4</f>
        <v>7.2</v>
      </c>
      <c r="V6" s="523"/>
      <c r="W6" s="1135">
        <f>'Таблиця цін схема №3'!AZ4</f>
        <v>9</v>
      </c>
      <c r="X6" s="523"/>
      <c r="Y6" s="1135">
        <f>'Таблиця цін схема №3'!BD4</f>
        <v>10</v>
      </c>
      <c r="Z6" s="523"/>
      <c r="AA6" s="1135">
        <f>'Таблиця цін схема №3'!BH4</f>
        <v>22</v>
      </c>
      <c r="AB6" s="522"/>
      <c r="AC6" s="1135">
        <f>'Таблиця цін схема №3'!BL4</f>
        <v>23</v>
      </c>
      <c r="AD6" s="523"/>
      <c r="AE6" s="1135">
        <f>'Таблиця цін схема №3'!BP4</f>
        <v>24</v>
      </c>
      <c r="AF6" s="523"/>
      <c r="AG6" s="1135">
        <f>'Таблиця цін схема №3'!BT4</f>
        <v>8</v>
      </c>
      <c r="AH6" s="523"/>
      <c r="AI6" s="1135">
        <f>'Таблиця цін схема №3'!BX4</f>
        <v>11</v>
      </c>
      <c r="AJ6" s="523"/>
    </row>
    <row r="7" spans="1:36">
      <c r="A7" s="1134"/>
      <c r="B7" s="1080"/>
      <c r="C7" s="1131" t="str">
        <f>'Таблиця цін схема №3'!P5</f>
        <v>DN, mm</v>
      </c>
      <c r="D7" s="1151" t="str">
        <f>'Таблиця цін схема №3'!Q5</f>
        <v>number</v>
      </c>
      <c r="E7" s="1131" t="str">
        <f>'Таблиця цін схема №3'!T5</f>
        <v>DN, mm</v>
      </c>
      <c r="F7" s="1151" t="str">
        <f>'Таблиця цін схема №3'!U5</f>
        <v>number</v>
      </c>
      <c r="G7" s="1131" t="str">
        <f>'Таблиця цін схема №3'!X5</f>
        <v>DN, mm</v>
      </c>
      <c r="H7" s="1151" t="str">
        <f>'Таблиця цін схема №3'!Y5</f>
        <v>number</v>
      </c>
      <c r="I7" s="1131" t="str">
        <f>'Таблиця цін схема №3'!AB5</f>
        <v>DN, mm</v>
      </c>
      <c r="J7" s="1151" t="str">
        <f>'Таблиця цін схема №3'!AC5</f>
        <v>number</v>
      </c>
      <c r="K7" s="1131" t="str">
        <f>'Таблиця цін схема №3'!AF5</f>
        <v>type of</v>
      </c>
      <c r="L7" s="1151" t="str">
        <f>'Таблиця цін схема №3'!AG5</f>
        <v>number</v>
      </c>
      <c r="M7" s="1131" t="str">
        <f>'Таблиця цін схема №3'!AJ5</f>
        <v>Kvs, m3/h</v>
      </c>
      <c r="N7" s="1155" t="str">
        <f>'Таблиця цін схема №3'!AK5</f>
        <v>DN, mm</v>
      </c>
      <c r="O7" s="1151" t="str">
        <f>'Таблиця цін схема №3'!AL5</f>
        <v>number</v>
      </c>
      <c r="P7" s="1131" t="str">
        <f>'Таблиця цін схема №3'!AO5</f>
        <v>Kvs, m3/h</v>
      </c>
      <c r="Q7" s="1155" t="str">
        <f>'Таблиця цін схема №3'!AP5</f>
        <v>DN, mm</v>
      </c>
      <c r="R7" s="1151" t="str">
        <f>'Таблиця цін схема №3'!AQ5</f>
        <v>number</v>
      </c>
      <c r="S7" s="1131" t="str">
        <f>'Таблиця цін схема №3'!AT5</f>
        <v>DN, mm</v>
      </c>
      <c r="T7" s="1155" t="str">
        <f>'Таблиця цін схема №3'!AU5</f>
        <v>Qн, m3/h</v>
      </c>
      <c r="U7" s="1155" t="str">
        <f>'Таблиця цін схема №3'!AV5</f>
        <v>type</v>
      </c>
      <c r="V7" s="1151" t="str">
        <f>'Таблиця цін схема №3'!AW5</f>
        <v>number</v>
      </c>
      <c r="W7" s="1131" t="str">
        <f>'Таблиця цін схема №3'!AZ5</f>
        <v>DN, mm</v>
      </c>
      <c r="X7" s="1151" t="str">
        <f>'Таблиця цін схема №3'!BA5</f>
        <v>number</v>
      </c>
      <c r="Y7" s="1131" t="str">
        <f>'Таблиця цін схема №3'!BD5</f>
        <v>DN, mm</v>
      </c>
      <c r="Z7" s="1151" t="str">
        <f>'Таблиця цін схема №3'!BE5</f>
        <v>number</v>
      </c>
      <c r="AA7" s="1131" t="str">
        <f>'Таблиця цін схема №3'!BH5</f>
        <v>DN, mm</v>
      </c>
      <c r="AB7" s="1152" t="str">
        <f>'Таблиця цін схема №3'!BI5</f>
        <v>number</v>
      </c>
      <c r="AC7" s="1131" t="str">
        <f>'Таблиця цін схема №3'!BL5</f>
        <v>DN, mm</v>
      </c>
      <c r="AD7" s="1151" t="str">
        <f>'Таблиця цін схема №3'!BM5</f>
        <v>number</v>
      </c>
      <c r="AE7" s="1131" t="str">
        <f>'Таблиця цін схема №3'!BP5</f>
        <v>DN, mm</v>
      </c>
      <c r="AF7" s="1151" t="str">
        <f>'Таблиця цін схема №3'!BQ5</f>
        <v>number</v>
      </c>
      <c r="AG7" s="1131" t="str">
        <f>'Таблиця цін схема №3'!BT5</f>
        <v>DN, mm</v>
      </c>
      <c r="AH7" s="1151" t="str">
        <f>'Таблиця цін схема №3'!BU5</f>
        <v>number</v>
      </c>
      <c r="AI7" s="1131" t="str">
        <f>'Таблиця цін схема №3'!BX5</f>
        <v>DN, mm</v>
      </c>
      <c r="AJ7" s="1151" t="str">
        <f>'Таблиця цін схема №3'!BY5</f>
        <v>number</v>
      </c>
    </row>
    <row r="8" spans="1:36" ht="13.5" thickBot="1">
      <c r="A8" s="1136"/>
      <c r="B8" s="1081"/>
      <c r="C8" s="49"/>
      <c r="D8" s="1153" t="str">
        <f>'Таблиця цін схема №3'!Q6</f>
        <v>pcs.</v>
      </c>
      <c r="E8" s="49"/>
      <c r="F8" s="1153" t="str">
        <f>'Таблиця цін схема №3'!U6</f>
        <v>pcs.</v>
      </c>
      <c r="G8" s="49"/>
      <c r="H8" s="1153" t="str">
        <f>'Таблиця цін схема №3'!Y6</f>
        <v>pcs.</v>
      </c>
      <c r="I8" s="49"/>
      <c r="J8" s="1153" t="str">
        <f>'Таблиця цін схема №3'!AC6</f>
        <v>pcs.</v>
      </c>
      <c r="K8" s="49" t="str">
        <f>'Таблиця цін схема №3'!AF6</f>
        <v>drive</v>
      </c>
      <c r="L8" s="1153" t="str">
        <f>'Таблиця цін схема №3'!AG6</f>
        <v>pcs.</v>
      </c>
      <c r="M8" s="49"/>
      <c r="N8" s="145"/>
      <c r="O8" s="1153" t="str">
        <f>'Таблиця цін схема №3'!AL6</f>
        <v>pcs.</v>
      </c>
      <c r="P8" s="49"/>
      <c r="Q8" s="145"/>
      <c r="R8" s="1153" t="str">
        <f>'Таблиця цін схема №3'!AQ6</f>
        <v>pcs.</v>
      </c>
      <c r="S8" s="49"/>
      <c r="T8" s="145"/>
      <c r="U8" s="145"/>
      <c r="V8" s="1153" t="str">
        <f>'Таблиця цін схема №3'!AW6</f>
        <v>set.</v>
      </c>
      <c r="W8" s="49"/>
      <c r="X8" s="1153" t="str">
        <f>'Таблиця цін схема №3'!BA6</f>
        <v>pcs.</v>
      </c>
      <c r="Y8" s="49"/>
      <c r="Z8" s="1153" t="str">
        <f>'Таблиця цін схема №3'!BE6</f>
        <v>pcs.</v>
      </c>
      <c r="AA8" s="49"/>
      <c r="AB8" s="1154" t="str">
        <f>'Таблиця цін схема №3'!BI6</f>
        <v>pcs.</v>
      </c>
      <c r="AC8" s="49"/>
      <c r="AD8" s="1153" t="str">
        <f>'Таблиця цін схема №3'!BM6</f>
        <v>pcs.</v>
      </c>
      <c r="AE8" s="49"/>
      <c r="AF8" s="1153" t="str">
        <f>'Таблиця цін схема №3'!BQ6</f>
        <v>pcs.</v>
      </c>
      <c r="AG8" s="49"/>
      <c r="AH8" s="1153" t="str">
        <f>'Таблиця цін схема №3'!BU6</f>
        <v>pcs.</v>
      </c>
      <c r="AI8" s="49"/>
      <c r="AJ8" s="1153" t="str">
        <f>'Таблиця цін схема №3'!BY6</f>
        <v>pcs.</v>
      </c>
    </row>
    <row r="9" spans="1:36">
      <c r="A9" s="1145">
        <f>'Таблиця цін схема №3'!B8</f>
        <v>20</v>
      </c>
      <c r="B9" s="1146" t="str">
        <f>'Таблиця цін схема №3'!C8</f>
        <v xml:space="preserve">91 Ostapa Vyshni Street </v>
      </c>
      <c r="C9" s="1119">
        <f>'Таблиця цін схема №3'!P8</f>
        <v>40</v>
      </c>
      <c r="D9" s="1120">
        <f>'Таблиця цін схема №3'!Q8</f>
        <v>2</v>
      </c>
      <c r="E9" s="1119">
        <f>'Таблиця цін схема №3'!T8</f>
        <v>40</v>
      </c>
      <c r="F9" s="1120">
        <f>'Таблиця цін схема №3'!U8</f>
        <v>2</v>
      </c>
      <c r="G9" s="2">
        <f>'Таблиця цін схема №3'!X8</f>
        <v>40</v>
      </c>
      <c r="H9" s="1165" t="s">
        <v>115</v>
      </c>
      <c r="I9" s="1119">
        <f>'Таблиця цін схема №3'!AB8</f>
        <v>40</v>
      </c>
      <c r="J9" s="1120">
        <f>'Таблиця цін схема №3'!AC8</f>
        <v>1</v>
      </c>
      <c r="K9" s="1119" t="str">
        <f>'Таблиця цін схема №3'!AF8</f>
        <v>AMV20</v>
      </c>
      <c r="L9" s="1120">
        <f>'Таблиця цін схема №3'!AG8</f>
        <v>1</v>
      </c>
      <c r="M9" s="1119">
        <f>'Таблиця цін схема №3'!AJ8</f>
        <v>1.6</v>
      </c>
      <c r="N9" s="1">
        <f>'Таблиця цін схема №3'!AK8</f>
        <v>15</v>
      </c>
      <c r="O9" s="1120">
        <f>'Таблиця цін схема №3'!AL8</f>
        <v>1</v>
      </c>
      <c r="P9" s="1119">
        <f>'Таблиця цін схема №3'!AO8</f>
        <v>4</v>
      </c>
      <c r="Q9" s="1">
        <f>'Таблиця цін схема №3'!AP8</f>
        <v>15</v>
      </c>
      <c r="R9" s="1120">
        <f>'Таблиця цін схема №3'!AQ8</f>
        <v>1</v>
      </c>
      <c r="S9" s="1119" t="str">
        <f>'Таблиця цін схема №3'!AT8</f>
        <v>-</v>
      </c>
      <c r="T9" s="1" t="str">
        <f>'Таблиця цін схема №3'!AU8</f>
        <v>-</v>
      </c>
      <c r="U9" s="1" t="str">
        <f>'Таблиця цін схема №3'!AV8</f>
        <v>existed</v>
      </c>
      <c r="V9" s="1120">
        <f>'Таблиця цін схема №3'!AW8</f>
        <v>1</v>
      </c>
      <c r="W9" s="1119">
        <f>'Таблиця цін схема №3'!AZ8</f>
        <v>40</v>
      </c>
      <c r="X9" s="1120">
        <f>'Таблиця цін схема №3'!BA8</f>
        <v>4</v>
      </c>
      <c r="Y9" s="1119">
        <f>'Таблиця цін схема №3'!BD8</f>
        <v>20</v>
      </c>
      <c r="Z9" s="1120">
        <f>'Таблиця цін схема №3'!BE8</f>
        <v>4</v>
      </c>
      <c r="AA9" s="1119">
        <f>'Таблиця цін схема №3'!BH8</f>
        <v>20</v>
      </c>
      <c r="AB9" s="1121">
        <f>'Таблиця цін схема №3'!BI8</f>
        <v>2</v>
      </c>
      <c r="AC9" s="1119">
        <f>'Таблиця цін схема №3'!BL8</f>
        <v>15</v>
      </c>
      <c r="AD9" s="1120">
        <f>'Таблиця цін схема №3'!BM8</f>
        <v>5</v>
      </c>
      <c r="AE9" s="1119">
        <f>'Таблиця цін схема №3'!BP8</f>
        <v>15</v>
      </c>
      <c r="AF9" s="1120">
        <f>'Таблиця цін схема №3'!BQ8</f>
        <v>23</v>
      </c>
      <c r="AG9" s="1119">
        <f>'Таблиця цін схема №3'!BT8</f>
        <v>40</v>
      </c>
      <c r="AH9" s="1120">
        <f>'Таблиця цін схема №3'!BU8</f>
        <v>1</v>
      </c>
      <c r="AI9" s="1119">
        <f>'Таблиця цін схема №3'!BX8</f>
        <v>40</v>
      </c>
      <c r="AJ9" s="1120">
        <f>'Таблиця цін схема №3'!BY8</f>
        <v>1</v>
      </c>
    </row>
    <row r="10" spans="1:36">
      <c r="A10" s="73">
        <f>'Таблиця цін схема №3'!B9</f>
        <v>21</v>
      </c>
      <c r="B10" s="1147" t="str">
        <f>'Таблиця цін схема №3'!C9</f>
        <v xml:space="preserve">93А Ostapa Vyshni Street </v>
      </c>
      <c r="C10" s="47">
        <f>'Таблиця цін схема №3'!P9</f>
        <v>40</v>
      </c>
      <c r="D10" s="380">
        <f>'Таблиця цін схема №3'!Q9</f>
        <v>2</v>
      </c>
      <c r="E10" s="47">
        <f>'Таблиця цін схема №3'!T9</f>
        <v>40</v>
      </c>
      <c r="F10" s="380">
        <f>'Таблиця цін схема №3'!U9</f>
        <v>2</v>
      </c>
      <c r="G10" s="47">
        <f>'Таблиця цін схема №3'!X9</f>
        <v>40</v>
      </c>
      <c r="H10" s="1164" t="s">
        <v>115</v>
      </c>
      <c r="I10" s="47">
        <f>'Таблиця цін схема №3'!AB9</f>
        <v>40</v>
      </c>
      <c r="J10" s="380">
        <f>'Таблиця цін схема №3'!AC9</f>
        <v>1</v>
      </c>
      <c r="K10" s="47" t="str">
        <f>'Таблиця цін схема №3'!AF9</f>
        <v>AMV20</v>
      </c>
      <c r="L10" s="380">
        <f>'Таблиця цін схема №3'!AG9</f>
        <v>1</v>
      </c>
      <c r="M10" s="47">
        <f>'Таблиця цін схема №3'!AJ9</f>
        <v>1.6</v>
      </c>
      <c r="N10" s="379">
        <f>'Таблиця цін схема №3'!AK9</f>
        <v>15</v>
      </c>
      <c r="O10" s="380">
        <f>'Таблиця цін схема №3'!AL9</f>
        <v>1</v>
      </c>
      <c r="P10" s="47">
        <f>'Таблиця цін схема №3'!AO9</f>
        <v>4</v>
      </c>
      <c r="Q10" s="379">
        <f>'Таблиця цін схема №3'!AP9</f>
        <v>15</v>
      </c>
      <c r="R10" s="380">
        <f>'Таблиця цін схема №3'!AQ9</f>
        <v>1</v>
      </c>
      <c r="S10" s="47" t="str">
        <f>'Таблиця цін схема №3'!AT9</f>
        <v>-</v>
      </c>
      <c r="T10" s="379" t="str">
        <f>'Таблиця цін схема №3'!AU9</f>
        <v>-</v>
      </c>
      <c r="U10" s="379" t="str">
        <f>'Таблиця цін схема №3'!AV9</f>
        <v>existed</v>
      </c>
      <c r="V10" s="380">
        <f>'Таблиця цін схема №3'!AW9</f>
        <v>1</v>
      </c>
      <c r="W10" s="47">
        <f>'Таблиця цін схема №3'!AZ9</f>
        <v>40</v>
      </c>
      <c r="X10" s="380">
        <f>'Таблиця цін схема №3'!BA9</f>
        <v>4</v>
      </c>
      <c r="Y10" s="47">
        <f>'Таблиця цін схема №3'!BD9</f>
        <v>20</v>
      </c>
      <c r="Z10" s="380">
        <f>'Таблиця цін схема №3'!BE9</f>
        <v>4</v>
      </c>
      <c r="AA10" s="47">
        <f>'Таблиця цін схема №3'!BH9</f>
        <v>20</v>
      </c>
      <c r="AB10" s="78">
        <f>'Таблиця цін схема №3'!BI9</f>
        <v>2</v>
      </c>
      <c r="AC10" s="47">
        <f>'Таблиця цін схема №3'!BL9</f>
        <v>15</v>
      </c>
      <c r="AD10" s="380">
        <f>'Таблиця цін схема №3'!BM9</f>
        <v>5</v>
      </c>
      <c r="AE10" s="47">
        <f>'Таблиця цін схема №3'!BP9</f>
        <v>15</v>
      </c>
      <c r="AF10" s="380">
        <f>'Таблиця цін схема №3'!BQ9</f>
        <v>23</v>
      </c>
      <c r="AG10" s="47">
        <f>'Таблиця цін схема №3'!BT9</f>
        <v>40</v>
      </c>
      <c r="AH10" s="380">
        <f>'Таблиця цін схема №3'!BU9</f>
        <v>1</v>
      </c>
      <c r="AI10" s="47">
        <f>'Таблиця цін схема №3'!BX9</f>
        <v>40</v>
      </c>
      <c r="AJ10" s="380">
        <f>'Таблиця цін схема №3'!BY9</f>
        <v>1</v>
      </c>
    </row>
    <row r="11" spans="1:36">
      <c r="A11" s="73">
        <f>'Таблиця цін схема №3'!B10</f>
        <v>22</v>
      </c>
      <c r="B11" s="1147" t="str">
        <f>'Таблиця цін схема №3'!C10</f>
        <v xml:space="preserve">93/1 Ostapa Vyshni Street </v>
      </c>
      <c r="C11" s="47">
        <f>'Таблиця цін схема №3'!P10</f>
        <v>40</v>
      </c>
      <c r="D11" s="380">
        <f>'Таблиця цін схема №3'!Q10</f>
        <v>2</v>
      </c>
      <c r="E11" s="47">
        <f>'Таблиця цін схема №3'!T10</f>
        <v>40</v>
      </c>
      <c r="F11" s="380">
        <f>'Таблиця цін схема №3'!U10</f>
        <v>2</v>
      </c>
      <c r="G11" s="47">
        <f>'Таблиця цін схема №3'!X10</f>
        <v>40</v>
      </c>
      <c r="H11" s="1164" t="s">
        <v>115</v>
      </c>
      <c r="I11" s="47">
        <f>'Таблиця цін схема №3'!AB10</f>
        <v>40</v>
      </c>
      <c r="J11" s="380">
        <f>'Таблиця цін схема №3'!AC10</f>
        <v>1</v>
      </c>
      <c r="K11" s="47" t="str">
        <f>'Таблиця цін схема №3'!AF10</f>
        <v>AMV20</v>
      </c>
      <c r="L11" s="380">
        <f>'Таблиця цін схема №3'!AG10</f>
        <v>1</v>
      </c>
      <c r="M11" s="47">
        <f>'Таблиця цін схема №3'!AJ10</f>
        <v>4</v>
      </c>
      <c r="N11" s="379">
        <f>'Таблиця цін схема №3'!AK10</f>
        <v>15</v>
      </c>
      <c r="O11" s="380">
        <f>'Таблиця цін схема №3'!AL10</f>
        <v>1</v>
      </c>
      <c r="P11" s="47">
        <f>'Таблиця цін схема №3'!AO10</f>
        <v>4</v>
      </c>
      <c r="Q11" s="379">
        <f>'Таблиця цін схема №3'!AP10</f>
        <v>15</v>
      </c>
      <c r="R11" s="380">
        <f>'Таблиця цін схема №3'!AQ10</f>
        <v>1</v>
      </c>
      <c r="S11" s="47" t="str">
        <f>'Таблиця цін схема №3'!AT10</f>
        <v>-</v>
      </c>
      <c r="T11" s="379" t="str">
        <f>'Таблиця цін схема №3'!AU10</f>
        <v>-</v>
      </c>
      <c r="U11" s="379" t="str">
        <f>'Таблиця цін схема №3'!AV10</f>
        <v>existed</v>
      </c>
      <c r="V11" s="380">
        <f>'Таблиця цін схема №3'!AW10</f>
        <v>1</v>
      </c>
      <c r="W11" s="47">
        <f>'Таблиця цін схема №3'!AZ10</f>
        <v>40</v>
      </c>
      <c r="X11" s="380">
        <f>'Таблиця цін схема №3'!BA10</f>
        <v>4</v>
      </c>
      <c r="Y11" s="47">
        <f>'Таблиця цін схема №3'!BD10</f>
        <v>32</v>
      </c>
      <c r="Z11" s="380">
        <f>'Таблиця цін схема №3'!BE10</f>
        <v>4</v>
      </c>
      <c r="AA11" s="47">
        <f>'Таблиця цін схема №3'!BH10</f>
        <v>20</v>
      </c>
      <c r="AB11" s="78">
        <f>'Таблиця цін схема №3'!BI10</f>
        <v>2</v>
      </c>
      <c r="AC11" s="47">
        <f>'Таблиця цін схема №3'!BL10</f>
        <v>15</v>
      </c>
      <c r="AD11" s="380">
        <f>'Таблиця цін схема №3'!BM10</f>
        <v>5</v>
      </c>
      <c r="AE11" s="47">
        <f>'Таблиця цін схема №3'!BP10</f>
        <v>15</v>
      </c>
      <c r="AF11" s="380">
        <f>'Таблиця цін схема №3'!BQ10</f>
        <v>23</v>
      </c>
      <c r="AG11" s="47">
        <f>'Таблиця цін схема №3'!BT10</f>
        <v>40</v>
      </c>
      <c r="AH11" s="380">
        <f>'Таблиця цін схема №3'!BU10</f>
        <v>1</v>
      </c>
      <c r="AI11" s="47">
        <f>'Таблиця цін схема №3'!BX10</f>
        <v>40</v>
      </c>
      <c r="AJ11" s="380">
        <f>'Таблиця цін схема №3'!BY10</f>
        <v>1</v>
      </c>
    </row>
    <row r="12" spans="1:36" ht="13.5" thickBot="1">
      <c r="A12" s="1138">
        <f>'Таблиця цін схема №3'!B11</f>
        <v>94</v>
      </c>
      <c r="B12" s="1148" t="str">
        <f>'Таблиця цін схема №3'!C11</f>
        <v xml:space="preserve">80А Stanislavskogo Street </v>
      </c>
      <c r="C12" s="49">
        <f>'Таблиця цін схема №3'!P11</f>
        <v>50</v>
      </c>
      <c r="D12" s="7">
        <f>'Таблиця цін схема №3'!Q11</f>
        <v>2</v>
      </c>
      <c r="E12" s="49">
        <f>'Таблиця цін схема №3'!T11</f>
        <v>50</v>
      </c>
      <c r="F12" s="7">
        <f>'Таблиця цін схема №3'!U11</f>
        <v>2</v>
      </c>
      <c r="G12" s="49">
        <f>'Таблиця цін схема №3'!X11</f>
        <v>50</v>
      </c>
      <c r="H12" s="1166" t="s">
        <v>115</v>
      </c>
      <c r="I12" s="49">
        <f>'Таблиця цін схема №3'!AB11</f>
        <v>50</v>
      </c>
      <c r="J12" s="7">
        <f>'Таблиця цін схема №3'!AC11</f>
        <v>1</v>
      </c>
      <c r="K12" s="49" t="str">
        <f>'Таблиця цін схема №3'!AF11</f>
        <v>AMV20</v>
      </c>
      <c r="L12" s="7">
        <f>'Таблиця цін схема №3'!AG11</f>
        <v>1</v>
      </c>
      <c r="M12" s="49">
        <f>'Таблиця цін схема №3'!AJ11</f>
        <v>16</v>
      </c>
      <c r="N12" s="43">
        <f>'Таблиця цін схема №3'!AK11</f>
        <v>32</v>
      </c>
      <c r="O12" s="7">
        <f>'Таблиця цін схема №3'!AL11</f>
        <v>1</v>
      </c>
      <c r="P12" s="49">
        <f>'Таблиця цін схема №3'!AO11</f>
        <v>12.5</v>
      </c>
      <c r="Q12" s="43">
        <f>'Таблиця цін схема №3'!AP11</f>
        <v>32</v>
      </c>
      <c r="R12" s="7">
        <f>'Таблиця цін схема №3'!AQ11</f>
        <v>1</v>
      </c>
      <c r="S12" s="49" t="str">
        <f>'Таблиця цін схема №3'!AT11</f>
        <v>-</v>
      </c>
      <c r="T12" s="43" t="str">
        <f>'Таблиця цін схема №3'!AU11</f>
        <v>-</v>
      </c>
      <c r="U12" s="43" t="str">
        <f>'Таблиця цін схема №3'!AV11</f>
        <v>existed</v>
      </c>
      <c r="V12" s="7">
        <f>'Таблиця цін схема №3'!AW11</f>
        <v>1</v>
      </c>
      <c r="W12" s="49">
        <f>'Таблиця цін схема №3'!AZ11</f>
        <v>65</v>
      </c>
      <c r="X12" s="7">
        <f>'Таблиця цін схема №3'!BA11</f>
        <v>4</v>
      </c>
      <c r="Y12" s="49">
        <f>'Таблиця цін схема №3'!BD11</f>
        <v>50</v>
      </c>
      <c r="Z12" s="7">
        <f>'Таблиця цін схема №3'!BE11</f>
        <v>4</v>
      </c>
      <c r="AA12" s="49">
        <f>'Таблиця цін схема №3'!BH11</f>
        <v>20</v>
      </c>
      <c r="AB12" s="1118">
        <f>'Таблиця цін схема №3'!BI11</f>
        <v>2</v>
      </c>
      <c r="AC12" s="49">
        <f>'Таблиця цін схема №3'!BL11</f>
        <v>15</v>
      </c>
      <c r="AD12" s="7">
        <f>'Таблиця цін схема №3'!BM11</f>
        <v>5</v>
      </c>
      <c r="AE12" s="49">
        <f>'Таблиця цін схема №3'!BP11</f>
        <v>15</v>
      </c>
      <c r="AF12" s="7">
        <f>'Таблиця цін схема №3'!BQ11</f>
        <v>23</v>
      </c>
      <c r="AG12" s="49">
        <f>'Таблиця цін схема №3'!BT11</f>
        <v>65</v>
      </c>
      <c r="AH12" s="7">
        <f>'Таблиця цін схема №3'!BU11</f>
        <v>1</v>
      </c>
      <c r="AI12" s="49">
        <f>'Таблиця цін схема №3'!BX11</f>
        <v>65</v>
      </c>
      <c r="AJ12" s="7">
        <f>'Таблиця цін схема №3'!BY11</f>
        <v>1</v>
      </c>
    </row>
    <row r="16" spans="1:36" ht="18.75">
      <c r="B16" s="1157" t="s">
        <v>1392</v>
      </c>
    </row>
    <row r="17" spans="1:35" ht="13.5" thickBot="1"/>
    <row r="18" spans="1:35" s="1163" customFormat="1" ht="93.75" customHeight="1" thickBot="1">
      <c r="A18" s="1162" t="s">
        <v>15</v>
      </c>
      <c r="B18" s="1162" t="s">
        <v>1003</v>
      </c>
      <c r="C18" s="1485" t="str">
        <f>'Таблиця цін схема №3'!CB3</f>
        <v>Threaded check valve type 999/H (DN15-32)or interflanged check valve type 656 (DN40 and above)</v>
      </c>
      <c r="D18" s="1487"/>
      <c r="E18" s="1485" t="str">
        <f>'Таблиця цін схема №3'!CF3</f>
        <v>Threaded vibration damper type AB-G (DN15 - 32) or flanged vibration damper type АВ-Е (DN40 and above)</v>
      </c>
      <c r="F18" s="1487"/>
      <c r="G18" s="1485" t="str">
        <f>'Таблиця цін схема №3'!CJ3</f>
        <v>Threaded safety valve IVR 369, 1-12 bar</v>
      </c>
      <c r="H18" s="1486"/>
      <c r="I18" s="1487"/>
      <c r="J18" s="1485" t="str">
        <f>'Таблиця цін схема №3'!CO3</f>
        <v>Circulation pump of the heating system</v>
      </c>
      <c r="K18" s="1486"/>
      <c r="L18" s="1486"/>
      <c r="M18" s="1486"/>
      <c r="N18" s="1487"/>
      <c r="O18" s="1485" t="str">
        <f>'Таблиця цін схема №3'!CV3</f>
        <v>Threaded balancing valve Zetkama 221Н (DN15-32) or flanged balancing valve Zetkama 447 (DN40 and above)</v>
      </c>
      <c r="P18" s="1486"/>
      <c r="Q18" s="1487"/>
      <c r="R18" s="1485" t="str">
        <f>'Таблиця цін схема №3'!DA3</f>
        <v>Automatic air vent, DN15</v>
      </c>
      <c r="S18" s="1487"/>
      <c r="T18" s="1485" t="str">
        <f>'Таблиця цін схема №3'!DE3</f>
        <v>Bimetallic thermometer, type ТБ 80 (0-150°С)</v>
      </c>
      <c r="U18" s="1486"/>
      <c r="V18" s="1485" t="str">
        <f>'Таблиця цін схема №3'!DI3</f>
        <v>Bimetallic thermometer, type ТБ 80 (0-120°С)</v>
      </c>
      <c r="W18" s="1487"/>
      <c r="X18" s="1485" t="str">
        <f>'Таблиця цін схема №3'!DM3</f>
        <v>Indicating pressure gauge (0-1,6 МPa)</v>
      </c>
      <c r="Y18" s="1487"/>
      <c r="Z18" s="1485" t="str">
        <f>'Таблиця цін схема №3'!DQ3</f>
        <v>Indicating pressure gauge (0-1,0 MPa)</v>
      </c>
      <c r="AA18" s="1487"/>
      <c r="AB18" s="1485" t="str">
        <f>'Таблиця цін схема №3'!DU3</f>
        <v>Pressure relay PSM01</v>
      </c>
      <c r="AC18" s="1487"/>
      <c r="AD18" s="1485" t="str">
        <f>'Таблиця цін схема №3'!DY3</f>
        <v>Pressure sensor A-10 with the radiator</v>
      </c>
      <c r="AE18" s="1487"/>
      <c r="AF18" s="1485" t="str">
        <f>'Таблиця цін схема №3'!EC3</f>
        <v>Water temperature sensor, embedded</v>
      </c>
      <c r="AG18" s="1487"/>
      <c r="AH18" s="1485" t="str">
        <f>'Таблиця цін схема №3'!EG3</f>
        <v>Ambient air temperature sensor</v>
      </c>
      <c r="AI18" s="1487"/>
    </row>
    <row r="19" spans="1:35">
      <c r="A19" s="1134"/>
      <c r="B19" s="1134"/>
      <c r="C19" s="1135">
        <f>'Таблиця цін схема №3'!CB4</f>
        <v>12</v>
      </c>
      <c r="D19" s="523"/>
      <c r="E19" s="1135">
        <f>'Таблиця цін схема №3'!CF4</f>
        <v>17</v>
      </c>
      <c r="F19" s="523"/>
      <c r="G19" s="1135" t="str">
        <f>'Таблиця цін схема №3'!CJ4</f>
        <v>13</v>
      </c>
      <c r="H19" s="522"/>
      <c r="I19" s="523"/>
      <c r="J19" s="1135"/>
      <c r="K19" s="522"/>
      <c r="L19" s="522"/>
      <c r="M19" s="522">
        <f>'Таблиця цін схема №3'!CR4</f>
        <v>14</v>
      </c>
      <c r="N19" s="523"/>
      <c r="O19" s="1135">
        <f>'Таблиця цін схема №3'!CV4</f>
        <v>16</v>
      </c>
      <c r="P19" s="522"/>
      <c r="Q19" s="523"/>
      <c r="R19" s="1135">
        <f>'Таблиця цін схема №3'!DA4</f>
        <v>15</v>
      </c>
      <c r="S19" s="523"/>
      <c r="T19" s="1135">
        <f>'Таблиця цін схема №3'!DE4</f>
        <v>18</v>
      </c>
      <c r="U19" s="522"/>
      <c r="V19" s="1135">
        <f>'Таблиця цін схема №3'!DI4</f>
        <v>19</v>
      </c>
      <c r="W19" s="523"/>
      <c r="X19" s="1135">
        <f>'Таблиця цін схема №3'!DM4</f>
        <v>20</v>
      </c>
      <c r="Y19" s="523"/>
      <c r="Z19" s="1135">
        <f>'Таблиця цін схема №3'!DQ4</f>
        <v>21</v>
      </c>
      <c r="AA19" s="523"/>
      <c r="AB19" s="1135">
        <f>'Таблиця цін схема №3'!DU4</f>
        <v>26</v>
      </c>
      <c r="AC19" s="523"/>
      <c r="AD19" s="1135">
        <f>'Таблиця цін схема №3'!DY4</f>
        <v>25</v>
      </c>
      <c r="AE19" s="523"/>
      <c r="AF19" s="1135">
        <f>'Таблиця цін схема №3'!EC4</f>
        <v>27</v>
      </c>
      <c r="AG19" s="523"/>
      <c r="AH19" s="1135">
        <f>'Таблиця цін схема №3'!EG4</f>
        <v>28</v>
      </c>
      <c r="AI19" s="523"/>
    </row>
    <row r="20" spans="1:35">
      <c r="A20" s="1134"/>
      <c r="B20" s="1134"/>
      <c r="C20" s="1131" t="str">
        <f>'Таблиця цін схема №3'!CB5</f>
        <v>DN, mm</v>
      </c>
      <c r="D20" s="1151" t="str">
        <f>'Таблиця цін схема №3'!CC5</f>
        <v>number</v>
      </c>
      <c r="E20" s="1131" t="str">
        <f>'Таблиця цін схема №3'!CF5</f>
        <v>DN, mm</v>
      </c>
      <c r="F20" s="1151" t="str">
        <f>'Таблиця цін схема №3'!CG5</f>
        <v>number</v>
      </c>
      <c r="G20" s="1131" t="str">
        <f>'Таблиця цін схема №3'!CJ5</f>
        <v>DN calc., mm</v>
      </c>
      <c r="H20" s="1155" t="str">
        <f>'Таблиця цін схема №3'!CK5</f>
        <v>DN, mm</v>
      </c>
      <c r="I20" s="1151" t="str">
        <f>'Таблиця цін схема №3'!CL5</f>
        <v>number</v>
      </c>
      <c r="J20" s="1131" t="str">
        <f>'Таблиця цін схема №3'!CO5</f>
        <v>G, m3/h</v>
      </c>
      <c r="K20" s="1155" t="str">
        <f>'Таблиця цін схема №3'!CP5</f>
        <v>Number of floors</v>
      </c>
      <c r="L20" s="1155" t="str">
        <f>'Таблиця цін схема №3'!CQ5</f>
        <v>H, m.w.c.</v>
      </c>
      <c r="M20" s="1155" t="str">
        <f>'Таблиця цін схема №3'!CR5</f>
        <v>pump model</v>
      </c>
      <c r="N20" s="1151" t="str">
        <f>'Таблиця цін схема №3'!CS5</f>
        <v>number</v>
      </c>
      <c r="O20" s="1131" t="str">
        <f>'Таблиця цін схема №3'!CV5</f>
        <v>Kvs, m3/h</v>
      </c>
      <c r="P20" s="1155" t="str">
        <f>'Таблиця цін схема №3'!CW5</f>
        <v>DN, mm</v>
      </c>
      <c r="Q20" s="1151" t="str">
        <f>'Таблиця цін схема №3'!CX5</f>
        <v>number</v>
      </c>
      <c r="R20" s="1131" t="str">
        <f>'Таблиця цін схема №3'!DA5</f>
        <v>DN, mm</v>
      </c>
      <c r="S20" s="1151" t="str">
        <f>'Таблиця цін схема №3'!DB5</f>
        <v>number</v>
      </c>
      <c r="T20" s="1131" t="str">
        <f>'Таблиця цін схема №3'!DE5</f>
        <v>measurement</v>
      </c>
      <c r="U20" s="1152" t="str">
        <f>'Таблиця цін схема №3'!DF5</f>
        <v>number</v>
      </c>
      <c r="V20" s="1131" t="str">
        <f>'Таблиця цін схема №3'!DI5</f>
        <v>measurement</v>
      </c>
      <c r="W20" s="1151" t="str">
        <f>'Таблиця цін схема №3'!DJ5</f>
        <v>number</v>
      </c>
      <c r="X20" s="1131" t="str">
        <f>'Таблиця цін схема №3'!DM5</f>
        <v>measurement</v>
      </c>
      <c r="Y20" s="1151" t="str">
        <f>'Таблиця цін схема №3'!DN5</f>
        <v>number</v>
      </c>
      <c r="Z20" s="1131" t="str">
        <f>'Таблиця цін схема №3'!DQ5</f>
        <v>measurement</v>
      </c>
      <c r="AA20" s="1151" t="str">
        <f>'Таблиця цін схема №3'!DR5</f>
        <v>number</v>
      </c>
      <c r="AB20" s="1131"/>
      <c r="AC20" s="1151" t="str">
        <f>'Таблиця цін схема №3'!DV5</f>
        <v>number</v>
      </c>
      <c r="AD20" s="1131" t="str">
        <f>'Таблиця цін схема №3'!DY5</f>
        <v>Р</v>
      </c>
      <c r="AE20" s="1151" t="str">
        <f>'Таблиця цін схема №3'!DZ5</f>
        <v>number</v>
      </c>
      <c r="AF20" s="1131" t="str">
        <f>'Таблиця цін схема №3'!EC5</f>
        <v>T</v>
      </c>
      <c r="AG20" s="1151" t="str">
        <f>'Таблиця цін схема №3'!ED5</f>
        <v>number</v>
      </c>
      <c r="AH20" s="1131" t="str">
        <f>'Таблиця цін схема №3'!EG5</f>
        <v>Т1</v>
      </c>
      <c r="AI20" s="1151" t="str">
        <f>'Таблиця цін схема №3'!EH5</f>
        <v>number</v>
      </c>
    </row>
    <row r="21" spans="1:35" ht="13.5" thickBot="1">
      <c r="A21" s="1134"/>
      <c r="B21" s="1134"/>
      <c r="C21" s="49"/>
      <c r="D21" s="1153" t="str">
        <f>'Таблиця цін схема №3'!CC6</f>
        <v>pcs.</v>
      </c>
      <c r="E21" s="49"/>
      <c r="F21" s="1153" t="str">
        <f>'Таблиця цін схема №3'!CG6</f>
        <v>pcs.</v>
      </c>
      <c r="G21" s="49"/>
      <c r="H21" s="145"/>
      <c r="I21" s="1153" t="str">
        <f>'Таблиця цін схема №3'!CL6</f>
        <v>pcs.</v>
      </c>
      <c r="J21" s="49"/>
      <c r="K21" s="145"/>
      <c r="L21" s="145"/>
      <c r="M21" s="145"/>
      <c r="N21" s="1153" t="str">
        <f>'Таблиця цін схема №3'!CS6</f>
        <v>pcs.</v>
      </c>
      <c r="O21" s="49"/>
      <c r="P21" s="145"/>
      <c r="Q21" s="1153" t="str">
        <f>'Таблиця цін схема №3'!CX6</f>
        <v>pcs.</v>
      </c>
      <c r="R21" s="49"/>
      <c r="S21" s="1153" t="str">
        <f>'Таблиця цін схема №3'!DB6</f>
        <v>pcs.</v>
      </c>
      <c r="T21" s="49" t="str">
        <f>'Таблиця цін схема №3'!DE6</f>
        <v>range,°С</v>
      </c>
      <c r="U21" s="1154" t="str">
        <f>'Таблиця цін схема №3'!DF6</f>
        <v>pcs.</v>
      </c>
      <c r="V21" s="49" t="str">
        <f>'Таблиця цін схема №3'!DI6</f>
        <v>range,°С</v>
      </c>
      <c r="W21" s="1153" t="str">
        <f>'Таблиця цін схема №3'!DJ6</f>
        <v>pcs.</v>
      </c>
      <c r="X21" s="49" t="str">
        <f>'Таблиця цін схема №3'!DM6</f>
        <v>range, MPa</v>
      </c>
      <c r="Y21" s="1153" t="str">
        <f>'Таблиця цін схема №3'!DN6</f>
        <v>pcs.</v>
      </c>
      <c r="Z21" s="49" t="str">
        <f>'Таблиця цін схема №3'!DQ6</f>
        <v>range, MPa</v>
      </c>
      <c r="AA21" s="1153" t="str">
        <f>'Таблиця цін схема №3'!DR6</f>
        <v>pcs.</v>
      </c>
      <c r="AB21" s="49"/>
      <c r="AC21" s="1153" t="str">
        <f>'Таблиця цін схема №3'!DV6</f>
        <v>pcs.</v>
      </c>
      <c r="AD21" s="49"/>
      <c r="AE21" s="1153" t="str">
        <f>'Таблиця цін схема №3'!DZ6</f>
        <v>pcs.</v>
      </c>
      <c r="AF21" s="49"/>
      <c r="AG21" s="1153" t="str">
        <f>'Таблиця цін схема №3'!ED6</f>
        <v>pcs.</v>
      </c>
      <c r="AH21" s="49"/>
      <c r="AI21" s="1153" t="str">
        <f>'Таблиця цін схема №3'!EH6</f>
        <v>pcs.</v>
      </c>
    </row>
    <row r="22" spans="1:35">
      <c r="A22" s="84">
        <v>20</v>
      </c>
      <c r="B22" s="84" t="s">
        <v>875</v>
      </c>
      <c r="C22" s="1119">
        <f>'Таблиця цін схема №3'!CB8</f>
        <v>40</v>
      </c>
      <c r="D22" s="1120">
        <f>'Таблиця цін схема №3'!CC8</f>
        <v>2</v>
      </c>
      <c r="E22" s="1119">
        <f>'Таблиця цін схема №3'!CF8</f>
        <v>20</v>
      </c>
      <c r="F22" s="1120">
        <f>'Таблиця цін схема №3'!CG8</f>
        <v>4</v>
      </c>
      <c r="G22" s="1133">
        <f>'Таблиця цін схема №3'!CJ8</f>
        <v>9.5161967192781383</v>
      </c>
      <c r="H22" s="1">
        <f>'Таблиця цін схема №3'!CK8</f>
        <v>15</v>
      </c>
      <c r="I22" s="1120">
        <f>'Таблиця цін схема №3'!CL8</f>
        <v>2</v>
      </c>
      <c r="J22" s="1133">
        <f>'Таблиця цін схема №3'!CO8</f>
        <v>1.4594594594594594</v>
      </c>
      <c r="K22" s="1">
        <f>'Таблиця цін схема №3'!CP8</f>
        <v>2</v>
      </c>
      <c r="L22" s="1">
        <f>'Таблиця цін схема №3'!CQ8</f>
        <v>5</v>
      </c>
      <c r="M22" s="1150" t="str">
        <f>'Таблиця цін схема №3'!CR8</f>
        <v>Yonos PICO 25/1-8-130</v>
      </c>
      <c r="N22" s="1120">
        <f>'Таблиця цін схема №3'!CS8</f>
        <v>2</v>
      </c>
      <c r="O22" s="1119">
        <f>'Таблиця цін схема №3'!CV8</f>
        <v>1.67</v>
      </c>
      <c r="P22" s="1">
        <f>'Таблиця цін схема №3'!CW8</f>
        <v>15</v>
      </c>
      <c r="Q22" s="1120">
        <f>'Таблиця цін схема №3'!CX8</f>
        <v>2</v>
      </c>
      <c r="R22" s="1119">
        <f>'Таблиця цін схема №3'!DA8</f>
        <v>15</v>
      </c>
      <c r="S22" s="1120">
        <f>'Таблиця цін схема №3'!DB8</f>
        <v>1</v>
      </c>
      <c r="T22" s="2" t="str">
        <f>'Таблиця цін схема №3'!DE8</f>
        <v>0-150</v>
      </c>
      <c r="U22" s="1165" t="s">
        <v>115</v>
      </c>
      <c r="V22" s="2" t="str">
        <f>'Таблиця цін схема №3'!DI8</f>
        <v>0-120</v>
      </c>
      <c r="W22" s="1165" t="s">
        <v>115</v>
      </c>
      <c r="X22" s="1119" t="str">
        <f>'Таблиця цін схема №3'!DM8</f>
        <v>0-1,6</v>
      </c>
      <c r="Y22" s="1120">
        <f>'Таблиця цін схема №3'!DN8</f>
        <v>2</v>
      </c>
      <c r="Z22" s="1119" t="str">
        <f>'Таблиця цін схема №3'!DQ8</f>
        <v>0-1,0</v>
      </c>
      <c r="AA22" s="1120">
        <f>'Таблиця цін схема №3'!DR8</f>
        <v>8</v>
      </c>
      <c r="AB22" s="1119" t="str">
        <f>'Таблиця цін схема №3'!DU8</f>
        <v>PSM01</v>
      </c>
      <c r="AC22" s="1120">
        <f>'Таблиця цін схема №3'!DV8</f>
        <v>2</v>
      </c>
      <c r="AD22" s="1119" t="str">
        <f>'Таблиця цін схема №3'!DY8</f>
        <v>A-10</v>
      </c>
      <c r="AE22" s="1120">
        <f>'Таблиця цін схема №3'!DZ8</f>
        <v>4</v>
      </c>
      <c r="AF22" s="1119" t="str">
        <f>'Таблиця цін схема №3'!EC8</f>
        <v>ТСП 1-5</v>
      </c>
      <c r="AG22" s="1120">
        <f>'Таблиця цін схема №3'!ED8</f>
        <v>4</v>
      </c>
      <c r="AH22" s="1119" t="str">
        <f>'Таблиця цін схема №3'!EG8</f>
        <v>ТСП 2-10Г</v>
      </c>
      <c r="AI22" s="1120">
        <f>'Таблиця цін схема №3'!EH8</f>
        <v>1</v>
      </c>
    </row>
    <row r="23" spans="1:35">
      <c r="A23" s="73">
        <v>21</v>
      </c>
      <c r="B23" s="73" t="s">
        <v>876</v>
      </c>
      <c r="C23" s="47">
        <f>'Таблиця цін схема №3'!CB9</f>
        <v>40</v>
      </c>
      <c r="D23" s="380">
        <f>'Таблиця цін схема №3'!CC9</f>
        <v>2</v>
      </c>
      <c r="E23" s="47">
        <f>'Таблиця цін схема №3'!CF9</f>
        <v>20</v>
      </c>
      <c r="F23" s="380">
        <f>'Таблиця цін схема №3'!CG9</f>
        <v>4</v>
      </c>
      <c r="G23" s="1129">
        <f>'Таблиця цін схема №3'!CJ9</f>
        <v>9.3796588424099951</v>
      </c>
      <c r="H23" s="379">
        <f>'Таблиця цін схема №3'!CK9</f>
        <v>15</v>
      </c>
      <c r="I23" s="380">
        <f>'Таблиця цін схема №3'!CL9</f>
        <v>2</v>
      </c>
      <c r="J23" s="1129">
        <f>'Таблиця цін схема №3'!CO9</f>
        <v>1.4178794178794178</v>
      </c>
      <c r="K23" s="379">
        <f>'Таблиця цін схема №3'!CP9</f>
        <v>2</v>
      </c>
      <c r="L23" s="379">
        <f>'Таблиця цін схема №3'!CQ9</f>
        <v>5</v>
      </c>
      <c r="M23" s="1144" t="str">
        <f>'Таблиця цін схема №3'!CR9</f>
        <v>Yonos PICO 25/1-8-130</v>
      </c>
      <c r="N23" s="380">
        <f>'Таблиця цін схема №3'!CS9</f>
        <v>2</v>
      </c>
      <c r="O23" s="47">
        <f>'Таблиця цін схема №3'!CV9</f>
        <v>1.67</v>
      </c>
      <c r="P23" s="379">
        <f>'Таблиця цін схема №3'!CW9</f>
        <v>15</v>
      </c>
      <c r="Q23" s="380">
        <f>'Таблиця цін схема №3'!CX9</f>
        <v>2</v>
      </c>
      <c r="R23" s="47">
        <f>'Таблиця цін схема №3'!DA9</f>
        <v>15</v>
      </c>
      <c r="S23" s="380">
        <f>'Таблиця цін схема №3'!DB9</f>
        <v>1</v>
      </c>
      <c r="T23" s="47" t="str">
        <f>'Таблиця цін схема №3'!DE9</f>
        <v>0-150</v>
      </c>
      <c r="U23" s="1164" t="s">
        <v>115</v>
      </c>
      <c r="V23" s="47" t="str">
        <f>'Таблиця цін схема №3'!DI9</f>
        <v>0-120</v>
      </c>
      <c r="W23" s="1164" t="s">
        <v>115</v>
      </c>
      <c r="X23" s="47" t="str">
        <f>'Таблиця цін схема №3'!DM9</f>
        <v>0-1,6</v>
      </c>
      <c r="Y23" s="380">
        <f>'Таблиця цін схема №3'!DN9</f>
        <v>2</v>
      </c>
      <c r="Z23" s="47" t="str">
        <f>'Таблиця цін схема №3'!DQ9</f>
        <v>0-1,0</v>
      </c>
      <c r="AA23" s="380">
        <f>'Таблиця цін схема №3'!DR9</f>
        <v>8</v>
      </c>
      <c r="AB23" s="47" t="str">
        <f>'Таблиця цін схема №3'!DU9</f>
        <v>PSM01</v>
      </c>
      <c r="AC23" s="380">
        <f>'Таблиця цін схема №3'!DV9</f>
        <v>2</v>
      </c>
      <c r="AD23" s="47" t="str">
        <f>'Таблиця цін схема №3'!DY9</f>
        <v>A-10</v>
      </c>
      <c r="AE23" s="380">
        <f>'Таблиця цін схема №3'!DZ9</f>
        <v>4</v>
      </c>
      <c r="AF23" s="47" t="str">
        <f>'Таблиця цін схема №3'!EC9</f>
        <v>ТСП 1-5</v>
      </c>
      <c r="AG23" s="380">
        <f>'Таблиця цін схема №3'!ED9</f>
        <v>4</v>
      </c>
      <c r="AH23" s="47" t="str">
        <f>'Таблиця цін схема №3'!EG9</f>
        <v>ТСП 2-10Г</v>
      </c>
      <c r="AI23" s="380">
        <f>'Таблиця цін схема №3'!EH9</f>
        <v>1</v>
      </c>
    </row>
    <row r="24" spans="1:35">
      <c r="A24" s="73">
        <v>22</v>
      </c>
      <c r="B24" s="73" t="s">
        <v>877</v>
      </c>
      <c r="C24" s="47">
        <f>'Таблиця цін схема №3'!CB10</f>
        <v>40</v>
      </c>
      <c r="D24" s="380">
        <f>'Таблиця цін схема №3'!CC10</f>
        <v>2</v>
      </c>
      <c r="E24" s="47">
        <f>'Таблиця цін схема №3'!CF10</f>
        <v>32</v>
      </c>
      <c r="F24" s="380">
        <f>'Таблиця цін схема №3'!CG10</f>
        <v>4</v>
      </c>
      <c r="G24" s="1129">
        <f>'Таблиця цін схема №3'!CJ10</f>
        <v>18.345598927263179</v>
      </c>
      <c r="H24" s="379">
        <f>'Таблиця цін схема №3'!CK10</f>
        <v>20</v>
      </c>
      <c r="I24" s="380">
        <f>'Таблиця цін схема №3'!CL10</f>
        <v>2</v>
      </c>
      <c r="J24" s="1129">
        <f>'Таблиця цін схема №3'!CO10</f>
        <v>5.4241164241164244</v>
      </c>
      <c r="K24" s="379">
        <f>'Таблиця цін схема №3'!CP10</f>
        <v>3</v>
      </c>
      <c r="L24" s="379">
        <f>'Таблиця цін схема №3'!CQ10</f>
        <v>5</v>
      </c>
      <c r="M24" s="1144" t="str">
        <f>'Таблиця цін схема №3'!CR10</f>
        <v>Yonos MAXO 25/0,5-10 PN 10</v>
      </c>
      <c r="N24" s="380">
        <f>'Таблиця цін схема №3'!CS10</f>
        <v>2</v>
      </c>
      <c r="O24" s="47">
        <f>'Таблиця цін схема №3'!CV10</f>
        <v>5.83</v>
      </c>
      <c r="P24" s="379">
        <f>'Таблиця цін схема №3'!CW10</f>
        <v>25</v>
      </c>
      <c r="Q24" s="380">
        <f>'Таблиця цін схема №3'!CX10</f>
        <v>2</v>
      </c>
      <c r="R24" s="47">
        <f>'Таблиця цін схема №3'!DA10</f>
        <v>15</v>
      </c>
      <c r="S24" s="380">
        <f>'Таблиця цін схема №3'!DB10</f>
        <v>1</v>
      </c>
      <c r="T24" s="47" t="str">
        <f>'Таблиця цін схема №3'!DE10</f>
        <v>0-150</v>
      </c>
      <c r="U24" s="1164" t="s">
        <v>115</v>
      </c>
      <c r="V24" s="47" t="str">
        <f>'Таблиця цін схема №3'!DI10</f>
        <v>0-120</v>
      </c>
      <c r="W24" s="1164" t="s">
        <v>115</v>
      </c>
      <c r="X24" s="47" t="str">
        <f>'Таблиця цін схема №3'!DM10</f>
        <v>0-1,6</v>
      </c>
      <c r="Y24" s="380">
        <f>'Таблиця цін схема №3'!DN10</f>
        <v>2</v>
      </c>
      <c r="Z24" s="47" t="str">
        <f>'Таблиця цін схема №3'!DQ10</f>
        <v>0-1,0</v>
      </c>
      <c r="AA24" s="380">
        <f>'Таблиця цін схема №3'!DR10</f>
        <v>8</v>
      </c>
      <c r="AB24" s="47" t="str">
        <f>'Таблиця цін схема №3'!DU10</f>
        <v>PSM01</v>
      </c>
      <c r="AC24" s="380">
        <f>'Таблиця цін схема №3'!DV10</f>
        <v>2</v>
      </c>
      <c r="AD24" s="47" t="str">
        <f>'Таблиця цін схема №3'!DY10</f>
        <v>A-10</v>
      </c>
      <c r="AE24" s="380">
        <f>'Таблиця цін схема №3'!DZ10</f>
        <v>4</v>
      </c>
      <c r="AF24" s="47" t="str">
        <f>'Таблиця цін схема №3'!EC10</f>
        <v>ТСП 1-5</v>
      </c>
      <c r="AG24" s="380">
        <f>'Таблиця цін схема №3'!ED10</f>
        <v>4</v>
      </c>
      <c r="AH24" s="47" t="str">
        <f>'Таблиця цін схема №3'!EG10</f>
        <v>ТСП 2-10Г</v>
      </c>
      <c r="AI24" s="380">
        <f>'Таблиця цін схема №3'!EH10</f>
        <v>1</v>
      </c>
    </row>
    <row r="25" spans="1:35" ht="13.5" thickBot="1">
      <c r="A25" s="1138">
        <v>94</v>
      </c>
      <c r="B25" s="1138" t="s">
        <v>878</v>
      </c>
      <c r="C25" s="49">
        <f>'Таблиця цін схема №3'!CB11</f>
        <v>65</v>
      </c>
      <c r="D25" s="7">
        <f>'Таблиця цін схема №3'!CC11</f>
        <v>2</v>
      </c>
      <c r="E25" s="49">
        <f>'Таблиця цін схема №3'!CF11</f>
        <v>50</v>
      </c>
      <c r="F25" s="7">
        <f>'Таблиця цін схема №3'!CG11</f>
        <v>4</v>
      </c>
      <c r="G25" s="1130">
        <f>'Таблиця цін схема №3'!CJ11</f>
        <v>29.441511510111024</v>
      </c>
      <c r="H25" s="43">
        <f>'Таблиця цін схема №3'!CK11</f>
        <v>32</v>
      </c>
      <c r="I25" s="7">
        <f>'Таблиця цін схема №3'!CL11</f>
        <v>2</v>
      </c>
      <c r="J25" s="1130">
        <f>'Таблиця цін схема №3'!CO11</f>
        <v>13.969646569646567</v>
      </c>
      <c r="K25" s="43">
        <f>'Таблиця цін схема №3'!CP11</f>
        <v>5</v>
      </c>
      <c r="L25" s="43">
        <f>'Таблиця цін схема №3'!CQ11</f>
        <v>5</v>
      </c>
      <c r="M25" s="1149" t="str">
        <f>'Таблиця цін схема №3'!CR11</f>
        <v>Yonos MAXO 40/0,5-12 PN 6/10</v>
      </c>
      <c r="N25" s="7">
        <f>'Таблиця цін схема №3'!CS11</f>
        <v>2</v>
      </c>
      <c r="O25" s="49">
        <f>'Таблиця цін схема №3'!CV11</f>
        <v>22.36</v>
      </c>
      <c r="P25" s="43">
        <f>'Таблиця цін схема №3'!CW11</f>
        <v>40</v>
      </c>
      <c r="Q25" s="7">
        <f>'Таблиця цін схема №3'!CX11</f>
        <v>2</v>
      </c>
      <c r="R25" s="49">
        <f>'Таблиця цін схема №3'!DA11</f>
        <v>15</v>
      </c>
      <c r="S25" s="7">
        <f>'Таблиця цін схема №3'!DB11</f>
        <v>1</v>
      </c>
      <c r="T25" s="49" t="str">
        <f>'Таблиця цін схема №3'!DE11</f>
        <v>0-150</v>
      </c>
      <c r="U25" s="1166" t="s">
        <v>115</v>
      </c>
      <c r="V25" s="49" t="str">
        <f>'Таблиця цін схема №3'!DI11</f>
        <v>0-120</v>
      </c>
      <c r="W25" s="1166" t="s">
        <v>115</v>
      </c>
      <c r="X25" s="49" t="str">
        <f>'Таблиця цін схема №3'!DM11</f>
        <v>0-1,6</v>
      </c>
      <c r="Y25" s="7">
        <f>'Таблиця цін схема №3'!DN11</f>
        <v>2</v>
      </c>
      <c r="Z25" s="49" t="str">
        <f>'Таблиця цін схема №3'!DQ11</f>
        <v>0-1,0</v>
      </c>
      <c r="AA25" s="7">
        <f>'Таблиця цін схема №3'!DR11</f>
        <v>8</v>
      </c>
      <c r="AB25" s="49" t="str">
        <f>'Таблиця цін схема №3'!DU11</f>
        <v>PSM01</v>
      </c>
      <c r="AC25" s="7">
        <f>'Таблиця цін схема №3'!DV11</f>
        <v>2</v>
      </c>
      <c r="AD25" s="49" t="str">
        <f>'Таблиця цін схема №3'!DY11</f>
        <v>A-10</v>
      </c>
      <c r="AE25" s="7">
        <f>'Таблиця цін схема №3'!DZ11</f>
        <v>4</v>
      </c>
      <c r="AF25" s="49" t="str">
        <f>'Таблиця цін схема №3'!EC11</f>
        <v>ТСП 1-5</v>
      </c>
      <c r="AG25" s="7">
        <f>'Таблиця цін схема №3'!ED11</f>
        <v>4</v>
      </c>
      <c r="AH25" s="49" t="str">
        <f>'Таблиця цін схема №3'!EG11</f>
        <v>ТСП 2-10Г</v>
      </c>
      <c r="AI25" s="7">
        <f>'Таблиця цін схема №3'!EH11</f>
        <v>1</v>
      </c>
    </row>
  </sheetData>
  <mergeCells count="29">
    <mergeCell ref="AH18:AI18"/>
    <mergeCell ref="AG5:AH5"/>
    <mergeCell ref="AI5:AJ5"/>
    <mergeCell ref="C18:D18"/>
    <mergeCell ref="E18:F18"/>
    <mergeCell ref="G18:I18"/>
    <mergeCell ref="P5:R5"/>
    <mergeCell ref="S5:V5"/>
    <mergeCell ref="W5:X5"/>
    <mergeCell ref="Y5:Z5"/>
    <mergeCell ref="AA5:AB5"/>
    <mergeCell ref="AC5:AD5"/>
    <mergeCell ref="C5:D5"/>
    <mergeCell ref="E5:F5"/>
    <mergeCell ref="G5:H5"/>
    <mergeCell ref="J18:N18"/>
    <mergeCell ref="O18:Q18"/>
    <mergeCell ref="I5:J5"/>
    <mergeCell ref="K5:L5"/>
    <mergeCell ref="M5:O5"/>
    <mergeCell ref="X18:Y18"/>
    <mergeCell ref="AE5:AF5"/>
    <mergeCell ref="R18:S18"/>
    <mergeCell ref="T18:U18"/>
    <mergeCell ref="V18:W18"/>
    <mergeCell ref="Z18:AA18"/>
    <mergeCell ref="AB18:AC18"/>
    <mergeCell ref="AD18:AE18"/>
    <mergeCell ref="AF18:AG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статситика</vt:lpstr>
      <vt:lpstr>Ціни контур мережний</vt:lpstr>
      <vt:lpstr>Ціни контур теплопостачання</vt:lpstr>
      <vt:lpstr>Таблиця цін схема №1</vt:lpstr>
      <vt:lpstr>Таблиця цін схема №2</vt:lpstr>
      <vt:lpstr>Таблиця цін схема №3</vt:lpstr>
      <vt:lpstr>Запасні частини</vt:lpstr>
      <vt:lpstr>рекоменд. и обязат. зап. части</vt:lpstr>
      <vt:lpstr>Теплообмінники №1</vt:lpstr>
      <vt:lpstr>Теплообмінники №2</vt:lpstr>
      <vt:lpstr>черн.</vt:lpstr>
      <vt:lpstr>Schedule 1</vt:lpstr>
      <vt:lpstr>Schedule 2</vt:lpstr>
      <vt:lpstr>Schedule 6</vt:lpstr>
      <vt:lpstr>Лист5</vt:lpstr>
      <vt:lpstr>Лист7</vt:lpstr>
      <vt:lpstr>Лист1</vt:lpstr>
    </vt:vector>
  </TitlesOfParts>
  <Company>Дросельная шайба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Sёga Konon</dc:creator>
  <cp:lastModifiedBy>Specter</cp:lastModifiedBy>
  <cp:lastPrinted>2017-01-16T15:26:48Z</cp:lastPrinted>
  <dcterms:created xsi:type="dcterms:W3CDTF">1996-10-08T23:32:33Z</dcterms:created>
  <dcterms:modified xsi:type="dcterms:W3CDTF">2018-03-25T13:07:33Z</dcterms:modified>
</cp:coreProperties>
</file>